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README" sheetId="1" r:id="rId1"/>
    <sheet name="Chart_Mean_3" sheetId="2" r:id="rId2"/>
    <sheet name="Chart_Comayagua" sheetId="3" r:id="rId3"/>
    <sheet name="Chart_Ocotepeque" sheetId="4" r:id="rId4"/>
    <sheet name="Chart_Copan" sheetId="5" r:id="rId5"/>
    <sheet name="Chart_long" sheetId="6" r:id="rId6"/>
    <sheet name="ENSO_seasons" sheetId="7" r:id="rId7"/>
    <sheet name="Monthly" sheetId="8" r:id="rId8"/>
    <sheet name="Daily" sheetId="9" r:id="rId9"/>
    <sheet name="ENSO_monthly" sheetId="10" r:id="rId10"/>
    <sheet name="Checks" sheetId="11" r:id="rId11"/>
    <sheet name="Rain_anomaly" sheetId="12" r:id="rId12"/>
  </sheets>
  <calcPr calcId="191029" fullCalcOnLoad="1"/>
</workbook>
</file>

<file path=xl/styles.xml><?xml version="1.0" encoding="utf-8"?>
<styleSheet xmlns="http://schemas.openxmlformats.org/spreadsheetml/2006/main">
  <numFmts count="5">
    <numFmt numFmtId="164" formatCode="0.00"/>
    <numFmt numFmtId="165" formatCode="0.0"/>
    <numFmt numFmtId="166" formatCode="yyyy-mm-dd"/>
    <numFmt numFmtId="167" formatCode="0"/>
    <numFmt numFmtId="168" formatCode="0%"/>
  </numFmts>
  <fonts count="11">
    <font>
      <sz val="10"/>
      <color rgb="FF000000"/>
      <name val="Arial"/>
    </font>
    <font>
      <b/>
      <sz val="10"/>
      <color rgb="FFFFFFFF"/>
      <name val="Arial"/>
    </font>
    <font>
      <i/>
      <sz val="10"/>
      <color rgb="FF595959"/>
      <name val="Arial"/>
    </font>
    <font>
      <b/>
      <sz val="10"/>
      <color rgb="FF404040"/>
      <name val="Arial"/>
    </font>
    <font>
      <b/>
      <sz val="10"/>
      <color rgb="FFC00000"/>
      <name val="Arial"/>
    </font>
    <font>
      <b/>
      <sz val="10"/>
      <color rgb="FF2E75B6"/>
      <name val="Arial"/>
    </font>
    <font>
      <sz val="10"/>
      <color rgb="FF0000FF"/>
      <name val="Arial"/>
    </font>
    <font>
      <b/>
      <sz val="14"/>
      <color rgb="FF1F3864"/>
      <name val="Arial"/>
    </font>
    <font>
      <b/>
      <sz val="12"/>
      <color rgb="FF1F3864"/>
      <name val="Arial"/>
    </font>
    <font>
      <b/>
      <sz val="10"/>
      <color rgb="FF000000"/>
      <name val="Arial"/>
    </font>
    <font>
      <b/>
      <sz val="10"/>
      <color rgb="FF3A8D5B"/>
      <name val="Arial"/>
    </font>
  </fonts>
  <fills count="9">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FCE4D6"/>
        <bgColor indexed="64"/>
      </patternFill>
    </fill>
    <fill>
      <patternFill patternType="solid">
        <fgColor rgb="FFEDEDED"/>
        <bgColor indexed="64"/>
      </patternFill>
    </fill>
    <fill>
      <patternFill patternType="solid">
        <fgColor rgb="FFFFF2CC"/>
        <bgColor indexed="64"/>
      </patternFill>
    </fill>
    <fill>
      <patternFill patternType="solid">
        <fgColor rgb="FFBDD7EE"/>
        <bgColor indexed="64"/>
      </patternFill>
    </fill>
    <fill>
      <patternFill patternType="solid">
        <fgColor rgb="FFF8CBAD"/>
        <bgColor indexed="64"/>
      </patternFill>
    </fill>
  </fills>
  <borders count="2">
    <border>
      <left/>
      <right/>
      <top/>
      <bottom/>
      <diagonal/>
    </border>
    <border>
      <left/>
      <right/>
      <top/>
      <bottom style="thin">
        <color rgb="FFBFBFBF"/>
      </bottom>
      <diagonal/>
    </border>
  </borders>
  <cellStyleXfs count="1">
    <xf numFmtId="0" fontId="0" fillId="0" borderId="0"/>
  </cellStyleXfs>
  <cellXfs count="37">
    <xf numFmtId="0" fontId="0" fillId="0" borderId="0" xfId="0" applyFont="1"/>
    <xf numFmtId="0" fontId="1" fillId="2" borderId="0" xfId="0" applyFont="1" applyFill="1" applyAlignment="1">
      <alignment horizontal="center" wrapText="1" vertical="top"/>
    </xf>
    <xf numFmtId="0" fontId="0" fillId="0" borderId="0" xfId="0" applyFont="1" applyAlignment="1">
      <alignment horizontal="center" vertical="top"/>
    </xf>
    <xf numFmtId="164" fontId="0" fillId="0" borderId="0" xfId="0" applyNumberFormat="1" applyFont="1"/>
    <xf numFmtId="165" fontId="0" fillId="0" borderId="0" xfId="0" applyNumberFormat="1" applyFont="1"/>
    <xf numFmtId="0" fontId="0" fillId="3" borderId="0" xfId="0" applyFont="1" applyFill="1"/>
    <xf numFmtId="0" fontId="0" fillId="4" borderId="0" xfId="0" applyFont="1" applyFill="1"/>
    <xf numFmtId="0" fontId="2" fillId="0" borderId="0" xfId="0" applyFont="1"/>
    <xf numFmtId="0" fontId="3" fillId="5" borderId="0" xfId="0" applyFont="1" applyFill="1"/>
    <xf numFmtId="166" fontId="0" fillId="0" borderId="0" xfId="0" applyNumberFormat="1" applyFont="1" applyAlignment="1">
      <alignment horizontal="center" vertical="top"/>
    </xf>
    <xf numFmtId="164" fontId="0" fillId="4" borderId="0" xfId="0" applyNumberFormat="1" applyFont="1" applyFill="1"/>
    <xf numFmtId="0" fontId="4" fillId="4" borderId="0" xfId="0" applyFont="1" applyFill="1"/>
    <xf numFmtId="0" fontId="5" fillId="3" borderId="0" xfId="0" applyFont="1" applyFill="1"/>
    <xf numFmtId="164" fontId="0" fillId="3" borderId="0" xfId="0" applyNumberFormat="1" applyFont="1" applyFill="1"/>
    <xf numFmtId="165" fontId="6" fillId="6" borderId="0" xfId="0" applyNumberFormat="1" applyFont="1" applyFill="1"/>
    <xf numFmtId="0" fontId="4" fillId="0" borderId="0" xfId="0" applyFont="1" applyAlignment="1">
      <alignment horizontal="center" vertical="top"/>
    </xf>
    <xf numFmtId="0" fontId="7" fillId="0" borderId="0" xfId="0" applyFont="1"/>
    <xf numFmtId="0" fontId="8" fillId="0" borderId="0" xfId="0" applyFont="1"/>
    <xf numFmtId="164" fontId="9" fillId="0" borderId="0" xfId="0" applyNumberFormat="1" applyFont="1"/>
    <xf numFmtId="164" fontId="4" fillId="4" borderId="0" xfId="0" applyNumberFormat="1" applyFont="1" applyFill="1"/>
    <xf numFmtId="164" fontId="5" fillId="3" borderId="0" xfId="0" applyNumberFormat="1" applyFont="1" applyFill="1"/>
    <xf numFmtId="0" fontId="0" fillId="5" borderId="0" xfId="0" applyFont="1" applyFill="1"/>
    <xf numFmtId="164" fontId="3" fillId="5" borderId="0" xfId="0" applyNumberFormat="1" applyFont="1" applyFill="1"/>
    <xf numFmtId="0" fontId="9" fillId="0" borderId="0" xfId="0" applyFont="1"/>
    <xf numFmtId="165" fontId="9" fillId="0" borderId="0" xfId="0" applyNumberFormat="1" applyFont="1"/>
    <xf numFmtId="165" fontId="4" fillId="4" borderId="0" xfId="0" applyNumberFormat="1" applyFont="1" applyFill="1"/>
    <xf numFmtId="165" fontId="5" fillId="3" borderId="0" xfId="0" applyNumberFormat="1" applyFont="1" applyFill="1"/>
    <xf numFmtId="165" fontId="3" fillId="5" borderId="0" xfId="0" applyNumberFormat="1" applyFont="1" applyFill="1"/>
    <xf numFmtId="167" fontId="0" fillId="0" borderId="0" xfId="0" applyNumberFormat="1" applyFont="1"/>
    <xf numFmtId="168" fontId="0" fillId="0" borderId="0" xfId="0" applyNumberFormat="1" applyFont="1" applyAlignment="1">
      <alignment horizontal="center" vertical="top"/>
    </xf>
    <xf numFmtId="168" fontId="6" fillId="0" borderId="0" xfId="0" applyNumberFormat="1" applyFont="1" applyAlignment="1">
      <alignment horizontal="center" vertical="top"/>
    </xf>
    <xf numFmtId="168" fontId="9" fillId="7" borderId="0" xfId="0" applyNumberFormat="1" applyFont="1" applyFill="1" applyAlignment="1">
      <alignment horizontal="center" vertical="top"/>
    </xf>
    <xf numFmtId="168" fontId="9" fillId="8" borderId="0" xfId="0" applyNumberFormat="1" applyFont="1" applyFill="1" applyAlignment="1">
      <alignment horizontal="center" vertical="top"/>
    </xf>
    <xf numFmtId="0" fontId="10" fillId="0" borderId="0" xfId="0" applyFont="1"/>
    <xf numFmtId="0" fontId="0" fillId="0" borderId="0" xfId="0" applyFont="1" applyAlignment="1">
      <alignment wrapText="1" vertical="top"/>
    </xf>
    <xf numFmtId="0" fontId="4" fillId="0" borderId="0" xfId="0" applyFont="1"/>
    <xf numFmtId="0" fontId="4" fillId="0" borderId="0" xfId="0" applyFont="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FormatPr defaultRowHeight="13.2"/>
  <cols>
    <col min="1" max="1" width="150" customWidth="1"/>
  </cols>
  <sheetData>
    <row r="1">
      <c r="A1" s="16" t="inlineStr">
        <is>
          <t xml:space="preserve">Météo des zones caféières du Honduras (Comayagua, Ocotepeque, Copán) par saison ENSO (juillet–juin), pour refaire les graphiques du type « São Mateus »</t>
        </is>
      </c>
    </row>
    <row r="2">
      <c r="A2" s="7" t="inlineStr">
        <is>
          <t xml:space="preserve">Même méthode, mêmes saisons, mêmes mois et même classement El Niño / La Niña que le fichier du Sumatra du Sud. Données météo jusqu'au 2026-09-22, ONI jusqu'à JJA 2026.</t>
        </is>
      </c>
    </row>
    <row r="3">
      <c r="A3" t="inlineStr">
        <is>
          <t xml:space="preserve"/>
        </is>
      </c>
    </row>
    <row r="4">
      <c r="A4" s="23" t="inlineStr">
        <is>
          <t xml:space="preserve">CE QUE CONTIENT LE FICHIER</t>
        </is>
      </c>
    </row>
    <row r="5">
      <c r="A5" s="34" t="inlineStr">
        <is>
          <t xml:space="preserve">Chart_Mean_3 : moyenne des 3 lieux (Comayagua, Ocotepeque, Copán). Chart_Comayagua, Chart_Ocotepeque, Chart_Copan : la même chose lieu par lieu.</t>
        </is>
      </c>
    </row>
    <row r="6">
      <c r="A6" s="34" t="inlineStr">
        <is>
          <t xml:space="preserve">Dans chaque feuille Chart : bloc température moyenne (°C) puis bloc pluie mensuelle (mm). Lignes = saisons juillet–juin, colonnes = Jul … Jun, groupées El Niño / La Niña / Neutre, avec la ligne « Average » de chaque groupe (la ligne noire en pointillés du graphique).</t>
        </is>
      </c>
    </row>
    <row r="7">
      <c r="A7" s="34" t="inlineStr">
        <is>
          <t xml:space="preserve">Chart_long : les mêmes chiffres en format long (une ligne par lieu × saison × mois), le plus simple pour ChatGPT ou un graphique croisé.</t>
        </is>
      </c>
    </row>
    <row r="8">
      <c r="A8" s="34" t="inlineStr">
        <is>
          <t xml:space="preserve">ENSO_seasons et ENSO_monthly : exactement la même table ONI (NOAA CPC) et le même calcul que pour l'Indonésie, donc les mêmes saisons El Niño / La Niña / Neutre.</t>
        </is>
      </c>
    </row>
    <row r="9">
      <c r="A9" s="34" t="inlineStr">
        <is>
          <t xml:space="preserve">Monthly : les valeurs mensuelles, calculées par formule à partir de Daily. Daily : les données jour par jour, 3 lieux × 5 variables (pluie des pluviomètres, 3 températures, pluie NASA pour comparaison), 1er juillet 2005 → 2026-09-22.</t>
        </is>
      </c>
    </row>
    <row r="10">
      <c r="A10" s="34" t="inlineStr">
        <is>
          <t xml:space="preserve">Checks : les contrôles (jours manquants, totaux, nombre de saisons par phase), et pourquoi la pluie vient des pluviomètres et la température de la NASA.</t>
        </is>
      </c>
    </row>
    <row r="11">
      <c r="A11" s="34" t="inlineStr">
        <is>
          <t xml:space="preserve">Rain_anomaly : pluie en % de la normale (moyenne 2005–2019 du même mois), par année civile et par mois, pour les 3 villes et leur moyenne, avec GPCC en comparaison. C'est là qu'on voit les années humides 2008, 2010 et 2011 (La Niña) avant la rouille de 2012–2013 : les graphiques par phase ENSO comparent des années La Niña entre elles et ne les font pas ressortir.</t>
        </is>
      </c>
    </row>
    <row r="12">
      <c r="A12" s="36" t="inlineStr">
        <is>
          <t xml:space="preserve">CORRECTION (septembre 2026) : à Copán, la maille CPC perd son pluviomètre en janvier 2024 (49 % puis 41 % de la normale en 2024 et 2025, alors que GPCC donne 92 % et 103 %). De janvier 2024 à août 2026, la pluie de Copán est donc la valeur GPCC ajustée au niveau CPC (cellules bleues sur fond jaune dans Monthly, détail dans Checks). La feuille Daily garde les valeurs CPC brutes.</t>
        </is>
      </c>
    </row>
    <row r="13">
      <c r="A13" t="inlineStr">
        <is>
          <t xml:space="preserve"/>
        </is>
      </c>
    </row>
    <row r="14">
      <c r="A14" s="23" t="inlineStr">
        <is>
          <t xml:space="preserve">LES SAISONS : LES MÊMES QUE TA PHOTO ET QUE LE FICHIER INDONÉSIE</t>
        </is>
      </c>
    </row>
    <row r="15">
      <c r="A15" s="34" t="inlineStr">
        <is>
          <t xml:space="preserve">20 saisons, 2005/06 à 2024/25 : 7 El Niño, 9 La Niña, 4 neutres (règle officielle NOAA).</t>
        </is>
      </c>
    </row>
    <row r="16">
      <c r="A16" s="11" t="inlineStr">
        <is>
          <t xml:space="preserve">El Niño : 2006/07, 2009/10, 2014/15, 2015/16, 2018/19, 2019/20, 2023/24</t>
        </is>
      </c>
    </row>
    <row r="17">
      <c r="A17" s="12" t="inlineStr">
        <is>
          <t xml:space="preserve">La Niña : 2005/06, 2007/08, 2008/09, 2010/11, 2011/12, 2017/18, 2020/21, 2021/22, 2022/23</t>
        </is>
      </c>
    </row>
    <row r="18">
      <c r="A18" s="8" t="inlineStr">
        <is>
          <t xml:space="preserve">Neutre : 2012/13, 2013/14, 2016/17, 2024/25</t>
        </is>
      </c>
    </row>
    <row r="19">
      <c r="A19" s="34" t="inlineStr">
        <is>
          <t xml:space="preserve">En plus, hors moyennes : 2025/26 (neutre) et 2026/27 (El Niño en cours, mois complets seulement).</t>
        </is>
      </c>
    </row>
    <row r="20">
      <c r="A20" s="36" t="inlineStr">
        <is>
          <t xml:space="preserve">Attention : au Honduras l'année caféière USDA va d'octobre à septembre et la floraison suit les premières pluies de mars–mai. Les saisons restent juillet–juin, comme demandé, pour être comparables à ta photo et au fichier Indonésie ; Chart_long permet d'autres découpages.</t>
        </is>
      </c>
    </row>
    <row r="21">
      <c r="A21" t="inlineStr">
        <is>
          <t xml:space="preserve"/>
        </is>
      </c>
    </row>
    <row r="22">
      <c r="A22" s="23" t="inlineStr">
        <is>
          <t xml:space="preserve">COMMENT UNE SAISON EST CLASSÉE (règle NOAA CPC)</t>
        </is>
      </c>
    </row>
    <row r="23">
      <c r="A23" s="34" t="inlineStr">
        <is>
          <t xml:space="preserve">1. ONI = anomalie de température de surface de la mer dans la zone Niño 3.4, en moyenne sur 3 mois glissants (ex. NDJ = novembre–décembre–janvier). Source : NOAA CPC, oni.ascii.txt.</t>
        </is>
      </c>
    </row>
    <row r="24">
      <c r="A24" s="34" t="inlineStr">
        <is>
          <t xml:space="preserve">2. Chaque période est chaude si l'ONI arrondi à 0,1 °C est ≥ +0,5, froide s'il est ≤ −0,5.</t>
        </is>
      </c>
    </row>
    <row r="25">
      <c r="A25" s="34" t="inlineStr">
        <is>
          <t xml:space="preserve">3. Il y a épisode El Niño (La Niña) seulement si ce seuil tient au moins 5 périodes consécutives. Le calcul est fait par formules dans ENSO_monthly.</t>
        </is>
      </c>
    </row>
    <row r="26">
      <c r="A26" s="34" t="inlineStr">
        <is>
          <t xml:space="preserve">4. Une saison juillet–juin prend la phase de l'épisode en cours à son pic, la période NDJ (novembre–janvier).</t>
        </is>
      </c>
    </row>
    <row r="27">
      <c r="A27" s="34" t="inlineStr">
        <is>
          <t xml:space="preserve">Cas limites expliqués dans ENSO_seasons : 2016/17, 2024/25 et 2025/26 sont neutres (le seuil La Niña n'a pas tenu 5 périodes) ; 2026/27 est El Niño en cours.</t>
        </is>
      </c>
    </row>
    <row r="28">
      <c r="A28" t="inlineStr">
        <is>
          <t xml:space="preserve"/>
        </is>
      </c>
    </row>
    <row r="29">
      <c r="A29" s="23" t="inlineStr">
        <is>
          <t xml:space="preserve">LES DONNÉES MÉTÉO</t>
        </is>
      </c>
    </row>
    <row r="30">
      <c r="A30" s="36" t="inlineStr">
        <is>
          <t xml:space="preserve">PLUIE = pluviomètres, analyse quotidienne NOAA CPC (Global Unified Gauge-Based, 0,5°), maille la plus proche de chaque lieu. Pas la NASA : au Honduras, la pluie NASA suit les pluviomètres jusqu'en 2019 (ratio 0.96), puis lit 34 % plus humide depuis 2020, avec une corrélation qui chute (détail dans Checks). Les deux produits de pluviomètres (CPC et GPCC) concordent entre eux sur toute la période.</t>
        </is>
      </c>
    </row>
    <row r="31">
      <c r="A31" s="34" t="inlineStr">
        <is>
          <t xml:space="preserve">TEMPÉRATURE = NASA POWER (MERRA-2 puis GEOS-IT), T2M moyenne journalière, plus T2M_MAX et T2M_MIN. Les deux grilles de stations ont des ruptures au Honduras (GHCN_CAMS −0,8 °C en 2014, CPC +2 °C en dix ans) ; la NASA est la plus cohérente (années La Niña fraîches, El Niño chaudes). Attention : depuis mars 2025 la NASA baisse d'environ 0,4 °C face aux stations (vu aussi en Indonésie), donc 2025/26 et 2026/27 peuvent lire trop frais.</t>
        </is>
      </c>
    </row>
    <row r="32">
      <c r="A32" s="34" t="inlineStr">
        <is>
          <t xml:space="preserve">Points utilisés (latitude, longitude, altitude de la maille NASA) : Comayagua 14.450, -87.633, 1015 m ; Ocotepeque 14.433, -89.183, 903 m ; Copán 14.767, -88.783, 791 m. Copán = Santa Rosa de Copán, chef-lieu du département.</t>
        </is>
      </c>
    </row>
    <row r="33">
      <c r="A33" s="34" t="inlineStr">
        <is>
          <t xml:space="preserve">Mois = somme (pluie) ou moyenne (température) des jours du mois civil. Seuls les mois complets entrent dans les graphiques.</t>
        </is>
      </c>
    </row>
    <row r="34">
      <c r="A34" s="34" t="inlineStr">
        <is>
          <t xml:space="preserve">Contrôle de la pluie retenue : CPC ÷ GPCC = 0.95 en 2005–2019 et 0.97 en 2020–2026 (moyenne des 3 lieux) : pas de rupture.</t>
        </is>
      </c>
    </row>
    <row r="35">
      <c r="A35" s="34" t="inlineStr">
        <is>
          <t xml:space="preserve">La température est celle de la maille NASA (altitude moyenne de la maille). Un lieu plus bas que sa maille est plus chaud en réalité ; les variations d'un mois ou d'une année à l'autre sont fiables.</t>
        </is>
      </c>
    </row>
    <row r="36">
      <c r="A36" t="inlineStr">
        <is>
          <t xml:space="preserve"/>
        </is>
      </c>
    </row>
    <row r="37">
      <c r="A37" s="23" t="inlineStr">
        <is>
          <t xml:space="preserve">POUR REFAIRE LE GRAPHIQUE</t>
        </is>
      </c>
    </row>
    <row r="38">
      <c r="A38" s="34" t="inlineStr">
        <is>
          <t xml:space="preserve">Pour chaque phase (El Niño, La Niña, Neutre) : un graphique en lignes de la température (une ligne par saison, Jul → Jun) et un de la pluie, plus la ligne Average en noir pointillé. Les valeurs sont dans les feuilles Chart_…, ou dans Chart_long (filtre Location, Phase, In photo window = yes).</t>
        </is>
      </c>
    </row>
    <row r="39">
      <c r="A39" s="34" t="inlineStr">
        <is>
          <t xml:space="preserve">Formules : toutes les feuilles de calcul se recalculent à l'ouverture dans Excel ; les valeurs sont aussi enregistrées dans le fichier, donc lisibles sans recalcul (Python, ChatGPT).</t>
        </is>
      </c>
    </row>
  </sheetData>
</worksheet>
</file>

<file path=xl/worksheets/sheet2.xml><?xml version="1.0" encoding="utf-8"?>
<worksheet xmlns="http://schemas.openxmlformats.org/spreadsheetml/2006/main" xmlns:r="http://schemas.openxmlformats.org/officeDocument/2006/relationships">
  <sheetViews>
    <sheetView workbookViewId="0">
      <pane xSplit="2" ySplit="4" topLeftCell="C5" activePane="bottomRight" state="frozen"/>
    </sheetView>
  </sheetViews>
  <sheetFormatPr defaultRowHeight="13.2"/>
  <cols>
    <col min="1" max="1" width="30" customWidth="1"/>
    <col min="2" max="2" width="1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11" customWidth="1"/>
  </cols>
  <sheetData>
    <row r="1">
      <c r="A1" s="16" t="inlineStr">
        <is>
          <t xml:space="preserve">Honduras, mean of 3 towns (Comayagua, Ocotepeque, Copán) | Temperature and rainfall by ENSO season</t>
        </is>
      </c>
    </row>
    <row r="2">
      <c r="A2" s="7" t="inlineStr">
        <is>
          <t xml:space="preserve">Rain: NOAA CPC gauge analysis (daily, 0.5°). Temperature: NASA POWER daily (grid cell of each town). July–June seasons 2005/06–2024/25 as in the São Mateus chart. Season phase = official NOAA ENSO episode at its Nov–Jan peak (sheet ENSO_seasons). Average rows = mean of the seasons of that phase in the photo window.</t>
        </is>
      </c>
    </row>
    <row r="3">
      <c r="A3" s="7" t="inlineStr">
        <is>
          <t xml:space="preserve">Seasons after the photo window are listed below each block, outside the averages. 2026/27: complete months only (data end 2026-09-22).</t>
        </is>
      </c>
    </row>
    <row r="5">
      <c r="A5" s="17" t="inlineStr">
        <is>
          <t xml:space="preserve">Mean temperature (°C) — monthly mean of daily T2M</t>
        </is>
      </c>
    </row>
    <row r="6">
      <c r="A6" s="1" t="inlineStr">
        <is>
          <t xml:space="preserve">Season</t>
        </is>
      </c>
      <c r="B6" s="1" t="inlineStr">
        <is>
          <t xml:space="preserve">Phase</t>
        </is>
      </c>
      <c r="C6" s="1" t="inlineStr">
        <is>
          <t xml:space="preserve">Jul</t>
        </is>
      </c>
      <c r="D6" s="1" t="inlineStr">
        <is>
          <t xml:space="preserve">Aug</t>
        </is>
      </c>
      <c r="E6" s="1" t="inlineStr">
        <is>
          <t xml:space="preserve">Sep</t>
        </is>
      </c>
      <c r="F6" s="1" t="inlineStr">
        <is>
          <t xml:space="preserve">Oct</t>
        </is>
      </c>
      <c r="G6" s="1" t="inlineStr">
        <is>
          <t xml:space="preserve">Nov</t>
        </is>
      </c>
      <c r="H6" s="1" t="inlineStr">
        <is>
          <t xml:space="preserve">Dec</t>
        </is>
      </c>
      <c r="I6" s="1" t="inlineStr">
        <is>
          <t xml:space="preserve">Jan</t>
        </is>
      </c>
      <c r="J6" s="1" t="inlineStr">
        <is>
          <t xml:space="preserve">Feb</t>
        </is>
      </c>
      <c r="K6" s="1" t="inlineStr">
        <is>
          <t xml:space="preserve">Mar</t>
        </is>
      </c>
      <c r="L6" s="1" t="inlineStr">
        <is>
          <t xml:space="preserve">Apr</t>
        </is>
      </c>
      <c r="M6" s="1" t="inlineStr">
        <is>
          <t xml:space="preserve">May</t>
        </is>
      </c>
      <c r="N6" s="1" t="inlineStr">
        <is>
          <t xml:space="preserve">Jun</t>
        </is>
      </c>
      <c r="O6" s="1" t="inlineStr">
        <is>
          <t xml:space="preserve">Season mean</t>
        </is>
      </c>
    </row>
    <row r="7">
      <c r="A7" s="11" t="inlineStr">
        <is>
          <t xml:space="preserve">El Niño (7 seasons)</t>
        </is>
      </c>
    </row>
    <row r="8">
      <c r="A8" s="6" t="inlineStr">
        <is>
          <t xml:space="preserve">2006/07</t>
        </is>
      </c>
      <c r="B8" s="6" t="inlineStr">
        <is>
          <t xml:space="preserve">El Niño</t>
        </is>
      </c>
      <c r="C8" s="3">
        <f>INDEX(Monthly!$AF:$AF,MATCH("2006-07",Monthly!$A:$A,0))</f>
        <v>22.467849462365592</v>
      </c>
      <c r="D8" s="3">
        <f>INDEX(Monthly!$AF:$AF,MATCH("2006-08",Monthly!$A:$A,0))</f>
        <v>22.804623655913982</v>
      </c>
      <c r="E8" s="3">
        <f>INDEX(Monthly!$AF:$AF,MATCH("2006-09",Monthly!$A:$A,0))</f>
        <v>22.678</v>
      </c>
      <c r="F8" s="3">
        <f>INDEX(Monthly!$AF:$AF,MATCH("2006-10",Monthly!$A:$A,0))</f>
        <v>22.33043010752688</v>
      </c>
      <c r="G8" s="3">
        <f>INDEX(Monthly!$AF:$AF,MATCH("2006-11",Monthly!$A:$A,0))</f>
        <v>19.802555555555557</v>
      </c>
      <c r="H8" s="3">
        <f>INDEX(Monthly!$AF:$AF,MATCH("2006-12",Monthly!$A:$A,0))</f>
        <v>20.17784946236559</v>
      </c>
      <c r="I8" s="3">
        <f>INDEX(Monthly!$AF:$AF,MATCH("2007-01",Monthly!$A:$A,0))</f>
        <v>20.346451612903227</v>
      </c>
      <c r="J8" s="3">
        <f>INDEX(Monthly!$AF:$AF,MATCH("2007-02",Monthly!$A:$A,0))</f>
        <v>21.379880952380955</v>
      </c>
      <c r="K8" s="3">
        <f>INDEX(Monthly!$AF:$AF,MATCH("2007-03",Monthly!$A:$A,0))</f>
        <v>22.16118279569893</v>
      </c>
      <c r="L8" s="3">
        <f>INDEX(Monthly!$AF:$AF,MATCH("2007-04",Monthly!$A:$A,0))</f>
        <v>24.37888888888889</v>
      </c>
      <c r="M8" s="3">
        <f>INDEX(Monthly!$AF:$AF,MATCH("2007-05",Monthly!$A:$A,0))</f>
        <v>24.912795698924736</v>
      </c>
      <c r="N8" s="3">
        <f>INDEX(Monthly!$AF:$AF,MATCH("2007-06",Monthly!$A:$A,0))</f>
        <v>23.18444444444444</v>
      </c>
      <c r="O8" s="18">
        <f>AVERAGE(C8:N8)</f>
        <v>22.218746053080732</v>
      </c>
    </row>
    <row r="9">
      <c r="A9" s="6" t="inlineStr">
        <is>
          <t xml:space="preserve">2009/10</t>
        </is>
      </c>
      <c r="B9" s="6" t="inlineStr">
        <is>
          <t xml:space="preserve">El Niño</t>
        </is>
      </c>
      <c r="C9" s="3">
        <f>INDEX(Monthly!$AF:$AF,MATCH("2009-07",Monthly!$A:$A,0))</f>
        <v>22.477634408602146</v>
      </c>
      <c r="D9" s="3">
        <f>INDEX(Monthly!$AF:$AF,MATCH("2009-08",Monthly!$A:$A,0))</f>
        <v>22.400645161290328</v>
      </c>
      <c r="E9" s="3">
        <f>INDEX(Monthly!$AF:$AF,MATCH("2009-09",Monthly!$A:$A,0))</f>
        <v>22.667999999999996</v>
      </c>
      <c r="F9" s="3">
        <f>INDEX(Monthly!$AF:$AF,MATCH("2009-10",Monthly!$A:$A,0))</f>
        <v>22.455698924731184</v>
      </c>
      <c r="G9" s="3">
        <f>INDEX(Monthly!$AF:$AF,MATCH("2009-11",Monthly!$A:$A,0))</f>
        <v>20.38588888888889</v>
      </c>
      <c r="H9" s="3">
        <f>INDEX(Monthly!$AF:$AF,MATCH("2009-12",Monthly!$A:$A,0))</f>
        <v>20.37268817204301</v>
      </c>
      <c r="I9" s="3">
        <f>INDEX(Monthly!$AF:$AF,MATCH("2010-01",Monthly!$A:$A,0))</f>
        <v>19.25376344086021</v>
      </c>
      <c r="J9" s="3">
        <f>INDEX(Monthly!$AF:$AF,MATCH("2010-02",Monthly!$A:$A,0))</f>
        <v>21.726428571428574</v>
      </c>
      <c r="K9" s="3">
        <f>INDEX(Monthly!$AF:$AF,MATCH("2010-03",Monthly!$A:$A,0))</f>
        <v>23.028387096774196</v>
      </c>
      <c r="L9" s="3">
        <f>INDEX(Monthly!$AF:$AF,MATCH("2010-04",Monthly!$A:$A,0))</f>
        <v>24.781222222222226</v>
      </c>
      <c r="M9" s="3">
        <f>INDEX(Monthly!$AF:$AF,MATCH("2010-05",Monthly!$A:$A,0))</f>
        <v>24.435268817204303</v>
      </c>
      <c r="N9" s="3">
        <f>INDEX(Monthly!$AF:$AF,MATCH("2010-06",Monthly!$A:$A,0))</f>
        <v>22.939000000000004</v>
      </c>
      <c r="O9" s="18">
        <f>AVERAGE(C9:N9)</f>
        <v>22.243718808670423</v>
      </c>
    </row>
    <row r="10">
      <c r="A10" s="6" t="inlineStr">
        <is>
          <t xml:space="preserve">2014/15</t>
        </is>
      </c>
      <c r="B10" s="6" t="inlineStr">
        <is>
          <t xml:space="preserve">El Niño</t>
        </is>
      </c>
      <c r="C10" s="3">
        <f>INDEX(Monthly!$AF:$AF,MATCH("2014-07",Monthly!$A:$A,0))</f>
        <v>23.377204301075267</v>
      </c>
      <c r="D10" s="3">
        <f>INDEX(Monthly!$AF:$AF,MATCH("2014-08",Monthly!$A:$A,0))</f>
        <v>22.998494623655915</v>
      </c>
      <c r="E10" s="3">
        <f>INDEX(Monthly!$AF:$AF,MATCH("2014-09",Monthly!$A:$A,0))</f>
        <v>22.180000000000003</v>
      </c>
      <c r="F10" s="3">
        <f>INDEX(Monthly!$AF:$AF,MATCH("2014-10",Monthly!$A:$A,0))</f>
        <v>21.477849462365594</v>
      </c>
      <c r="G10" s="3">
        <f>INDEX(Monthly!$AF:$AF,MATCH("2014-11",Monthly!$A:$A,0))</f>
        <v>19.637777777777774</v>
      </c>
      <c r="H10" s="3">
        <f>INDEX(Monthly!$AF:$AF,MATCH("2014-12",Monthly!$A:$A,0))</f>
        <v>18.826236559139787</v>
      </c>
      <c r="I10" s="3">
        <f>INDEX(Monthly!$AF:$AF,MATCH("2015-01",Monthly!$A:$A,0))</f>
        <v>19.00935483870968</v>
      </c>
      <c r="J10" s="3">
        <f>INDEX(Monthly!$AF:$AF,MATCH("2015-02",Monthly!$A:$A,0))</f>
        <v>19.792142857142853</v>
      </c>
      <c r="K10" s="3">
        <f>INDEX(Monthly!$AF:$AF,MATCH("2015-03",Monthly!$A:$A,0))</f>
        <v>21.883870967741938</v>
      </c>
      <c r="L10" s="3">
        <f>INDEX(Monthly!$AF:$AF,MATCH("2015-04",Monthly!$A:$A,0))</f>
        <v>24.867333333333335</v>
      </c>
      <c r="M10" s="3">
        <f>INDEX(Monthly!$AF:$AF,MATCH("2015-05",Monthly!$A:$A,0))</f>
        <v>24.251827956989246</v>
      </c>
      <c r="N10" s="3">
        <f>INDEX(Monthly!$AF:$AF,MATCH("2015-06",Monthly!$A:$A,0))</f>
        <v>22.788</v>
      </c>
      <c r="O10" s="18">
        <f>AVERAGE(C10:N10)</f>
        <v>21.757507723160952</v>
      </c>
    </row>
    <row r="11">
      <c r="A11" s="6" t="inlineStr">
        <is>
          <t xml:space="preserve">2015/16</t>
        </is>
      </c>
      <c r="B11" s="6" t="inlineStr">
        <is>
          <t xml:space="preserve">El Niño</t>
        </is>
      </c>
      <c r="C11" s="3">
        <f>INDEX(Monthly!$AF:$AF,MATCH("2015-07",Monthly!$A:$A,0))</f>
        <v>23.661720430107533</v>
      </c>
      <c r="D11" s="3">
        <f>INDEX(Monthly!$AF:$AF,MATCH("2015-08",Monthly!$A:$A,0))</f>
        <v>24.329032258064515</v>
      </c>
      <c r="E11" s="3">
        <f>INDEX(Monthly!$AF:$AF,MATCH("2015-09",Monthly!$A:$A,0))</f>
        <v>22.997666666666664</v>
      </c>
      <c r="F11" s="3">
        <f>INDEX(Monthly!$AF:$AF,MATCH("2015-10",Monthly!$A:$A,0))</f>
        <v>22.336559139784942</v>
      </c>
      <c r="G11" s="3">
        <f>INDEX(Monthly!$AF:$AF,MATCH("2015-11",Monthly!$A:$A,0))</f>
        <v>21.36188888888889</v>
      </c>
      <c r="H11" s="3">
        <f>INDEX(Monthly!$AF:$AF,MATCH("2015-12",Monthly!$A:$A,0))</f>
        <v>21.169677419354837</v>
      </c>
      <c r="I11" s="3">
        <f>INDEX(Monthly!$AF:$AF,MATCH("2016-01",Monthly!$A:$A,0))</f>
        <v>20.1594623655914</v>
      </c>
      <c r="J11" s="3">
        <f>INDEX(Monthly!$AF:$AF,MATCH("2016-02",Monthly!$A:$A,0))</f>
        <v>19.899080459770115</v>
      </c>
      <c r="K11" s="3">
        <f>INDEX(Monthly!$AF:$AF,MATCH("2016-03",Monthly!$A:$A,0))</f>
        <v>24.161612903225805</v>
      </c>
      <c r="L11" s="3">
        <f>INDEX(Monthly!$AF:$AF,MATCH("2016-04",Monthly!$A:$A,0))</f>
        <v>24.95188888888889</v>
      </c>
      <c r="M11" s="3">
        <f>INDEX(Monthly!$AF:$AF,MATCH("2016-05",Monthly!$A:$A,0))</f>
        <v>25.65451612903226</v>
      </c>
      <c r="N11" s="3">
        <f>INDEX(Monthly!$AF:$AF,MATCH("2016-06",Monthly!$A:$A,0))</f>
        <v>23.218000000000004</v>
      </c>
      <c r="O11" s="18">
        <f>AVERAGE(C11:N11)</f>
        <v>22.825092129114655</v>
      </c>
    </row>
    <row r="12">
      <c r="A12" s="6" t="inlineStr">
        <is>
          <t xml:space="preserve">2018/19</t>
        </is>
      </c>
      <c r="B12" s="6" t="inlineStr">
        <is>
          <t xml:space="preserve">El Niño</t>
        </is>
      </c>
      <c r="C12" s="3">
        <f>INDEX(Monthly!$AF:$AF,MATCH("2018-07",Monthly!$A:$A,0))</f>
        <v>22.74666666666667</v>
      </c>
      <c r="D12" s="3">
        <f>INDEX(Monthly!$AF:$AF,MATCH("2018-08",Monthly!$A:$A,0))</f>
        <v>22.668279569892476</v>
      </c>
      <c r="E12" s="3">
        <f>INDEX(Monthly!$AF:$AF,MATCH("2018-09",Monthly!$A:$A,0))</f>
        <v>22.695999999999998</v>
      </c>
      <c r="F12" s="3">
        <f>INDEX(Monthly!$AF:$AF,MATCH("2018-10",Monthly!$A:$A,0))</f>
        <v>21.75279569892473</v>
      </c>
      <c r="G12" s="3">
        <f>INDEX(Monthly!$AF:$AF,MATCH("2018-11",Monthly!$A:$A,0))</f>
        <v>21.82788888888889</v>
      </c>
      <c r="H12" s="3">
        <f>INDEX(Monthly!$AF:$AF,MATCH("2018-12",Monthly!$A:$A,0))</f>
        <v>20.589892473118272</v>
      </c>
      <c r="I12" s="3">
        <f>INDEX(Monthly!$AF:$AF,MATCH("2019-01",Monthly!$A:$A,0))</f>
        <v>20.57225806451613</v>
      </c>
      <c r="J12" s="3">
        <f>INDEX(Monthly!$AF:$AF,MATCH("2019-02",Monthly!$A:$A,0))</f>
        <v>23.290119047619044</v>
      </c>
      <c r="K12" s="3">
        <f>INDEX(Monthly!$AF:$AF,MATCH("2019-03",Monthly!$A:$A,0))</f>
        <v>23.558817204301075</v>
      </c>
      <c r="L12" s="3">
        <f>INDEX(Monthly!$AF:$AF,MATCH("2019-04",Monthly!$A:$A,0))</f>
        <v>25.47988888888889</v>
      </c>
      <c r="M12" s="3">
        <f>INDEX(Monthly!$AF:$AF,MATCH("2019-05",Monthly!$A:$A,0))</f>
        <v>24.571720430107522</v>
      </c>
      <c r="N12" s="3">
        <f>INDEX(Monthly!$AF:$AF,MATCH("2019-06",Monthly!$A:$A,0))</f>
        <v>24.062222222222218</v>
      </c>
      <c r="O12" s="18">
        <f>AVERAGE(C12:N12)</f>
        <v>22.81804576292883</v>
      </c>
    </row>
    <row r="13">
      <c r="A13" s="6" t="inlineStr">
        <is>
          <t xml:space="preserve">2019/20</t>
        </is>
      </c>
      <c r="B13" s="6" t="inlineStr">
        <is>
          <t xml:space="preserve">El Niño</t>
        </is>
      </c>
      <c r="C13" s="3">
        <f>INDEX(Monthly!$AF:$AF,MATCH("2019-07",Monthly!$A:$A,0))</f>
        <v>23.843978494623666</v>
      </c>
      <c r="D13" s="3">
        <f>INDEX(Monthly!$AF:$AF,MATCH("2019-08",Monthly!$A:$A,0))</f>
        <v>24.16387096774194</v>
      </c>
      <c r="E13" s="3">
        <f>INDEX(Monthly!$AF:$AF,MATCH("2019-09",Monthly!$A:$A,0))</f>
        <v>23.283000000000005</v>
      </c>
      <c r="F13" s="3">
        <f>INDEX(Monthly!$AF:$AF,MATCH("2019-10",Monthly!$A:$A,0))</f>
        <v>22.336021505376348</v>
      </c>
      <c r="G13" s="3">
        <f>INDEX(Monthly!$AF:$AF,MATCH("2019-11",Monthly!$A:$A,0))</f>
        <v>20.827333333333332</v>
      </c>
      <c r="H13" s="3">
        <f>INDEX(Monthly!$AF:$AF,MATCH("2019-12",Monthly!$A:$A,0))</f>
        <v>20.352580645161293</v>
      </c>
      <c r="I13" s="3">
        <f>INDEX(Monthly!$AF:$AF,MATCH("2020-01",Monthly!$A:$A,0))</f>
        <v>21.09215053763441</v>
      </c>
      <c r="J13" s="3">
        <f>INDEX(Monthly!$AF:$AF,MATCH("2020-02",Monthly!$A:$A,0))</f>
        <v>22.304367816091954</v>
      </c>
      <c r="K13" s="3">
        <f>INDEX(Monthly!$AF:$AF,MATCH("2020-03",Monthly!$A:$A,0))</f>
        <v>23.619354838709672</v>
      </c>
      <c r="L13" s="3">
        <f>INDEX(Monthly!$AF:$AF,MATCH("2020-04",Monthly!$A:$A,0))</f>
        <v>27.046666666666667</v>
      </c>
      <c r="M13" s="3">
        <f>INDEX(Monthly!$AF:$AF,MATCH("2020-05",Monthly!$A:$A,0))</f>
        <v>24.679677419354835</v>
      </c>
      <c r="N13" s="3">
        <f>INDEX(Monthly!$AF:$AF,MATCH("2020-06",Monthly!$A:$A,0))</f>
        <v>22.924111111111113</v>
      </c>
      <c r="O13" s="18">
        <f>AVERAGE(C13:N13)</f>
        <v>23.03942611131711</v>
      </c>
    </row>
    <row r="14">
      <c r="A14" s="6" t="inlineStr">
        <is>
          <t xml:space="preserve">2023/24</t>
        </is>
      </c>
      <c r="B14" s="6" t="inlineStr">
        <is>
          <t xml:space="preserve">El Niño</t>
        </is>
      </c>
      <c r="C14" s="3">
        <f>INDEX(Monthly!$AF:$AF,MATCH("2023-07",Monthly!$A:$A,0))</f>
        <v>23.477634408602153</v>
      </c>
      <c r="D14" s="3">
        <f>INDEX(Monthly!$AF:$AF,MATCH("2023-08",Monthly!$A:$A,0))</f>
        <v>23.7294623655914</v>
      </c>
      <c r="E14" s="3">
        <f>INDEX(Monthly!$AF:$AF,MATCH("2023-09",Monthly!$A:$A,0))</f>
        <v>23.877444444444446</v>
      </c>
      <c r="F14" s="3">
        <f>INDEX(Monthly!$AF:$AF,MATCH("2023-10",Monthly!$A:$A,0))</f>
        <v>22.688172043010752</v>
      </c>
      <c r="G14" s="3">
        <f>INDEX(Monthly!$AF:$AF,MATCH("2023-11",Monthly!$A:$A,0))</f>
        <v>21.42544444444444</v>
      </c>
      <c r="H14" s="3">
        <f>INDEX(Monthly!$AF:$AF,MATCH("2023-12",Monthly!$A:$A,0))</f>
        <v>20.27795698924731</v>
      </c>
      <c r="I14" s="3">
        <f>INDEX(Monthly!$AF:$AF,MATCH("2024-01",Monthly!$A:$A,0))</f>
        <v>21.044408602150536</v>
      </c>
      <c r="J14" s="3">
        <f>INDEX(Monthly!$AF:$AF,MATCH("2024-02",Monthly!$A:$A,0))</f>
        <v>21.133448275862076</v>
      </c>
      <c r="K14" s="3">
        <f>INDEX(Monthly!$AF:$AF,MATCH("2024-03",Monthly!$A:$A,0))</f>
        <v>25.110860215053762</v>
      </c>
      <c r="L14" s="3">
        <f>INDEX(Monthly!$AF:$AF,MATCH("2024-04",Monthly!$A:$A,0))</f>
        <v>25.641222222222222</v>
      </c>
      <c r="M14" s="3">
        <f>INDEX(Monthly!$AF:$AF,MATCH("2024-05",Monthly!$A:$A,0))</f>
        <v>27.531935483870967</v>
      </c>
      <c r="N14" s="3">
        <f>INDEX(Monthly!$AF:$AF,MATCH("2024-06",Monthly!$A:$A,0))</f>
        <v>24.01155555555556</v>
      </c>
      <c r="O14" s="18">
        <f>AVERAGE(C14:N14)</f>
        <v>23.329128754171297</v>
      </c>
    </row>
    <row r="15">
      <c r="A15" s="11" t="inlineStr">
        <is>
          <t xml:space="preserve">Average El Niño</t>
        </is>
      </c>
      <c r="B15" s="11" t="inlineStr">
        <is>
          <t xml:space="preserve">7 seasons</t>
        </is>
      </c>
      <c r="C15" s="19">
        <f>AVERAGE(C8:C14)</f>
        <v>23.150384024577576</v>
      </c>
      <c r="D15" s="19">
        <f>AVERAGE(D8:D14)</f>
        <v>23.29920122887865</v>
      </c>
      <c r="E15" s="19">
        <f>AVERAGE(E8:E14)</f>
        <v>22.911444444444445</v>
      </c>
      <c r="F15" s="19">
        <f>AVERAGE(F8:F14)</f>
        <v>22.196789554531488</v>
      </c>
      <c r="G15" s="19">
        <f>AVERAGE(G8:G14)</f>
        <v>20.75268253968254</v>
      </c>
      <c r="H15" s="19">
        <f>AVERAGE(H8:H14)</f>
        <v>20.252411674347158</v>
      </c>
      <c r="I15" s="19">
        <f>AVERAGE(I8:I14)</f>
        <v>20.211121351766515</v>
      </c>
      <c r="J15" s="19">
        <f>AVERAGE(J8:J14)</f>
        <v>21.360781140042224</v>
      </c>
      <c r="K15" s="19">
        <f>AVERAGE(K8:K14)</f>
        <v>23.360583717357912</v>
      </c>
      <c r="L15" s="19">
        <f>AVERAGE(L8:L14)</f>
        <v>25.30673015873016</v>
      </c>
      <c r="M15" s="19">
        <f>AVERAGE(M8:M14)</f>
        <v>25.14824884792627</v>
      </c>
      <c r="N15" s="19">
        <f>AVERAGE(N8:N14)</f>
        <v>23.303904761904764</v>
      </c>
      <c r="O15" s="19">
        <f>AVERAGE(C15:N15)</f>
        <v>22.60452362034914</v>
      </c>
    </row>
    <row r="17">
      <c r="A17" s="12" t="inlineStr">
        <is>
          <t xml:space="preserve">La Niña (9 seasons)</t>
        </is>
      </c>
    </row>
    <row r="18">
      <c r="A18" s="5" t="inlineStr">
        <is>
          <t xml:space="preserve">2005/06</t>
        </is>
      </c>
      <c r="B18" s="5" t="inlineStr">
        <is>
          <t xml:space="preserve">La Niña</t>
        </is>
      </c>
      <c r="C18" s="3">
        <f>INDEX(Monthly!$AF:$AF,MATCH("2005-07",Monthly!$A:$A,0))</f>
        <v>22.663440860215047</v>
      </c>
      <c r="D18" s="3">
        <f>INDEX(Monthly!$AF:$AF,MATCH("2005-08",Monthly!$A:$A,0))</f>
        <v>22.784408602150545</v>
      </c>
      <c r="E18" s="3">
        <f>INDEX(Monthly!$AF:$AF,MATCH("2005-09",Monthly!$A:$A,0))</f>
        <v>22.38811111111111</v>
      </c>
      <c r="F18" s="3">
        <f>INDEX(Monthly!$AF:$AF,MATCH("2005-10",Monthly!$A:$A,0))</f>
        <v>21.018387096774195</v>
      </c>
      <c r="G18" s="3">
        <f>INDEX(Monthly!$AF:$AF,MATCH("2005-11",Monthly!$A:$A,0))</f>
        <v>19.830444444444446</v>
      </c>
      <c r="H18" s="3">
        <f>INDEX(Monthly!$AF:$AF,MATCH("2005-12",Monthly!$A:$A,0))</f>
        <v>20.398172043010753</v>
      </c>
      <c r="I18" s="3">
        <f>INDEX(Monthly!$AF:$AF,MATCH("2006-01",Monthly!$A:$A,0))</f>
        <v>20.128924731182796</v>
      </c>
      <c r="J18" s="3">
        <f>INDEX(Monthly!$AF:$AF,MATCH("2006-02",Monthly!$A:$A,0))</f>
        <v>20.368690476190476</v>
      </c>
      <c r="K18" s="3">
        <f>INDEX(Monthly!$AF:$AF,MATCH("2006-03",Monthly!$A:$A,0))</f>
        <v>22.834731182795693</v>
      </c>
      <c r="L18" s="3">
        <f>INDEX(Monthly!$AF:$AF,MATCH("2006-04",Monthly!$A:$A,0))</f>
        <v>24.13911111111111</v>
      </c>
      <c r="M18" s="3">
        <f>INDEX(Monthly!$AF:$AF,MATCH("2006-05",Monthly!$A:$A,0))</f>
        <v>24.481720430107526</v>
      </c>
      <c r="N18" s="3">
        <f>INDEX(Monthly!$AF:$AF,MATCH("2006-06",Monthly!$A:$A,0))</f>
        <v>22.454222222222224</v>
      </c>
      <c r="O18" s="18">
        <f>AVERAGE(C18:N18)</f>
        <v>21.957530359276323</v>
      </c>
    </row>
    <row r="19">
      <c r="A19" s="5" t="inlineStr">
        <is>
          <t xml:space="preserve">2007/08</t>
        </is>
      </c>
      <c r="B19" s="5" t="inlineStr">
        <is>
          <t xml:space="preserve">La Niña</t>
        </is>
      </c>
      <c r="C19" s="3">
        <f>INDEX(Monthly!$AF:$AF,MATCH("2007-07",Monthly!$A:$A,0))</f>
        <v>22.83688172043011</v>
      </c>
      <c r="D19" s="3">
        <f>INDEX(Monthly!$AF:$AF,MATCH("2007-08",Monthly!$A:$A,0))</f>
        <v>22.46720430107527</v>
      </c>
      <c r="E19" s="3">
        <f>INDEX(Monthly!$AF:$AF,MATCH("2007-09",Monthly!$A:$A,0))</f>
        <v>21.802333333333333</v>
      </c>
      <c r="F19" s="3">
        <f>INDEX(Monthly!$AF:$AF,MATCH("2007-10",Monthly!$A:$A,0))</f>
        <v>20.912580645161288</v>
      </c>
      <c r="G19" s="3">
        <f>INDEX(Monthly!$AF:$AF,MATCH("2007-11",Monthly!$A:$A,0))</f>
        <v>19.378000000000004</v>
      </c>
      <c r="H19" s="3">
        <f>INDEX(Monthly!$AF:$AF,MATCH("2007-12",Monthly!$A:$A,0))</f>
        <v>19.170107526881722</v>
      </c>
      <c r="I19" s="3">
        <f>INDEX(Monthly!$AF:$AF,MATCH("2008-01",Monthly!$A:$A,0))</f>
        <v>19.251075268817203</v>
      </c>
      <c r="J19" s="3">
        <f>INDEX(Monthly!$AF:$AF,MATCH("2008-02",Monthly!$A:$A,0))</f>
        <v>21.120689655172416</v>
      </c>
      <c r="K19" s="3">
        <f>INDEX(Monthly!$AF:$AF,MATCH("2008-03",Monthly!$A:$A,0))</f>
        <v>22.471075268817202</v>
      </c>
      <c r="L19" s="3">
        <f>INDEX(Monthly!$AF:$AF,MATCH("2008-04",Monthly!$A:$A,0))</f>
        <v>24.00088888888889</v>
      </c>
      <c r="M19" s="3">
        <f>INDEX(Monthly!$AF:$AF,MATCH("2008-05",Monthly!$A:$A,0))</f>
        <v>24.862365591397847</v>
      </c>
      <c r="N19" s="3">
        <f>INDEX(Monthly!$AF:$AF,MATCH("2008-06",Monthly!$A:$A,0))</f>
        <v>22.482555555555553</v>
      </c>
      <c r="O19" s="18">
        <f>AVERAGE(C19:N19)</f>
        <v>21.729646479627572</v>
      </c>
    </row>
    <row r="20">
      <c r="A20" s="5" t="inlineStr">
        <is>
          <t xml:space="preserve">2008/09</t>
        </is>
      </c>
      <c r="B20" s="5" t="inlineStr">
        <is>
          <t xml:space="preserve">La Niña</t>
        </is>
      </c>
      <c r="C20" s="3">
        <f>INDEX(Monthly!$AF:$AF,MATCH("2008-07",Monthly!$A:$A,0))</f>
        <v>21.755591397849457</v>
      </c>
      <c r="D20" s="3">
        <f>INDEX(Monthly!$AF:$AF,MATCH("2008-08",Monthly!$A:$A,0))</f>
        <v>22.230645161290322</v>
      </c>
      <c r="E20" s="3">
        <f>INDEX(Monthly!$AF:$AF,MATCH("2008-09",Monthly!$A:$A,0))</f>
        <v>22.26811111111111</v>
      </c>
      <c r="F20" s="3">
        <f>INDEX(Monthly!$AF:$AF,MATCH("2008-10",Monthly!$A:$A,0))</f>
        <v>20.856451612903225</v>
      </c>
      <c r="G20" s="3">
        <f>INDEX(Monthly!$AF:$AF,MATCH("2008-11",Monthly!$A:$A,0))</f>
        <v>18.513</v>
      </c>
      <c r="H20" s="3">
        <f>INDEX(Monthly!$AF:$AF,MATCH("2008-12",Monthly!$A:$A,0))</f>
        <v>18.50010752688172</v>
      </c>
      <c r="I20" s="3">
        <f>INDEX(Monthly!$AF:$AF,MATCH("2009-01",Monthly!$A:$A,0))</f>
        <v>18.49784946236559</v>
      </c>
      <c r="J20" s="3">
        <f>INDEX(Monthly!$AF:$AF,MATCH("2009-02",Monthly!$A:$A,0))</f>
        <v>19.112380952380953</v>
      </c>
      <c r="K20" s="3">
        <f>INDEX(Monthly!$AF:$AF,MATCH("2009-03",Monthly!$A:$A,0))</f>
        <v>20.205483870967743</v>
      </c>
      <c r="L20" s="3">
        <f>INDEX(Monthly!$AF:$AF,MATCH("2009-04",Monthly!$A:$A,0))</f>
        <v>24.052444444444447</v>
      </c>
      <c r="M20" s="3">
        <f>INDEX(Monthly!$AF:$AF,MATCH("2009-05",Monthly!$A:$A,0))</f>
        <v>23.407634408602153</v>
      </c>
      <c r="N20" s="3">
        <f>INDEX(Monthly!$AF:$AF,MATCH("2009-06",Monthly!$A:$A,0))</f>
        <v>22.98811111111111</v>
      </c>
      <c r="O20" s="18">
        <f>AVERAGE(C20:N20)</f>
        <v>21.032317588325654</v>
      </c>
    </row>
    <row r="21">
      <c r="A21" s="5" t="inlineStr">
        <is>
          <t xml:space="preserve">2010/11</t>
        </is>
      </c>
      <c r="B21" s="5" t="inlineStr">
        <is>
          <t xml:space="preserve">La Niña</t>
        </is>
      </c>
      <c r="C21" s="3">
        <f>INDEX(Monthly!$AF:$AF,MATCH("2010-07",Monthly!$A:$A,0))</f>
        <v>22.38806451612903</v>
      </c>
      <c r="D21" s="3">
        <f>INDEX(Monthly!$AF:$AF,MATCH("2010-08",Monthly!$A:$A,0))</f>
        <v>22.370107526881714</v>
      </c>
      <c r="E21" s="3">
        <f>INDEX(Monthly!$AF:$AF,MATCH("2010-09",Monthly!$A:$A,0))</f>
        <v>22.046888888888887</v>
      </c>
      <c r="F21" s="3">
        <f>INDEX(Monthly!$AF:$AF,MATCH("2010-10",Monthly!$A:$A,0))</f>
        <v>20.132903225806448</v>
      </c>
      <c r="G21" s="3">
        <f>INDEX(Monthly!$AF:$AF,MATCH("2010-11",Monthly!$A:$A,0))</f>
        <v>19.088111111111115</v>
      </c>
      <c r="H21" s="3">
        <f>INDEX(Monthly!$AF:$AF,MATCH("2010-12",Monthly!$A:$A,0))</f>
        <v>17.203763440860214</v>
      </c>
      <c r="I21" s="3">
        <f>INDEX(Monthly!$AF:$AF,MATCH("2011-01",Monthly!$A:$A,0))</f>
        <v>19.941935483870967</v>
      </c>
      <c r="J21" s="3">
        <f>INDEX(Monthly!$AF:$AF,MATCH("2011-02",Monthly!$A:$A,0))</f>
        <v>21.073452380952386</v>
      </c>
      <c r="K21" s="3">
        <f>INDEX(Monthly!$AF:$AF,MATCH("2011-03",Monthly!$A:$A,0))</f>
        <v>22.028709677419354</v>
      </c>
      <c r="L21" s="3">
        <f>INDEX(Monthly!$AF:$AF,MATCH("2011-04",Monthly!$A:$A,0))</f>
        <v>24.566444444444443</v>
      </c>
      <c r="M21" s="3">
        <f>INDEX(Monthly!$AF:$AF,MATCH("2011-05",Monthly!$A:$A,0))</f>
        <v>24.132580645161294</v>
      </c>
      <c r="N21" s="3">
        <f>INDEX(Monthly!$AF:$AF,MATCH("2011-06",Monthly!$A:$A,0))</f>
        <v>22.86655555555556</v>
      </c>
      <c r="O21" s="18">
        <f>AVERAGE(C21:N21)</f>
        <v>21.486626408090117</v>
      </c>
    </row>
    <row r="22">
      <c r="A22" s="5" t="inlineStr">
        <is>
          <t xml:space="preserve">2011/12</t>
        </is>
      </c>
      <c r="B22" s="5" t="inlineStr">
        <is>
          <t xml:space="preserve">La Niña</t>
        </is>
      </c>
      <c r="C22" s="3">
        <f>INDEX(Monthly!$AF:$AF,MATCH("2011-07",Monthly!$A:$A,0))</f>
        <v>22.17838709677419</v>
      </c>
      <c r="D22" s="3">
        <f>INDEX(Monthly!$AF:$AF,MATCH("2011-08",Monthly!$A:$A,0))</f>
        <v>22.64</v>
      </c>
      <c r="E22" s="3">
        <f>INDEX(Monthly!$AF:$AF,MATCH("2011-09",Monthly!$A:$A,0))</f>
        <v>22.12355555555556</v>
      </c>
      <c r="F22" s="3">
        <f>INDEX(Monthly!$AF:$AF,MATCH("2011-10",Monthly!$A:$A,0))</f>
        <v>20.310430107526884</v>
      </c>
      <c r="G22" s="3">
        <f>INDEX(Monthly!$AF:$AF,MATCH("2011-11",Monthly!$A:$A,0))</f>
        <v>19.350111111111115</v>
      </c>
      <c r="H22" s="3">
        <f>INDEX(Monthly!$AF:$AF,MATCH("2011-12",Monthly!$A:$A,0))</f>
        <v>18.605913978494623</v>
      </c>
      <c r="I22" s="3">
        <f>INDEX(Monthly!$AF:$AF,MATCH("2012-01",Monthly!$A:$A,0))</f>
        <v>19.253763440860215</v>
      </c>
      <c r="J22" s="3">
        <f>INDEX(Monthly!$AF:$AF,MATCH("2012-02",Monthly!$A:$A,0))</f>
        <v>20.762758620689652</v>
      </c>
      <c r="K22" s="3">
        <f>INDEX(Monthly!$AF:$AF,MATCH("2012-03",Monthly!$A:$A,0))</f>
        <v>21.863978494623655</v>
      </c>
      <c r="L22" s="3">
        <f>INDEX(Monthly!$AF:$AF,MATCH("2012-04",Monthly!$A:$A,0))</f>
        <v>23.314222222222224</v>
      </c>
      <c r="M22" s="3">
        <f>INDEX(Monthly!$AF:$AF,MATCH("2012-05",Monthly!$A:$A,0))</f>
        <v>23.668817204301078</v>
      </c>
      <c r="N22" s="3">
        <f>INDEX(Monthly!$AF:$AF,MATCH("2012-06",Monthly!$A:$A,0))</f>
        <v>22.933555555555557</v>
      </c>
      <c r="O22" s="18">
        <f>AVERAGE(C22:N22)</f>
        <v>21.417124448976228</v>
      </c>
    </row>
    <row r="23">
      <c r="A23" s="5" t="inlineStr">
        <is>
          <t xml:space="preserve">2017/18</t>
        </is>
      </c>
      <c r="B23" s="5" t="inlineStr">
        <is>
          <t xml:space="preserve">La Niña</t>
        </is>
      </c>
      <c r="C23" s="3">
        <f>INDEX(Monthly!$AF:$AF,MATCH("2017-07",Monthly!$A:$A,0))</f>
        <v>22.31236559139785</v>
      </c>
      <c r="D23" s="3">
        <f>INDEX(Monthly!$AF:$AF,MATCH("2017-08",Monthly!$A:$A,0))</f>
        <v>22.65301075268817</v>
      </c>
      <c r="E23" s="3">
        <f>INDEX(Monthly!$AF:$AF,MATCH("2017-09",Monthly!$A:$A,0))</f>
        <v>22.633999999999997</v>
      </c>
      <c r="F23" s="3">
        <f>INDEX(Monthly!$AF:$AF,MATCH("2017-10",Monthly!$A:$A,0))</f>
        <v>21.371290322580645</v>
      </c>
      <c r="G23" s="3">
        <f>INDEX(Monthly!$AF:$AF,MATCH("2017-11",Monthly!$A:$A,0))</f>
        <v>19.566444444444443</v>
      </c>
      <c r="H23" s="3">
        <f>INDEX(Monthly!$AF:$AF,MATCH("2017-12",Monthly!$A:$A,0))</f>
        <v>18.70784946236559</v>
      </c>
      <c r="I23" s="3">
        <f>INDEX(Monthly!$AF:$AF,MATCH("2018-01",Monthly!$A:$A,0))</f>
        <v>17.99333333333333</v>
      </c>
      <c r="J23" s="3">
        <f>INDEX(Monthly!$AF:$AF,MATCH("2018-02",Monthly!$A:$A,0))</f>
        <v>20.537738095238094</v>
      </c>
      <c r="K23" s="3">
        <f>INDEX(Monthly!$AF:$AF,MATCH("2018-03",Monthly!$A:$A,0))</f>
        <v>23.06731182795699</v>
      </c>
      <c r="L23" s="3">
        <f>INDEX(Monthly!$AF:$AF,MATCH("2018-04",Monthly!$A:$A,0))</f>
        <v>24.248333333333335</v>
      </c>
      <c r="M23" s="3">
        <f>INDEX(Monthly!$AF:$AF,MATCH("2018-05",Monthly!$A:$A,0))</f>
        <v>24.329784946236558</v>
      </c>
      <c r="N23" s="3">
        <f>INDEX(Monthly!$AF:$AF,MATCH("2018-06",Monthly!$A:$A,0))</f>
        <v>22.49155555555556</v>
      </c>
      <c r="O23" s="18">
        <f>AVERAGE(C23:N23)</f>
        <v>21.659418138760884</v>
      </c>
    </row>
    <row r="24">
      <c r="A24" s="5" t="inlineStr">
        <is>
          <t xml:space="preserve">2020/21</t>
        </is>
      </c>
      <c r="B24" s="5" t="inlineStr">
        <is>
          <t xml:space="preserve">La Niña</t>
        </is>
      </c>
      <c r="C24" s="3">
        <f>INDEX(Monthly!$AF:$AF,MATCH("2020-07",Monthly!$A:$A,0))</f>
        <v>22.918924731182795</v>
      </c>
      <c r="D24" s="3">
        <f>INDEX(Monthly!$AF:$AF,MATCH("2020-08",Monthly!$A:$A,0))</f>
        <v>22.626129032258063</v>
      </c>
      <c r="E24" s="3">
        <f>INDEX(Monthly!$AF:$AF,MATCH("2020-09",Monthly!$A:$A,0))</f>
        <v>22.714111111111105</v>
      </c>
      <c r="F24" s="3">
        <f>INDEX(Monthly!$AF:$AF,MATCH("2020-10",Monthly!$A:$A,0))</f>
        <v>21.8358064516129</v>
      </c>
      <c r="G24" s="3">
        <f>INDEX(Monthly!$AF:$AF,MATCH("2020-11",Monthly!$A:$A,0))</f>
        <v>20.896222222222224</v>
      </c>
      <c r="H24" s="3">
        <f>INDEX(Monthly!$AF:$AF,MATCH("2020-12",Monthly!$A:$A,0))</f>
        <v>19.137634408602153</v>
      </c>
      <c r="I24" s="3">
        <f>INDEX(Monthly!$AF:$AF,MATCH("2021-01",Monthly!$A:$A,0))</f>
        <v>19.51731182795699</v>
      </c>
      <c r="J24" s="3">
        <f>INDEX(Monthly!$AF:$AF,MATCH("2021-02",Monthly!$A:$A,0))</f>
        <v>19.90761904761905</v>
      </c>
      <c r="K24" s="3">
        <f>INDEX(Monthly!$AF:$AF,MATCH("2021-03",Monthly!$A:$A,0))</f>
        <v>20.918387096774193</v>
      </c>
      <c r="L24" s="3">
        <f>INDEX(Monthly!$AF:$AF,MATCH("2021-04",Monthly!$A:$A,0))</f>
        <v>22.73888888888889</v>
      </c>
      <c r="M24" s="3">
        <f>INDEX(Monthly!$AF:$AF,MATCH("2021-05",Monthly!$A:$A,0))</f>
        <v>23.600860215053768</v>
      </c>
      <c r="N24" s="3">
        <f>INDEX(Monthly!$AF:$AF,MATCH("2021-06",Monthly!$A:$A,0))</f>
        <v>22.886444444444447</v>
      </c>
      <c r="O24" s="18">
        <f>AVERAGE(C24:N24)</f>
        <v>21.641528289810548</v>
      </c>
    </row>
    <row r="25">
      <c r="A25" s="5" t="inlineStr">
        <is>
          <t xml:space="preserve">2021/22</t>
        </is>
      </c>
      <c r="B25" s="5" t="inlineStr">
        <is>
          <t xml:space="preserve">La Niña</t>
        </is>
      </c>
      <c r="C25" s="3">
        <f>INDEX(Monthly!$AF:$AF,MATCH("2021-07",Monthly!$A:$A,0))</f>
        <v>22.559892473118282</v>
      </c>
      <c r="D25" s="3">
        <f>INDEX(Monthly!$AF:$AF,MATCH("2021-08",Monthly!$A:$A,0))</f>
        <v>22.572795698924732</v>
      </c>
      <c r="E25" s="3">
        <f>INDEX(Monthly!$AF:$AF,MATCH("2021-09",Monthly!$A:$A,0))</f>
        <v>22.602666666666664</v>
      </c>
      <c r="F25" s="3">
        <f>INDEX(Monthly!$AF:$AF,MATCH("2021-10",Monthly!$A:$A,0))</f>
        <v>22.37870967741935</v>
      </c>
      <c r="G25" s="3">
        <f>INDEX(Monthly!$AF:$AF,MATCH("2021-11",Monthly!$A:$A,0))</f>
        <v>19.538777777777778</v>
      </c>
      <c r="H25" s="3">
        <f>INDEX(Monthly!$AF:$AF,MATCH("2021-12",Monthly!$A:$A,0))</f>
        <v>19.87430107526882</v>
      </c>
      <c r="I25" s="3">
        <f>INDEX(Monthly!$AF:$AF,MATCH("2022-01",Monthly!$A:$A,0))</f>
        <v>19.243763440860214</v>
      </c>
      <c r="J25" s="3">
        <f>INDEX(Monthly!$AF:$AF,MATCH("2022-02",Monthly!$A:$A,0))</f>
        <v>19.848452380952377</v>
      </c>
      <c r="K25" s="3">
        <f>INDEX(Monthly!$AF:$AF,MATCH("2022-03",Monthly!$A:$A,0))</f>
        <v>21.71720430107527</v>
      </c>
      <c r="L25" s="3">
        <f>INDEX(Monthly!$AF:$AF,MATCH("2022-04",Monthly!$A:$A,0))</f>
        <v>23.67822222222222</v>
      </c>
      <c r="M25" s="3">
        <f>INDEX(Monthly!$AF:$AF,MATCH("2022-05",Monthly!$A:$A,0))</f>
        <v>23.061290322580643</v>
      </c>
      <c r="N25" s="3">
        <f>INDEX(Monthly!$AF:$AF,MATCH("2022-06",Monthly!$A:$A,0))</f>
        <v>21.936888888888888</v>
      </c>
      <c r="O25" s="18">
        <f>AVERAGE(C25:N25)</f>
        <v>21.584413743812934</v>
      </c>
    </row>
    <row r="26">
      <c r="A26" s="5" t="inlineStr">
        <is>
          <t xml:space="preserve">2022/23</t>
        </is>
      </c>
      <c r="B26" s="5" t="inlineStr">
        <is>
          <t xml:space="preserve">La Niña</t>
        </is>
      </c>
      <c r="C26" s="3">
        <f>INDEX(Monthly!$AF:$AF,MATCH("2022-07",Monthly!$A:$A,0))</f>
        <v>22.26784946236559</v>
      </c>
      <c r="D26" s="3">
        <f>INDEX(Monthly!$AF:$AF,MATCH("2022-08",Monthly!$A:$A,0))</f>
        <v>22.38096774193548</v>
      </c>
      <c r="E26" s="3">
        <f>INDEX(Monthly!$AF:$AF,MATCH("2022-09",Monthly!$A:$A,0))</f>
        <v>22.176444444444446</v>
      </c>
      <c r="F26" s="3">
        <f>INDEX(Monthly!$AF:$AF,MATCH("2022-10",Monthly!$A:$A,0))</f>
        <v>21.657204301075268</v>
      </c>
      <c r="G26" s="3">
        <f>INDEX(Monthly!$AF:$AF,MATCH("2022-11",Monthly!$A:$A,0))</f>
        <v>21.002</v>
      </c>
      <c r="H26" s="3">
        <f>INDEX(Monthly!$AF:$AF,MATCH("2022-12",Monthly!$A:$A,0))</f>
        <v>19.39849462365591</v>
      </c>
      <c r="I26" s="3">
        <f>INDEX(Monthly!$AF:$AF,MATCH("2023-01",Monthly!$A:$A,0))</f>
        <v>19.470537634408597</v>
      </c>
      <c r="J26" s="3">
        <f>INDEX(Monthly!$AF:$AF,MATCH("2023-02",Monthly!$A:$A,0))</f>
        <v>20.256190476190476</v>
      </c>
      <c r="K26" s="3">
        <f>INDEX(Monthly!$AF:$AF,MATCH("2023-03",Monthly!$A:$A,0))</f>
        <v>22.710215053763438</v>
      </c>
      <c r="L26" s="3">
        <f>INDEX(Monthly!$AF:$AF,MATCH("2023-04",Monthly!$A:$A,0))</f>
        <v>24.57077777777778</v>
      </c>
      <c r="M26" s="3">
        <f>INDEX(Monthly!$AF:$AF,MATCH("2023-05",Monthly!$A:$A,0))</f>
        <v>25.33010752688172</v>
      </c>
      <c r="N26" s="3">
        <f>INDEX(Monthly!$AF:$AF,MATCH("2023-06",Monthly!$A:$A,0))</f>
        <v>24.498333333333335</v>
      </c>
      <c r="O26" s="18">
        <f>AVERAGE(C26:N26)</f>
        <v>22.143260197986006</v>
      </c>
    </row>
    <row r="27">
      <c r="A27" s="12" t="inlineStr">
        <is>
          <t xml:space="preserve">Average La Niña</t>
        </is>
      </c>
      <c r="B27" s="12" t="inlineStr">
        <is>
          <t xml:space="preserve">9 seasons</t>
        </is>
      </c>
      <c r="C27" s="20">
        <f>AVERAGE(C18:C26)</f>
        <v>22.43126642771804</v>
      </c>
      <c r="D27" s="20">
        <f>AVERAGE(D18:D26)</f>
        <v>22.525029868578255</v>
      </c>
      <c r="E27" s="20">
        <f>AVERAGE(E18:E26)</f>
        <v>22.306246913580246</v>
      </c>
      <c r="F27" s="20">
        <f>AVERAGE(F18:F26)</f>
        <v>21.16375149342891</v>
      </c>
      <c r="G27" s="20">
        <f>AVERAGE(G18:G26)</f>
        <v>19.684790123456793</v>
      </c>
      <c r="H27" s="20">
        <f>AVERAGE(H18:H26)</f>
        <v>18.999593787335723</v>
      </c>
      <c r="I27" s="20">
        <f>AVERAGE(I18:I26)</f>
        <v>19.255388291517324</v>
      </c>
      <c r="J27" s="20">
        <f>AVERAGE(J18:J26)</f>
        <v>20.331996898376207</v>
      </c>
      <c r="K27" s="20">
        <f>AVERAGE(K18:K26)</f>
        <v>21.979677419354836</v>
      </c>
      <c r="L27" s="20">
        <f>AVERAGE(L18:L26)</f>
        <v>23.92325925925926</v>
      </c>
      <c r="M27" s="20">
        <f>AVERAGE(M18:M26)</f>
        <v>24.097240143369177</v>
      </c>
      <c r="N27" s="20">
        <f>AVERAGE(N18:N26)</f>
        <v>22.837580246913582</v>
      </c>
      <c r="O27" s="20">
        <f>AVERAGE(C27:N27)</f>
        <v>21.627985072740696</v>
      </c>
    </row>
    <row r="29">
      <c r="A29" s="8" t="inlineStr">
        <is>
          <t xml:space="preserve">Neutral (4 seasons)</t>
        </is>
      </c>
    </row>
    <row r="30">
      <c r="A30" s="21" t="inlineStr">
        <is>
          <t xml:space="preserve">2012/13</t>
        </is>
      </c>
      <c r="B30" s="21" t="inlineStr">
        <is>
          <t xml:space="preserve">Neutral</t>
        </is>
      </c>
      <c r="C30" s="3">
        <f>INDEX(Monthly!$AF:$AF,MATCH("2012-07",Monthly!$A:$A,0))</f>
        <v>22.448494623655915</v>
      </c>
      <c r="D30" s="3">
        <f>INDEX(Monthly!$AF:$AF,MATCH("2012-08",Monthly!$A:$A,0))</f>
        <v>22.613118279569893</v>
      </c>
      <c r="E30" s="3">
        <f>INDEX(Monthly!$AF:$AF,MATCH("2012-09",Monthly!$A:$A,0))</f>
        <v>22.201444444444448</v>
      </c>
      <c r="F30" s="3">
        <f>INDEX(Monthly!$AF:$AF,MATCH("2012-10",Monthly!$A:$A,0))</f>
        <v>21.085698924731187</v>
      </c>
      <c r="G30" s="3">
        <f>INDEX(Monthly!$AF:$AF,MATCH("2012-11",Monthly!$A:$A,0))</f>
        <v>18.742555555555555</v>
      </c>
      <c r="H30" s="3">
        <f>INDEX(Monthly!$AF:$AF,MATCH("2012-12",Monthly!$A:$A,0))</f>
        <v>19.581075268817205</v>
      </c>
      <c r="I30" s="3">
        <f>INDEX(Monthly!$AF:$AF,MATCH("2013-01",Monthly!$A:$A,0))</f>
        <v>19.901397849462366</v>
      </c>
      <c r="J30" s="3">
        <f>INDEX(Monthly!$AF:$AF,MATCH("2013-02",Monthly!$A:$A,0))</f>
        <v>21.786547619047624</v>
      </c>
      <c r="K30" s="3">
        <f>INDEX(Monthly!$AF:$AF,MATCH("2013-03",Monthly!$A:$A,0))</f>
        <v>21.5452688172043</v>
      </c>
      <c r="L30" s="3">
        <f>INDEX(Monthly!$AF:$AF,MATCH("2013-04",Monthly!$A:$A,0))</f>
        <v>25.417666666666666</v>
      </c>
      <c r="M30" s="3">
        <f>INDEX(Monthly!$AF:$AF,MATCH("2013-05",Monthly!$A:$A,0))</f>
        <v>24.19548387096774</v>
      </c>
      <c r="N30" s="3">
        <f>INDEX(Monthly!$AF:$AF,MATCH("2013-06",Monthly!$A:$A,0))</f>
        <v>22.89822222222222</v>
      </c>
      <c r="O30" s="18">
        <f>AVERAGE(C30:N30)</f>
        <v>21.868081178528758</v>
      </c>
    </row>
    <row r="31">
      <c r="A31" s="21" t="inlineStr">
        <is>
          <t xml:space="preserve">2013/14</t>
        </is>
      </c>
      <c r="B31" s="21" t="inlineStr">
        <is>
          <t xml:space="preserve">Neutral</t>
        </is>
      </c>
      <c r="C31" s="3">
        <f>INDEX(Monthly!$AF:$AF,MATCH("2013-07",Monthly!$A:$A,0))</f>
        <v>22.32161290322581</v>
      </c>
      <c r="D31" s="3">
        <f>INDEX(Monthly!$AF:$AF,MATCH("2013-08",Monthly!$A:$A,0))</f>
        <v>22.52688172043011</v>
      </c>
      <c r="E31" s="3">
        <f>INDEX(Monthly!$AF:$AF,MATCH("2013-09",Monthly!$A:$A,0))</f>
        <v>22.221222222222224</v>
      </c>
      <c r="F31" s="3">
        <f>INDEX(Monthly!$AF:$AF,MATCH("2013-10",Monthly!$A:$A,0))</f>
        <v>22.005053763440856</v>
      </c>
      <c r="G31" s="3">
        <f>INDEX(Monthly!$AF:$AF,MATCH("2013-11",Monthly!$A:$A,0))</f>
        <v>20.340666666666667</v>
      </c>
      <c r="H31" s="3">
        <f>INDEX(Monthly!$AF:$AF,MATCH("2013-12",Monthly!$A:$A,0))</f>
        <v>19.78010752688172</v>
      </c>
      <c r="I31" s="3">
        <f>INDEX(Monthly!$AF:$AF,MATCH("2014-01",Monthly!$A:$A,0))</f>
        <v>18.70204301075269</v>
      </c>
      <c r="J31" s="3">
        <f>INDEX(Monthly!$AF:$AF,MATCH("2014-02",Monthly!$A:$A,0))</f>
        <v>21.371190476190478</v>
      </c>
      <c r="K31" s="3">
        <f>INDEX(Monthly!$AF:$AF,MATCH("2014-03",Monthly!$A:$A,0))</f>
        <v>23.257096774193545</v>
      </c>
      <c r="L31" s="3">
        <f>INDEX(Monthly!$AF:$AF,MATCH("2014-04",Monthly!$A:$A,0))</f>
        <v>24.592222222222222</v>
      </c>
      <c r="M31" s="3">
        <f>INDEX(Monthly!$AF:$AF,MATCH("2014-05",Monthly!$A:$A,0))</f>
        <v>23.783655913978496</v>
      </c>
      <c r="N31" s="3">
        <f>INDEX(Monthly!$AF:$AF,MATCH("2014-06",Monthly!$A:$A,0))</f>
        <v>23.074666666666662</v>
      </c>
      <c r="O31" s="18">
        <f>AVERAGE(C31:N31)</f>
        <v>21.998034988905957</v>
      </c>
    </row>
    <row r="32">
      <c r="A32" s="21" t="inlineStr">
        <is>
          <t xml:space="preserve">2016/17</t>
        </is>
      </c>
      <c r="B32" s="21" t="inlineStr">
        <is>
          <t xml:space="preserve">Neutral</t>
        </is>
      </c>
      <c r="C32" s="3">
        <f>INDEX(Monthly!$AF:$AF,MATCH("2016-07",Monthly!$A:$A,0))</f>
        <v>23.151290322580646</v>
      </c>
      <c r="D32" s="3">
        <f>INDEX(Monthly!$AF:$AF,MATCH("2016-08",Monthly!$A:$A,0))</f>
        <v>23.013763440860217</v>
      </c>
      <c r="E32" s="3">
        <f>INDEX(Monthly!$AF:$AF,MATCH("2016-09",Monthly!$A:$A,0))</f>
        <v>22.539</v>
      </c>
      <c r="F32" s="3">
        <f>INDEX(Monthly!$AF:$AF,MATCH("2016-10",Monthly!$A:$A,0))</f>
        <v>21.44268817204301</v>
      </c>
      <c r="G32" s="3">
        <f>INDEX(Monthly!$AF:$AF,MATCH("2016-11",Monthly!$A:$A,0))</f>
        <v>20.330444444444442</v>
      </c>
      <c r="H32" s="3">
        <f>INDEX(Monthly!$AF:$AF,MATCH("2016-12",Monthly!$A:$A,0))</f>
        <v>20.915161290322583</v>
      </c>
      <c r="I32" s="3">
        <f>INDEX(Monthly!$AF:$AF,MATCH("2017-01",Monthly!$A:$A,0))</f>
        <v>20.167956989247312</v>
      </c>
      <c r="J32" s="3">
        <f>INDEX(Monthly!$AF:$AF,MATCH("2017-02",Monthly!$A:$A,0))</f>
        <v>22.286428571428576</v>
      </c>
      <c r="K32" s="3">
        <f>INDEX(Monthly!$AF:$AF,MATCH("2017-03",Monthly!$A:$A,0))</f>
        <v>22.06537634408603</v>
      </c>
      <c r="L32" s="3">
        <f>INDEX(Monthly!$AF:$AF,MATCH("2017-04",Monthly!$A:$A,0))</f>
        <v>24.88077777777778</v>
      </c>
      <c r="M32" s="3">
        <f>INDEX(Monthly!$AF:$AF,MATCH("2017-05",Monthly!$A:$A,0))</f>
        <v>24.00483870967742</v>
      </c>
      <c r="N32" s="3">
        <f>INDEX(Monthly!$AF:$AF,MATCH("2017-06",Monthly!$A:$A,0))</f>
        <v>22.894666666666666</v>
      </c>
      <c r="O32" s="18">
        <f>AVERAGE(C32:N32)</f>
        <v>22.307699394094556</v>
      </c>
    </row>
    <row r="33">
      <c r="A33" s="21" t="inlineStr">
        <is>
          <t xml:space="preserve">2024/25</t>
        </is>
      </c>
      <c r="B33" s="21" t="inlineStr">
        <is>
          <t xml:space="preserve">Neutral</t>
        </is>
      </c>
      <c r="C33" s="3">
        <f>INDEX(Monthly!$AF:$AF,MATCH("2024-07",Monthly!$A:$A,0))</f>
        <v>23.087526881720432</v>
      </c>
      <c r="D33" s="3">
        <f>INDEX(Monthly!$AF:$AF,MATCH("2024-08",Monthly!$A:$A,0))</f>
        <v>23.200860215053762</v>
      </c>
      <c r="E33" s="3">
        <f>INDEX(Monthly!$AF:$AF,MATCH("2024-09",Monthly!$A:$A,0))</f>
        <v>23.51711111111111</v>
      </c>
      <c r="F33" s="3">
        <f>INDEX(Monthly!$AF:$AF,MATCH("2024-10",Monthly!$A:$A,0))</f>
        <v>22.048387096774192</v>
      </c>
      <c r="G33" s="3">
        <f>INDEX(Monthly!$AF:$AF,MATCH("2024-11",Monthly!$A:$A,0))</f>
        <v>21.084666666666667</v>
      </c>
      <c r="H33" s="3">
        <f>INDEX(Monthly!$AF:$AF,MATCH("2024-12",Monthly!$A:$A,0))</f>
        <v>20.00333333333333</v>
      </c>
      <c r="I33" s="3">
        <f>INDEX(Monthly!$AF:$AF,MATCH("2025-01",Monthly!$A:$A,0))</f>
        <v>20.06602150537634</v>
      </c>
      <c r="J33" s="3">
        <f>INDEX(Monthly!$AF:$AF,MATCH("2025-02",Monthly!$A:$A,0))</f>
        <v>21.454285714285714</v>
      </c>
      <c r="K33" s="3">
        <f>INDEX(Monthly!$AF:$AF,MATCH("2025-03",Monthly!$A:$A,0))</f>
        <v>23.17752688172043</v>
      </c>
      <c r="L33" s="3">
        <f>INDEX(Monthly!$AF:$AF,MATCH("2025-04",Monthly!$A:$A,0))</f>
        <v>23.27799999999999</v>
      </c>
      <c r="M33" s="3">
        <f>INDEX(Monthly!$AF:$AF,MATCH("2025-05",Monthly!$A:$A,0))</f>
        <v>25.948602150537628</v>
      </c>
      <c r="N33" s="3">
        <f>INDEX(Monthly!$AF:$AF,MATCH("2025-06",Monthly!$A:$A,0))</f>
        <v>23.15422222222222</v>
      </c>
      <c r="O33" s="18">
        <f>AVERAGE(C33:N33)</f>
        <v>22.501711981566817</v>
      </c>
    </row>
    <row r="34">
      <c r="A34" s="8" t="inlineStr">
        <is>
          <t xml:space="preserve">Average Neutral</t>
        </is>
      </c>
      <c r="B34" s="8" t="inlineStr">
        <is>
          <t xml:space="preserve">4 seasons</t>
        </is>
      </c>
      <c r="C34" s="22">
        <f>AVERAGE(C30:C33)</f>
        <v>22.7522311827957</v>
      </c>
      <c r="D34" s="22">
        <f>AVERAGE(D30:D33)</f>
        <v>22.838655913978496</v>
      </c>
      <c r="E34" s="22">
        <f>AVERAGE(E30:E33)</f>
        <v>22.619694444444445</v>
      </c>
      <c r="F34" s="22">
        <f>AVERAGE(F30:F33)</f>
        <v>21.64545698924731</v>
      </c>
      <c r="G34" s="22">
        <f>AVERAGE(G30:G33)</f>
        <v>20.124583333333334</v>
      </c>
      <c r="H34" s="22">
        <f>AVERAGE(H30:H33)</f>
        <v>20.06991935483871</v>
      </c>
      <c r="I34" s="22">
        <f>AVERAGE(I30:I33)</f>
        <v>19.70935483870968</v>
      </c>
      <c r="J34" s="22">
        <f>AVERAGE(J30:J33)</f>
        <v>21.724613095238098</v>
      </c>
      <c r="K34" s="22">
        <f>AVERAGE(K30:K33)</f>
        <v>22.511317204301076</v>
      </c>
      <c r="L34" s="22">
        <f>AVERAGE(L30:L33)</f>
        <v>24.542166666666667</v>
      </c>
      <c r="M34" s="22">
        <f>AVERAGE(M30:M33)</f>
        <v>24.48314516129032</v>
      </c>
      <c r="N34" s="22">
        <f>AVERAGE(N30:N33)</f>
        <v>23.005444444444443</v>
      </c>
      <c r="O34" s="22">
        <f>AVERAGE(C34:N34)</f>
        <v>22.168881885774024</v>
      </c>
    </row>
    <row r="36">
      <c r="A36" s="23" t="inlineStr">
        <is>
          <t xml:space="preserve">After the photo window (not in the averages)</t>
        </is>
      </c>
    </row>
    <row r="37">
      <c r="A37" s="21" t="inlineStr">
        <is>
          <t xml:space="preserve">2025/26</t>
        </is>
      </c>
      <c r="B37" s="21" t="inlineStr">
        <is>
          <t xml:space="preserve">Neutral</t>
        </is>
      </c>
      <c r="C37" s="3">
        <f>INDEX(Monthly!$AF:$AF,MATCH("2025-07",Monthly!$A:$A,0))</f>
        <v>22.93806451612903</v>
      </c>
      <c r="D37" s="3">
        <f>INDEX(Monthly!$AF:$AF,MATCH("2025-08",Monthly!$A:$A,0))</f>
        <v>23.591827956989253</v>
      </c>
      <c r="E37" s="3">
        <f>INDEX(Monthly!$AF:$AF,MATCH("2025-09",Monthly!$A:$A,0))</f>
        <v>23.348000000000003</v>
      </c>
      <c r="F37" s="3">
        <f>INDEX(Monthly!$AF:$AF,MATCH("2025-10",Monthly!$A:$A,0))</f>
        <v>22.022043010752686</v>
      </c>
      <c r="G37" s="3">
        <f>INDEX(Monthly!$AF:$AF,MATCH("2025-11",Monthly!$A:$A,0))</f>
        <v>20.872111111111114</v>
      </c>
      <c r="H37" s="3">
        <f>INDEX(Monthly!$AF:$AF,MATCH("2025-12",Monthly!$A:$A,0))</f>
        <v>20.927956989247306</v>
      </c>
      <c r="I37" s="3">
        <f>INDEX(Monthly!$AF:$AF,MATCH("2026-01",Monthly!$A:$A,0))</f>
        <v>19.643440860215055</v>
      </c>
      <c r="J37" s="3">
        <f>INDEX(Monthly!$AF:$AF,MATCH("2026-02",Monthly!$A:$A,0))</f>
        <v>19.40821428571429</v>
      </c>
      <c r="K37" s="3">
        <f>INDEX(Monthly!$AF:$AF,MATCH("2026-03",Monthly!$A:$A,0))</f>
        <v>22.118279569892476</v>
      </c>
      <c r="L37" s="3">
        <f>INDEX(Monthly!$AF:$AF,MATCH("2026-04",Monthly!$A:$A,0))</f>
        <v>23.14588888888889</v>
      </c>
      <c r="M37" s="3">
        <f>INDEX(Monthly!$AF:$AF,MATCH("2026-05",Monthly!$A:$A,0))</f>
        <v>25.724301075268816</v>
      </c>
      <c r="N37" s="3">
        <f>INDEX(Monthly!$AF:$AF,MATCH("2026-06",Monthly!$A:$A,0))</f>
        <v>24.292</v>
      </c>
      <c r="O37" s="18">
        <f>AVERAGE(C37:N37)</f>
        <v>22.336010688684073</v>
      </c>
    </row>
    <row r="38">
      <c r="A38" s="6" t="inlineStr">
        <is>
          <t xml:space="preserve">2026/27</t>
        </is>
      </c>
      <c r="B38" s="6" t="inlineStr">
        <is>
          <t xml:space="preserve">El Niño (in progress)</t>
        </is>
      </c>
      <c r="C38" s="3">
        <f>INDEX(Monthly!$AF:$AF,MATCH("2026-07",Monthly!$A:$A,0))</f>
        <v>24.61043010752688</v>
      </c>
      <c r="D38" s="3">
        <f>INDEX(Monthly!$AF:$AF,MATCH("2026-08",Monthly!$A:$A,0))</f>
        <v>24.86956989247312</v>
      </c>
    </row>
    <row r="41">
      <c r="A41" s="17" t="inlineStr">
        <is>
          <t xml:space="preserve">Monthly rainfall (mm) — sum of daily rainfall from rain gauges (NOAA CPC)</t>
        </is>
      </c>
    </row>
    <row r="42">
      <c r="A42" s="1" t="inlineStr">
        <is>
          <t xml:space="preserve">Season</t>
        </is>
      </c>
      <c r="B42" s="1" t="inlineStr">
        <is>
          <t xml:space="preserve">Phase</t>
        </is>
      </c>
      <c r="C42" s="1" t="inlineStr">
        <is>
          <t xml:space="preserve">Jul</t>
        </is>
      </c>
      <c r="D42" s="1" t="inlineStr">
        <is>
          <t xml:space="preserve">Aug</t>
        </is>
      </c>
      <c r="E42" s="1" t="inlineStr">
        <is>
          <t xml:space="preserve">Sep</t>
        </is>
      </c>
      <c r="F42" s="1" t="inlineStr">
        <is>
          <t xml:space="preserve">Oct</t>
        </is>
      </c>
      <c r="G42" s="1" t="inlineStr">
        <is>
          <t xml:space="preserve">Nov</t>
        </is>
      </c>
      <c r="H42" s="1" t="inlineStr">
        <is>
          <t xml:space="preserve">Dec</t>
        </is>
      </c>
      <c r="I42" s="1" t="inlineStr">
        <is>
          <t xml:space="preserve">Jan</t>
        </is>
      </c>
      <c r="J42" s="1" t="inlineStr">
        <is>
          <t xml:space="preserve">Feb</t>
        </is>
      </c>
      <c r="K42" s="1" t="inlineStr">
        <is>
          <t xml:space="preserve">Mar</t>
        </is>
      </c>
      <c r="L42" s="1" t="inlineStr">
        <is>
          <t xml:space="preserve">Apr</t>
        </is>
      </c>
      <c r="M42" s="1" t="inlineStr">
        <is>
          <t xml:space="preserve">May</t>
        </is>
      </c>
      <c r="N42" s="1" t="inlineStr">
        <is>
          <t xml:space="preserve">Jun</t>
        </is>
      </c>
      <c r="O42" s="1" t="inlineStr">
        <is>
          <t xml:space="preserve">Season total</t>
        </is>
      </c>
    </row>
    <row r="43">
      <c r="A43" s="11" t="inlineStr">
        <is>
          <t xml:space="preserve">El Niño (7 seasons)</t>
        </is>
      </c>
    </row>
    <row r="44">
      <c r="A44" s="6" t="inlineStr">
        <is>
          <t xml:space="preserve">2006/07</t>
        </is>
      </c>
      <c r="B44" s="6" t="inlineStr">
        <is>
          <t xml:space="preserve">El Niño</t>
        </is>
      </c>
      <c r="C44" s="4">
        <f>INDEX(Monthly!$AE:$AE,MATCH("2006-07",Monthly!$A:$A,0))</f>
        <v>164.15433333333334</v>
      </c>
      <c r="D44" s="4">
        <f>INDEX(Monthly!$AE:$AE,MATCH("2006-08",Monthly!$A:$A,0))</f>
        <v>131.59133333333332</v>
      </c>
      <c r="E44" s="4">
        <f>INDEX(Monthly!$AE:$AE,MATCH("2006-09",Monthly!$A:$A,0))</f>
        <v>160.00633333333334</v>
      </c>
      <c r="F44" s="4">
        <f>INDEX(Monthly!$AE:$AE,MATCH("2006-10",Monthly!$A:$A,0))</f>
        <v>134.13</v>
      </c>
      <c r="G44" s="4">
        <f>INDEX(Monthly!$AE:$AE,MATCH("2006-11",Monthly!$A:$A,0))</f>
        <v>48.461666666666666</v>
      </c>
      <c r="H44" s="4">
        <f>INDEX(Monthly!$AE:$AE,MATCH("2006-12",Monthly!$A:$A,0))</f>
        <v>57.11333333333334</v>
      </c>
      <c r="I44" s="4">
        <f>INDEX(Monthly!$AE:$AE,MATCH("2007-01",Monthly!$A:$A,0))</f>
        <v>21.41033333333333</v>
      </c>
      <c r="J44" s="4">
        <f>INDEX(Monthly!$AE:$AE,MATCH("2007-02",Monthly!$A:$A,0))</f>
        <v>11.01</v>
      </c>
      <c r="K44" s="4">
        <f>INDEX(Monthly!$AE:$AE,MATCH("2007-03",Monthly!$A:$A,0))</f>
        <v>10.826666666666668</v>
      </c>
      <c r="L44" s="4">
        <f>INDEX(Monthly!$AE:$AE,MATCH("2007-04",Monthly!$A:$A,0))</f>
        <v>42.211333333333336</v>
      </c>
      <c r="M44" s="4">
        <f>INDEX(Monthly!$AE:$AE,MATCH("2007-05",Monthly!$A:$A,0))</f>
        <v>96.00733333333334</v>
      </c>
      <c r="N44" s="4">
        <f>INDEX(Monthly!$AE:$AE,MATCH("2007-06",Monthly!$A:$A,0))</f>
        <v>219.43766666666667</v>
      </c>
      <c r="O44" s="24">
        <f>SUM(C44:N44)</f>
        <v>1096.3603333333335</v>
      </c>
    </row>
    <row r="45">
      <c r="A45" s="6" t="inlineStr">
        <is>
          <t xml:space="preserve">2009/10</t>
        </is>
      </c>
      <c r="B45" s="6" t="inlineStr">
        <is>
          <t xml:space="preserve">El Niño</t>
        </is>
      </c>
      <c r="C45" s="4">
        <f>INDEX(Monthly!$AE:$AE,MATCH("2009-07",Monthly!$A:$A,0))</f>
        <v>170.408</v>
      </c>
      <c r="D45" s="4">
        <f>INDEX(Monthly!$AE:$AE,MATCH("2009-08",Monthly!$A:$A,0))</f>
        <v>225.11266666666666</v>
      </c>
      <c r="E45" s="4">
        <f>INDEX(Monthly!$AE:$AE,MATCH("2009-09",Monthly!$A:$A,0))</f>
        <v>144.964</v>
      </c>
      <c r="F45" s="4">
        <f>INDEX(Monthly!$AE:$AE,MATCH("2009-10",Monthly!$A:$A,0))</f>
        <v>96.57000000000001</v>
      </c>
      <c r="G45" s="4">
        <f>INDEX(Monthly!$AE:$AE,MATCH("2009-11",Monthly!$A:$A,0))</f>
        <v>96.67533333333331</v>
      </c>
      <c r="H45" s="4">
        <f>INDEX(Monthly!$AE:$AE,MATCH("2009-12",Monthly!$A:$A,0))</f>
        <v>39.386</v>
      </c>
      <c r="I45" s="4">
        <f>INDEX(Monthly!$AE:$AE,MATCH("2010-01",Monthly!$A:$A,0))</f>
        <v>23.679000000000002</v>
      </c>
      <c r="J45" s="4">
        <f>INDEX(Monthly!$AE:$AE,MATCH("2010-02",Monthly!$A:$A,0))</f>
        <v>15.198666666666668</v>
      </c>
      <c r="K45" s="4">
        <f>INDEX(Monthly!$AE:$AE,MATCH("2010-03",Monthly!$A:$A,0))</f>
        <v>1.2973333333333334</v>
      </c>
      <c r="L45" s="4">
        <f>INDEX(Monthly!$AE:$AE,MATCH("2010-04",Monthly!$A:$A,0))</f>
        <v>105.63133333333333</v>
      </c>
      <c r="M45" s="4">
        <f>INDEX(Monthly!$AE:$AE,MATCH("2010-05",Monthly!$A:$A,0))</f>
        <v>271.5676666666667</v>
      </c>
      <c r="N45" s="4">
        <f>INDEX(Monthly!$AE:$AE,MATCH("2010-06",Monthly!$A:$A,0))</f>
        <v>282.7773333333333</v>
      </c>
      <c r="O45" s="24">
        <f>SUM(C45:N45)</f>
        <v>1473.2673333333335</v>
      </c>
    </row>
    <row r="46">
      <c r="A46" s="6" t="inlineStr">
        <is>
          <t xml:space="preserve">2014/15</t>
        </is>
      </c>
      <c r="B46" s="6" t="inlineStr">
        <is>
          <t xml:space="preserve">El Niño</t>
        </is>
      </c>
      <c r="C46" s="4">
        <f>INDEX(Monthly!$AE:$AE,MATCH("2014-07",Monthly!$A:$A,0))</f>
        <v>57.108000000000004</v>
      </c>
      <c r="D46" s="4">
        <f>INDEX(Monthly!$AE:$AE,MATCH("2014-08",Monthly!$A:$A,0))</f>
        <v>218.994</v>
      </c>
      <c r="E46" s="4">
        <f>INDEX(Monthly!$AE:$AE,MATCH("2014-09",Monthly!$A:$A,0))</f>
        <v>256.6646666666667</v>
      </c>
      <c r="F46" s="4">
        <f>INDEX(Monthly!$AE:$AE,MATCH("2014-10",Monthly!$A:$A,0))</f>
        <v>224.90166666666664</v>
      </c>
      <c r="G46" s="4">
        <f>INDEX(Monthly!$AE:$AE,MATCH("2014-11",Monthly!$A:$A,0))</f>
        <v>59.056333333333335</v>
      </c>
      <c r="H46" s="4">
        <f>INDEX(Monthly!$AE:$AE,MATCH("2014-12",Monthly!$A:$A,0))</f>
        <v>39.896</v>
      </c>
      <c r="I46" s="4">
        <f>INDEX(Monthly!$AE:$AE,MATCH("2015-01",Monthly!$A:$A,0))</f>
        <v>16.983666666666668</v>
      </c>
      <c r="J46" s="4">
        <f>INDEX(Monthly!$AE:$AE,MATCH("2015-02",Monthly!$A:$A,0))</f>
        <v>15.720999999999998</v>
      </c>
      <c r="K46" s="4">
        <f>INDEX(Monthly!$AE:$AE,MATCH("2015-03",Monthly!$A:$A,0))</f>
        <v>23.108</v>
      </c>
      <c r="L46" s="4">
        <f>INDEX(Monthly!$AE:$AE,MATCH("2015-04",Monthly!$A:$A,0))</f>
        <v>25.75633333333333</v>
      </c>
      <c r="M46" s="4">
        <f>INDEX(Monthly!$AE:$AE,MATCH("2015-05",Monthly!$A:$A,0))</f>
        <v>49.32500000000001</v>
      </c>
      <c r="N46" s="4">
        <f>INDEX(Monthly!$AE:$AE,MATCH("2015-06",Monthly!$A:$A,0))</f>
        <v>176.20566666666664</v>
      </c>
      <c r="O46" s="24">
        <f>SUM(C46:N46)</f>
        <v>1163.7203333333332</v>
      </c>
    </row>
    <row r="47">
      <c r="A47" s="6" t="inlineStr">
        <is>
          <t xml:space="preserve">2015/16</t>
        </is>
      </c>
      <c r="B47" s="6" t="inlineStr">
        <is>
          <t xml:space="preserve">El Niño</t>
        </is>
      </c>
      <c r="C47" s="4">
        <f>INDEX(Monthly!$AE:$AE,MATCH("2015-07",Monthly!$A:$A,0))</f>
        <v>41.78066666666667</v>
      </c>
      <c r="D47" s="4">
        <f>INDEX(Monthly!$AE:$AE,MATCH("2015-08",Monthly!$A:$A,0))</f>
        <v>91.647</v>
      </c>
      <c r="E47" s="4">
        <f>INDEX(Monthly!$AE:$AE,MATCH("2015-09",Monthly!$A:$A,0))</f>
        <v>349.68100000000004</v>
      </c>
      <c r="F47" s="4">
        <f>INDEX(Monthly!$AE:$AE,MATCH("2015-10",Monthly!$A:$A,0))</f>
        <v>221.28666666666666</v>
      </c>
      <c r="G47" s="4">
        <f>INDEX(Monthly!$AE:$AE,MATCH("2015-11",Monthly!$A:$A,0))</f>
        <v>78.85533333333332</v>
      </c>
      <c r="H47" s="4">
        <f>INDEX(Monthly!$AE:$AE,MATCH("2015-12",Monthly!$A:$A,0))</f>
        <v>29.059</v>
      </c>
      <c r="I47" s="4">
        <f>INDEX(Monthly!$AE:$AE,MATCH("2016-01",Monthly!$A:$A,0))</f>
        <v>10.469666666666667</v>
      </c>
      <c r="J47" s="4">
        <f>INDEX(Monthly!$AE:$AE,MATCH("2016-02",Monthly!$A:$A,0))</f>
        <v>23.033</v>
      </c>
      <c r="K47" s="4">
        <f>INDEX(Monthly!$AE:$AE,MATCH("2016-03",Monthly!$A:$A,0))</f>
        <v>20.843</v>
      </c>
      <c r="L47" s="4">
        <f>INDEX(Monthly!$AE:$AE,MATCH("2016-04",Monthly!$A:$A,0))</f>
        <v>25.474333333333334</v>
      </c>
      <c r="M47" s="4">
        <f>INDEX(Monthly!$AE:$AE,MATCH("2016-05",Monthly!$A:$A,0))</f>
        <v>62.776666666666664</v>
      </c>
      <c r="N47" s="4">
        <f>INDEX(Monthly!$AE:$AE,MATCH("2016-06",Monthly!$A:$A,0))</f>
        <v>224.60333333333332</v>
      </c>
      <c r="O47" s="24">
        <f>SUM(C47:N47)</f>
        <v>1179.5096666666666</v>
      </c>
    </row>
    <row r="48">
      <c r="A48" s="6" t="inlineStr">
        <is>
          <t xml:space="preserve">2018/19</t>
        </is>
      </c>
      <c r="B48" s="6" t="inlineStr">
        <is>
          <t xml:space="preserve">El Niño</t>
        </is>
      </c>
      <c r="C48" s="4">
        <f>INDEX(Monthly!$AE:$AE,MATCH("2018-07",Monthly!$A:$A,0))</f>
        <v>91.26533333333333</v>
      </c>
      <c r="D48" s="4">
        <f>INDEX(Monthly!$AE:$AE,MATCH("2018-08",Monthly!$A:$A,0))</f>
        <v>194.27533333333335</v>
      </c>
      <c r="E48" s="4">
        <f>INDEX(Monthly!$AE:$AE,MATCH("2018-09",Monthly!$A:$A,0))</f>
        <v>180.26166666666666</v>
      </c>
      <c r="F48" s="4">
        <f>INDEX(Monthly!$AE:$AE,MATCH("2018-10",Monthly!$A:$A,0))</f>
        <v>128.453</v>
      </c>
      <c r="G48" s="4">
        <f>INDEX(Monthly!$AE:$AE,MATCH("2018-11",Monthly!$A:$A,0))</f>
        <v>22.420333333333332</v>
      </c>
      <c r="H48" s="4">
        <f>INDEX(Monthly!$AE:$AE,MATCH("2018-12",Monthly!$A:$A,0))</f>
        <v>16.474333333333334</v>
      </c>
      <c r="I48" s="4">
        <f>INDEX(Monthly!$AE:$AE,MATCH("2019-01",Monthly!$A:$A,0))</f>
        <v>20.014</v>
      </c>
      <c r="J48" s="4">
        <f>INDEX(Monthly!$AE:$AE,MATCH("2019-02",Monthly!$A:$A,0))</f>
        <v>7.460333333333334</v>
      </c>
      <c r="K48" s="4">
        <f>INDEX(Monthly!$AE:$AE,MATCH("2019-03",Monthly!$A:$A,0))</f>
        <v>1.3106666666666669</v>
      </c>
      <c r="L48" s="4">
        <f>INDEX(Monthly!$AE:$AE,MATCH("2019-04",Monthly!$A:$A,0))</f>
        <v>20.644</v>
      </c>
      <c r="M48" s="4">
        <f>INDEX(Monthly!$AE:$AE,MATCH("2019-05",Monthly!$A:$A,0))</f>
        <v>208.45100000000002</v>
      </c>
      <c r="N48" s="4">
        <f>INDEX(Monthly!$AE:$AE,MATCH("2019-06",Monthly!$A:$A,0))</f>
        <v>150.111</v>
      </c>
      <c r="O48" s="24">
        <f>SUM(C48:N48)</f>
        <v>1041.141</v>
      </c>
    </row>
    <row r="49">
      <c r="A49" s="6" t="inlineStr">
        <is>
          <t xml:space="preserve">2019/20</t>
        </is>
      </c>
      <c r="B49" s="6" t="inlineStr">
        <is>
          <t xml:space="preserve">El Niño</t>
        </is>
      </c>
      <c r="C49" s="4">
        <f>INDEX(Monthly!$AE:$AE,MATCH("2019-07",Monthly!$A:$A,0))</f>
        <v>125.22566666666665</v>
      </c>
      <c r="D49" s="4">
        <f>INDEX(Monthly!$AE:$AE,MATCH("2019-08",Monthly!$A:$A,0))</f>
        <v>197.68366666666665</v>
      </c>
      <c r="E49" s="4">
        <f>INDEX(Monthly!$AE:$AE,MATCH("2019-09",Monthly!$A:$A,0))</f>
        <v>232.23833333333334</v>
      </c>
      <c r="F49" s="4">
        <f>INDEX(Monthly!$AE:$AE,MATCH("2019-10",Monthly!$A:$A,0))</f>
        <v>284.97133333333335</v>
      </c>
      <c r="G49" s="4">
        <f>INDEX(Monthly!$AE:$AE,MATCH("2019-11",Monthly!$A:$A,0))</f>
        <v>37.483000000000004</v>
      </c>
      <c r="H49" s="4">
        <f>INDEX(Monthly!$AE:$AE,MATCH("2019-12",Monthly!$A:$A,0))</f>
        <v>22.194666666666667</v>
      </c>
      <c r="I49" s="4">
        <f>INDEX(Monthly!$AE:$AE,MATCH("2020-01",Monthly!$A:$A,0))</f>
        <v>22.042666666666666</v>
      </c>
      <c r="J49" s="4">
        <f>INDEX(Monthly!$AE:$AE,MATCH("2020-02",Monthly!$A:$A,0))</f>
        <v>15.166000000000002</v>
      </c>
      <c r="K49" s="4">
        <f>INDEX(Monthly!$AE:$AE,MATCH("2020-03",Monthly!$A:$A,0))</f>
        <v>12.69</v>
      </c>
      <c r="L49" s="4">
        <f>INDEX(Monthly!$AE:$AE,MATCH("2020-04",Monthly!$A:$A,0))</f>
        <v>9.882333333333333</v>
      </c>
      <c r="M49" s="4">
        <f>INDEX(Monthly!$AE:$AE,MATCH("2020-05",Monthly!$A:$A,0))</f>
        <v>230.04999999999998</v>
      </c>
      <c r="N49" s="4">
        <f>INDEX(Monthly!$AE:$AE,MATCH("2020-06",Monthly!$A:$A,0))</f>
        <v>147.45366666666666</v>
      </c>
      <c r="O49" s="24">
        <f>SUM(C49:N49)</f>
        <v>1337.0813333333335</v>
      </c>
    </row>
    <row r="50">
      <c r="A50" s="6" t="inlineStr">
        <is>
          <t xml:space="preserve">2023/24</t>
        </is>
      </c>
      <c r="B50" s="6" t="inlineStr">
        <is>
          <t xml:space="preserve">El Niño</t>
        </is>
      </c>
      <c r="C50" s="4">
        <f>INDEX(Monthly!$AE:$AE,MATCH("2023-07",Monthly!$A:$A,0))</f>
        <v>187.293</v>
      </c>
      <c r="D50" s="4">
        <f>INDEX(Monthly!$AE:$AE,MATCH("2023-08",Monthly!$A:$A,0))</f>
        <v>133.71266666666668</v>
      </c>
      <c r="E50" s="4">
        <f>INDEX(Monthly!$AE:$AE,MATCH("2023-09",Monthly!$A:$A,0))</f>
        <v>181.2926666666667</v>
      </c>
      <c r="F50" s="4">
        <f>INDEX(Monthly!$AE:$AE,MATCH("2023-10",Monthly!$A:$A,0))</f>
        <v>145.47166666666666</v>
      </c>
      <c r="G50" s="4">
        <f>INDEX(Monthly!$AE:$AE,MATCH("2023-11",Monthly!$A:$A,0))</f>
        <v>76.02866666666667</v>
      </c>
      <c r="H50" s="4">
        <f>INDEX(Monthly!$AE:$AE,MATCH("2023-12",Monthly!$A:$A,0))</f>
        <v>27.362</v>
      </c>
      <c r="I50" s="4">
        <f>INDEX(Monthly!$AE:$AE,MATCH("2024-01",Monthly!$A:$A,0))</f>
        <v>5.627108600644454</v>
      </c>
      <c r="J50" s="4">
        <f>INDEX(Monthly!$AE:$AE,MATCH("2024-02",Monthly!$A:$A,0))</f>
        <v>5.706661942156675</v>
      </c>
      <c r="K50" s="4">
        <f>INDEX(Monthly!$AE:$AE,MATCH("2024-03",Monthly!$A:$A,0))</f>
        <v>1.7983397832817338</v>
      </c>
      <c r="L50" s="4">
        <f>INDEX(Monthly!$AE:$AE,MATCH("2024-04",Monthly!$A:$A,0))</f>
        <v>33.59362224190381</v>
      </c>
      <c r="M50" s="4">
        <f>INDEX(Monthly!$AE:$AE,MATCH("2024-05",Monthly!$A:$A,0))</f>
        <v>48.70125887401995</v>
      </c>
      <c r="N50" s="4">
        <f>INDEX(Monthly!$AE:$AE,MATCH("2024-06",Monthly!$A:$A,0))</f>
        <v>297.8662860937505</v>
      </c>
      <c r="O50" s="24">
        <f>SUM(C50:N50)</f>
        <v>1144.4539442024238</v>
      </c>
    </row>
    <row r="51">
      <c r="A51" s="11" t="inlineStr">
        <is>
          <t xml:space="preserve">Average El Niño</t>
        </is>
      </c>
      <c r="B51" s="11" t="inlineStr">
        <is>
          <t xml:space="preserve">7 seasons</t>
        </is>
      </c>
      <c r="C51" s="25">
        <f>AVERAGE(C44:C50)</f>
        <v>119.605</v>
      </c>
      <c r="D51" s="25">
        <f>AVERAGE(D44:D50)</f>
        <v>170.4309523809524</v>
      </c>
      <c r="E51" s="25">
        <f>AVERAGE(E44:E50)</f>
        <v>215.0155238095238</v>
      </c>
      <c r="F51" s="25">
        <f>AVERAGE(F44:F50)</f>
        <v>176.54061904761903</v>
      </c>
      <c r="G51" s="25">
        <f>AVERAGE(G44:G50)</f>
        <v>59.85438095238095</v>
      </c>
      <c r="H51" s="25">
        <f>AVERAGE(H44:H50)</f>
        <v>33.06933333333333</v>
      </c>
      <c r="I51" s="25">
        <f>AVERAGE(I44:I50)</f>
        <v>17.175205990568255</v>
      </c>
      <c r="J51" s="25">
        <f>AVERAGE(J44:J50)</f>
        <v>13.327951706022382</v>
      </c>
      <c r="K51" s="25">
        <f>AVERAGE(K44:K50)</f>
        <v>10.267715207135486</v>
      </c>
      <c r="L51" s="25">
        <f>AVERAGE(L44:L50)</f>
        <v>37.599041272652926</v>
      </c>
      <c r="M51" s="25">
        <f>AVERAGE(M44:M50)</f>
        <v>138.12556079152665</v>
      </c>
      <c r="N51" s="25">
        <f>AVERAGE(N44:N50)</f>
        <v>214.06499325148815</v>
      </c>
      <c r="O51" s="25">
        <f>SUM(C51:N51)</f>
        <v>1205.0762777432035</v>
      </c>
    </row>
    <row r="53">
      <c r="A53" s="12" t="inlineStr">
        <is>
          <t xml:space="preserve">La Niña (9 seasons)</t>
        </is>
      </c>
    </row>
    <row r="54">
      <c r="A54" s="5" t="inlineStr">
        <is>
          <t xml:space="preserve">2005/06</t>
        </is>
      </c>
      <c r="B54" s="5" t="inlineStr">
        <is>
          <t xml:space="preserve">La Niña</t>
        </is>
      </c>
      <c r="C54" s="4">
        <f>INDEX(Monthly!$AE:$AE,MATCH("2005-07",Monthly!$A:$A,0))</f>
        <v>139.01733333333334</v>
      </c>
      <c r="D54" s="4">
        <f>INDEX(Monthly!$AE:$AE,MATCH("2005-08",Monthly!$A:$A,0))</f>
        <v>155.90533333333335</v>
      </c>
      <c r="E54" s="4">
        <f>INDEX(Monthly!$AE:$AE,MATCH("2005-09",Monthly!$A:$A,0))</f>
        <v>199.99333333333334</v>
      </c>
      <c r="F54" s="4">
        <f>INDEX(Monthly!$AE:$AE,MATCH("2005-10",Monthly!$A:$A,0))</f>
        <v>104.91933333333333</v>
      </c>
      <c r="G54" s="4">
        <f>INDEX(Monthly!$AE:$AE,MATCH("2005-11",Monthly!$A:$A,0))</f>
        <v>16.416333333333334</v>
      </c>
      <c r="H54" s="4">
        <f>INDEX(Monthly!$AE:$AE,MATCH("2005-12",Monthly!$A:$A,0))</f>
        <v>21.50466666666667</v>
      </c>
      <c r="I54" s="4">
        <f>INDEX(Monthly!$AE:$AE,MATCH("2006-01",Monthly!$A:$A,0))</f>
        <v>20.605999999999998</v>
      </c>
      <c r="J54" s="4">
        <f>INDEX(Monthly!$AE:$AE,MATCH("2006-02",Monthly!$A:$A,0))</f>
        <v>5.604</v>
      </c>
      <c r="K54" s="4">
        <f>INDEX(Monthly!$AE:$AE,MATCH("2006-03",Monthly!$A:$A,0))</f>
        <v>5.2956666666666665</v>
      </c>
      <c r="L54" s="4">
        <f>INDEX(Monthly!$AE:$AE,MATCH("2006-04",Monthly!$A:$A,0))</f>
        <v>41.95733333333333</v>
      </c>
      <c r="M54" s="4">
        <f>INDEX(Monthly!$AE:$AE,MATCH("2006-05",Monthly!$A:$A,0))</f>
        <v>116.61500000000001</v>
      </c>
      <c r="N54" s="4">
        <f>INDEX(Monthly!$AE:$AE,MATCH("2006-06",Monthly!$A:$A,0))</f>
        <v>235.36866666666666</v>
      </c>
      <c r="O54" s="24">
        <f>SUM(C54:N54)</f>
        <v>1063.2030000000002</v>
      </c>
    </row>
    <row r="55">
      <c r="A55" s="5" t="inlineStr">
        <is>
          <t xml:space="preserve">2007/08</t>
        </is>
      </c>
      <c r="B55" s="5" t="inlineStr">
        <is>
          <t xml:space="preserve">La Niña</t>
        </is>
      </c>
      <c r="C55" s="4">
        <f>INDEX(Monthly!$AE:$AE,MATCH("2007-07",Monthly!$A:$A,0))</f>
        <v>209.17466666666667</v>
      </c>
      <c r="D55" s="4">
        <f>INDEX(Monthly!$AE:$AE,MATCH("2007-08",Monthly!$A:$A,0))</f>
        <v>215.88</v>
      </c>
      <c r="E55" s="4">
        <f>INDEX(Monthly!$AE:$AE,MATCH("2007-09",Monthly!$A:$A,0))</f>
        <v>289.1553333333333</v>
      </c>
      <c r="F55" s="4">
        <f>INDEX(Monthly!$AE:$AE,MATCH("2007-10",Monthly!$A:$A,0))</f>
        <v>210.64533333333335</v>
      </c>
      <c r="G55" s="4">
        <f>INDEX(Monthly!$AE:$AE,MATCH("2007-11",Monthly!$A:$A,0))</f>
        <v>37.38466666666667</v>
      </c>
      <c r="H55" s="4">
        <f>INDEX(Monthly!$AE:$AE,MATCH("2007-12",Monthly!$A:$A,0))</f>
        <v>11.013</v>
      </c>
      <c r="I55" s="4">
        <f>INDEX(Monthly!$AE:$AE,MATCH("2008-01",Monthly!$A:$A,0))</f>
        <v>24.64933333333333</v>
      </c>
      <c r="J55" s="4">
        <f>INDEX(Monthly!$AE:$AE,MATCH("2008-02",Monthly!$A:$A,0))</f>
        <v>13.695666666666668</v>
      </c>
      <c r="K55" s="4">
        <f>INDEX(Monthly!$AE:$AE,MATCH("2008-03",Monthly!$A:$A,0))</f>
        <v>8.664</v>
      </c>
      <c r="L55" s="4">
        <f>INDEX(Monthly!$AE:$AE,MATCH("2008-04",Monthly!$A:$A,0))</f>
        <v>48.09166666666667</v>
      </c>
      <c r="M55" s="4">
        <f>INDEX(Monthly!$AE:$AE,MATCH("2008-05",Monthly!$A:$A,0))</f>
        <v>110.48533333333334</v>
      </c>
      <c r="N55" s="4">
        <f>INDEX(Monthly!$AE:$AE,MATCH("2008-06",Monthly!$A:$A,0))</f>
        <v>182.43933333333334</v>
      </c>
      <c r="O55" s="24">
        <f>SUM(C55:N55)</f>
        <v>1361.2783333333332</v>
      </c>
    </row>
    <row r="56">
      <c r="A56" s="5" t="inlineStr">
        <is>
          <t xml:space="preserve">2008/09</t>
        </is>
      </c>
      <c r="B56" s="5" t="inlineStr">
        <is>
          <t xml:space="preserve">La Niña</t>
        </is>
      </c>
      <c r="C56" s="4">
        <f>INDEX(Monthly!$AE:$AE,MATCH("2008-07",Monthly!$A:$A,0))</f>
        <v>353.41799999999995</v>
      </c>
      <c r="D56" s="4">
        <f>INDEX(Monthly!$AE:$AE,MATCH("2008-08",Monthly!$A:$A,0))</f>
        <v>275.5173333333334</v>
      </c>
      <c r="E56" s="4">
        <f>INDEX(Monthly!$AE:$AE,MATCH("2008-09",Monthly!$A:$A,0))</f>
        <v>376.468</v>
      </c>
      <c r="F56" s="4">
        <f>INDEX(Monthly!$AE:$AE,MATCH("2008-10",Monthly!$A:$A,0))</f>
        <v>193.58266666666668</v>
      </c>
      <c r="G56" s="4">
        <f>INDEX(Monthly!$AE:$AE,MATCH("2008-11",Monthly!$A:$A,0))</f>
        <v>20.612666666666666</v>
      </c>
      <c r="H56" s="4">
        <f>INDEX(Monthly!$AE:$AE,MATCH("2008-12",Monthly!$A:$A,0))</f>
        <v>50.873</v>
      </c>
      <c r="I56" s="4">
        <f>INDEX(Monthly!$AE:$AE,MATCH("2009-01",Monthly!$A:$A,0))</f>
        <v>16.486333333333334</v>
      </c>
      <c r="J56" s="4">
        <f>INDEX(Monthly!$AE:$AE,MATCH("2009-02",Monthly!$A:$A,0))</f>
        <v>48.281666666666666</v>
      </c>
      <c r="K56" s="4">
        <f>INDEX(Monthly!$AE:$AE,MATCH("2009-03",Monthly!$A:$A,0))</f>
        <v>6.147000000000001</v>
      </c>
      <c r="L56" s="4">
        <f>INDEX(Monthly!$AE:$AE,MATCH("2009-04",Monthly!$A:$A,0))</f>
        <v>17.863</v>
      </c>
      <c r="M56" s="4">
        <f>INDEX(Monthly!$AE:$AE,MATCH("2009-05",Monthly!$A:$A,0))</f>
        <v>213.36733333333333</v>
      </c>
      <c r="N56" s="4">
        <f>INDEX(Monthly!$AE:$AE,MATCH("2009-06",Monthly!$A:$A,0))</f>
        <v>234.08766666666668</v>
      </c>
      <c r="O56" s="24">
        <f>SUM(C56:N56)</f>
        <v>1806.704666666667</v>
      </c>
    </row>
    <row r="57">
      <c r="A57" s="5" t="inlineStr">
        <is>
          <t xml:space="preserve">2010/11</t>
        </is>
      </c>
      <c r="B57" s="5" t="inlineStr">
        <is>
          <t xml:space="preserve">La Niña</t>
        </is>
      </c>
      <c r="C57" s="4">
        <f>INDEX(Monthly!$AE:$AE,MATCH("2010-07",Monthly!$A:$A,0))</f>
        <v>199.029</v>
      </c>
      <c r="D57" s="4">
        <f>INDEX(Monthly!$AE:$AE,MATCH("2010-08",Monthly!$A:$A,0))</f>
        <v>293.492</v>
      </c>
      <c r="E57" s="4">
        <f>INDEX(Monthly!$AE:$AE,MATCH("2010-09",Monthly!$A:$A,0))</f>
        <v>203.384</v>
      </c>
      <c r="F57" s="4">
        <f>INDEX(Monthly!$AE:$AE,MATCH("2010-10",Monthly!$A:$A,0))</f>
        <v>24.640666666666664</v>
      </c>
      <c r="G57" s="4">
        <f>INDEX(Monthly!$AE:$AE,MATCH("2010-11",Monthly!$A:$A,0))</f>
        <v>17.627</v>
      </c>
      <c r="H57" s="4">
        <f>INDEX(Monthly!$AE:$AE,MATCH("2010-12",Monthly!$A:$A,0))</f>
        <v>12.834333333333333</v>
      </c>
      <c r="I57" s="4">
        <f>INDEX(Monthly!$AE:$AE,MATCH("2011-01",Monthly!$A:$A,0))</f>
        <v>15.127</v>
      </c>
      <c r="J57" s="4">
        <f>INDEX(Monthly!$AE:$AE,MATCH("2011-02",Monthly!$A:$A,0))</f>
        <v>25.108</v>
      </c>
      <c r="K57" s="4">
        <f>INDEX(Monthly!$AE:$AE,MATCH("2011-03",Monthly!$A:$A,0))</f>
        <v>12.543666666666667</v>
      </c>
      <c r="L57" s="4">
        <f>INDEX(Monthly!$AE:$AE,MATCH("2011-04",Monthly!$A:$A,0))</f>
        <v>72.389</v>
      </c>
      <c r="M57" s="4">
        <f>INDEX(Monthly!$AE:$AE,MATCH("2011-05",Monthly!$A:$A,0))</f>
        <v>140.51166666666666</v>
      </c>
      <c r="N57" s="4">
        <f>INDEX(Monthly!$AE:$AE,MATCH("2011-06",Monthly!$A:$A,0))</f>
        <v>268.40066666666667</v>
      </c>
      <c r="O57" s="24">
        <f>SUM(C57:N57)</f>
        <v>1285.087</v>
      </c>
    </row>
    <row r="58">
      <c r="A58" s="5" t="inlineStr">
        <is>
          <t xml:space="preserve">2011/12</t>
        </is>
      </c>
      <c r="B58" s="5" t="inlineStr">
        <is>
          <t xml:space="preserve">La Niña</t>
        </is>
      </c>
      <c r="C58" s="4">
        <f>INDEX(Monthly!$AE:$AE,MATCH("2011-07",Monthly!$A:$A,0))</f>
        <v>311.098</v>
      </c>
      <c r="D58" s="4">
        <f>INDEX(Monthly!$AE:$AE,MATCH("2011-08",Monthly!$A:$A,0))</f>
        <v>207.83433333333332</v>
      </c>
      <c r="E58" s="4">
        <f>INDEX(Monthly!$AE:$AE,MATCH("2011-09",Monthly!$A:$A,0))</f>
        <v>257.55266666666665</v>
      </c>
      <c r="F58" s="4">
        <f>INDEX(Monthly!$AE:$AE,MATCH("2011-10",Monthly!$A:$A,0))</f>
        <v>256.1993333333333</v>
      </c>
      <c r="G58" s="4">
        <f>INDEX(Monthly!$AE:$AE,MATCH("2011-11",Monthly!$A:$A,0))</f>
        <v>37.912</v>
      </c>
      <c r="H58" s="4">
        <f>INDEX(Monthly!$AE:$AE,MATCH("2011-12",Monthly!$A:$A,0))</f>
        <v>36.93333333333334</v>
      </c>
      <c r="I58" s="4">
        <f>INDEX(Monthly!$AE:$AE,MATCH("2012-01",Monthly!$A:$A,0))</f>
        <v>10.635</v>
      </c>
      <c r="J58" s="4">
        <f>INDEX(Monthly!$AE:$AE,MATCH("2012-02",Monthly!$A:$A,0))</f>
        <v>14.716</v>
      </c>
      <c r="K58" s="4">
        <f>INDEX(Monthly!$AE:$AE,MATCH("2012-03",Monthly!$A:$A,0))</f>
        <v>22.110666666666663</v>
      </c>
      <c r="L58" s="4">
        <f>INDEX(Monthly!$AE:$AE,MATCH("2012-04",Monthly!$A:$A,0))</f>
        <v>65.14866666666667</v>
      </c>
      <c r="M58" s="4">
        <f>INDEX(Monthly!$AE:$AE,MATCH("2012-05",Monthly!$A:$A,0))</f>
        <v>208.98533333333333</v>
      </c>
      <c r="N58" s="4">
        <f>INDEX(Monthly!$AE:$AE,MATCH("2012-06",Monthly!$A:$A,0))</f>
        <v>121.61166666666668</v>
      </c>
      <c r="O58" s="24">
        <f>SUM(C58:N58)</f>
        <v>1550.7369999999999</v>
      </c>
    </row>
    <row r="59">
      <c r="A59" s="5" t="inlineStr">
        <is>
          <t xml:space="preserve">2017/18</t>
        </is>
      </c>
      <c r="B59" s="5" t="inlineStr">
        <is>
          <t xml:space="preserve">La Niña</t>
        </is>
      </c>
      <c r="C59" s="4">
        <f>INDEX(Monthly!$AE:$AE,MATCH("2017-07",Monthly!$A:$A,0))</f>
        <v>260.471</v>
      </c>
      <c r="D59" s="4">
        <f>INDEX(Monthly!$AE:$AE,MATCH("2017-08",Monthly!$A:$A,0))</f>
        <v>166.40200000000002</v>
      </c>
      <c r="E59" s="4">
        <f>INDEX(Monthly!$AE:$AE,MATCH("2017-09",Monthly!$A:$A,0))</f>
        <v>299.021</v>
      </c>
      <c r="F59" s="4">
        <f>INDEX(Monthly!$AE:$AE,MATCH("2017-10",Monthly!$A:$A,0))</f>
        <v>178.93366666666665</v>
      </c>
      <c r="G59" s="4">
        <f>INDEX(Monthly!$AE:$AE,MATCH("2017-11",Monthly!$A:$A,0))</f>
        <v>25.105</v>
      </c>
      <c r="H59" s="4">
        <f>INDEX(Monthly!$AE:$AE,MATCH("2017-12",Monthly!$A:$A,0))</f>
        <v>22.787333333333333</v>
      </c>
      <c r="I59" s="4">
        <f>INDEX(Monthly!$AE:$AE,MATCH("2018-01",Monthly!$A:$A,0))</f>
        <v>30.066</v>
      </c>
      <c r="J59" s="4">
        <f>INDEX(Monthly!$AE:$AE,MATCH("2018-02",Monthly!$A:$A,0))</f>
        <v>11.934666666666667</v>
      </c>
      <c r="K59" s="4">
        <f>INDEX(Monthly!$AE:$AE,MATCH("2018-03",Monthly!$A:$A,0))</f>
        <v>6.3870000000000005</v>
      </c>
      <c r="L59" s="4">
        <f>INDEX(Monthly!$AE:$AE,MATCH("2018-04",Monthly!$A:$A,0))</f>
        <v>83.84933333333333</v>
      </c>
      <c r="M59" s="4">
        <f>INDEX(Monthly!$AE:$AE,MATCH("2018-05",Monthly!$A:$A,0))</f>
        <v>179.13033333333337</v>
      </c>
      <c r="N59" s="4">
        <f>INDEX(Monthly!$AE:$AE,MATCH("2018-06",Monthly!$A:$A,0))</f>
        <v>227.12533333333332</v>
      </c>
      <c r="O59" s="24">
        <f>SUM(C59:N59)</f>
        <v>1491.2126666666668</v>
      </c>
    </row>
    <row r="60">
      <c r="A60" s="5" t="inlineStr">
        <is>
          <t xml:space="preserve">2020/21</t>
        </is>
      </c>
      <c r="B60" s="5" t="inlineStr">
        <is>
          <t xml:space="preserve">La Niña</t>
        </is>
      </c>
      <c r="C60" s="4">
        <f>INDEX(Monthly!$AE:$AE,MATCH("2020-07",Monthly!$A:$A,0))</f>
        <v>174.66666666666666</v>
      </c>
      <c r="D60" s="4">
        <f>INDEX(Monthly!$AE:$AE,MATCH("2020-08",Monthly!$A:$A,0))</f>
        <v>236.77700000000002</v>
      </c>
      <c r="E60" s="4">
        <f>INDEX(Monthly!$AE:$AE,MATCH("2020-09",Monthly!$A:$A,0))</f>
        <v>328.681</v>
      </c>
      <c r="F60" s="4">
        <f>INDEX(Monthly!$AE:$AE,MATCH("2020-10",Monthly!$A:$A,0))</f>
        <v>180.56933333333336</v>
      </c>
      <c r="G60" s="4">
        <f>INDEX(Monthly!$AE:$AE,MATCH("2020-11",Monthly!$A:$A,0))</f>
        <v>282.5316666666667</v>
      </c>
      <c r="H60" s="4">
        <f>INDEX(Monthly!$AE:$AE,MATCH("2020-12",Monthly!$A:$A,0))</f>
        <v>12.046999999999999</v>
      </c>
      <c r="I60" s="4">
        <f>INDEX(Monthly!$AE:$AE,MATCH("2021-01",Monthly!$A:$A,0))</f>
        <v>16.480333333333334</v>
      </c>
      <c r="J60" s="4">
        <f>INDEX(Monthly!$AE:$AE,MATCH("2021-02",Monthly!$A:$A,0))</f>
        <v>21.201333333333334</v>
      </c>
      <c r="K60" s="4">
        <f>INDEX(Monthly!$AE:$AE,MATCH("2021-03",Monthly!$A:$A,0))</f>
        <v>11.704666666666668</v>
      </c>
      <c r="L60" s="4">
        <f>INDEX(Monthly!$AE:$AE,MATCH("2021-04",Monthly!$A:$A,0))</f>
        <v>113.82066666666667</v>
      </c>
      <c r="M60" s="4">
        <f>INDEX(Monthly!$AE:$AE,MATCH("2021-05",Monthly!$A:$A,0))</f>
        <v>108.09133333333334</v>
      </c>
      <c r="N60" s="4">
        <f>INDEX(Monthly!$AE:$AE,MATCH("2021-06",Monthly!$A:$A,0))</f>
        <v>328.45399999999995</v>
      </c>
      <c r="O60" s="24">
        <f>SUM(C60:N60)</f>
        <v>1815.0250000000003</v>
      </c>
    </row>
    <row r="61">
      <c r="A61" s="5" t="inlineStr">
        <is>
          <t xml:space="preserve">2021/22</t>
        </is>
      </c>
      <c r="B61" s="5" t="inlineStr">
        <is>
          <t xml:space="preserve">La Niña</t>
        </is>
      </c>
      <c r="C61" s="4">
        <f>INDEX(Monthly!$AE:$AE,MATCH("2021-07",Monthly!$A:$A,0))</f>
        <v>128.62266666666667</v>
      </c>
      <c r="D61" s="4">
        <f>INDEX(Monthly!$AE:$AE,MATCH("2021-08",Monthly!$A:$A,0))</f>
        <v>278.53833333333336</v>
      </c>
      <c r="E61" s="4">
        <f>INDEX(Monthly!$AE:$AE,MATCH("2021-09",Monthly!$A:$A,0))</f>
        <v>150.547</v>
      </c>
      <c r="F61" s="4">
        <f>INDEX(Monthly!$AE:$AE,MATCH("2021-10",Monthly!$A:$A,0))</f>
        <v>182.87233333333333</v>
      </c>
      <c r="G61" s="4">
        <f>INDEX(Monthly!$AE:$AE,MATCH("2021-11",Monthly!$A:$A,0))</f>
        <v>24.385</v>
      </c>
      <c r="H61" s="4">
        <f>INDEX(Monthly!$AE:$AE,MATCH("2021-12",Monthly!$A:$A,0))</f>
        <v>9.783333333333333</v>
      </c>
      <c r="I61" s="4">
        <f>INDEX(Monthly!$AE:$AE,MATCH("2022-01",Monthly!$A:$A,0))</f>
        <v>24.638666666666666</v>
      </c>
      <c r="J61" s="4">
        <f>INDEX(Monthly!$AE:$AE,MATCH("2022-02",Monthly!$A:$A,0))</f>
        <v>27.105333333333334</v>
      </c>
      <c r="K61" s="4">
        <f>INDEX(Monthly!$AE:$AE,MATCH("2022-03",Monthly!$A:$A,0))</f>
        <v>22.647000000000002</v>
      </c>
      <c r="L61" s="4">
        <f>INDEX(Monthly!$AE:$AE,MATCH("2022-04",Monthly!$A:$A,0))</f>
        <v>55.151999999999994</v>
      </c>
      <c r="M61" s="4">
        <f>INDEX(Monthly!$AE:$AE,MATCH("2022-05",Monthly!$A:$A,0))</f>
        <v>167.557</v>
      </c>
      <c r="N61" s="4">
        <f>INDEX(Monthly!$AE:$AE,MATCH("2022-06",Monthly!$A:$A,0))</f>
        <v>279.325</v>
      </c>
      <c r="O61" s="24">
        <f>SUM(C61:N61)</f>
        <v>1351.1736666666668</v>
      </c>
    </row>
    <row r="62">
      <c r="A62" s="5" t="inlineStr">
        <is>
          <t xml:space="preserve">2022/23</t>
        </is>
      </c>
      <c r="B62" s="5" t="inlineStr">
        <is>
          <t xml:space="preserve">La Niña</t>
        </is>
      </c>
      <c r="C62" s="4">
        <f>INDEX(Monthly!$AE:$AE,MATCH("2022-07",Monthly!$A:$A,0))</f>
        <v>160.61233333333334</v>
      </c>
      <c r="D62" s="4">
        <f>INDEX(Monthly!$AE:$AE,MATCH("2022-08",Monthly!$A:$A,0))</f>
        <v>320.08099999999996</v>
      </c>
      <c r="E62" s="4">
        <f>INDEX(Monthly!$AE:$AE,MATCH("2022-09",Monthly!$A:$A,0))</f>
        <v>356.44599999999997</v>
      </c>
      <c r="F62" s="4">
        <f>INDEX(Monthly!$AE:$AE,MATCH("2022-10",Monthly!$A:$A,0))</f>
        <v>183.625</v>
      </c>
      <c r="G62" s="4">
        <f>INDEX(Monthly!$AE:$AE,MATCH("2022-11",Monthly!$A:$A,0))</f>
        <v>79.81266666666667</v>
      </c>
      <c r="H62" s="4">
        <f>INDEX(Monthly!$AE:$AE,MATCH("2022-12",Monthly!$A:$A,0))</f>
        <v>6.133</v>
      </c>
      <c r="I62" s="4">
        <f>INDEX(Monthly!$AE:$AE,MATCH("2023-01",Monthly!$A:$A,0))</f>
        <v>8.542666666666667</v>
      </c>
      <c r="J62" s="4">
        <f>INDEX(Monthly!$AE:$AE,MATCH("2023-02",Monthly!$A:$A,0))</f>
        <v>3.2656666666666667</v>
      </c>
      <c r="K62" s="4">
        <f>INDEX(Monthly!$AE:$AE,MATCH("2023-03",Monthly!$A:$A,0))</f>
        <v>26.746333333333336</v>
      </c>
      <c r="L62" s="4">
        <f>INDEX(Monthly!$AE:$AE,MATCH("2023-04",Monthly!$A:$A,0))</f>
        <v>26.840666666666667</v>
      </c>
      <c r="M62" s="4">
        <f>INDEX(Monthly!$AE:$AE,MATCH("2023-05",Monthly!$A:$A,0))</f>
        <v>113.84466666666668</v>
      </c>
      <c r="N62" s="4">
        <f>INDEX(Monthly!$AE:$AE,MATCH("2023-06",Monthly!$A:$A,0))</f>
        <v>151.38833333333335</v>
      </c>
      <c r="O62" s="24">
        <f>SUM(C62:N62)</f>
        <v>1437.3383333333334</v>
      </c>
    </row>
    <row r="63">
      <c r="A63" s="12" t="inlineStr">
        <is>
          <t xml:space="preserve">Average La Niña</t>
        </is>
      </c>
      <c r="B63" s="12" t="inlineStr">
        <is>
          <t xml:space="preserve">9 seasons</t>
        </is>
      </c>
      <c r="C63" s="26">
        <f>AVERAGE(C54:C62)</f>
        <v>215.1232962962963</v>
      </c>
      <c r="D63" s="26">
        <f>AVERAGE(D54:D62)</f>
        <v>238.93637037037038</v>
      </c>
      <c r="E63" s="26">
        <f>AVERAGE(E54:E62)</f>
        <v>273.472037037037</v>
      </c>
      <c r="F63" s="26">
        <f>AVERAGE(F54:F62)</f>
        <v>168.44307407407408</v>
      </c>
      <c r="G63" s="26">
        <f>AVERAGE(G54:G62)</f>
        <v>60.19855555555556</v>
      </c>
      <c r="H63" s="26">
        <f>AVERAGE(H54:H62)</f>
        <v>20.434333333333335</v>
      </c>
      <c r="I63" s="26">
        <f>AVERAGE(I54:I62)</f>
        <v>18.58125925925926</v>
      </c>
      <c r="J63" s="26">
        <f>AVERAGE(J54:J62)</f>
        <v>18.99025925925926</v>
      </c>
      <c r="K63" s="26">
        <f>AVERAGE(K54:K62)</f>
        <v>13.58288888888889</v>
      </c>
      <c r="L63" s="26">
        <f>AVERAGE(L54:L62)</f>
        <v>58.345814814814815</v>
      </c>
      <c r="M63" s="26">
        <f>AVERAGE(M54:M62)</f>
        <v>150.95422222222223</v>
      </c>
      <c r="N63" s="26">
        <f>AVERAGE(N54:N62)</f>
        <v>225.35562962962962</v>
      </c>
      <c r="O63" s="26">
        <f>SUM(C63:N63)</f>
        <v>1462.4177407407406</v>
      </c>
    </row>
    <row r="65">
      <c r="A65" s="8" t="inlineStr">
        <is>
          <t xml:space="preserve">Neutral (4 seasons)</t>
        </is>
      </c>
    </row>
    <row r="66">
      <c r="A66" s="21" t="inlineStr">
        <is>
          <t xml:space="preserve">2012/13</t>
        </is>
      </c>
      <c r="B66" s="21" t="inlineStr">
        <is>
          <t xml:space="preserve">Neutral</t>
        </is>
      </c>
      <c r="C66" s="4">
        <f>INDEX(Monthly!$AE:$AE,MATCH("2012-07",Monthly!$A:$A,0))</f>
        <v>116.08633333333334</v>
      </c>
      <c r="D66" s="4">
        <f>INDEX(Monthly!$AE:$AE,MATCH("2012-08",Monthly!$A:$A,0))</f>
        <v>355.4503333333334</v>
      </c>
      <c r="E66" s="4">
        <f>INDEX(Monthly!$AE:$AE,MATCH("2012-09",Monthly!$A:$A,0))</f>
        <v>150.59666666666666</v>
      </c>
      <c r="F66" s="4">
        <f>INDEX(Monthly!$AE:$AE,MATCH("2012-10",Monthly!$A:$A,0))</f>
        <v>169.00766666666667</v>
      </c>
      <c r="G66" s="4">
        <f>INDEX(Monthly!$AE:$AE,MATCH("2012-11",Monthly!$A:$A,0))</f>
        <v>40.291666666666664</v>
      </c>
      <c r="H66" s="4">
        <f>INDEX(Monthly!$AE:$AE,MATCH("2012-12",Monthly!$A:$A,0))</f>
        <v>36.13833333333333</v>
      </c>
      <c r="I66" s="4">
        <f>INDEX(Monthly!$AE:$AE,MATCH("2013-01",Monthly!$A:$A,0))</f>
        <v>23.72</v>
      </c>
      <c r="J66" s="4">
        <f>INDEX(Monthly!$AE:$AE,MATCH("2013-02",Monthly!$A:$A,0))</f>
        <v>10.371666666666668</v>
      </c>
      <c r="K66" s="4">
        <f>INDEX(Monthly!$AE:$AE,MATCH("2013-03",Monthly!$A:$A,0))</f>
        <v>28.18166666666666</v>
      </c>
      <c r="L66" s="4">
        <f>INDEX(Monthly!$AE:$AE,MATCH("2013-04",Monthly!$A:$A,0))</f>
        <v>22.558000000000003</v>
      </c>
      <c r="M66" s="4">
        <f>INDEX(Monthly!$AE:$AE,MATCH("2013-05",Monthly!$A:$A,0))</f>
        <v>167.28266666666667</v>
      </c>
      <c r="N66" s="4">
        <f>INDEX(Monthly!$AE:$AE,MATCH("2013-06",Monthly!$A:$A,0))</f>
        <v>139.201</v>
      </c>
      <c r="O66" s="24">
        <f>SUM(C66:N66)</f>
        <v>1258.886</v>
      </c>
    </row>
    <row r="67">
      <c r="A67" s="21" t="inlineStr">
        <is>
          <t xml:space="preserve">2013/14</t>
        </is>
      </c>
      <c r="B67" s="21" t="inlineStr">
        <is>
          <t xml:space="preserve">Neutral</t>
        </is>
      </c>
      <c r="C67" s="4">
        <f>INDEX(Monthly!$AE:$AE,MATCH("2013-07",Monthly!$A:$A,0))</f>
        <v>159.42666666666665</v>
      </c>
      <c r="D67" s="4">
        <f>INDEX(Monthly!$AE:$AE,MATCH("2013-08",Monthly!$A:$A,0))</f>
        <v>179.337</v>
      </c>
      <c r="E67" s="4">
        <f>INDEX(Monthly!$AE:$AE,MATCH("2013-09",Monthly!$A:$A,0))</f>
        <v>220.005</v>
      </c>
      <c r="F67" s="4">
        <f>INDEX(Monthly!$AE:$AE,MATCH("2013-10",Monthly!$A:$A,0))</f>
        <v>173.9176666666667</v>
      </c>
      <c r="G67" s="4">
        <f>INDEX(Monthly!$AE:$AE,MATCH("2013-11",Monthly!$A:$A,0))</f>
        <v>47.492</v>
      </c>
      <c r="H67" s="4">
        <f>INDEX(Monthly!$AE:$AE,MATCH("2013-12",Monthly!$A:$A,0))</f>
        <v>22.761666666666667</v>
      </c>
      <c r="I67" s="4">
        <f>INDEX(Monthly!$AE:$AE,MATCH("2014-01",Monthly!$A:$A,0))</f>
        <v>26.906000000000002</v>
      </c>
      <c r="J67" s="4">
        <f>INDEX(Monthly!$AE:$AE,MATCH("2014-02",Monthly!$A:$A,0))</f>
        <v>12.295666666666667</v>
      </c>
      <c r="K67" s="4">
        <f>INDEX(Monthly!$AE:$AE,MATCH("2014-03",Monthly!$A:$A,0))</f>
        <v>31.330000000000002</v>
      </c>
      <c r="L67" s="4">
        <f>INDEX(Monthly!$AE:$AE,MATCH("2014-04",Monthly!$A:$A,0))</f>
        <v>8.633000000000001</v>
      </c>
      <c r="M67" s="4">
        <f>INDEX(Monthly!$AE:$AE,MATCH("2014-05",Monthly!$A:$A,0))</f>
        <v>126.14800000000001</v>
      </c>
      <c r="N67" s="4">
        <f>INDEX(Monthly!$AE:$AE,MATCH("2014-06",Monthly!$A:$A,0))</f>
        <v>191.51466666666667</v>
      </c>
      <c r="O67" s="24">
        <f>SUM(C67:N67)</f>
        <v>1199.7673333333332</v>
      </c>
    </row>
    <row r="68">
      <c r="A68" s="21" t="inlineStr">
        <is>
          <t xml:space="preserve">2016/17</t>
        </is>
      </c>
      <c r="B68" s="21" t="inlineStr">
        <is>
          <t xml:space="preserve">Neutral</t>
        </is>
      </c>
      <c r="C68" s="4">
        <f>INDEX(Monthly!$AE:$AE,MATCH("2016-07",Monthly!$A:$A,0))</f>
        <v>119.10633333333334</v>
      </c>
      <c r="D68" s="4">
        <f>INDEX(Monthly!$AE:$AE,MATCH("2016-08",Monthly!$A:$A,0))</f>
        <v>172.99866666666665</v>
      </c>
      <c r="E68" s="4">
        <f>INDEX(Monthly!$AE:$AE,MATCH("2016-09",Monthly!$A:$A,0))</f>
        <v>224.26200000000003</v>
      </c>
      <c r="F68" s="4">
        <f>INDEX(Monthly!$AE:$AE,MATCH("2016-10",Monthly!$A:$A,0))</f>
        <v>84.27533333333334</v>
      </c>
      <c r="G68" s="4">
        <f>INDEX(Monthly!$AE:$AE,MATCH("2016-11",Monthly!$A:$A,0))</f>
        <v>41.38833333333333</v>
      </c>
      <c r="H68" s="4">
        <f>INDEX(Monthly!$AE:$AE,MATCH("2016-12",Monthly!$A:$A,0))</f>
        <v>28.385333333333335</v>
      </c>
      <c r="I68" s="4">
        <f>INDEX(Monthly!$AE:$AE,MATCH("2017-01",Monthly!$A:$A,0))</f>
        <v>15.713333333333333</v>
      </c>
      <c r="J68" s="4">
        <f>INDEX(Monthly!$AE:$AE,MATCH("2017-02",Monthly!$A:$A,0))</f>
        <v>3.549666666666667</v>
      </c>
      <c r="K68" s="4">
        <f>INDEX(Monthly!$AE:$AE,MATCH("2017-03",Monthly!$A:$A,0))</f>
        <v>27.73866666666667</v>
      </c>
      <c r="L68" s="4">
        <f>INDEX(Monthly!$AE:$AE,MATCH("2017-04",Monthly!$A:$A,0))</f>
        <v>63.19233333333333</v>
      </c>
      <c r="M68" s="4">
        <f>INDEX(Monthly!$AE:$AE,MATCH("2017-05",Monthly!$A:$A,0))</f>
        <v>232.45033333333333</v>
      </c>
      <c r="N68" s="4">
        <f>INDEX(Monthly!$AE:$AE,MATCH("2017-06",Monthly!$A:$A,0))</f>
        <v>305.73333333333335</v>
      </c>
      <c r="O68" s="24">
        <f>SUM(C68:N68)</f>
        <v>1318.793666666667</v>
      </c>
    </row>
    <row r="69">
      <c r="A69" s="21" t="inlineStr">
        <is>
          <t xml:space="preserve">2024/25</t>
        </is>
      </c>
      <c r="B69" s="21" t="inlineStr">
        <is>
          <t xml:space="preserve">Neutral</t>
        </is>
      </c>
      <c r="C69" s="4">
        <f>INDEX(Monthly!$AE:$AE,MATCH("2024-07",Monthly!$A:$A,0))</f>
        <v>204.91029134193104</v>
      </c>
      <c r="D69" s="4">
        <f>INDEX(Monthly!$AE:$AE,MATCH("2024-08",Monthly!$A:$A,0))</f>
        <v>178.56664171213947</v>
      </c>
      <c r="E69" s="4">
        <f>INDEX(Monthly!$AE:$AE,MATCH("2024-09",Monthly!$A:$A,0))</f>
        <v>227.15386862763216</v>
      </c>
      <c r="F69" s="4">
        <f>INDEX(Monthly!$AE:$AE,MATCH("2024-10",Monthly!$A:$A,0))</f>
        <v>61.695146091001995</v>
      </c>
      <c r="G69" s="4">
        <f>INDEX(Monthly!$AE:$AE,MATCH("2024-11",Monthly!$A:$A,0))</f>
        <v>113.95052269606911</v>
      </c>
      <c r="H69" s="4">
        <f>INDEX(Monthly!$AE:$AE,MATCH("2024-12",Monthly!$A:$A,0))</f>
        <v>27.794915360087547</v>
      </c>
      <c r="I69" s="4">
        <f>INDEX(Monthly!$AE:$AE,MATCH("2025-01",Monthly!$A:$A,0))</f>
        <v>18.451534897782675</v>
      </c>
      <c r="J69" s="4">
        <f>INDEX(Monthly!$AE:$AE,MATCH("2025-02",Monthly!$A:$A,0))</f>
        <v>10.385123326736045</v>
      </c>
      <c r="K69" s="4">
        <f>INDEX(Monthly!$AE:$AE,MATCH("2025-03",Monthly!$A:$A,0))</f>
        <v>8.846495098039215</v>
      </c>
      <c r="L69" s="4">
        <f>INDEX(Monthly!$AE:$AE,MATCH("2025-04",Monthly!$A:$A,0))</f>
        <v>37.92037055720282</v>
      </c>
      <c r="M69" s="4">
        <f>INDEX(Monthly!$AE:$AE,MATCH("2025-05",Monthly!$A:$A,0))</f>
        <v>85.2875524603681</v>
      </c>
      <c r="N69" s="4">
        <f>INDEX(Monthly!$AE:$AE,MATCH("2025-06",Monthly!$A:$A,0))</f>
        <v>362.09082247766133</v>
      </c>
      <c r="O69" s="24">
        <f>SUM(C69:N69)</f>
        <v>1337.0532846466515</v>
      </c>
    </row>
    <row r="70">
      <c r="A70" s="8" t="inlineStr">
        <is>
          <t xml:space="preserve">Average Neutral</t>
        </is>
      </c>
      <c r="B70" s="8" t="inlineStr">
        <is>
          <t xml:space="preserve">4 seasons</t>
        </is>
      </c>
      <c r="C70" s="27">
        <f>AVERAGE(C66:C69)</f>
        <v>149.8824061688161</v>
      </c>
      <c r="D70" s="27">
        <f>AVERAGE(D66:D69)</f>
        <v>221.58816042803488</v>
      </c>
      <c r="E70" s="27">
        <f>AVERAGE(E66:E69)</f>
        <v>205.5043838235747</v>
      </c>
      <c r="F70" s="27">
        <f>AVERAGE(F66:F69)</f>
        <v>122.22395318941717</v>
      </c>
      <c r="G70" s="27">
        <f>AVERAGE(G66:G69)</f>
        <v>60.780630674017274</v>
      </c>
      <c r="H70" s="27">
        <f>AVERAGE(H66:H69)</f>
        <v>28.77006217335522</v>
      </c>
      <c r="I70" s="27">
        <f>AVERAGE(I66:I69)</f>
        <v>21.197717057779002</v>
      </c>
      <c r="J70" s="27">
        <f>AVERAGE(J66:J69)</f>
        <v>9.150530831684012</v>
      </c>
      <c r="K70" s="27">
        <f>AVERAGE(K66:K69)</f>
        <v>24.024207107843136</v>
      </c>
      <c r="L70" s="27">
        <f>AVERAGE(L66:L69)</f>
        <v>33.07592597263404</v>
      </c>
      <c r="M70" s="27">
        <f>AVERAGE(M66:M69)</f>
        <v>152.79213811509203</v>
      </c>
      <c r="N70" s="27">
        <f>AVERAGE(N66:N69)</f>
        <v>249.63495561941534</v>
      </c>
      <c r="O70" s="27">
        <f>SUM(C70:N70)</f>
        <v>1278.625071161663</v>
      </c>
    </row>
    <row r="72">
      <c r="A72" s="23" t="inlineStr">
        <is>
          <t xml:space="preserve">After the photo window (not in the averages)</t>
        </is>
      </c>
    </row>
    <row r="73">
      <c r="A73" s="21" t="inlineStr">
        <is>
          <t xml:space="preserve">2025/26</t>
        </is>
      </c>
      <c r="B73" s="21" t="inlineStr">
        <is>
          <t xml:space="preserve">Neutral</t>
        </is>
      </c>
      <c r="C73" s="4">
        <f>INDEX(Monthly!$AE:$AE,MATCH("2025-07",Monthly!$A:$A,0))</f>
        <v>169.1946421648329</v>
      </c>
      <c r="D73" s="4">
        <f>INDEX(Monthly!$AE:$AE,MATCH("2025-08",Monthly!$A:$A,0))</f>
        <v>167.86056878953238</v>
      </c>
      <c r="E73" s="4">
        <f>INDEX(Monthly!$AE:$AE,MATCH("2025-09",Monthly!$A:$A,0))</f>
        <v>252.1827680924345</v>
      </c>
      <c r="F73" s="4">
        <f>INDEX(Monthly!$AE:$AE,MATCH("2025-10",Monthly!$A:$A,0))</f>
        <v>190.42559592629823</v>
      </c>
      <c r="G73" s="4">
        <f>INDEX(Monthly!$AE:$AE,MATCH("2025-11",Monthly!$A:$A,0))</f>
        <v>27.328422392609962</v>
      </c>
      <c r="H73" s="4">
        <f>INDEX(Monthly!$AE:$AE,MATCH("2025-12",Monthly!$A:$A,0))</f>
        <v>35.47083417294014</v>
      </c>
      <c r="I73" s="4">
        <f>INDEX(Monthly!$AE:$AE,MATCH("2026-01",Monthly!$A:$A,0))</f>
        <v>23.463553397166535</v>
      </c>
      <c r="J73" s="4">
        <f>INDEX(Monthly!$AE:$AE,MATCH("2026-02",Monthly!$A:$A,0))</f>
        <v>10.07463312690204</v>
      </c>
      <c r="K73" s="4">
        <f>INDEX(Monthly!$AE:$AE,MATCH("2026-03",Monthly!$A:$A,0))</f>
        <v>37.450123323013415</v>
      </c>
      <c r="L73" s="4">
        <f>INDEX(Monthly!$AE:$AE,MATCH("2026-04",Monthly!$A:$A,0))</f>
        <v>223.47924878808496</v>
      </c>
      <c r="M73" s="4">
        <f>INDEX(Monthly!$AE:$AE,MATCH("2026-05",Monthly!$A:$A,0))</f>
        <v>96.0505980986012</v>
      </c>
      <c r="N73" s="4">
        <f>INDEX(Monthly!$AE:$AE,MATCH("2026-06",Monthly!$A:$A,0))</f>
        <v>148.79176081869798</v>
      </c>
      <c r="O73" s="24">
        <f>SUM(C73:N73)</f>
        <v>1381.7727490911143</v>
      </c>
    </row>
    <row r="74">
      <c r="A74" s="6" t="inlineStr">
        <is>
          <t xml:space="preserve">2026/27</t>
        </is>
      </c>
      <c r="B74" s="6" t="inlineStr">
        <is>
          <t xml:space="preserve">El Niño (in progress)</t>
        </is>
      </c>
      <c r="C74" s="4">
        <f>INDEX(Monthly!$AE:$AE,MATCH("2026-07",Monthly!$A:$A,0))</f>
        <v>82.44726530709481</v>
      </c>
      <c r="D74" s="4">
        <f>INDEX(Monthly!$AE:$AE,MATCH("2026-08",Monthly!$A:$A,0))</f>
        <v>34.968759245141065</v>
      </c>
    </row>
  </sheetData>
</worksheet>
</file>

<file path=xl/worksheets/sheet3.xml><?xml version="1.0" encoding="utf-8"?>
<worksheet xmlns="http://schemas.openxmlformats.org/spreadsheetml/2006/main" xmlns:r="http://schemas.openxmlformats.org/officeDocument/2006/relationships">
  <sheetViews>
    <sheetView workbookViewId="0">
      <pane xSplit="2" ySplit="4" topLeftCell="C5" activePane="bottomRight" state="frozen"/>
    </sheetView>
  </sheetViews>
  <sheetFormatPr defaultRowHeight="13.2"/>
  <cols>
    <col min="1" max="1" width="30" customWidth="1"/>
    <col min="2" max="2" width="1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11" customWidth="1"/>
  </cols>
  <sheetData>
    <row r="1">
      <c r="A1" s="16" t="inlineStr">
        <is>
          <t xml:space="preserve">Comayagua — Comayagua department, town of Comayagua | Temperature and rainfall by ENSO season</t>
        </is>
      </c>
    </row>
    <row r="2">
      <c r="A2" s="7" t="inlineStr">
        <is>
          <t xml:space="preserve">Rain: NOAA CPC gauge analysis (daily, 0.5°). Temperature: NASA POWER daily (grid cell of each town). July–June seasons 2005/06–2024/25 as in the São Mateus chart. Season phase = official NOAA ENSO episode at its Nov–Jan peak (sheet ENSO_seasons). Average rows = mean of the seasons of that phase in the photo window.</t>
        </is>
      </c>
    </row>
    <row r="3">
      <c r="A3" s="7" t="inlineStr">
        <is>
          <t xml:space="preserve">Seasons after the photo window are listed below each block, outside the averages. 2026/27: complete months only (data end 2026-09-22).</t>
        </is>
      </c>
    </row>
    <row r="5">
      <c r="A5" s="17" t="inlineStr">
        <is>
          <t xml:space="preserve">Mean temperature (°C) — monthly mean of daily T2M</t>
        </is>
      </c>
    </row>
    <row r="6">
      <c r="A6" s="1" t="inlineStr">
        <is>
          <t xml:space="preserve">Season</t>
        </is>
      </c>
      <c r="B6" s="1" t="inlineStr">
        <is>
          <t xml:space="preserve">Phase</t>
        </is>
      </c>
      <c r="C6" s="1" t="inlineStr">
        <is>
          <t xml:space="preserve">Jul</t>
        </is>
      </c>
      <c r="D6" s="1" t="inlineStr">
        <is>
          <t xml:space="preserve">Aug</t>
        </is>
      </c>
      <c r="E6" s="1" t="inlineStr">
        <is>
          <t xml:space="preserve">Sep</t>
        </is>
      </c>
      <c r="F6" s="1" t="inlineStr">
        <is>
          <t xml:space="preserve">Oct</t>
        </is>
      </c>
      <c r="G6" s="1" t="inlineStr">
        <is>
          <t xml:space="preserve">Nov</t>
        </is>
      </c>
      <c r="H6" s="1" t="inlineStr">
        <is>
          <t xml:space="preserve">Dec</t>
        </is>
      </c>
      <c r="I6" s="1" t="inlineStr">
        <is>
          <t xml:space="preserve">Jan</t>
        </is>
      </c>
      <c r="J6" s="1" t="inlineStr">
        <is>
          <t xml:space="preserve">Feb</t>
        </is>
      </c>
      <c r="K6" s="1" t="inlineStr">
        <is>
          <t xml:space="preserve">Mar</t>
        </is>
      </c>
      <c r="L6" s="1" t="inlineStr">
        <is>
          <t xml:space="preserve">Apr</t>
        </is>
      </c>
      <c r="M6" s="1" t="inlineStr">
        <is>
          <t xml:space="preserve">May</t>
        </is>
      </c>
      <c r="N6" s="1" t="inlineStr">
        <is>
          <t xml:space="preserve">Jun</t>
        </is>
      </c>
      <c r="O6" s="1" t="inlineStr">
        <is>
          <t xml:space="preserve">Season mean</t>
        </is>
      </c>
    </row>
    <row r="7">
      <c r="A7" s="11" t="inlineStr">
        <is>
          <t xml:space="preserve">El Niño (7 seasons)</t>
        </is>
      </c>
    </row>
    <row r="8">
      <c r="A8" s="6" t="inlineStr">
        <is>
          <t xml:space="preserve">2006/07</t>
        </is>
      </c>
      <c r="B8" s="6" t="inlineStr">
        <is>
          <t xml:space="preserve">El Niño</t>
        </is>
      </c>
      <c r="C8" s="3">
        <f>INDEX(Monthly!$Q:$Q,MATCH("2006-07",Monthly!$A:$A,0))</f>
        <v>22.17677419354839</v>
      </c>
      <c r="D8" s="3">
        <f>INDEX(Monthly!$Q:$Q,MATCH("2006-08",Monthly!$A:$A,0))</f>
        <v>23.211290322580652</v>
      </c>
      <c r="E8" s="3">
        <f>INDEX(Monthly!$Q:$Q,MATCH("2006-09",Monthly!$A:$A,0))</f>
        <v>22.943333333333335</v>
      </c>
      <c r="F8" s="3">
        <f>INDEX(Monthly!$Q:$Q,MATCH("2006-10",Monthly!$A:$A,0))</f>
        <v>22.402580645161287</v>
      </c>
      <c r="G8" s="3">
        <f>INDEX(Monthly!$Q:$Q,MATCH("2006-11",Monthly!$A:$A,0))</f>
        <v>19.812</v>
      </c>
      <c r="H8" s="3">
        <f>INDEX(Monthly!$Q:$Q,MATCH("2006-12",Monthly!$A:$A,0))</f>
        <v>20.261290322580646</v>
      </c>
      <c r="I8" s="3">
        <f>INDEX(Monthly!$Q:$Q,MATCH("2007-01",Monthly!$A:$A,0))</f>
        <v>20.432903225806452</v>
      </c>
      <c r="J8" s="3">
        <f>INDEX(Monthly!$Q:$Q,MATCH("2007-02",Monthly!$A:$A,0))</f>
        <v>22.0625</v>
      </c>
      <c r="K8" s="3">
        <f>INDEX(Monthly!$Q:$Q,MATCH("2007-03",Monthly!$A:$A,0))</f>
        <v>22.59709677419355</v>
      </c>
      <c r="L8" s="3">
        <f>INDEX(Monthly!$Q:$Q,MATCH("2007-04",Monthly!$A:$A,0))</f>
        <v>24.424333333333333</v>
      </c>
      <c r="M8" s="3">
        <f>INDEX(Monthly!$Q:$Q,MATCH("2007-05",Monthly!$A:$A,0))</f>
        <v>24.415806451612905</v>
      </c>
      <c r="N8" s="3">
        <f>INDEX(Monthly!$Q:$Q,MATCH("2007-06",Monthly!$A:$A,0))</f>
        <v>22.939666666666664</v>
      </c>
      <c r="O8" s="18">
        <f>AVERAGE(C8:N8)</f>
        <v>22.306631272401432</v>
      </c>
    </row>
    <row r="9">
      <c r="A9" s="6" t="inlineStr">
        <is>
          <t xml:space="preserve">2009/10</t>
        </is>
      </c>
      <c r="B9" s="6" t="inlineStr">
        <is>
          <t xml:space="preserve">El Niño</t>
        </is>
      </c>
      <c r="C9" s="3">
        <f>INDEX(Monthly!$Q:$Q,MATCH("2009-07",Monthly!$A:$A,0))</f>
        <v>21.751612903225805</v>
      </c>
      <c r="D9" s="3">
        <f>INDEX(Monthly!$Q:$Q,MATCH("2009-08",Monthly!$A:$A,0))</f>
        <v>21.994516129032263</v>
      </c>
      <c r="E9" s="3">
        <f>INDEX(Monthly!$Q:$Q,MATCH("2009-09",Monthly!$A:$A,0))</f>
        <v>22.47833333333333</v>
      </c>
      <c r="F9" s="3">
        <f>INDEX(Monthly!$Q:$Q,MATCH("2009-10",Monthly!$A:$A,0))</f>
        <v>22.28548387096774</v>
      </c>
      <c r="G9" s="3">
        <f>INDEX(Monthly!$Q:$Q,MATCH("2009-11",Monthly!$A:$A,0))</f>
        <v>20.468333333333337</v>
      </c>
      <c r="H9" s="3">
        <f>INDEX(Monthly!$Q:$Q,MATCH("2009-12",Monthly!$A:$A,0))</f>
        <v>20.500645161290326</v>
      </c>
      <c r="I9" s="3">
        <f>INDEX(Monthly!$Q:$Q,MATCH("2010-01",Monthly!$A:$A,0))</f>
        <v>19.63096774193548</v>
      </c>
      <c r="J9" s="3">
        <f>INDEX(Monthly!$Q:$Q,MATCH("2010-02",Monthly!$A:$A,0))</f>
        <v>21.976428571428578</v>
      </c>
      <c r="K9" s="3">
        <f>INDEX(Monthly!$Q:$Q,MATCH("2010-03",Monthly!$A:$A,0))</f>
        <v>23.02967741935484</v>
      </c>
      <c r="L9" s="3">
        <f>INDEX(Monthly!$Q:$Q,MATCH("2010-04",Monthly!$A:$A,0))</f>
        <v>24.21766666666667</v>
      </c>
      <c r="M9" s="3">
        <f>INDEX(Monthly!$Q:$Q,MATCH("2010-05",Monthly!$A:$A,0))</f>
        <v>24.053548387096768</v>
      </c>
      <c r="N9" s="3">
        <f>INDEX(Monthly!$Q:$Q,MATCH("2010-06",Monthly!$A:$A,0))</f>
        <v>22.292000000000005</v>
      </c>
      <c r="O9" s="18">
        <f>AVERAGE(C9:N9)</f>
        <v>22.0566011264721</v>
      </c>
    </row>
    <row r="10">
      <c r="A10" s="6" t="inlineStr">
        <is>
          <t xml:space="preserve">2014/15</t>
        </is>
      </c>
      <c r="B10" s="6" t="inlineStr">
        <is>
          <t xml:space="preserve">El Niño</t>
        </is>
      </c>
      <c r="C10" s="3">
        <f>INDEX(Monthly!$Q:$Q,MATCH("2014-07",Monthly!$A:$A,0))</f>
        <v>23.79967741935484</v>
      </c>
      <c r="D10" s="3">
        <f>INDEX(Monthly!$Q:$Q,MATCH("2014-08",Monthly!$A:$A,0))</f>
        <v>23.637419354838713</v>
      </c>
      <c r="E10" s="3">
        <f>INDEX(Monthly!$Q:$Q,MATCH("2014-09",Monthly!$A:$A,0))</f>
        <v>21.930000000000007</v>
      </c>
      <c r="F10" s="3">
        <f>INDEX(Monthly!$Q:$Q,MATCH("2014-10",Monthly!$A:$A,0))</f>
        <v>21.115161290322582</v>
      </c>
      <c r="G10" s="3">
        <f>INDEX(Monthly!$Q:$Q,MATCH("2014-11",Monthly!$A:$A,0))</f>
        <v>19.473999999999993</v>
      </c>
      <c r="H10" s="3">
        <f>INDEX(Monthly!$Q:$Q,MATCH("2014-12",Monthly!$A:$A,0))</f>
        <v>18.653225806451616</v>
      </c>
      <c r="I10" s="3">
        <f>INDEX(Monthly!$Q:$Q,MATCH("2015-01",Monthly!$A:$A,0))</f>
        <v>19.01290322580645</v>
      </c>
      <c r="J10" s="3">
        <f>INDEX(Monthly!$Q:$Q,MATCH("2015-02",Monthly!$A:$A,0))</f>
        <v>20.400714285714283</v>
      </c>
      <c r="K10" s="3">
        <f>INDEX(Monthly!$Q:$Q,MATCH("2015-03",Monthly!$A:$A,0))</f>
        <v>22.55516129032258</v>
      </c>
      <c r="L10" s="3">
        <f>INDEX(Monthly!$Q:$Q,MATCH("2015-04",Monthly!$A:$A,0))</f>
        <v>25.50066666666667</v>
      </c>
      <c r="M10" s="3">
        <f>INDEX(Monthly!$Q:$Q,MATCH("2015-05",Monthly!$A:$A,0))</f>
        <v>24.357741935483865</v>
      </c>
      <c r="N10" s="3">
        <f>INDEX(Monthly!$Q:$Q,MATCH("2015-06",Monthly!$A:$A,0))</f>
        <v>22.341999999999995</v>
      </c>
      <c r="O10" s="18">
        <f>AVERAGE(C10:N10)</f>
        <v>21.8982226062468</v>
      </c>
    </row>
    <row r="11">
      <c r="A11" s="6" t="inlineStr">
        <is>
          <t xml:space="preserve">2015/16</t>
        </is>
      </c>
      <c r="B11" s="6" t="inlineStr">
        <is>
          <t xml:space="preserve">El Niño</t>
        </is>
      </c>
      <c r="C11" s="3">
        <f>INDEX(Monthly!$Q:$Q,MATCH("2015-07",Monthly!$A:$A,0))</f>
        <v>23.425806451612907</v>
      </c>
      <c r="D11" s="3">
        <f>INDEX(Monthly!$Q:$Q,MATCH("2015-08",Monthly!$A:$A,0))</f>
        <v>24.618064516129028</v>
      </c>
      <c r="E11" s="3">
        <f>INDEX(Monthly!$Q:$Q,MATCH("2015-09",Monthly!$A:$A,0))</f>
        <v>23.13533333333333</v>
      </c>
      <c r="F11" s="3">
        <f>INDEX(Monthly!$Q:$Q,MATCH("2015-10",Monthly!$A:$A,0))</f>
        <v>21.960967741935487</v>
      </c>
      <c r="G11" s="3">
        <f>INDEX(Monthly!$Q:$Q,MATCH("2015-11",Monthly!$A:$A,0))</f>
        <v>20.871</v>
      </c>
      <c r="H11" s="3">
        <f>INDEX(Monthly!$Q:$Q,MATCH("2015-12",Monthly!$A:$A,0))</f>
        <v>20.899032258064516</v>
      </c>
      <c r="I11" s="3">
        <f>INDEX(Monthly!$Q:$Q,MATCH("2016-01",Monthly!$A:$A,0))</f>
        <v>20.618709677419357</v>
      </c>
      <c r="J11" s="3">
        <f>INDEX(Monthly!$Q:$Q,MATCH("2016-02",Monthly!$A:$A,0))</f>
        <v>20.448620689655172</v>
      </c>
      <c r="K11" s="3">
        <f>INDEX(Monthly!$Q:$Q,MATCH("2016-03",Monthly!$A:$A,0))</f>
        <v>24.167741935483875</v>
      </c>
      <c r="L11" s="3">
        <f>INDEX(Monthly!$Q:$Q,MATCH("2016-04",Monthly!$A:$A,0))</f>
        <v>24.81433333333334</v>
      </c>
      <c r="M11" s="3">
        <f>INDEX(Monthly!$Q:$Q,MATCH("2016-05",Monthly!$A:$A,0))</f>
        <v>25.44096774193549</v>
      </c>
      <c r="N11" s="3">
        <f>INDEX(Monthly!$Q:$Q,MATCH("2016-06",Monthly!$A:$A,0))</f>
        <v>22.514666666666674</v>
      </c>
      <c r="O11" s="18">
        <f>AVERAGE(C11:N11)</f>
        <v>22.74293702879743</v>
      </c>
    </row>
    <row r="12">
      <c r="A12" s="6" t="inlineStr">
        <is>
          <t xml:space="preserve">2018/19</t>
        </is>
      </c>
      <c r="B12" s="6" t="inlineStr">
        <is>
          <t xml:space="preserve">El Niño</t>
        </is>
      </c>
      <c r="C12" s="3">
        <f>INDEX(Monthly!$Q:$Q,MATCH("2018-07",Monthly!$A:$A,0))</f>
        <v>22.12096774193549</v>
      </c>
      <c r="D12" s="3">
        <f>INDEX(Monthly!$Q:$Q,MATCH("2018-08",Monthly!$A:$A,0))</f>
        <v>22.31870967741936</v>
      </c>
      <c r="E12" s="3">
        <f>INDEX(Monthly!$Q:$Q,MATCH("2018-09",Monthly!$A:$A,0))</f>
        <v>22.388</v>
      </c>
      <c r="F12" s="3">
        <f>INDEX(Monthly!$Q:$Q,MATCH("2018-10",Monthly!$A:$A,0))</f>
        <v>21.297741935483867</v>
      </c>
      <c r="G12" s="3">
        <f>INDEX(Monthly!$Q:$Q,MATCH("2018-11",Monthly!$A:$A,0))</f>
        <v>21.593</v>
      </c>
      <c r="H12" s="3">
        <f>INDEX(Monthly!$Q:$Q,MATCH("2018-12",Monthly!$A:$A,0))</f>
        <v>20.3058064516129</v>
      </c>
      <c r="I12" s="3">
        <f>INDEX(Monthly!$Q:$Q,MATCH("2019-01",Monthly!$A:$A,0))</f>
        <v>20.50161290322581</v>
      </c>
      <c r="J12" s="3">
        <f>INDEX(Monthly!$Q:$Q,MATCH("2019-02",Monthly!$A:$A,0))</f>
        <v>22.977499999999996</v>
      </c>
      <c r="K12" s="3">
        <f>INDEX(Monthly!$Q:$Q,MATCH("2019-03",Monthly!$A:$A,0))</f>
        <v>23.505161290322576</v>
      </c>
      <c r="L12" s="3">
        <f>INDEX(Monthly!$Q:$Q,MATCH("2019-04",Monthly!$A:$A,0))</f>
        <v>25.215999999999998</v>
      </c>
      <c r="M12" s="3">
        <f>INDEX(Monthly!$Q:$Q,MATCH("2019-05",Monthly!$A:$A,0))</f>
        <v>24.20999999999999</v>
      </c>
      <c r="N12" s="3">
        <f>INDEX(Monthly!$Q:$Q,MATCH("2019-06",Monthly!$A:$A,0))</f>
        <v>23.975333333333328</v>
      </c>
      <c r="O12" s="18">
        <f>AVERAGE(C12:N12)</f>
        <v>22.534152777777777</v>
      </c>
    </row>
    <row r="13">
      <c r="A13" s="6" t="inlineStr">
        <is>
          <t xml:space="preserve">2019/20</t>
        </is>
      </c>
      <c r="B13" s="6" t="inlineStr">
        <is>
          <t xml:space="preserve">El Niño</t>
        </is>
      </c>
      <c r="C13" s="3">
        <f>INDEX(Monthly!$Q:$Q,MATCH("2019-07",Monthly!$A:$A,0))</f>
        <v>23.910967741935487</v>
      </c>
      <c r="D13" s="3">
        <f>INDEX(Monthly!$Q:$Q,MATCH("2019-08",Monthly!$A:$A,0))</f>
        <v>24.363548387096774</v>
      </c>
      <c r="E13" s="3">
        <f>INDEX(Monthly!$Q:$Q,MATCH("2019-09",Monthly!$A:$A,0))</f>
        <v>23.420333333333335</v>
      </c>
      <c r="F13" s="3">
        <f>INDEX(Monthly!$Q:$Q,MATCH("2019-10",Monthly!$A:$A,0))</f>
        <v>21.71225806451613</v>
      </c>
      <c r="G13" s="3">
        <f>INDEX(Monthly!$Q:$Q,MATCH("2019-11",Monthly!$A:$A,0))</f>
        <v>20.740666666666662</v>
      </c>
      <c r="H13" s="3">
        <f>INDEX(Monthly!$Q:$Q,MATCH("2019-12",Monthly!$A:$A,0))</f>
        <v>20.900000000000002</v>
      </c>
      <c r="I13" s="3">
        <f>INDEX(Monthly!$Q:$Q,MATCH("2020-01",Monthly!$A:$A,0))</f>
        <v>21.342580645161295</v>
      </c>
      <c r="J13" s="3">
        <f>INDEX(Monthly!$Q:$Q,MATCH("2020-02",Monthly!$A:$A,0))</f>
        <v>22.37758620689655</v>
      </c>
      <c r="K13" s="3">
        <f>INDEX(Monthly!$Q:$Q,MATCH("2020-03",Monthly!$A:$A,0))</f>
        <v>23.615806451612904</v>
      </c>
      <c r="L13" s="3">
        <f>INDEX(Monthly!$Q:$Q,MATCH("2020-04",Monthly!$A:$A,0))</f>
        <v>27.10166666666667</v>
      </c>
      <c r="M13" s="3">
        <f>INDEX(Monthly!$Q:$Q,MATCH("2020-05",Monthly!$A:$A,0))</f>
        <v>24.32967741935484</v>
      </c>
      <c r="N13" s="3">
        <f>INDEX(Monthly!$Q:$Q,MATCH("2020-06",Monthly!$A:$A,0))</f>
        <v>21.985000000000007</v>
      </c>
      <c r="O13" s="18">
        <f>AVERAGE(C13:N13)</f>
        <v>22.983340965270056</v>
      </c>
    </row>
    <row r="14">
      <c r="A14" s="6" t="inlineStr">
        <is>
          <t xml:space="preserve">2023/24</t>
        </is>
      </c>
      <c r="B14" s="6" t="inlineStr">
        <is>
          <t xml:space="preserve">El Niño</t>
        </is>
      </c>
      <c r="C14" s="3">
        <f>INDEX(Monthly!$Q:$Q,MATCH("2023-07",Monthly!$A:$A,0))</f>
        <v>22.586451612903225</v>
      </c>
      <c r="D14" s="3">
        <f>INDEX(Monthly!$Q:$Q,MATCH("2023-08",Monthly!$A:$A,0))</f>
        <v>23.352258064516125</v>
      </c>
      <c r="E14" s="3">
        <f>INDEX(Monthly!$Q:$Q,MATCH("2023-09",Monthly!$A:$A,0))</f>
        <v>23.898000000000007</v>
      </c>
      <c r="F14" s="3">
        <f>INDEX(Monthly!$Q:$Q,MATCH("2023-10",Monthly!$A:$A,0))</f>
        <v>22.467741935483872</v>
      </c>
      <c r="G14" s="3">
        <f>INDEX(Monthly!$Q:$Q,MATCH("2023-11",Monthly!$A:$A,0))</f>
        <v>21.122666666666664</v>
      </c>
      <c r="H14" s="3">
        <f>INDEX(Monthly!$Q:$Q,MATCH("2023-12",Monthly!$A:$A,0))</f>
        <v>20.094516129032254</v>
      </c>
      <c r="I14" s="3">
        <f>INDEX(Monthly!$Q:$Q,MATCH("2024-01",Monthly!$A:$A,0))</f>
        <v>20.74741935483871</v>
      </c>
      <c r="J14" s="3">
        <f>INDEX(Monthly!$Q:$Q,MATCH("2024-02",Monthly!$A:$A,0))</f>
        <v>20.962413793103455</v>
      </c>
      <c r="K14" s="3">
        <f>INDEX(Monthly!$Q:$Q,MATCH("2024-03",Monthly!$A:$A,0))</f>
        <v>25.4841935483871</v>
      </c>
      <c r="L14" s="3">
        <f>INDEX(Monthly!$Q:$Q,MATCH("2024-04",Monthly!$A:$A,0))</f>
        <v>26.005666666666666</v>
      </c>
      <c r="M14" s="3">
        <f>INDEX(Monthly!$Q:$Q,MATCH("2024-05",Monthly!$A:$A,0))</f>
        <v>27.280967741935484</v>
      </c>
      <c r="N14" s="3">
        <f>INDEX(Monthly!$Q:$Q,MATCH("2024-06",Monthly!$A:$A,0))</f>
        <v>23.144000000000002</v>
      </c>
      <c r="O14" s="18">
        <f>AVERAGE(C14:N14)</f>
        <v>23.095524626127798</v>
      </c>
    </row>
    <row r="15">
      <c r="A15" s="11" t="inlineStr">
        <is>
          <t xml:space="preserve">Average El Niño</t>
        </is>
      </c>
      <c r="B15" s="11" t="inlineStr">
        <is>
          <t xml:space="preserve">7 seasons</t>
        </is>
      </c>
      <c r="C15" s="19">
        <f>AVERAGE(C8:C14)</f>
        <v>22.82460829493088</v>
      </c>
      <c r="D15" s="19">
        <f>AVERAGE(D8:D14)</f>
        <v>23.356543778801846</v>
      </c>
      <c r="E15" s="19">
        <f>AVERAGE(E8:E14)</f>
        <v>22.884761904761906</v>
      </c>
      <c r="F15" s="19">
        <f>AVERAGE(F8:F14)</f>
        <v>21.891705069124423</v>
      </c>
      <c r="G15" s="19">
        <f>AVERAGE(G8:G14)</f>
        <v>20.583095238095236</v>
      </c>
      <c r="H15" s="19">
        <f>AVERAGE(H8:H14)</f>
        <v>20.230645161290322</v>
      </c>
      <c r="I15" s="19">
        <f>AVERAGE(I8:I14)</f>
        <v>20.326728110599078</v>
      </c>
      <c r="J15" s="19">
        <f>AVERAGE(J8:J14)</f>
        <v>21.60082336382829</v>
      </c>
      <c r="K15" s="19">
        <f>AVERAGE(K8:K14)</f>
        <v>23.564976958525346</v>
      </c>
      <c r="L15" s="19">
        <f>AVERAGE(L8:L14)</f>
        <v>25.325761904761908</v>
      </c>
      <c r="M15" s="19">
        <f>AVERAGE(M8:M14)</f>
        <v>24.869815668202765</v>
      </c>
      <c r="N15" s="19">
        <f>AVERAGE(N8:N14)</f>
        <v>22.741809523809525</v>
      </c>
      <c r="O15" s="19">
        <f>AVERAGE(C15:N15)</f>
        <v>22.51677291472763</v>
      </c>
    </row>
    <row r="17">
      <c r="A17" s="12" t="inlineStr">
        <is>
          <t xml:space="preserve">La Niña (9 seasons)</t>
        </is>
      </c>
    </row>
    <row r="18">
      <c r="A18" s="5" t="inlineStr">
        <is>
          <t xml:space="preserve">2005/06</t>
        </is>
      </c>
      <c r="B18" s="5" t="inlineStr">
        <is>
          <t xml:space="preserve">La Niña</t>
        </is>
      </c>
      <c r="C18" s="3">
        <f>INDEX(Monthly!$Q:$Q,MATCH("2005-07",Monthly!$A:$A,0))</f>
        <v>22.002258064516123</v>
      </c>
      <c r="D18" s="3">
        <f>INDEX(Monthly!$Q:$Q,MATCH("2005-08",Monthly!$A:$A,0))</f>
        <v>22.35387096774194</v>
      </c>
      <c r="E18" s="3">
        <f>INDEX(Monthly!$Q:$Q,MATCH("2005-09",Monthly!$A:$A,0))</f>
        <v>22.000000000000004</v>
      </c>
      <c r="F18" s="3">
        <f>INDEX(Monthly!$Q:$Q,MATCH("2005-10",Monthly!$A:$A,0))</f>
        <v>20.72870967741936</v>
      </c>
      <c r="G18" s="3">
        <f>INDEX(Monthly!$Q:$Q,MATCH("2005-11",Monthly!$A:$A,0))</f>
        <v>19.75133333333333</v>
      </c>
      <c r="H18" s="3">
        <f>INDEX(Monthly!$Q:$Q,MATCH("2005-12",Monthly!$A:$A,0))</f>
        <v>20.613225806451617</v>
      </c>
      <c r="I18" s="3">
        <f>INDEX(Monthly!$Q:$Q,MATCH("2006-01",Monthly!$A:$A,0))</f>
        <v>20.27</v>
      </c>
      <c r="J18" s="3">
        <f>INDEX(Monthly!$Q:$Q,MATCH("2006-02",Monthly!$A:$A,0))</f>
        <v>20.67892857142857</v>
      </c>
      <c r="K18" s="3">
        <f>INDEX(Monthly!$Q:$Q,MATCH("2006-03",Monthly!$A:$A,0))</f>
        <v>23.187096774193545</v>
      </c>
      <c r="L18" s="3">
        <f>INDEX(Monthly!$Q:$Q,MATCH("2006-04",Monthly!$A:$A,0))</f>
        <v>24.347</v>
      </c>
      <c r="M18" s="3">
        <f>INDEX(Monthly!$Q:$Q,MATCH("2006-05",Monthly!$A:$A,0))</f>
        <v>24.822580645161295</v>
      </c>
      <c r="N18" s="3">
        <f>INDEX(Monthly!$Q:$Q,MATCH("2006-06",Monthly!$A:$A,0))</f>
        <v>22.343666666666675</v>
      </c>
      <c r="O18" s="18">
        <f>AVERAGE(C18:N18)</f>
        <v>21.924889208909374</v>
      </c>
    </row>
    <row r="19">
      <c r="A19" s="5" t="inlineStr">
        <is>
          <t xml:space="preserve">2007/08</t>
        </is>
      </c>
      <c r="B19" s="5" t="inlineStr">
        <is>
          <t xml:space="preserve">La Niña</t>
        </is>
      </c>
      <c r="C19" s="3">
        <f>INDEX(Monthly!$Q:$Q,MATCH("2007-07",Monthly!$A:$A,0))</f>
        <v>22.554838709677423</v>
      </c>
      <c r="D19" s="3">
        <f>INDEX(Monthly!$Q:$Q,MATCH("2007-08",Monthly!$A:$A,0))</f>
        <v>22.38612903225807</v>
      </c>
      <c r="E19" s="3">
        <f>INDEX(Monthly!$Q:$Q,MATCH("2007-09",Monthly!$A:$A,0))</f>
        <v>21.390000000000004</v>
      </c>
      <c r="F19" s="3">
        <f>INDEX(Monthly!$Q:$Q,MATCH("2007-10",Monthly!$A:$A,0))</f>
        <v>20.509032258064508</v>
      </c>
      <c r="G19" s="3">
        <f>INDEX(Monthly!$Q:$Q,MATCH("2007-11",Monthly!$A:$A,0))</f>
        <v>19.098666666666666</v>
      </c>
      <c r="H19" s="3">
        <f>INDEX(Monthly!$Q:$Q,MATCH("2007-12",Monthly!$A:$A,0))</f>
        <v>18.827419354838714</v>
      </c>
      <c r="I19" s="3">
        <f>INDEX(Monthly!$Q:$Q,MATCH("2008-01",Monthly!$A:$A,0))</f>
        <v>19.47677419354839</v>
      </c>
      <c r="J19" s="3">
        <f>INDEX(Monthly!$Q:$Q,MATCH("2008-02",Monthly!$A:$A,0))</f>
        <v>21.523448275862073</v>
      </c>
      <c r="K19" s="3">
        <f>INDEX(Monthly!$Q:$Q,MATCH("2008-03",Monthly!$A:$A,0))</f>
        <v>22.901935483870968</v>
      </c>
      <c r="L19" s="3">
        <f>INDEX(Monthly!$Q:$Q,MATCH("2008-04",Monthly!$A:$A,0))</f>
        <v>24.436666666666664</v>
      </c>
      <c r="M19" s="3">
        <f>INDEX(Monthly!$Q:$Q,MATCH("2008-05",Monthly!$A:$A,0))</f>
        <v>25.06612903225807</v>
      </c>
      <c r="N19" s="3">
        <f>INDEX(Monthly!$Q:$Q,MATCH("2008-06",Monthly!$A:$A,0))</f>
        <v>22.063</v>
      </c>
      <c r="O19" s="18">
        <f>AVERAGE(C19:N19)</f>
        <v>21.686169972809296</v>
      </c>
    </row>
    <row r="20">
      <c r="A20" s="5" t="inlineStr">
        <is>
          <t xml:space="preserve">2008/09</t>
        </is>
      </c>
      <c r="B20" s="5" t="inlineStr">
        <is>
          <t xml:space="preserve">La Niña</t>
        </is>
      </c>
      <c r="C20" s="3">
        <f>INDEX(Monthly!$Q:$Q,MATCH("2008-07",Monthly!$A:$A,0))</f>
        <v>20.92032258064516</v>
      </c>
      <c r="D20" s="3">
        <f>INDEX(Monthly!$Q:$Q,MATCH("2008-08",Monthly!$A:$A,0))</f>
        <v>21.499354838709678</v>
      </c>
      <c r="E20" s="3">
        <f>INDEX(Monthly!$Q:$Q,MATCH("2008-09",Monthly!$A:$A,0))</f>
        <v>21.823666666666668</v>
      </c>
      <c r="F20" s="3">
        <f>INDEX(Monthly!$Q:$Q,MATCH("2008-10",Monthly!$A:$A,0))</f>
        <v>20.55548387096774</v>
      </c>
      <c r="G20" s="3">
        <f>INDEX(Monthly!$Q:$Q,MATCH("2008-11",Monthly!$A:$A,0))</f>
        <v>18.329333333333334</v>
      </c>
      <c r="H20" s="3">
        <f>INDEX(Monthly!$Q:$Q,MATCH("2008-12",Monthly!$A:$A,0))</f>
        <v>18.084193548387102</v>
      </c>
      <c r="I20" s="3">
        <f>INDEX(Monthly!$Q:$Q,MATCH("2009-01",Monthly!$A:$A,0))</f>
        <v>18.124838709677416</v>
      </c>
      <c r="J20" s="3">
        <f>INDEX(Monthly!$Q:$Q,MATCH("2009-02",Monthly!$A:$A,0))</f>
        <v>19.190714285714286</v>
      </c>
      <c r="K20" s="3">
        <f>INDEX(Monthly!$Q:$Q,MATCH("2009-03",Monthly!$A:$A,0))</f>
        <v>20.811612903225804</v>
      </c>
      <c r="L20" s="3">
        <f>INDEX(Monthly!$Q:$Q,MATCH("2009-04",Monthly!$A:$A,0))</f>
        <v>24.516000000000002</v>
      </c>
      <c r="M20" s="3">
        <f>INDEX(Monthly!$Q:$Q,MATCH("2009-05",Monthly!$A:$A,0))</f>
        <v>23.329032258064515</v>
      </c>
      <c r="N20" s="3">
        <f>INDEX(Monthly!$Q:$Q,MATCH("2009-06",Monthly!$A:$A,0))</f>
        <v>22.43133333333333</v>
      </c>
      <c r="O20" s="18">
        <f>AVERAGE(C20:N20)</f>
        <v>20.801323860727084</v>
      </c>
    </row>
    <row r="21">
      <c r="A21" s="5" t="inlineStr">
        <is>
          <t xml:space="preserve">2010/11</t>
        </is>
      </c>
      <c r="B21" s="5" t="inlineStr">
        <is>
          <t xml:space="preserve">La Niña</t>
        </is>
      </c>
      <c r="C21" s="3">
        <f>INDEX(Monthly!$Q:$Q,MATCH("2010-07",Monthly!$A:$A,0))</f>
        <v>21.72290322580646</v>
      </c>
      <c r="D21" s="3">
        <f>INDEX(Monthly!$Q:$Q,MATCH("2010-08",Monthly!$A:$A,0))</f>
        <v>21.82709677419355</v>
      </c>
      <c r="E21" s="3">
        <f>INDEX(Monthly!$Q:$Q,MATCH("2010-09",Monthly!$A:$A,0))</f>
        <v>21.644999999999996</v>
      </c>
      <c r="F21" s="3">
        <f>INDEX(Monthly!$Q:$Q,MATCH("2010-10",Monthly!$A:$A,0))</f>
        <v>19.763548387096776</v>
      </c>
      <c r="G21" s="3">
        <f>INDEX(Monthly!$Q:$Q,MATCH("2010-11",Monthly!$A:$A,0))</f>
        <v>18.627666666666666</v>
      </c>
      <c r="H21" s="3">
        <f>INDEX(Monthly!$Q:$Q,MATCH("2010-12",Monthly!$A:$A,0))</f>
        <v>17.037096774193547</v>
      </c>
      <c r="I21" s="3">
        <f>INDEX(Monthly!$Q:$Q,MATCH("2011-01",Monthly!$A:$A,0))</f>
        <v>19.704516129032257</v>
      </c>
      <c r="J21" s="3">
        <f>INDEX(Monthly!$Q:$Q,MATCH("2011-02",Monthly!$A:$A,0))</f>
        <v>20.911071428571432</v>
      </c>
      <c r="K21" s="3">
        <f>INDEX(Monthly!$Q:$Q,MATCH("2011-03",Monthly!$A:$A,0))</f>
        <v>21.889354838709675</v>
      </c>
      <c r="L21" s="3">
        <f>INDEX(Monthly!$Q:$Q,MATCH("2011-04",Monthly!$A:$A,0))</f>
        <v>24.286333333333324</v>
      </c>
      <c r="M21" s="3">
        <f>INDEX(Monthly!$Q:$Q,MATCH("2011-05",Monthly!$A:$A,0))</f>
        <v>24.112580645161295</v>
      </c>
      <c r="N21" s="3">
        <f>INDEX(Monthly!$Q:$Q,MATCH("2011-06",Monthly!$A:$A,0))</f>
        <v>22.604</v>
      </c>
      <c r="O21" s="18">
        <f>AVERAGE(C21:N21)</f>
        <v>21.177597350230414</v>
      </c>
    </row>
    <row r="22">
      <c r="A22" s="5" t="inlineStr">
        <is>
          <t xml:space="preserve">2011/12</t>
        </is>
      </c>
      <c r="B22" s="5" t="inlineStr">
        <is>
          <t xml:space="preserve">La Niña</t>
        </is>
      </c>
      <c r="C22" s="3">
        <f>INDEX(Monthly!$Q:$Q,MATCH("2011-07",Monthly!$A:$A,0))</f>
        <v>21.600967741935484</v>
      </c>
      <c r="D22" s="3">
        <f>INDEX(Monthly!$Q:$Q,MATCH("2011-08",Monthly!$A:$A,0))</f>
        <v>22.11935483870968</v>
      </c>
      <c r="E22" s="3">
        <f>INDEX(Monthly!$Q:$Q,MATCH("2011-09",Monthly!$A:$A,0))</f>
        <v>21.697999999999993</v>
      </c>
      <c r="F22" s="3">
        <f>INDEX(Monthly!$Q:$Q,MATCH("2011-10",Monthly!$A:$A,0))</f>
        <v>19.907096774193548</v>
      </c>
      <c r="G22" s="3">
        <f>INDEX(Monthly!$Q:$Q,MATCH("2011-11",Monthly!$A:$A,0))</f>
        <v>18.920333333333335</v>
      </c>
      <c r="H22" s="3">
        <f>INDEX(Monthly!$Q:$Q,MATCH("2011-12",Monthly!$A:$A,0))</f>
        <v>18.1658064516129</v>
      </c>
      <c r="I22" s="3">
        <f>INDEX(Monthly!$Q:$Q,MATCH("2012-01",Monthly!$A:$A,0))</f>
        <v>18.992258064516125</v>
      </c>
      <c r="J22" s="3">
        <f>INDEX(Monthly!$Q:$Q,MATCH("2012-02",Monthly!$A:$A,0))</f>
        <v>21.104482758620687</v>
      </c>
      <c r="K22" s="3">
        <f>INDEX(Monthly!$Q:$Q,MATCH("2012-03",Monthly!$A:$A,0))</f>
        <v>22.529677419354837</v>
      </c>
      <c r="L22" s="3">
        <f>INDEX(Monthly!$Q:$Q,MATCH("2012-04",Monthly!$A:$A,0))</f>
        <v>23.510666666666662</v>
      </c>
      <c r="M22" s="3">
        <f>INDEX(Monthly!$Q:$Q,MATCH("2012-05",Monthly!$A:$A,0))</f>
        <v>23.38677419354839</v>
      </c>
      <c r="N22" s="3">
        <f>INDEX(Monthly!$Q:$Q,MATCH("2012-06",Monthly!$A:$A,0))</f>
        <v>22.377000000000002</v>
      </c>
      <c r="O22" s="18">
        <f>AVERAGE(C22:N22)</f>
        <v>21.19270152020764</v>
      </c>
    </row>
    <row r="23">
      <c r="A23" s="5" t="inlineStr">
        <is>
          <t xml:space="preserve">2017/18</t>
        </is>
      </c>
      <c r="B23" s="5" t="inlineStr">
        <is>
          <t xml:space="preserve">La Niña</t>
        </is>
      </c>
      <c r="C23" s="3">
        <f>INDEX(Monthly!$Q:$Q,MATCH("2017-07",Monthly!$A:$A,0))</f>
        <v>21.60548387096775</v>
      </c>
      <c r="D23" s="3">
        <f>INDEX(Monthly!$Q:$Q,MATCH("2017-08",Monthly!$A:$A,0))</f>
        <v>21.97032258064516</v>
      </c>
      <c r="E23" s="3">
        <f>INDEX(Monthly!$Q:$Q,MATCH("2017-09",Monthly!$A:$A,0))</f>
        <v>21.968999999999998</v>
      </c>
      <c r="F23" s="3">
        <f>INDEX(Monthly!$Q:$Q,MATCH("2017-10",Monthly!$A:$A,0))</f>
        <v>21.00064516129032</v>
      </c>
      <c r="G23" s="3">
        <f>INDEX(Monthly!$Q:$Q,MATCH("2017-11",Monthly!$A:$A,0))</f>
        <v>19.25966666666666</v>
      </c>
      <c r="H23" s="3">
        <f>INDEX(Monthly!$Q:$Q,MATCH("2017-12",Monthly!$A:$A,0))</f>
        <v>18.38451612903226</v>
      </c>
      <c r="I23" s="3">
        <f>INDEX(Monthly!$Q:$Q,MATCH("2018-01",Monthly!$A:$A,0))</f>
        <v>17.995161290322578</v>
      </c>
      <c r="J23" s="3">
        <f>INDEX(Monthly!$Q:$Q,MATCH("2018-02",Monthly!$A:$A,0))</f>
        <v>20.155</v>
      </c>
      <c r="K23" s="3">
        <f>INDEX(Monthly!$Q:$Q,MATCH("2018-03",Monthly!$A:$A,0))</f>
        <v>22.891612903225802</v>
      </c>
      <c r="L23" s="3">
        <f>INDEX(Monthly!$Q:$Q,MATCH("2018-04",Monthly!$A:$A,0))</f>
        <v>24.055333333333337</v>
      </c>
      <c r="M23" s="3">
        <f>INDEX(Monthly!$Q:$Q,MATCH("2018-05",Monthly!$A:$A,0))</f>
        <v>23.823225806451614</v>
      </c>
      <c r="N23" s="3">
        <f>INDEX(Monthly!$Q:$Q,MATCH("2018-06",Monthly!$A:$A,0))</f>
        <v>21.63766666666667</v>
      </c>
      <c r="O23" s="18">
        <f>AVERAGE(C23:N23)</f>
        <v>21.228969534050176</v>
      </c>
    </row>
    <row r="24">
      <c r="A24" s="5" t="inlineStr">
        <is>
          <t xml:space="preserve">2020/21</t>
        </is>
      </c>
      <c r="B24" s="5" t="inlineStr">
        <is>
          <t xml:space="preserve">La Niña</t>
        </is>
      </c>
      <c r="C24" s="3">
        <f>INDEX(Monthly!$Q:$Q,MATCH("2020-07",Monthly!$A:$A,0))</f>
        <v>22.038064516129026</v>
      </c>
      <c r="D24" s="3">
        <f>INDEX(Monthly!$Q:$Q,MATCH("2020-08",Monthly!$A:$A,0))</f>
        <v>22.056129032258063</v>
      </c>
      <c r="E24" s="3">
        <f>INDEX(Monthly!$Q:$Q,MATCH("2020-09",Monthly!$A:$A,0))</f>
        <v>22.277333333333324</v>
      </c>
      <c r="F24" s="3">
        <f>INDEX(Monthly!$Q:$Q,MATCH("2020-10",Monthly!$A:$A,0))</f>
        <v>21.298387096774192</v>
      </c>
      <c r="G24" s="3">
        <f>INDEX(Monthly!$Q:$Q,MATCH("2020-11",Monthly!$A:$A,0))</f>
        <v>20.58000000000001</v>
      </c>
      <c r="H24" s="3">
        <f>INDEX(Monthly!$Q:$Q,MATCH("2020-12",Monthly!$A:$A,0))</f>
        <v>18.61774193548387</v>
      </c>
      <c r="I24" s="3">
        <f>INDEX(Monthly!$Q:$Q,MATCH("2021-01",Monthly!$A:$A,0))</f>
        <v>18.839354838709678</v>
      </c>
      <c r="J24" s="3">
        <f>INDEX(Monthly!$Q:$Q,MATCH("2021-02",Monthly!$A:$A,0))</f>
        <v>19.291785714285712</v>
      </c>
      <c r="K24" s="3">
        <f>INDEX(Monthly!$Q:$Q,MATCH("2021-03",Monthly!$A:$A,0))</f>
        <v>20.16709677419355</v>
      </c>
      <c r="L24" s="3">
        <f>INDEX(Monthly!$Q:$Q,MATCH("2021-04",Monthly!$A:$A,0))</f>
        <v>22.113333333333333</v>
      </c>
      <c r="M24" s="3">
        <f>INDEX(Monthly!$Q:$Q,MATCH("2021-05",Monthly!$A:$A,0))</f>
        <v>23.18870967741936</v>
      </c>
      <c r="N24" s="3">
        <f>INDEX(Monthly!$Q:$Q,MATCH("2021-06",Monthly!$A:$A,0))</f>
        <v>22.597666666666665</v>
      </c>
      <c r="O24" s="18">
        <f>AVERAGE(C24:N24)</f>
        <v>21.088800243215566</v>
      </c>
    </row>
    <row r="25">
      <c r="A25" s="5" t="inlineStr">
        <is>
          <t xml:space="preserve">2021/22</t>
        </is>
      </c>
      <c r="B25" s="5" t="inlineStr">
        <is>
          <t xml:space="preserve">La Niña</t>
        </is>
      </c>
      <c r="C25" s="3">
        <f>INDEX(Monthly!$Q:$Q,MATCH("2021-07",Monthly!$A:$A,0))</f>
        <v>22.078387096774193</v>
      </c>
      <c r="D25" s="3">
        <f>INDEX(Monthly!$Q:$Q,MATCH("2021-08",Monthly!$A:$A,0))</f>
        <v>22.102580645161286</v>
      </c>
      <c r="E25" s="3">
        <f>INDEX(Monthly!$Q:$Q,MATCH("2021-09",Monthly!$A:$A,0))</f>
        <v>22.14166666666667</v>
      </c>
      <c r="F25" s="3">
        <f>INDEX(Monthly!$Q:$Q,MATCH("2021-10",Monthly!$A:$A,0))</f>
        <v>21.95483870967742</v>
      </c>
      <c r="G25" s="3">
        <f>INDEX(Monthly!$Q:$Q,MATCH("2021-11",Monthly!$A:$A,0))</f>
        <v>19.435333333333332</v>
      </c>
      <c r="H25" s="3">
        <f>INDEX(Monthly!$Q:$Q,MATCH("2021-12",Monthly!$A:$A,0))</f>
        <v>19.470645161290328</v>
      </c>
      <c r="I25" s="3">
        <f>INDEX(Monthly!$Q:$Q,MATCH("2022-01",Monthly!$A:$A,0))</f>
        <v>19.239354838709676</v>
      </c>
      <c r="J25" s="3">
        <f>INDEX(Monthly!$Q:$Q,MATCH("2022-02",Monthly!$A:$A,0))</f>
        <v>19.797499999999996</v>
      </c>
      <c r="K25" s="3">
        <f>INDEX(Monthly!$Q:$Q,MATCH("2022-03",Monthly!$A:$A,0))</f>
        <v>22.239032258064515</v>
      </c>
      <c r="L25" s="3">
        <f>INDEX(Monthly!$Q:$Q,MATCH("2022-04",Monthly!$A:$A,0))</f>
        <v>24.002</v>
      </c>
      <c r="M25" s="3">
        <f>INDEX(Monthly!$Q:$Q,MATCH("2022-05",Monthly!$A:$A,0))</f>
        <v>23.129354838709677</v>
      </c>
      <c r="N25" s="3">
        <f>INDEX(Monthly!$Q:$Q,MATCH("2022-06",Monthly!$A:$A,0))</f>
        <v>21.36266666666667</v>
      </c>
      <c r="O25" s="18">
        <f>AVERAGE(C25:N25)</f>
        <v>21.412780017921147</v>
      </c>
    </row>
    <row r="26">
      <c r="A26" s="5" t="inlineStr">
        <is>
          <t xml:space="preserve">2022/23</t>
        </is>
      </c>
      <c r="B26" s="5" t="inlineStr">
        <is>
          <t xml:space="preserve">La Niña</t>
        </is>
      </c>
      <c r="C26" s="3">
        <f>INDEX(Monthly!$Q:$Q,MATCH("2022-07",Monthly!$A:$A,0))</f>
        <v>21.585483870967746</v>
      </c>
      <c r="D26" s="3">
        <f>INDEX(Monthly!$Q:$Q,MATCH("2022-08",Monthly!$A:$A,0))</f>
        <v>21.689677419354833</v>
      </c>
      <c r="E26" s="3">
        <f>INDEX(Monthly!$Q:$Q,MATCH("2022-09",Monthly!$A:$A,0))</f>
        <v>21.65433333333333</v>
      </c>
      <c r="F26" s="3">
        <f>INDEX(Monthly!$Q:$Q,MATCH("2022-10",Monthly!$A:$A,0))</f>
        <v>21.317096774193548</v>
      </c>
      <c r="G26" s="3">
        <f>INDEX(Monthly!$Q:$Q,MATCH("2022-11",Monthly!$A:$A,0))</f>
        <v>20.480000000000004</v>
      </c>
      <c r="H26" s="3">
        <f>INDEX(Monthly!$Q:$Q,MATCH("2022-12",Monthly!$A:$A,0))</f>
        <v>18.74129032258065</v>
      </c>
      <c r="I26" s="3">
        <f>INDEX(Monthly!$Q:$Q,MATCH("2023-01",Monthly!$A:$A,0))</f>
        <v>18.810967741935478</v>
      </c>
      <c r="J26" s="3">
        <f>INDEX(Monthly!$Q:$Q,MATCH("2023-02",Monthly!$A:$A,0))</f>
        <v>19.983571428571427</v>
      </c>
      <c r="K26" s="3">
        <f>INDEX(Monthly!$Q:$Q,MATCH("2023-03",Monthly!$A:$A,0))</f>
        <v>22.793548387096774</v>
      </c>
      <c r="L26" s="3">
        <f>INDEX(Monthly!$Q:$Q,MATCH("2023-04",Monthly!$A:$A,0))</f>
        <v>24.466333333333335</v>
      </c>
      <c r="M26" s="3">
        <f>INDEX(Monthly!$Q:$Q,MATCH("2023-05",Monthly!$A:$A,0))</f>
        <v>24.870967741935484</v>
      </c>
      <c r="N26" s="3">
        <f>INDEX(Monthly!$Q:$Q,MATCH("2023-06",Monthly!$A:$A,0))</f>
        <v>23.17</v>
      </c>
      <c r="O26" s="18">
        <f>AVERAGE(C26:N26)</f>
        <v>21.630272529441882</v>
      </c>
    </row>
    <row r="27">
      <c r="A27" s="12" t="inlineStr">
        <is>
          <t xml:space="preserve">Average La Niña</t>
        </is>
      </c>
      <c r="B27" s="12" t="inlineStr">
        <is>
          <t xml:space="preserve">9 seasons</t>
        </is>
      </c>
      <c r="C27" s="20">
        <f>AVERAGE(C18:C26)</f>
        <v>21.789856630824374</v>
      </c>
      <c r="D27" s="20">
        <f>AVERAGE(D18:D26)</f>
        <v>22.000501792114694</v>
      </c>
      <c r="E27" s="20">
        <f>AVERAGE(E18:E26)</f>
        <v>21.84433333333333</v>
      </c>
      <c r="F27" s="20">
        <f>AVERAGE(F18:F26)</f>
        <v>20.781648745519714</v>
      </c>
      <c r="G27" s="20">
        <f>AVERAGE(G18:G26)</f>
        <v>19.386925925925926</v>
      </c>
      <c r="H27" s="20">
        <f>AVERAGE(H18:H26)</f>
        <v>18.660215053763444</v>
      </c>
      <c r="I27" s="20">
        <f>AVERAGE(I18:I26)</f>
        <v>19.050358422939066</v>
      </c>
      <c r="J27" s="20">
        <f>AVERAGE(J18:J26)</f>
        <v>20.29294471811713</v>
      </c>
      <c r="K27" s="20">
        <f>AVERAGE(K18:K26)</f>
        <v>22.156774193548387</v>
      </c>
      <c r="L27" s="20">
        <f>AVERAGE(L18:L26)</f>
        <v>23.970407407407407</v>
      </c>
      <c r="M27" s="20">
        <f>AVERAGE(M18:M26)</f>
        <v>23.96992831541219</v>
      </c>
      <c r="N27" s="20">
        <f>AVERAGE(N18:N26)</f>
        <v>22.287444444444446</v>
      </c>
      <c r="O27" s="20">
        <f>AVERAGE(C27:N27)</f>
        <v>21.34927824861251</v>
      </c>
    </row>
    <row r="29">
      <c r="A29" s="8" t="inlineStr">
        <is>
          <t xml:space="preserve">Neutral (4 seasons)</t>
        </is>
      </c>
    </row>
    <row r="30">
      <c r="A30" s="21" t="inlineStr">
        <is>
          <t xml:space="preserve">2012/13</t>
        </is>
      </c>
      <c r="B30" s="21" t="inlineStr">
        <is>
          <t xml:space="preserve">Neutral</t>
        </is>
      </c>
      <c r="C30" s="3">
        <f>INDEX(Monthly!$Q:$Q,MATCH("2012-07",Monthly!$A:$A,0))</f>
        <v>22.291612903225808</v>
      </c>
      <c r="D30" s="3">
        <f>INDEX(Monthly!$Q:$Q,MATCH("2012-08",Monthly!$A:$A,0))</f>
        <v>22.382903225806455</v>
      </c>
      <c r="E30" s="3">
        <f>INDEX(Monthly!$Q:$Q,MATCH("2012-09",Monthly!$A:$A,0))</f>
        <v>21.88033333333334</v>
      </c>
      <c r="F30" s="3">
        <f>INDEX(Monthly!$Q:$Q,MATCH("2012-10",Monthly!$A:$A,0))</f>
        <v>20.748709677419356</v>
      </c>
      <c r="G30" s="3">
        <f>INDEX(Monthly!$Q:$Q,MATCH("2012-11",Monthly!$A:$A,0))</f>
        <v>18.62366666666666</v>
      </c>
      <c r="H30" s="3">
        <f>INDEX(Monthly!$Q:$Q,MATCH("2012-12",Monthly!$A:$A,0))</f>
        <v>19.63516129032258</v>
      </c>
      <c r="I30" s="3">
        <f>INDEX(Monthly!$Q:$Q,MATCH("2013-01",Monthly!$A:$A,0))</f>
        <v>20.003870967741932</v>
      </c>
      <c r="J30" s="3">
        <f>INDEX(Monthly!$Q:$Q,MATCH("2013-02",Monthly!$A:$A,0))</f>
        <v>21.887142857142855</v>
      </c>
      <c r="K30" s="3">
        <f>INDEX(Monthly!$Q:$Q,MATCH("2013-03",Monthly!$A:$A,0))</f>
        <v>21.816774193548376</v>
      </c>
      <c r="L30" s="3">
        <f>INDEX(Monthly!$Q:$Q,MATCH("2013-04",Monthly!$A:$A,0))</f>
        <v>25.029666666666667</v>
      </c>
      <c r="M30" s="3">
        <f>INDEX(Monthly!$Q:$Q,MATCH("2013-05",Monthly!$A:$A,0))</f>
        <v>23.851612903225803</v>
      </c>
      <c r="N30" s="3">
        <f>INDEX(Monthly!$Q:$Q,MATCH("2013-06",Monthly!$A:$A,0))</f>
        <v>22.17833333333333</v>
      </c>
      <c r="O30" s="18">
        <f>AVERAGE(C30:N30)</f>
        <v>21.6941490015361</v>
      </c>
    </row>
    <row r="31">
      <c r="A31" s="21" t="inlineStr">
        <is>
          <t xml:space="preserve">2013/14</t>
        </is>
      </c>
      <c r="B31" s="21" t="inlineStr">
        <is>
          <t xml:space="preserve">Neutral</t>
        </is>
      </c>
      <c r="C31" s="3">
        <f>INDEX(Monthly!$Q:$Q,MATCH("2013-07",Monthly!$A:$A,0))</f>
        <v>22.00193548387097</v>
      </c>
      <c r="D31" s="3">
        <f>INDEX(Monthly!$Q:$Q,MATCH("2013-08",Monthly!$A:$A,0))</f>
        <v>22.588064516129034</v>
      </c>
      <c r="E31" s="3">
        <f>INDEX(Monthly!$Q:$Q,MATCH("2013-09",Monthly!$A:$A,0))</f>
        <v>21.831333333333337</v>
      </c>
      <c r="F31" s="3">
        <f>INDEX(Monthly!$Q:$Q,MATCH("2013-10",Monthly!$A:$A,0))</f>
        <v>21.30774193548387</v>
      </c>
      <c r="G31" s="3">
        <f>INDEX(Monthly!$Q:$Q,MATCH("2013-11",Monthly!$A:$A,0))</f>
        <v>19.931333333333335</v>
      </c>
      <c r="H31" s="3">
        <f>INDEX(Monthly!$Q:$Q,MATCH("2013-12",Monthly!$A:$A,0))</f>
        <v>19.253548387096775</v>
      </c>
      <c r="I31" s="3">
        <f>INDEX(Monthly!$Q:$Q,MATCH("2014-01",Monthly!$A:$A,0))</f>
        <v>18.579354838709683</v>
      </c>
      <c r="J31" s="3">
        <f>INDEX(Monthly!$Q:$Q,MATCH("2014-02",Monthly!$A:$A,0))</f>
        <v>21.285</v>
      </c>
      <c r="K31" s="3">
        <f>INDEX(Monthly!$Q:$Q,MATCH("2014-03",Monthly!$A:$A,0))</f>
        <v>23.762258064516125</v>
      </c>
      <c r="L31" s="3">
        <f>INDEX(Monthly!$Q:$Q,MATCH("2014-04",Monthly!$A:$A,0))</f>
        <v>25.248</v>
      </c>
      <c r="M31" s="3">
        <f>INDEX(Monthly!$Q:$Q,MATCH("2014-05",Monthly!$A:$A,0))</f>
        <v>24.043870967741938</v>
      </c>
      <c r="N31" s="3">
        <f>INDEX(Monthly!$Q:$Q,MATCH("2014-06",Monthly!$A:$A,0))</f>
        <v>23.156999999999996</v>
      </c>
      <c r="O31" s="18">
        <f>AVERAGE(C31:N31)</f>
        <v>21.915786738351255</v>
      </c>
    </row>
    <row r="32">
      <c r="A32" s="21" t="inlineStr">
        <is>
          <t xml:space="preserve">2016/17</t>
        </is>
      </c>
      <c r="B32" s="21" t="inlineStr">
        <is>
          <t xml:space="preserve">Neutral</t>
        </is>
      </c>
      <c r="C32" s="3">
        <f>INDEX(Monthly!$Q:$Q,MATCH("2016-07",Monthly!$A:$A,0))</f>
        <v>22.888709677419353</v>
      </c>
      <c r="D32" s="3">
        <f>INDEX(Monthly!$Q:$Q,MATCH("2016-08",Monthly!$A:$A,0))</f>
        <v>22.986129032258063</v>
      </c>
      <c r="E32" s="3">
        <f>INDEX(Monthly!$Q:$Q,MATCH("2016-09",Monthly!$A:$A,0))</f>
        <v>22.424666666666667</v>
      </c>
      <c r="F32" s="3">
        <f>INDEX(Monthly!$Q:$Q,MATCH("2016-10",Monthly!$A:$A,0))</f>
        <v>21.35516129032258</v>
      </c>
      <c r="G32" s="3">
        <f>INDEX(Monthly!$Q:$Q,MATCH("2016-11",Monthly!$A:$A,0))</f>
        <v>20.351</v>
      </c>
      <c r="H32" s="3">
        <f>INDEX(Monthly!$Q:$Q,MATCH("2016-12",Monthly!$A:$A,0))</f>
        <v>20.567419354838712</v>
      </c>
      <c r="I32" s="3">
        <f>INDEX(Monthly!$Q:$Q,MATCH("2017-01",Monthly!$A:$A,0))</f>
        <v>20.069032258064517</v>
      </c>
      <c r="J32" s="3">
        <f>INDEX(Monthly!$Q:$Q,MATCH("2017-02",Monthly!$A:$A,0))</f>
        <v>22.255357142857143</v>
      </c>
      <c r="K32" s="3">
        <f>INDEX(Monthly!$Q:$Q,MATCH("2017-03",Monthly!$A:$A,0))</f>
        <v>22.44</v>
      </c>
      <c r="L32" s="3">
        <f>INDEX(Monthly!$Q:$Q,MATCH("2017-04",Monthly!$A:$A,0))</f>
        <v>24.981333333333332</v>
      </c>
      <c r="M32" s="3">
        <f>INDEX(Monthly!$Q:$Q,MATCH("2017-05",Monthly!$A:$A,0))</f>
        <v>23.623548387096776</v>
      </c>
      <c r="N32" s="3">
        <f>INDEX(Monthly!$Q:$Q,MATCH("2017-06",Monthly!$A:$A,0))</f>
        <v>22.416999999999998</v>
      </c>
      <c r="O32" s="18">
        <f>AVERAGE(C32:N32)</f>
        <v>22.196613095238096</v>
      </c>
    </row>
    <row r="33">
      <c r="A33" s="21" t="inlineStr">
        <is>
          <t xml:space="preserve">2024/25</t>
        </is>
      </c>
      <c r="B33" s="21" t="inlineStr">
        <is>
          <t xml:space="preserve">Neutral</t>
        </is>
      </c>
      <c r="C33" s="3">
        <f>INDEX(Monthly!$Q:$Q,MATCH("2024-07",Monthly!$A:$A,0))</f>
        <v>22.366451612903226</v>
      </c>
      <c r="D33" s="3">
        <f>INDEX(Monthly!$Q:$Q,MATCH("2024-08",Monthly!$A:$A,0))</f>
        <v>22.525483870967744</v>
      </c>
      <c r="E33" s="3">
        <f>INDEX(Monthly!$Q:$Q,MATCH("2024-09",Monthly!$A:$A,0))</f>
        <v>22.813999999999997</v>
      </c>
      <c r="F33" s="3">
        <f>INDEX(Monthly!$Q:$Q,MATCH("2024-10",Monthly!$A:$A,0))</f>
        <v>21.645483870967738</v>
      </c>
      <c r="G33" s="3">
        <f>INDEX(Monthly!$Q:$Q,MATCH("2024-11",Monthly!$A:$A,0))</f>
        <v>20.538333333333338</v>
      </c>
      <c r="H33" s="3">
        <f>INDEX(Monthly!$Q:$Q,MATCH("2024-12",Monthly!$A:$A,0))</f>
        <v>19.526451612903227</v>
      </c>
      <c r="I33" s="3">
        <f>INDEX(Monthly!$Q:$Q,MATCH("2025-01",Monthly!$A:$A,0))</f>
        <v>19.190322580645162</v>
      </c>
      <c r="J33" s="3">
        <f>INDEX(Monthly!$Q:$Q,MATCH("2025-02",Monthly!$A:$A,0))</f>
        <v>20.02</v>
      </c>
      <c r="K33" s="3">
        <f>INDEX(Monthly!$Q:$Q,MATCH("2025-03",Monthly!$A:$A,0))</f>
        <v>22.07225806451613</v>
      </c>
      <c r="L33" s="3">
        <f>INDEX(Monthly!$Q:$Q,MATCH("2025-04",Monthly!$A:$A,0))</f>
        <v>21.93766666666666</v>
      </c>
      <c r="M33" s="3">
        <f>INDEX(Monthly!$Q:$Q,MATCH("2025-05",Monthly!$A:$A,0))</f>
        <v>24.80645161290322</v>
      </c>
      <c r="N33" s="3">
        <f>INDEX(Monthly!$Q:$Q,MATCH("2025-06",Monthly!$A:$A,0))</f>
        <v>22.261999999999997</v>
      </c>
      <c r="O33" s="18">
        <f>AVERAGE(C33:N33)</f>
        <v>21.642075268817205</v>
      </c>
    </row>
    <row r="34">
      <c r="A34" s="8" t="inlineStr">
        <is>
          <t xml:space="preserve">Average Neutral</t>
        </is>
      </c>
      <c r="B34" s="8" t="inlineStr">
        <is>
          <t xml:space="preserve">4 seasons</t>
        </is>
      </c>
      <c r="C34" s="22">
        <f>AVERAGE(C30:C33)</f>
        <v>22.38717741935484</v>
      </c>
      <c r="D34" s="22">
        <f>AVERAGE(D30:D33)</f>
        <v>22.620645161290323</v>
      </c>
      <c r="E34" s="22">
        <f>AVERAGE(E30:E33)</f>
        <v>22.237583333333333</v>
      </c>
      <c r="F34" s="22">
        <f>AVERAGE(F30:F33)</f>
        <v>21.26427419354839</v>
      </c>
      <c r="G34" s="22">
        <f>AVERAGE(G30:G33)</f>
        <v>19.861083333333333</v>
      </c>
      <c r="H34" s="22">
        <f>AVERAGE(H30:H33)</f>
        <v>19.745645161290323</v>
      </c>
      <c r="I34" s="22">
        <f>AVERAGE(I30:I33)</f>
        <v>19.460645161290323</v>
      </c>
      <c r="J34" s="22">
        <f>AVERAGE(J30:J33)</f>
        <v>21.361874999999998</v>
      </c>
      <c r="K34" s="22">
        <f>AVERAGE(K30:K33)</f>
        <v>22.52282258064516</v>
      </c>
      <c r="L34" s="22">
        <f>AVERAGE(L30:L33)</f>
        <v>24.299166666666665</v>
      </c>
      <c r="M34" s="22">
        <f>AVERAGE(M30:M33)</f>
        <v>24.081370967741933</v>
      </c>
      <c r="N34" s="22">
        <f>AVERAGE(N30:N33)</f>
        <v>22.50358333333333</v>
      </c>
      <c r="O34" s="22">
        <f>AVERAGE(C34:N34)</f>
        <v>21.862156025985662</v>
      </c>
    </row>
    <row r="36">
      <c r="A36" s="23" t="inlineStr">
        <is>
          <t xml:space="preserve">After the photo window (not in the averages)</t>
        </is>
      </c>
    </row>
    <row r="37">
      <c r="A37" s="21" t="inlineStr">
        <is>
          <t xml:space="preserve">2025/26</t>
        </is>
      </c>
      <c r="B37" s="21" t="inlineStr">
        <is>
          <t xml:space="preserve">Neutral</t>
        </is>
      </c>
      <c r="C37" s="3">
        <f>INDEX(Monthly!$Q:$Q,MATCH("2025-07",Monthly!$A:$A,0))</f>
        <v>22.038709677419355</v>
      </c>
      <c r="D37" s="3">
        <f>INDEX(Monthly!$Q:$Q,MATCH("2025-08",Monthly!$A:$A,0))</f>
        <v>22.72258064516129</v>
      </c>
      <c r="E37" s="3">
        <f>INDEX(Monthly!$Q:$Q,MATCH("2025-09",Monthly!$A:$A,0))</f>
        <v>22.457333333333338</v>
      </c>
      <c r="F37" s="3">
        <f>INDEX(Monthly!$Q:$Q,MATCH("2025-10",Monthly!$A:$A,0))</f>
        <v>21.337419354838712</v>
      </c>
      <c r="G37" s="3">
        <f>INDEX(Monthly!$Q:$Q,MATCH("2025-11",Monthly!$A:$A,0))</f>
        <v>20.172</v>
      </c>
      <c r="H37" s="3">
        <f>INDEX(Monthly!$Q:$Q,MATCH("2025-12",Monthly!$A:$A,0))</f>
        <v>19.831612903225796</v>
      </c>
      <c r="I37" s="3">
        <f>INDEX(Monthly!$Q:$Q,MATCH("2026-01",Monthly!$A:$A,0))</f>
        <v>19.039032258064513</v>
      </c>
      <c r="J37" s="3">
        <f>INDEX(Monthly!$Q:$Q,MATCH("2026-02",Monthly!$A:$A,0))</f>
        <v>18.859285714285722</v>
      </c>
      <c r="K37" s="3">
        <f>INDEX(Monthly!$Q:$Q,MATCH("2026-03",Monthly!$A:$A,0))</f>
        <v>21.568387096774195</v>
      </c>
      <c r="L37" s="3">
        <f>INDEX(Monthly!$Q:$Q,MATCH("2026-04",Monthly!$A:$A,0))</f>
        <v>21.735000000000003</v>
      </c>
      <c r="M37" s="3">
        <f>INDEX(Monthly!$Q:$Q,MATCH("2026-05",Monthly!$A:$A,0))</f>
        <v>24.451935483870965</v>
      </c>
      <c r="N37" s="3">
        <f>INDEX(Monthly!$Q:$Q,MATCH("2026-06",Monthly!$A:$A,0))</f>
        <v>23.448666666666664</v>
      </c>
      <c r="O37" s="18">
        <f>AVERAGE(C37:N37)</f>
        <v>21.471830261136713</v>
      </c>
    </row>
    <row r="38">
      <c r="A38" s="6" t="inlineStr">
        <is>
          <t xml:space="preserve">2026/27</t>
        </is>
      </c>
      <c r="B38" s="6" t="inlineStr">
        <is>
          <t xml:space="preserve">El Niño (in progress)</t>
        </is>
      </c>
      <c r="C38" s="3">
        <f>INDEX(Monthly!$Q:$Q,MATCH("2026-07",Monthly!$A:$A,0))</f>
        <v>23.52258064516129</v>
      </c>
      <c r="D38" s="3">
        <f>INDEX(Monthly!$Q:$Q,MATCH("2026-08",Monthly!$A:$A,0))</f>
        <v>23.580967741935485</v>
      </c>
    </row>
    <row r="41">
      <c r="A41" s="17" t="inlineStr">
        <is>
          <t xml:space="preserve">Monthly rainfall (mm) — sum of daily rainfall from rain gauges (NOAA CPC)</t>
        </is>
      </c>
    </row>
    <row r="42">
      <c r="A42" s="1" t="inlineStr">
        <is>
          <t xml:space="preserve">Season</t>
        </is>
      </c>
      <c r="B42" s="1" t="inlineStr">
        <is>
          <t xml:space="preserve">Phase</t>
        </is>
      </c>
      <c r="C42" s="1" t="inlineStr">
        <is>
          <t xml:space="preserve">Jul</t>
        </is>
      </c>
      <c r="D42" s="1" t="inlineStr">
        <is>
          <t xml:space="preserve">Aug</t>
        </is>
      </c>
      <c r="E42" s="1" t="inlineStr">
        <is>
          <t xml:space="preserve">Sep</t>
        </is>
      </c>
      <c r="F42" s="1" t="inlineStr">
        <is>
          <t xml:space="preserve">Oct</t>
        </is>
      </c>
      <c r="G42" s="1" t="inlineStr">
        <is>
          <t xml:space="preserve">Nov</t>
        </is>
      </c>
      <c r="H42" s="1" t="inlineStr">
        <is>
          <t xml:space="preserve">Dec</t>
        </is>
      </c>
      <c r="I42" s="1" t="inlineStr">
        <is>
          <t xml:space="preserve">Jan</t>
        </is>
      </c>
      <c r="J42" s="1" t="inlineStr">
        <is>
          <t xml:space="preserve">Feb</t>
        </is>
      </c>
      <c r="K42" s="1" t="inlineStr">
        <is>
          <t xml:space="preserve">Mar</t>
        </is>
      </c>
      <c r="L42" s="1" t="inlineStr">
        <is>
          <t xml:space="preserve">Apr</t>
        </is>
      </c>
      <c r="M42" s="1" t="inlineStr">
        <is>
          <t xml:space="preserve">May</t>
        </is>
      </c>
      <c r="N42" s="1" t="inlineStr">
        <is>
          <t xml:space="preserve">Jun</t>
        </is>
      </c>
      <c r="O42" s="1" t="inlineStr">
        <is>
          <t xml:space="preserve">Season total</t>
        </is>
      </c>
    </row>
    <row r="43">
      <c r="A43" s="11" t="inlineStr">
        <is>
          <t xml:space="preserve">El Niño (7 seasons)</t>
        </is>
      </c>
    </row>
    <row r="44">
      <c r="A44" s="6" t="inlineStr">
        <is>
          <t xml:space="preserve">2006/07</t>
        </is>
      </c>
      <c r="B44" s="6" t="inlineStr">
        <is>
          <t xml:space="preserve">El Niño</t>
        </is>
      </c>
      <c r="C44" s="4">
        <f>INDEX(Monthly!$P:$P,MATCH("2006-07",Monthly!$A:$A,0))</f>
        <v>140.11</v>
      </c>
      <c r="D44" s="4">
        <f>INDEX(Monthly!$P:$P,MATCH("2006-08",Monthly!$A:$A,0))</f>
        <v>54.827</v>
      </c>
      <c r="E44" s="4">
        <f>INDEX(Monthly!$P:$P,MATCH("2006-09",Monthly!$A:$A,0))</f>
        <v>183.784</v>
      </c>
      <c r="F44" s="4">
        <f>INDEX(Monthly!$P:$P,MATCH("2006-10",Monthly!$A:$A,0))</f>
        <v>172.228</v>
      </c>
      <c r="G44" s="4">
        <f>INDEX(Monthly!$P:$P,MATCH("2006-11",Monthly!$A:$A,0))</f>
        <v>55.998</v>
      </c>
      <c r="H44" s="4">
        <f>INDEX(Monthly!$P:$P,MATCH("2006-12",Monthly!$A:$A,0))</f>
        <v>32.25</v>
      </c>
      <c r="I44" s="4">
        <f>INDEX(Monthly!$P:$P,MATCH("2007-01",Monthly!$A:$A,0))</f>
        <v>2.74</v>
      </c>
      <c r="J44" s="4">
        <f>INDEX(Monthly!$P:$P,MATCH("2007-02",Monthly!$A:$A,0))</f>
        <v>2.085</v>
      </c>
      <c r="K44" s="4">
        <f>INDEX(Monthly!$P:$P,MATCH("2007-03",Monthly!$A:$A,0))</f>
        <v>5.48</v>
      </c>
      <c r="L44" s="4">
        <f>INDEX(Monthly!$P:$P,MATCH("2007-04",Monthly!$A:$A,0))</f>
        <v>58.081</v>
      </c>
      <c r="M44" s="4">
        <f>INDEX(Monthly!$P:$P,MATCH("2007-05",Monthly!$A:$A,0))</f>
        <v>77.63</v>
      </c>
      <c r="N44" s="4">
        <f>INDEX(Monthly!$P:$P,MATCH("2007-06",Monthly!$A:$A,0))</f>
        <v>191.058</v>
      </c>
      <c r="O44" s="24">
        <f>SUM(C44:N44)</f>
        <v>976.2710000000002</v>
      </c>
    </row>
    <row r="45">
      <c r="A45" s="6" t="inlineStr">
        <is>
          <t xml:space="preserve">2009/10</t>
        </is>
      </c>
      <c r="B45" s="6" t="inlineStr">
        <is>
          <t xml:space="preserve">El Niño</t>
        </is>
      </c>
      <c r="C45" s="4">
        <f>INDEX(Monthly!$P:$P,MATCH("2009-07",Monthly!$A:$A,0))</f>
        <v>154.351</v>
      </c>
      <c r="D45" s="4">
        <f>INDEX(Monthly!$P:$P,MATCH("2009-08",Monthly!$A:$A,0))</f>
        <v>159.515</v>
      </c>
      <c r="E45" s="4">
        <f>INDEX(Monthly!$P:$P,MATCH("2009-09",Monthly!$A:$A,0))</f>
        <v>157.755</v>
      </c>
      <c r="F45" s="4">
        <f>INDEX(Monthly!$P:$P,MATCH("2009-10",Monthly!$A:$A,0))</f>
        <v>88.816</v>
      </c>
      <c r="G45" s="4">
        <f>INDEX(Monthly!$P:$P,MATCH("2009-11",Monthly!$A:$A,0))</f>
        <v>101.03</v>
      </c>
      <c r="H45" s="4">
        <f>INDEX(Monthly!$P:$P,MATCH("2009-12",Monthly!$A:$A,0))</f>
        <v>34.142</v>
      </c>
      <c r="I45" s="4">
        <f>INDEX(Monthly!$P:$P,MATCH("2010-01",Monthly!$A:$A,0))</f>
        <v>1.428</v>
      </c>
      <c r="J45" s="4">
        <f>INDEX(Monthly!$P:$P,MATCH("2010-02",Monthly!$A:$A,0))</f>
        <v>1.67</v>
      </c>
      <c r="K45" s="4">
        <f>INDEX(Monthly!$P:$P,MATCH("2010-03",Monthly!$A:$A,0))</f>
        <v>0.995</v>
      </c>
      <c r="L45" s="4">
        <f>INDEX(Monthly!$P:$P,MATCH("2010-04",Monthly!$A:$A,0))</f>
        <v>111.742</v>
      </c>
      <c r="M45" s="4">
        <f>INDEX(Monthly!$P:$P,MATCH("2010-05",Monthly!$A:$A,0))</f>
        <v>320.1</v>
      </c>
      <c r="N45" s="4">
        <f>INDEX(Monthly!$P:$P,MATCH("2010-06",Monthly!$A:$A,0))</f>
        <v>250.838</v>
      </c>
      <c r="O45" s="24">
        <f>SUM(C45:N45)</f>
        <v>1382.3819999999998</v>
      </c>
    </row>
    <row r="46">
      <c r="A46" s="6" t="inlineStr">
        <is>
          <t xml:space="preserve">2014/15</t>
        </is>
      </c>
      <c r="B46" s="6" t="inlineStr">
        <is>
          <t xml:space="preserve">El Niño</t>
        </is>
      </c>
      <c r="C46" s="4">
        <f>INDEX(Monthly!$P:$P,MATCH("2014-07",Monthly!$A:$A,0))</f>
        <v>29.379</v>
      </c>
      <c r="D46" s="4">
        <f>INDEX(Monthly!$P:$P,MATCH("2014-08",Monthly!$A:$A,0))</f>
        <v>164.523</v>
      </c>
      <c r="E46" s="4">
        <f>INDEX(Monthly!$P:$P,MATCH("2014-09",Monthly!$A:$A,0))</f>
        <v>210.235</v>
      </c>
      <c r="F46" s="4">
        <f>INDEX(Monthly!$P:$P,MATCH("2014-10",Monthly!$A:$A,0))</f>
        <v>153.326</v>
      </c>
      <c r="G46" s="4">
        <f>INDEX(Monthly!$P:$P,MATCH("2014-11",Monthly!$A:$A,0))</f>
        <v>33.889</v>
      </c>
      <c r="H46" s="4">
        <f>INDEX(Monthly!$P:$P,MATCH("2014-12",Monthly!$A:$A,0))</f>
        <v>2.653</v>
      </c>
      <c r="I46" s="4">
        <f>INDEX(Monthly!$P:$P,MATCH("2015-01",Monthly!$A:$A,0))</f>
        <v>5.953</v>
      </c>
      <c r="J46" s="4">
        <f>INDEX(Monthly!$P:$P,MATCH("2015-02",Monthly!$A:$A,0))</f>
        <v>3.411</v>
      </c>
      <c r="K46" s="4">
        <f>INDEX(Monthly!$P:$P,MATCH("2015-03",Monthly!$A:$A,0))</f>
        <v>12.708</v>
      </c>
      <c r="L46" s="4">
        <f>INDEX(Monthly!$P:$P,MATCH("2015-04",Monthly!$A:$A,0))</f>
        <v>27.371</v>
      </c>
      <c r="M46" s="4">
        <f>INDEX(Monthly!$P:$P,MATCH("2015-05",Monthly!$A:$A,0))</f>
        <v>37.529</v>
      </c>
      <c r="N46" s="4">
        <f>INDEX(Monthly!$P:$P,MATCH("2015-06",Monthly!$A:$A,0))</f>
        <v>189.803</v>
      </c>
      <c r="O46" s="24">
        <f>SUM(C46:N46)</f>
        <v>870.7799999999999</v>
      </c>
    </row>
    <row r="47">
      <c r="A47" s="6" t="inlineStr">
        <is>
          <t xml:space="preserve">2015/16</t>
        </is>
      </c>
      <c r="B47" s="6" t="inlineStr">
        <is>
          <t xml:space="preserve">El Niño</t>
        </is>
      </c>
      <c r="C47" s="4">
        <f>INDEX(Monthly!$P:$P,MATCH("2015-07",Monthly!$A:$A,0))</f>
        <v>22.655</v>
      </c>
      <c r="D47" s="4">
        <f>INDEX(Monthly!$P:$P,MATCH("2015-08",Monthly!$A:$A,0))</f>
        <v>49.157</v>
      </c>
      <c r="E47" s="4">
        <f>INDEX(Monthly!$P:$P,MATCH("2015-09",Monthly!$A:$A,0))</f>
        <v>217.192</v>
      </c>
      <c r="F47" s="4">
        <f>INDEX(Monthly!$P:$P,MATCH("2015-10",Monthly!$A:$A,0))</f>
        <v>217.079</v>
      </c>
      <c r="G47" s="4">
        <f>INDEX(Monthly!$P:$P,MATCH("2015-11",Monthly!$A:$A,0))</f>
        <v>69.095</v>
      </c>
      <c r="H47" s="4">
        <f>INDEX(Monthly!$P:$P,MATCH("2015-12",Monthly!$A:$A,0))</f>
        <v>33.277</v>
      </c>
      <c r="I47" s="4">
        <f>INDEX(Monthly!$P:$P,MATCH("2016-01",Monthly!$A:$A,0))</f>
        <v>1.265</v>
      </c>
      <c r="J47" s="4">
        <f>INDEX(Monthly!$P:$P,MATCH("2016-02",Monthly!$A:$A,0))</f>
        <v>7.57</v>
      </c>
      <c r="K47" s="4">
        <f>INDEX(Monthly!$P:$P,MATCH("2016-03",Monthly!$A:$A,0))</f>
        <v>29.937</v>
      </c>
      <c r="L47" s="4">
        <f>INDEX(Monthly!$P:$P,MATCH("2016-04",Monthly!$A:$A,0))</f>
        <v>38.327</v>
      </c>
      <c r="M47" s="4">
        <f>INDEX(Monthly!$P:$P,MATCH("2016-05",Monthly!$A:$A,0))</f>
        <v>94.403</v>
      </c>
      <c r="N47" s="4">
        <f>INDEX(Monthly!$P:$P,MATCH("2016-06",Monthly!$A:$A,0))</f>
        <v>165.26</v>
      </c>
      <c r="O47" s="24">
        <f>SUM(C47:N47)</f>
        <v>945.2170000000001</v>
      </c>
    </row>
    <row r="48">
      <c r="A48" s="6" t="inlineStr">
        <is>
          <t xml:space="preserve">2018/19</t>
        </is>
      </c>
      <c r="B48" s="6" t="inlineStr">
        <is>
          <t xml:space="preserve">El Niño</t>
        </is>
      </c>
      <c r="C48" s="4">
        <f>INDEX(Monthly!$P:$P,MATCH("2018-07",Monthly!$A:$A,0))</f>
        <v>67.395</v>
      </c>
      <c r="D48" s="4">
        <f>INDEX(Monthly!$P:$P,MATCH("2018-08",Monthly!$A:$A,0))</f>
        <v>136.17</v>
      </c>
      <c r="E48" s="4">
        <f>INDEX(Monthly!$P:$P,MATCH("2018-09",Monthly!$A:$A,0))</f>
        <v>134.23</v>
      </c>
      <c r="F48" s="4">
        <f>INDEX(Monthly!$P:$P,MATCH("2018-10",Monthly!$A:$A,0))</f>
        <v>158.318</v>
      </c>
      <c r="G48" s="4">
        <f>INDEX(Monthly!$P:$P,MATCH("2018-11",Monthly!$A:$A,0))</f>
        <v>9.031</v>
      </c>
      <c r="H48" s="4">
        <f>INDEX(Monthly!$P:$P,MATCH("2018-12",Monthly!$A:$A,0))</f>
        <v>1.151</v>
      </c>
      <c r="I48" s="4">
        <f>INDEX(Monthly!$P:$P,MATCH("2019-01",Monthly!$A:$A,0))</f>
        <v>6.217</v>
      </c>
      <c r="J48" s="4">
        <f>INDEX(Monthly!$P:$P,MATCH("2019-02",Monthly!$A:$A,0))</f>
        <v>4.738</v>
      </c>
      <c r="K48" s="4">
        <f>INDEX(Monthly!$P:$P,MATCH("2019-03",Monthly!$A:$A,0))</f>
        <v>0.058</v>
      </c>
      <c r="L48" s="4">
        <f>INDEX(Monthly!$P:$P,MATCH("2019-04",Monthly!$A:$A,0))</f>
        <v>24.923</v>
      </c>
      <c r="M48" s="4">
        <f>INDEX(Monthly!$P:$P,MATCH("2019-05",Monthly!$A:$A,0))</f>
        <v>135.363</v>
      </c>
      <c r="N48" s="4">
        <f>INDEX(Monthly!$P:$P,MATCH("2019-06",Monthly!$A:$A,0))</f>
        <v>147.869</v>
      </c>
      <c r="O48" s="24">
        <f>SUM(C48:N48)</f>
        <v>825.4630000000001</v>
      </c>
    </row>
    <row r="49">
      <c r="A49" s="6" t="inlineStr">
        <is>
          <t xml:space="preserve">2019/20</t>
        </is>
      </c>
      <c r="B49" s="6" t="inlineStr">
        <is>
          <t xml:space="preserve">El Niño</t>
        </is>
      </c>
      <c r="C49" s="4">
        <f>INDEX(Monthly!$P:$P,MATCH("2019-07",Monthly!$A:$A,0))</f>
        <v>95.932</v>
      </c>
      <c r="D49" s="4">
        <f>INDEX(Monthly!$P:$P,MATCH("2019-08",Monthly!$A:$A,0))</f>
        <v>152.612</v>
      </c>
      <c r="E49" s="4">
        <f>INDEX(Monthly!$P:$P,MATCH("2019-09",Monthly!$A:$A,0))</f>
        <v>238.234</v>
      </c>
      <c r="F49" s="4">
        <f>INDEX(Monthly!$P:$P,MATCH("2019-10",Monthly!$A:$A,0))</f>
        <v>219.873</v>
      </c>
      <c r="G49" s="4">
        <f>INDEX(Monthly!$P:$P,MATCH("2019-11",Monthly!$A:$A,0))</f>
        <v>16.164</v>
      </c>
      <c r="H49" s="4">
        <f>INDEX(Monthly!$P:$P,MATCH("2019-12",Monthly!$A:$A,0))</f>
        <v>1.978</v>
      </c>
      <c r="I49" s="4">
        <f>INDEX(Monthly!$P:$P,MATCH("2020-01",Monthly!$A:$A,0))</f>
        <v>1.587</v>
      </c>
      <c r="J49" s="4">
        <f>INDEX(Monthly!$P:$P,MATCH("2020-02",Monthly!$A:$A,0))</f>
        <v>2.659</v>
      </c>
      <c r="K49" s="4">
        <f>INDEX(Monthly!$P:$P,MATCH("2020-03",Monthly!$A:$A,0))</f>
        <v>1.387</v>
      </c>
      <c r="L49" s="4">
        <f>INDEX(Monthly!$P:$P,MATCH("2020-04",Monthly!$A:$A,0))</f>
        <v>5.584</v>
      </c>
      <c r="M49" s="4">
        <f>INDEX(Monthly!$P:$P,MATCH("2020-05",Monthly!$A:$A,0))</f>
        <v>236.887</v>
      </c>
      <c r="N49" s="4">
        <f>INDEX(Monthly!$P:$P,MATCH("2020-06",Monthly!$A:$A,0))</f>
        <v>150.196</v>
      </c>
      <c r="O49" s="24">
        <f>SUM(C49:N49)</f>
        <v>1123.0929999999998</v>
      </c>
    </row>
    <row r="50">
      <c r="A50" s="6" t="inlineStr">
        <is>
          <t xml:space="preserve">2023/24</t>
        </is>
      </c>
      <c r="B50" s="6" t="inlineStr">
        <is>
          <t xml:space="preserve">El Niño</t>
        </is>
      </c>
      <c r="C50" s="4">
        <f>INDEX(Monthly!$P:$P,MATCH("2023-07",Monthly!$A:$A,0))</f>
        <v>123.986</v>
      </c>
      <c r="D50" s="4">
        <f>INDEX(Monthly!$P:$P,MATCH("2023-08",Monthly!$A:$A,0))</f>
        <v>126.224</v>
      </c>
      <c r="E50" s="4">
        <f>INDEX(Monthly!$P:$P,MATCH("2023-09",Monthly!$A:$A,0))</f>
        <v>129.244</v>
      </c>
      <c r="F50" s="4">
        <f>INDEX(Monthly!$P:$P,MATCH("2023-10",Monthly!$A:$A,0))</f>
        <v>150.182</v>
      </c>
      <c r="G50" s="4">
        <f>INDEX(Monthly!$P:$P,MATCH("2023-11",Monthly!$A:$A,0))</f>
        <v>46.69</v>
      </c>
      <c r="H50" s="4">
        <f>INDEX(Monthly!$P:$P,MATCH("2023-12",Monthly!$A:$A,0))</f>
        <v>4.388</v>
      </c>
      <c r="I50" s="4">
        <f>INDEX(Monthly!$P:$P,MATCH("2024-01",Monthly!$A:$A,0))</f>
        <v>1.022</v>
      </c>
      <c r="J50" s="4">
        <f>INDEX(Monthly!$P:$P,MATCH("2024-02",Monthly!$A:$A,0))</f>
        <v>7.439</v>
      </c>
      <c r="K50" s="4">
        <f>INDEX(Monthly!$P:$P,MATCH("2024-03",Monthly!$A:$A,0))</f>
        <v>1.476</v>
      </c>
      <c r="L50" s="4">
        <f>INDEX(Monthly!$P:$P,MATCH("2024-04",Monthly!$A:$A,0))</f>
        <v>41.687</v>
      </c>
      <c r="M50" s="4">
        <f>INDEX(Monthly!$P:$P,MATCH("2024-05",Monthly!$A:$A,0))</f>
        <v>45.13</v>
      </c>
      <c r="N50" s="4">
        <f>INDEX(Monthly!$P:$P,MATCH("2024-06",Monthly!$A:$A,0))</f>
        <v>349.51</v>
      </c>
      <c r="O50" s="24">
        <f>SUM(C50:N50)</f>
        <v>1026.978</v>
      </c>
    </row>
    <row r="51">
      <c r="A51" s="11" t="inlineStr">
        <is>
          <t xml:space="preserve">Average El Niño</t>
        </is>
      </c>
      <c r="B51" s="11" t="inlineStr">
        <is>
          <t xml:space="preserve">7 seasons</t>
        </is>
      </c>
      <c r="C51" s="25">
        <f>AVERAGE(C44:C50)</f>
        <v>90.544</v>
      </c>
      <c r="D51" s="25">
        <f>AVERAGE(D44:D50)</f>
        <v>120.43257142857142</v>
      </c>
      <c r="E51" s="25">
        <f>AVERAGE(E44:E50)</f>
        <v>181.52485714285714</v>
      </c>
      <c r="F51" s="25">
        <f>AVERAGE(F44:F50)</f>
        <v>165.68885714285713</v>
      </c>
      <c r="G51" s="25">
        <f>AVERAGE(G44:G50)</f>
        <v>47.41385714285714</v>
      </c>
      <c r="H51" s="25">
        <f>AVERAGE(H44:H50)</f>
        <v>15.691285714285716</v>
      </c>
      <c r="I51" s="25">
        <f>AVERAGE(I44:I50)</f>
        <v>2.8874285714285715</v>
      </c>
      <c r="J51" s="25">
        <f>AVERAGE(J44:J50)</f>
        <v>4.224571428571428</v>
      </c>
      <c r="K51" s="25">
        <f>AVERAGE(K44:K50)</f>
        <v>7.434428571428572</v>
      </c>
      <c r="L51" s="25">
        <f>AVERAGE(L44:L50)</f>
        <v>43.95928571428571</v>
      </c>
      <c r="M51" s="25">
        <f>AVERAGE(M44:M50)</f>
        <v>135.29171428571428</v>
      </c>
      <c r="N51" s="25">
        <f>AVERAGE(N44:N50)</f>
        <v>206.362</v>
      </c>
      <c r="O51" s="25">
        <f>SUM(C51:N51)</f>
        <v>1021.4548571428571</v>
      </c>
    </row>
    <row r="53">
      <c r="A53" s="12" t="inlineStr">
        <is>
          <t xml:space="preserve">La Niña (9 seasons)</t>
        </is>
      </c>
    </row>
    <row r="54">
      <c r="A54" s="5" t="inlineStr">
        <is>
          <t xml:space="preserve">2005/06</t>
        </is>
      </c>
      <c r="B54" s="5" t="inlineStr">
        <is>
          <t xml:space="preserve">La Niña</t>
        </is>
      </c>
      <c r="C54" s="4">
        <f>INDEX(Monthly!$P:$P,MATCH("2005-07",Monthly!$A:$A,0))</f>
        <v>151.869</v>
      </c>
      <c r="D54" s="4">
        <f>INDEX(Monthly!$P:$P,MATCH("2005-08",Monthly!$A:$A,0))</f>
        <v>170.789</v>
      </c>
      <c r="E54" s="4">
        <f>INDEX(Monthly!$P:$P,MATCH("2005-09",Monthly!$A:$A,0))</f>
        <v>165.032</v>
      </c>
      <c r="F54" s="4">
        <f>INDEX(Monthly!$P:$P,MATCH("2005-10",Monthly!$A:$A,0))</f>
        <v>106.964</v>
      </c>
      <c r="G54" s="4">
        <f>INDEX(Monthly!$P:$P,MATCH("2005-11",Monthly!$A:$A,0))</f>
        <v>10.746</v>
      </c>
      <c r="H54" s="4">
        <f>INDEX(Monthly!$P:$P,MATCH("2005-12",Monthly!$A:$A,0))</f>
        <v>5.216</v>
      </c>
      <c r="I54" s="4">
        <f>INDEX(Monthly!$P:$P,MATCH("2006-01",Monthly!$A:$A,0))</f>
        <v>4.962</v>
      </c>
      <c r="J54" s="4">
        <f>INDEX(Monthly!$P:$P,MATCH("2006-02",Monthly!$A:$A,0))</f>
        <v>0.79</v>
      </c>
      <c r="K54" s="4">
        <f>INDEX(Monthly!$P:$P,MATCH("2006-03",Monthly!$A:$A,0))</f>
        <v>0.797</v>
      </c>
      <c r="L54" s="4">
        <f>INDEX(Monthly!$P:$P,MATCH("2006-04",Monthly!$A:$A,0))</f>
        <v>25.603</v>
      </c>
      <c r="M54" s="4">
        <f>INDEX(Monthly!$P:$P,MATCH("2006-05",Monthly!$A:$A,0))</f>
        <v>71.343</v>
      </c>
      <c r="N54" s="4">
        <f>INDEX(Monthly!$P:$P,MATCH("2006-06",Monthly!$A:$A,0))</f>
        <v>213.956</v>
      </c>
      <c r="O54" s="24">
        <f>SUM(C54:N54)</f>
        <v>928.0669999999999</v>
      </c>
    </row>
    <row r="55">
      <c r="A55" s="5" t="inlineStr">
        <is>
          <t xml:space="preserve">2007/08</t>
        </is>
      </c>
      <c r="B55" s="5" t="inlineStr">
        <is>
          <t xml:space="preserve">La Niña</t>
        </is>
      </c>
      <c r="C55" s="4">
        <f>INDEX(Monthly!$P:$P,MATCH("2007-07",Monthly!$A:$A,0))</f>
        <v>146.112</v>
      </c>
      <c r="D55" s="4">
        <f>INDEX(Monthly!$P:$P,MATCH("2007-08",Monthly!$A:$A,0))</f>
        <v>196.552</v>
      </c>
      <c r="E55" s="4">
        <f>INDEX(Monthly!$P:$P,MATCH("2007-09",Monthly!$A:$A,0))</f>
        <v>269.679</v>
      </c>
      <c r="F55" s="4">
        <f>INDEX(Monthly!$P:$P,MATCH("2007-10",Monthly!$A:$A,0))</f>
        <v>197.275</v>
      </c>
      <c r="G55" s="4">
        <f>INDEX(Monthly!$P:$P,MATCH("2007-11",Monthly!$A:$A,0))</f>
        <v>9.777</v>
      </c>
      <c r="H55" s="4">
        <f>INDEX(Monthly!$P:$P,MATCH("2007-12",Monthly!$A:$A,0))</f>
        <v>3.293</v>
      </c>
      <c r="I55" s="4">
        <f>INDEX(Monthly!$P:$P,MATCH("2008-01",Monthly!$A:$A,0))</f>
        <v>5.726</v>
      </c>
      <c r="J55" s="4">
        <f>INDEX(Monthly!$P:$P,MATCH("2008-02",Monthly!$A:$A,0))</f>
        <v>6.983</v>
      </c>
      <c r="K55" s="4">
        <f>INDEX(Monthly!$P:$P,MATCH("2008-03",Monthly!$A:$A,0))</f>
        <v>4.322</v>
      </c>
      <c r="L55" s="4">
        <f>INDEX(Monthly!$P:$P,MATCH("2008-04",Monthly!$A:$A,0))</f>
        <v>32.516</v>
      </c>
      <c r="M55" s="4">
        <f>INDEX(Monthly!$P:$P,MATCH("2008-05",Monthly!$A:$A,0))</f>
        <v>139.098</v>
      </c>
      <c r="N55" s="4">
        <f>INDEX(Monthly!$P:$P,MATCH("2008-06",Monthly!$A:$A,0))</f>
        <v>172.321</v>
      </c>
      <c r="O55" s="24">
        <f>SUM(C55:N55)</f>
        <v>1183.6539999999998</v>
      </c>
    </row>
    <row r="56">
      <c r="A56" s="5" t="inlineStr">
        <is>
          <t xml:space="preserve">2008/09</t>
        </is>
      </c>
      <c r="B56" s="5" t="inlineStr">
        <is>
          <t xml:space="preserve">La Niña</t>
        </is>
      </c>
      <c r="C56" s="4">
        <f>INDEX(Monthly!$P:$P,MATCH("2008-07",Monthly!$A:$A,0))</f>
        <v>298.911</v>
      </c>
      <c r="D56" s="4">
        <f>INDEX(Monthly!$P:$P,MATCH("2008-08",Monthly!$A:$A,0))</f>
        <v>261.903</v>
      </c>
      <c r="E56" s="4">
        <f>INDEX(Monthly!$P:$P,MATCH("2008-09",Monthly!$A:$A,0))</f>
        <v>298.214</v>
      </c>
      <c r="F56" s="4">
        <f>INDEX(Monthly!$P:$P,MATCH("2008-10",Monthly!$A:$A,0))</f>
        <v>207.098</v>
      </c>
      <c r="G56" s="4">
        <f>INDEX(Monthly!$P:$P,MATCH("2008-11",Monthly!$A:$A,0))</f>
        <v>3.902</v>
      </c>
      <c r="H56" s="4">
        <f>INDEX(Monthly!$P:$P,MATCH("2008-12",Monthly!$A:$A,0))</f>
        <v>6.58</v>
      </c>
      <c r="I56" s="4">
        <f>INDEX(Monthly!$P:$P,MATCH("2009-01",Monthly!$A:$A,0))</f>
        <v>4.084</v>
      </c>
      <c r="J56" s="4">
        <f>INDEX(Monthly!$P:$P,MATCH("2009-02",Monthly!$A:$A,0))</f>
        <v>4.438</v>
      </c>
      <c r="K56" s="4">
        <f>INDEX(Monthly!$P:$P,MATCH("2009-03",Monthly!$A:$A,0))</f>
        <v>1.058</v>
      </c>
      <c r="L56" s="4">
        <f>INDEX(Monthly!$P:$P,MATCH("2009-04",Monthly!$A:$A,0))</f>
        <v>9.363</v>
      </c>
      <c r="M56" s="4">
        <f>INDEX(Monthly!$P:$P,MATCH("2009-05",Monthly!$A:$A,0))</f>
        <v>247.94</v>
      </c>
      <c r="N56" s="4">
        <f>INDEX(Monthly!$P:$P,MATCH("2009-06",Monthly!$A:$A,0))</f>
        <v>351.166</v>
      </c>
      <c r="O56" s="24">
        <f>SUM(C56:N56)</f>
        <v>1694.6570000000002</v>
      </c>
    </row>
    <row r="57">
      <c r="A57" s="5" t="inlineStr">
        <is>
          <t xml:space="preserve">2010/11</t>
        </is>
      </c>
      <c r="B57" s="5" t="inlineStr">
        <is>
          <t xml:space="preserve">La Niña</t>
        </is>
      </c>
      <c r="C57" s="4">
        <f>INDEX(Monthly!$P:$P,MATCH("2010-07",Monthly!$A:$A,0))</f>
        <v>280.249</v>
      </c>
      <c r="D57" s="4">
        <f>INDEX(Monthly!$P:$P,MATCH("2010-08",Monthly!$A:$A,0))</f>
        <v>274.56</v>
      </c>
      <c r="E57" s="4">
        <f>INDEX(Monthly!$P:$P,MATCH("2010-09",Monthly!$A:$A,0))</f>
        <v>232.771</v>
      </c>
      <c r="F57" s="4">
        <f>INDEX(Monthly!$P:$P,MATCH("2010-10",Monthly!$A:$A,0))</f>
        <v>19.304</v>
      </c>
      <c r="G57" s="4">
        <f>INDEX(Monthly!$P:$P,MATCH("2010-11",Monthly!$A:$A,0))</f>
        <v>7.254</v>
      </c>
      <c r="H57" s="4">
        <f>INDEX(Monthly!$P:$P,MATCH("2010-12",Monthly!$A:$A,0))</f>
        <v>0.626</v>
      </c>
      <c r="I57" s="4">
        <f>INDEX(Monthly!$P:$P,MATCH("2011-01",Monthly!$A:$A,0))</f>
        <v>7.491</v>
      </c>
      <c r="J57" s="4">
        <f>INDEX(Monthly!$P:$P,MATCH("2011-02",Monthly!$A:$A,0))</f>
        <v>31.816</v>
      </c>
      <c r="K57" s="4">
        <f>INDEX(Monthly!$P:$P,MATCH("2011-03",Monthly!$A:$A,0))</f>
        <v>17.813</v>
      </c>
      <c r="L57" s="4">
        <f>INDEX(Monthly!$P:$P,MATCH("2011-04",Monthly!$A:$A,0))</f>
        <v>62.379</v>
      </c>
      <c r="M57" s="4">
        <f>INDEX(Monthly!$P:$P,MATCH("2011-05",Monthly!$A:$A,0))</f>
        <v>114.301</v>
      </c>
      <c r="N57" s="4">
        <f>INDEX(Monthly!$P:$P,MATCH("2011-06",Monthly!$A:$A,0))</f>
        <v>257.146</v>
      </c>
      <c r="O57" s="24">
        <f>SUM(C57:N57)</f>
        <v>1305.7099999999998</v>
      </c>
    </row>
    <row r="58">
      <c r="A58" s="5" t="inlineStr">
        <is>
          <t xml:space="preserve">2011/12</t>
        </is>
      </c>
      <c r="B58" s="5" t="inlineStr">
        <is>
          <t xml:space="preserve">La Niña</t>
        </is>
      </c>
      <c r="C58" s="4">
        <f>INDEX(Monthly!$P:$P,MATCH("2011-07",Monthly!$A:$A,0))</f>
        <v>287.013</v>
      </c>
      <c r="D58" s="4">
        <f>INDEX(Monthly!$P:$P,MATCH("2011-08",Monthly!$A:$A,0))</f>
        <v>196.656</v>
      </c>
      <c r="E58" s="4">
        <f>INDEX(Monthly!$P:$P,MATCH("2011-09",Monthly!$A:$A,0))</f>
        <v>260.758</v>
      </c>
      <c r="F58" s="4">
        <f>INDEX(Monthly!$P:$P,MATCH("2011-10",Monthly!$A:$A,0))</f>
        <v>206.703</v>
      </c>
      <c r="G58" s="4">
        <f>INDEX(Monthly!$P:$P,MATCH("2011-11",Monthly!$A:$A,0))</f>
        <v>39.889</v>
      </c>
      <c r="H58" s="4">
        <f>INDEX(Monthly!$P:$P,MATCH("2011-12",Monthly!$A:$A,0))</f>
        <v>1.438</v>
      </c>
      <c r="I58" s="4">
        <f>INDEX(Monthly!$P:$P,MATCH("2012-01",Monthly!$A:$A,0))</f>
        <v>0.812</v>
      </c>
      <c r="J58" s="4">
        <f>INDEX(Monthly!$P:$P,MATCH("2012-02",Monthly!$A:$A,0))</f>
        <v>1.852</v>
      </c>
      <c r="K58" s="4">
        <f>INDEX(Monthly!$P:$P,MATCH("2012-03",Monthly!$A:$A,0))</f>
        <v>8.166</v>
      </c>
      <c r="L58" s="4">
        <f>INDEX(Monthly!$P:$P,MATCH("2012-04",Monthly!$A:$A,0))</f>
        <v>92.497</v>
      </c>
      <c r="M58" s="4">
        <f>INDEX(Monthly!$P:$P,MATCH("2012-05",Monthly!$A:$A,0))</f>
        <v>221.187</v>
      </c>
      <c r="N58" s="4">
        <f>INDEX(Monthly!$P:$P,MATCH("2012-06",Monthly!$A:$A,0))</f>
        <v>114.424</v>
      </c>
      <c r="O58" s="24">
        <f>SUM(C58:N58)</f>
        <v>1431.395</v>
      </c>
    </row>
    <row r="59">
      <c r="A59" s="5" t="inlineStr">
        <is>
          <t xml:space="preserve">2017/18</t>
        </is>
      </c>
      <c r="B59" s="5" t="inlineStr">
        <is>
          <t xml:space="preserve">La Niña</t>
        </is>
      </c>
      <c r="C59" s="4">
        <f>INDEX(Monthly!$P:$P,MATCH("2017-07",Monthly!$A:$A,0))</f>
        <v>171.605</v>
      </c>
      <c r="D59" s="4">
        <f>INDEX(Monthly!$P:$P,MATCH("2017-08",Monthly!$A:$A,0))</f>
        <v>122.604</v>
      </c>
      <c r="E59" s="4">
        <f>INDEX(Monthly!$P:$P,MATCH("2017-09",Monthly!$A:$A,0))</f>
        <v>351.863</v>
      </c>
      <c r="F59" s="4">
        <f>INDEX(Monthly!$P:$P,MATCH("2017-10",Monthly!$A:$A,0))</f>
        <v>135.644</v>
      </c>
      <c r="G59" s="4">
        <f>INDEX(Monthly!$P:$P,MATCH("2017-11",Monthly!$A:$A,0))</f>
        <v>3.673</v>
      </c>
      <c r="H59" s="4">
        <f>INDEX(Monthly!$P:$P,MATCH("2017-12",Monthly!$A:$A,0))</f>
        <v>17.946</v>
      </c>
      <c r="I59" s="4">
        <f>INDEX(Monthly!$P:$P,MATCH("2018-01",Monthly!$A:$A,0))</f>
        <v>0.812</v>
      </c>
      <c r="J59" s="4">
        <f>INDEX(Monthly!$P:$P,MATCH("2018-02",Monthly!$A:$A,0))</f>
        <v>2.899</v>
      </c>
      <c r="K59" s="4">
        <f>INDEX(Monthly!$P:$P,MATCH("2018-03",Monthly!$A:$A,0))</f>
        <v>0.497</v>
      </c>
      <c r="L59" s="4">
        <f>INDEX(Monthly!$P:$P,MATCH("2018-04",Monthly!$A:$A,0))</f>
        <v>81.822</v>
      </c>
      <c r="M59" s="4">
        <f>INDEX(Monthly!$P:$P,MATCH("2018-05",Monthly!$A:$A,0))</f>
        <v>206.764</v>
      </c>
      <c r="N59" s="4">
        <f>INDEX(Monthly!$P:$P,MATCH("2018-06",Monthly!$A:$A,0))</f>
        <v>193.913</v>
      </c>
      <c r="O59" s="24">
        <f>SUM(C59:N59)</f>
        <v>1290.042</v>
      </c>
    </row>
    <row r="60">
      <c r="A60" s="5" t="inlineStr">
        <is>
          <t xml:space="preserve">2020/21</t>
        </is>
      </c>
      <c r="B60" s="5" t="inlineStr">
        <is>
          <t xml:space="preserve">La Niña</t>
        </is>
      </c>
      <c r="C60" s="4">
        <f>INDEX(Monthly!$P:$P,MATCH("2020-07",Monthly!$A:$A,0))</f>
        <v>133.289</v>
      </c>
      <c r="D60" s="4">
        <f>INDEX(Monthly!$P:$P,MATCH("2020-08",Monthly!$A:$A,0))</f>
        <v>220.559</v>
      </c>
      <c r="E60" s="4">
        <f>INDEX(Monthly!$P:$P,MATCH("2020-09",Monthly!$A:$A,0))</f>
        <v>241.907</v>
      </c>
      <c r="F60" s="4">
        <f>INDEX(Monthly!$P:$P,MATCH("2020-10",Monthly!$A:$A,0))</f>
        <v>140.191</v>
      </c>
      <c r="G60" s="4">
        <f>INDEX(Monthly!$P:$P,MATCH("2020-11",Monthly!$A:$A,0))</f>
        <v>212.268</v>
      </c>
      <c r="H60" s="4">
        <f>INDEX(Monthly!$P:$P,MATCH("2020-12",Monthly!$A:$A,0))</f>
        <v>3.37</v>
      </c>
      <c r="I60" s="4">
        <f>INDEX(Monthly!$P:$P,MATCH("2021-01",Monthly!$A:$A,0))</f>
        <v>2.95</v>
      </c>
      <c r="J60" s="4">
        <f>INDEX(Monthly!$P:$P,MATCH("2021-02",Monthly!$A:$A,0))</f>
        <v>7.916</v>
      </c>
      <c r="K60" s="4">
        <f>INDEX(Monthly!$P:$P,MATCH("2021-03",Monthly!$A:$A,0))</f>
        <v>3.218</v>
      </c>
      <c r="L60" s="4">
        <f>INDEX(Monthly!$P:$P,MATCH("2021-04",Monthly!$A:$A,0))</f>
        <v>186.406</v>
      </c>
      <c r="M60" s="4">
        <f>INDEX(Monthly!$P:$P,MATCH("2021-05",Monthly!$A:$A,0))</f>
        <v>104.648</v>
      </c>
      <c r="N60" s="4">
        <f>INDEX(Monthly!$P:$P,MATCH("2021-06",Monthly!$A:$A,0))</f>
        <v>227.072</v>
      </c>
      <c r="O60" s="24">
        <f>SUM(C60:N60)</f>
        <v>1483.7939999999999</v>
      </c>
    </row>
    <row r="61">
      <c r="A61" s="5" t="inlineStr">
        <is>
          <t xml:space="preserve">2021/22</t>
        </is>
      </c>
      <c r="B61" s="5" t="inlineStr">
        <is>
          <t xml:space="preserve">La Niña</t>
        </is>
      </c>
      <c r="C61" s="4">
        <f>INDEX(Monthly!$P:$P,MATCH("2021-07",Monthly!$A:$A,0))</f>
        <v>109.618</v>
      </c>
      <c r="D61" s="4">
        <f>INDEX(Monthly!$P:$P,MATCH("2021-08",Monthly!$A:$A,0))</f>
        <v>232.284</v>
      </c>
      <c r="E61" s="4">
        <f>INDEX(Monthly!$P:$P,MATCH("2021-09",Monthly!$A:$A,0))</f>
        <v>152.37</v>
      </c>
      <c r="F61" s="4">
        <f>INDEX(Monthly!$P:$P,MATCH("2021-10",Monthly!$A:$A,0))</f>
        <v>175.261</v>
      </c>
      <c r="G61" s="4">
        <f>INDEX(Monthly!$P:$P,MATCH("2021-11",Monthly!$A:$A,0))</f>
        <v>4.951</v>
      </c>
      <c r="H61" s="4">
        <f>INDEX(Monthly!$P:$P,MATCH("2021-12",Monthly!$A:$A,0))</f>
        <v>2.482</v>
      </c>
      <c r="I61" s="4">
        <f>INDEX(Monthly!$P:$P,MATCH("2022-01",Monthly!$A:$A,0))</f>
        <v>11.926</v>
      </c>
      <c r="J61" s="4">
        <f>INDEX(Monthly!$P:$P,MATCH("2022-02",Monthly!$A:$A,0))</f>
        <v>3.674</v>
      </c>
      <c r="K61" s="4">
        <f>INDEX(Monthly!$P:$P,MATCH("2022-03",Monthly!$A:$A,0))</f>
        <v>12.942</v>
      </c>
      <c r="L61" s="4">
        <f>INDEX(Monthly!$P:$P,MATCH("2022-04",Monthly!$A:$A,0))</f>
        <v>52.999</v>
      </c>
      <c r="M61" s="4">
        <f>INDEX(Monthly!$P:$P,MATCH("2022-05",Monthly!$A:$A,0))</f>
        <v>202.91</v>
      </c>
      <c r="N61" s="4">
        <f>INDEX(Monthly!$P:$P,MATCH("2022-06",Monthly!$A:$A,0))</f>
        <v>250.556</v>
      </c>
      <c r="O61" s="24">
        <f>SUM(C61:N61)</f>
        <v>1211.973</v>
      </c>
    </row>
    <row r="62">
      <c r="A62" s="5" t="inlineStr">
        <is>
          <t xml:space="preserve">2022/23</t>
        </is>
      </c>
      <c r="B62" s="5" t="inlineStr">
        <is>
          <t xml:space="preserve">La Niña</t>
        </is>
      </c>
      <c r="C62" s="4">
        <f>INDEX(Monthly!$P:$P,MATCH("2022-07",Monthly!$A:$A,0))</f>
        <v>105.332</v>
      </c>
      <c r="D62" s="4">
        <f>INDEX(Monthly!$P:$P,MATCH("2022-08",Monthly!$A:$A,0))</f>
        <v>260.849</v>
      </c>
      <c r="E62" s="4">
        <f>INDEX(Monthly!$P:$P,MATCH("2022-09",Monthly!$A:$A,0))</f>
        <v>374.691</v>
      </c>
      <c r="F62" s="4">
        <f>INDEX(Monthly!$P:$P,MATCH("2022-10",Monthly!$A:$A,0))</f>
        <v>118.201</v>
      </c>
      <c r="G62" s="4">
        <f>INDEX(Monthly!$P:$P,MATCH("2022-11",Monthly!$A:$A,0))</f>
        <v>94.025</v>
      </c>
      <c r="H62" s="4">
        <f>INDEX(Monthly!$P:$P,MATCH("2022-12",Monthly!$A:$A,0))</f>
        <v>0.84</v>
      </c>
      <c r="I62" s="4">
        <f>INDEX(Monthly!$P:$P,MATCH("2023-01",Monthly!$A:$A,0))</f>
        <v>0.51</v>
      </c>
      <c r="J62" s="4">
        <f>INDEX(Monthly!$P:$P,MATCH("2023-02",Monthly!$A:$A,0))</f>
        <v>0.191</v>
      </c>
      <c r="K62" s="4">
        <f>INDEX(Monthly!$P:$P,MATCH("2023-03",Monthly!$A:$A,0))</f>
        <v>45.268</v>
      </c>
      <c r="L62" s="4">
        <f>INDEX(Monthly!$P:$P,MATCH("2023-04",Monthly!$A:$A,0))</f>
        <v>46.054</v>
      </c>
      <c r="M62" s="4">
        <f>INDEX(Monthly!$P:$P,MATCH("2023-05",Monthly!$A:$A,0))</f>
        <v>179.627</v>
      </c>
      <c r="N62" s="4">
        <f>INDEX(Monthly!$P:$P,MATCH("2023-06",Monthly!$A:$A,0))</f>
        <v>160.229</v>
      </c>
      <c r="O62" s="24">
        <f>SUM(C62:N62)</f>
        <v>1385.817</v>
      </c>
    </row>
    <row r="63">
      <c r="A63" s="12" t="inlineStr">
        <is>
          <t xml:space="preserve">Average La Niña</t>
        </is>
      </c>
      <c r="B63" s="12" t="inlineStr">
        <is>
          <t xml:space="preserve">9 seasons</t>
        </is>
      </c>
      <c r="C63" s="26">
        <f>AVERAGE(C54:C62)</f>
        <v>187.1108888888889</v>
      </c>
      <c r="D63" s="26">
        <f>AVERAGE(D54:D62)</f>
        <v>215.19511111111112</v>
      </c>
      <c r="E63" s="26">
        <f>AVERAGE(E54:E62)</f>
        <v>260.80944444444447</v>
      </c>
      <c r="F63" s="26">
        <f>AVERAGE(F54:F62)</f>
        <v>145.18233333333333</v>
      </c>
      <c r="G63" s="26">
        <f>AVERAGE(G54:G62)</f>
        <v>42.94277777777778</v>
      </c>
      <c r="H63" s="26">
        <f>AVERAGE(H54:H62)</f>
        <v>4.6434444444444445</v>
      </c>
      <c r="I63" s="26">
        <f>AVERAGE(I54:I62)</f>
        <v>4.363666666666667</v>
      </c>
      <c r="J63" s="26">
        <f>AVERAGE(J54:J62)</f>
        <v>6.728777777777777</v>
      </c>
      <c r="K63" s="26">
        <f>AVERAGE(K54:K62)</f>
        <v>10.453444444444445</v>
      </c>
      <c r="L63" s="26">
        <f>AVERAGE(L54:L62)</f>
        <v>65.51544444444444</v>
      </c>
      <c r="M63" s="26">
        <f>AVERAGE(M54:M62)</f>
        <v>165.3131111111111</v>
      </c>
      <c r="N63" s="26">
        <f>AVERAGE(N54:N62)</f>
        <v>215.64255555555556</v>
      </c>
      <c r="O63" s="26">
        <f>SUM(C63:N63)</f>
        <v>1323.901</v>
      </c>
    </row>
    <row r="65">
      <c r="A65" s="8" t="inlineStr">
        <is>
          <t xml:space="preserve">Neutral (4 seasons)</t>
        </is>
      </c>
    </row>
    <row r="66">
      <c r="A66" s="21" t="inlineStr">
        <is>
          <t xml:space="preserve">2012/13</t>
        </is>
      </c>
      <c r="B66" s="21" t="inlineStr">
        <is>
          <t xml:space="preserve">Neutral</t>
        </is>
      </c>
      <c r="C66" s="4">
        <f>INDEX(Monthly!$P:$P,MATCH("2012-07",Monthly!$A:$A,0))</f>
        <v>57.525</v>
      </c>
      <c r="D66" s="4">
        <f>INDEX(Monthly!$P:$P,MATCH("2012-08",Monthly!$A:$A,0))</f>
        <v>260.43</v>
      </c>
      <c r="E66" s="4">
        <f>INDEX(Monthly!$P:$P,MATCH("2012-09",Monthly!$A:$A,0))</f>
        <v>129.681</v>
      </c>
      <c r="F66" s="4">
        <f>INDEX(Monthly!$P:$P,MATCH("2012-10",Monthly!$A:$A,0))</f>
        <v>204.47</v>
      </c>
      <c r="G66" s="4">
        <f>INDEX(Monthly!$P:$P,MATCH("2012-11",Monthly!$A:$A,0))</f>
        <v>12.4</v>
      </c>
      <c r="H66" s="4">
        <f>INDEX(Monthly!$P:$P,MATCH("2012-12",Monthly!$A:$A,0))</f>
        <v>33.902</v>
      </c>
      <c r="I66" s="4">
        <f>INDEX(Monthly!$P:$P,MATCH("2013-01",Monthly!$A:$A,0))</f>
        <v>7.226</v>
      </c>
      <c r="J66" s="4">
        <f>INDEX(Monthly!$P:$P,MATCH("2013-02",Monthly!$A:$A,0))</f>
        <v>3.569</v>
      </c>
      <c r="K66" s="4">
        <f>INDEX(Monthly!$P:$P,MATCH("2013-03",Monthly!$A:$A,0))</f>
        <v>23.84</v>
      </c>
      <c r="L66" s="4">
        <f>INDEX(Monthly!$P:$P,MATCH("2013-04",Monthly!$A:$A,0))</f>
        <v>23.036</v>
      </c>
      <c r="M66" s="4">
        <f>INDEX(Monthly!$P:$P,MATCH("2013-05",Monthly!$A:$A,0))</f>
        <v>215.504</v>
      </c>
      <c r="N66" s="4">
        <f>INDEX(Monthly!$P:$P,MATCH("2013-06",Monthly!$A:$A,0))</f>
        <v>128.901</v>
      </c>
      <c r="O66" s="24">
        <f>SUM(C66:N66)</f>
        <v>1100.484</v>
      </c>
    </row>
    <row r="67">
      <c r="A67" s="21" t="inlineStr">
        <is>
          <t xml:space="preserve">2013/14</t>
        </is>
      </c>
      <c r="B67" s="21" t="inlineStr">
        <is>
          <t xml:space="preserve">Neutral</t>
        </is>
      </c>
      <c r="C67" s="4">
        <f>INDEX(Monthly!$P:$P,MATCH("2013-07",Monthly!$A:$A,0))</f>
        <v>81.626</v>
      </c>
      <c r="D67" s="4">
        <f>INDEX(Monthly!$P:$P,MATCH("2013-08",Monthly!$A:$A,0))</f>
        <v>173.755</v>
      </c>
      <c r="E67" s="4">
        <f>INDEX(Monthly!$P:$P,MATCH("2013-09",Monthly!$A:$A,0))</f>
        <v>311.456</v>
      </c>
      <c r="F67" s="4">
        <f>INDEX(Monthly!$P:$P,MATCH("2013-10",Monthly!$A:$A,0))</f>
        <v>151.359</v>
      </c>
      <c r="G67" s="4">
        <f>INDEX(Monthly!$P:$P,MATCH("2013-11",Monthly!$A:$A,0))</f>
        <v>30.635</v>
      </c>
      <c r="H67" s="4">
        <f>INDEX(Monthly!$P:$P,MATCH("2013-12",Monthly!$A:$A,0))</f>
        <v>12.221</v>
      </c>
      <c r="I67" s="4">
        <f>INDEX(Monthly!$P:$P,MATCH("2014-01",Monthly!$A:$A,0))</f>
        <v>13.41</v>
      </c>
      <c r="J67" s="4">
        <f>INDEX(Monthly!$P:$P,MATCH("2014-02",Monthly!$A:$A,0))</f>
        <v>9.612</v>
      </c>
      <c r="K67" s="4">
        <f>INDEX(Monthly!$P:$P,MATCH("2014-03",Monthly!$A:$A,0))</f>
        <v>3.138</v>
      </c>
      <c r="L67" s="4">
        <f>INDEX(Monthly!$P:$P,MATCH("2014-04",Monthly!$A:$A,0))</f>
        <v>5.382</v>
      </c>
      <c r="M67" s="4">
        <f>INDEX(Monthly!$P:$P,MATCH("2014-05",Monthly!$A:$A,0))</f>
        <v>92.647</v>
      </c>
      <c r="N67" s="4">
        <f>INDEX(Monthly!$P:$P,MATCH("2014-06",Monthly!$A:$A,0))</f>
        <v>128.357</v>
      </c>
      <c r="O67" s="24">
        <f>SUM(C67:N67)</f>
        <v>1013.598</v>
      </c>
    </row>
    <row r="68">
      <c r="A68" s="21" t="inlineStr">
        <is>
          <t xml:space="preserve">2016/17</t>
        </is>
      </c>
      <c r="B68" s="21" t="inlineStr">
        <is>
          <t xml:space="preserve">Neutral</t>
        </is>
      </c>
      <c r="C68" s="4">
        <f>INDEX(Monthly!$P:$P,MATCH("2016-07",Monthly!$A:$A,0))</f>
        <v>71.837</v>
      </c>
      <c r="D68" s="4">
        <f>INDEX(Monthly!$P:$P,MATCH("2016-08",Monthly!$A:$A,0))</f>
        <v>154.676</v>
      </c>
      <c r="E68" s="4">
        <f>INDEX(Monthly!$P:$P,MATCH("2016-09",Monthly!$A:$A,0))</f>
        <v>93.253</v>
      </c>
      <c r="F68" s="4">
        <f>INDEX(Monthly!$P:$P,MATCH("2016-10",Monthly!$A:$A,0))</f>
        <v>124.823</v>
      </c>
      <c r="G68" s="4">
        <f>INDEX(Monthly!$P:$P,MATCH("2016-11",Monthly!$A:$A,0))</f>
        <v>19.88</v>
      </c>
      <c r="H68" s="4">
        <f>INDEX(Monthly!$P:$P,MATCH("2016-12",Monthly!$A:$A,0))</f>
        <v>17.905</v>
      </c>
      <c r="I68" s="4">
        <f>INDEX(Monthly!$P:$P,MATCH("2017-01",Monthly!$A:$A,0))</f>
        <v>5.523</v>
      </c>
      <c r="J68" s="4">
        <f>INDEX(Monthly!$P:$P,MATCH("2017-02",Monthly!$A:$A,0))</f>
        <v>0.866</v>
      </c>
      <c r="K68" s="4">
        <f>INDEX(Monthly!$P:$P,MATCH("2017-03",Monthly!$A:$A,0))</f>
        <v>4.565</v>
      </c>
      <c r="L68" s="4">
        <f>INDEX(Monthly!$P:$P,MATCH("2017-04",Monthly!$A:$A,0))</f>
        <v>86.835</v>
      </c>
      <c r="M68" s="4">
        <f>INDEX(Monthly!$P:$P,MATCH("2017-05",Monthly!$A:$A,0))</f>
        <v>227.82</v>
      </c>
      <c r="N68" s="4">
        <f>INDEX(Monthly!$P:$P,MATCH("2017-06",Monthly!$A:$A,0))</f>
        <v>254.474</v>
      </c>
      <c r="O68" s="24">
        <f>SUM(C68:N68)</f>
        <v>1062.4569999999999</v>
      </c>
    </row>
    <row r="69">
      <c r="A69" s="21" t="inlineStr">
        <is>
          <t xml:space="preserve">2024/25</t>
        </is>
      </c>
      <c r="B69" s="21" t="inlineStr">
        <is>
          <t xml:space="preserve">Neutral</t>
        </is>
      </c>
      <c r="C69" s="4">
        <f>INDEX(Monthly!$P:$P,MATCH("2024-07",Monthly!$A:$A,0))</f>
        <v>238.537</v>
      </c>
      <c r="D69" s="4">
        <f>INDEX(Monthly!$P:$P,MATCH("2024-08",Monthly!$A:$A,0))</f>
        <v>203.238</v>
      </c>
      <c r="E69" s="4">
        <f>INDEX(Monthly!$P:$P,MATCH("2024-09",Monthly!$A:$A,0))</f>
        <v>267.75</v>
      </c>
      <c r="F69" s="4">
        <f>INDEX(Monthly!$P:$P,MATCH("2024-10",Monthly!$A:$A,0))</f>
        <v>48.338</v>
      </c>
      <c r="G69" s="4">
        <f>INDEX(Monthly!$P:$P,MATCH("2024-11",Monthly!$A:$A,0))</f>
        <v>98.564</v>
      </c>
      <c r="H69" s="4">
        <f>INDEX(Monthly!$P:$P,MATCH("2024-12",Monthly!$A:$A,0))</f>
        <v>7.195</v>
      </c>
      <c r="I69" s="4">
        <f>INDEX(Monthly!$P:$P,MATCH("2025-01",Monthly!$A:$A,0))</f>
        <v>14.087</v>
      </c>
      <c r="J69" s="4">
        <f>INDEX(Monthly!$P:$P,MATCH("2025-02",Monthly!$A:$A,0))</f>
        <v>5.232</v>
      </c>
      <c r="K69" s="4">
        <f>INDEX(Monthly!$P:$P,MATCH("2025-03",Monthly!$A:$A,0))</f>
        <v>3.893</v>
      </c>
      <c r="L69" s="4">
        <f>INDEX(Monthly!$P:$P,MATCH("2025-04",Monthly!$A:$A,0))</f>
        <v>49.159</v>
      </c>
      <c r="M69" s="4">
        <f>INDEX(Monthly!$P:$P,MATCH("2025-05",Monthly!$A:$A,0))</f>
        <v>80.106</v>
      </c>
      <c r="N69" s="4">
        <f>INDEX(Monthly!$P:$P,MATCH("2025-06",Monthly!$A:$A,0))</f>
        <v>320.058</v>
      </c>
      <c r="O69" s="24">
        <f>SUM(C69:N69)</f>
        <v>1336.157</v>
      </c>
    </row>
    <row r="70">
      <c r="A70" s="8" t="inlineStr">
        <is>
          <t xml:space="preserve">Average Neutral</t>
        </is>
      </c>
      <c r="B70" s="8" t="inlineStr">
        <is>
          <t xml:space="preserve">4 seasons</t>
        </is>
      </c>
      <c r="C70" s="27">
        <f>AVERAGE(C66:C69)</f>
        <v>112.38125000000001</v>
      </c>
      <c r="D70" s="27">
        <f>AVERAGE(D66:D69)</f>
        <v>198.02474999999998</v>
      </c>
      <c r="E70" s="27">
        <f>AVERAGE(E66:E69)</f>
        <v>200.535</v>
      </c>
      <c r="F70" s="27">
        <f>AVERAGE(F66:F69)</f>
        <v>132.2475</v>
      </c>
      <c r="G70" s="27">
        <f>AVERAGE(G66:G69)</f>
        <v>40.369749999999996</v>
      </c>
      <c r="H70" s="27">
        <f>AVERAGE(H66:H69)</f>
        <v>17.80575</v>
      </c>
      <c r="I70" s="27">
        <f>AVERAGE(I66:I69)</f>
        <v>10.0615</v>
      </c>
      <c r="J70" s="27">
        <f>AVERAGE(J66:J69)</f>
        <v>4.81975</v>
      </c>
      <c r="K70" s="27">
        <f>AVERAGE(K66:K69)</f>
        <v>8.859</v>
      </c>
      <c r="L70" s="27">
        <f>AVERAGE(L66:L69)</f>
        <v>41.103</v>
      </c>
      <c r="M70" s="27">
        <f>AVERAGE(M66:M69)</f>
        <v>154.01925</v>
      </c>
      <c r="N70" s="27">
        <f>AVERAGE(N66:N69)</f>
        <v>207.9475</v>
      </c>
      <c r="O70" s="27">
        <f>SUM(C70:N70)</f>
        <v>1128.174</v>
      </c>
    </row>
    <row r="72">
      <c r="A72" s="23" t="inlineStr">
        <is>
          <t xml:space="preserve">After the photo window (not in the averages)</t>
        </is>
      </c>
    </row>
    <row r="73">
      <c r="A73" s="21" t="inlineStr">
        <is>
          <t xml:space="preserve">2025/26</t>
        </is>
      </c>
      <c r="B73" s="21" t="inlineStr">
        <is>
          <t xml:space="preserve">Neutral</t>
        </is>
      </c>
      <c r="C73" s="4">
        <f>INDEX(Monthly!$P:$P,MATCH("2025-07",Monthly!$A:$A,0))</f>
        <v>122.565</v>
      </c>
      <c r="D73" s="4">
        <f>INDEX(Monthly!$P:$P,MATCH("2025-08",Monthly!$A:$A,0))</f>
        <v>190.398</v>
      </c>
      <c r="E73" s="4">
        <f>INDEX(Monthly!$P:$P,MATCH("2025-09",Monthly!$A:$A,0))</f>
        <v>344.866</v>
      </c>
      <c r="F73" s="4">
        <f>INDEX(Monthly!$P:$P,MATCH("2025-10",Monthly!$A:$A,0))</f>
        <v>205.294</v>
      </c>
      <c r="G73" s="4">
        <f>INDEX(Monthly!$P:$P,MATCH("2025-11",Monthly!$A:$A,0))</f>
        <v>13.56</v>
      </c>
      <c r="H73" s="4">
        <f>INDEX(Monthly!$P:$P,MATCH("2025-12",Monthly!$A:$A,0))</f>
        <v>27.79</v>
      </c>
      <c r="I73" s="4">
        <f>INDEX(Monthly!$P:$P,MATCH("2026-01",Monthly!$A:$A,0))</f>
        <v>2.814</v>
      </c>
      <c r="J73" s="4">
        <f>INDEX(Monthly!$P:$P,MATCH("2026-02",Monthly!$A:$A,0))</f>
        <v>1.769</v>
      </c>
      <c r="K73" s="4">
        <f>INDEX(Monthly!$P:$P,MATCH("2026-03",Monthly!$A:$A,0))</f>
        <v>61.738</v>
      </c>
      <c r="L73" s="4">
        <f>INDEX(Monthly!$P:$P,MATCH("2026-04",Monthly!$A:$A,0))</f>
        <v>550.337</v>
      </c>
      <c r="M73" s="4">
        <f>INDEX(Monthly!$P:$P,MATCH("2026-05",Monthly!$A:$A,0))</f>
        <v>113.955</v>
      </c>
      <c r="N73" s="4">
        <f>INDEX(Monthly!$P:$P,MATCH("2026-06",Monthly!$A:$A,0))</f>
        <v>181.884</v>
      </c>
      <c r="O73" s="24">
        <f>SUM(C73:N73)</f>
        <v>1816.9699999999998</v>
      </c>
    </row>
    <row r="74">
      <c r="A74" s="6" t="inlineStr">
        <is>
          <t xml:space="preserve">2026/27</t>
        </is>
      </c>
      <c r="B74" s="6" t="inlineStr">
        <is>
          <t xml:space="preserve">El Niño (in progress)</t>
        </is>
      </c>
      <c r="C74" s="4">
        <f>INDEX(Monthly!$P:$P,MATCH("2026-07",Monthly!$A:$A,0))</f>
        <v>75.997</v>
      </c>
      <c r="D74" s="4">
        <f>INDEX(Monthly!$P:$P,MATCH("2026-08",Monthly!$A:$A,0))</f>
        <v>23.422</v>
      </c>
    </row>
  </sheetData>
</worksheet>
</file>

<file path=xl/worksheets/sheet4.xml><?xml version="1.0" encoding="utf-8"?>
<worksheet xmlns="http://schemas.openxmlformats.org/spreadsheetml/2006/main" xmlns:r="http://schemas.openxmlformats.org/officeDocument/2006/relationships">
  <sheetViews>
    <sheetView workbookViewId="0">
      <pane xSplit="2" ySplit="4" topLeftCell="C5" activePane="bottomRight" state="frozen"/>
    </sheetView>
  </sheetViews>
  <sheetFormatPr defaultRowHeight="13.2"/>
  <cols>
    <col min="1" max="1" width="30" customWidth="1"/>
    <col min="2" max="2" width="1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11" customWidth="1"/>
  </cols>
  <sheetData>
    <row r="1">
      <c r="A1" s="16" t="inlineStr">
        <is>
          <t xml:space="preserve">Ocotepeque — Ocotepeque department, town of Nueva Ocotepeque | Temperature and rainfall by ENSO season</t>
        </is>
      </c>
    </row>
    <row r="2">
      <c r="A2" s="7" t="inlineStr">
        <is>
          <t xml:space="preserve">Rain: NOAA CPC gauge analysis (daily, 0.5°). Temperature: NASA POWER daily (grid cell of each town). July–June seasons 2005/06–2024/25 as in the São Mateus chart. Season phase = official NOAA ENSO episode at its Nov–Jan peak (sheet ENSO_seasons). Average rows = mean of the seasons of that phase in the photo window.</t>
        </is>
      </c>
    </row>
    <row r="3">
      <c r="A3" s="7" t="inlineStr">
        <is>
          <t xml:space="preserve">Seasons after the photo window are listed below each block, outside the averages. 2026/27: complete months only (data end 2026-09-22).</t>
        </is>
      </c>
    </row>
    <row r="5">
      <c r="A5" s="17" t="inlineStr">
        <is>
          <t xml:space="preserve">Mean temperature (°C) — monthly mean of daily T2M</t>
        </is>
      </c>
    </row>
    <row r="6">
      <c r="A6" s="1" t="inlineStr">
        <is>
          <t xml:space="preserve">Season</t>
        </is>
      </c>
      <c r="B6" s="1" t="inlineStr">
        <is>
          <t xml:space="preserve">Phase</t>
        </is>
      </c>
      <c r="C6" s="1" t="inlineStr">
        <is>
          <t xml:space="preserve">Jul</t>
        </is>
      </c>
      <c r="D6" s="1" t="inlineStr">
        <is>
          <t xml:space="preserve">Aug</t>
        </is>
      </c>
      <c r="E6" s="1" t="inlineStr">
        <is>
          <t xml:space="preserve">Sep</t>
        </is>
      </c>
      <c r="F6" s="1" t="inlineStr">
        <is>
          <t xml:space="preserve">Oct</t>
        </is>
      </c>
      <c r="G6" s="1" t="inlineStr">
        <is>
          <t xml:space="preserve">Nov</t>
        </is>
      </c>
      <c r="H6" s="1" t="inlineStr">
        <is>
          <t xml:space="preserve">Dec</t>
        </is>
      </c>
      <c r="I6" s="1" t="inlineStr">
        <is>
          <t xml:space="preserve">Jan</t>
        </is>
      </c>
      <c r="J6" s="1" t="inlineStr">
        <is>
          <t xml:space="preserve">Feb</t>
        </is>
      </c>
      <c r="K6" s="1" t="inlineStr">
        <is>
          <t xml:space="preserve">Mar</t>
        </is>
      </c>
      <c r="L6" s="1" t="inlineStr">
        <is>
          <t xml:space="preserve">Apr</t>
        </is>
      </c>
      <c r="M6" s="1" t="inlineStr">
        <is>
          <t xml:space="preserve">May</t>
        </is>
      </c>
      <c r="N6" s="1" t="inlineStr">
        <is>
          <t xml:space="preserve">Jun</t>
        </is>
      </c>
      <c r="O6" s="1" t="inlineStr">
        <is>
          <t xml:space="preserve">Season mean</t>
        </is>
      </c>
    </row>
    <row r="7">
      <c r="A7" s="11" t="inlineStr">
        <is>
          <t xml:space="preserve">El Niño (7 seasons)</t>
        </is>
      </c>
    </row>
    <row r="8">
      <c r="A8" s="6" t="inlineStr">
        <is>
          <t xml:space="preserve">2006/07</t>
        </is>
      </c>
      <c r="B8" s="6" t="inlineStr">
        <is>
          <t xml:space="preserve">El Niño</t>
        </is>
      </c>
      <c r="C8" s="3">
        <f>INDEX(Monthly!$V:$V,MATCH("2006-07",Monthly!$A:$A,0))</f>
        <v>22.558709677419355</v>
      </c>
      <c r="D8" s="3">
        <f>INDEX(Monthly!$V:$V,MATCH("2006-08",Monthly!$A:$A,0))</f>
        <v>22.4641935483871</v>
      </c>
      <c r="E8" s="3">
        <f>INDEX(Monthly!$V:$V,MATCH("2006-09",Monthly!$A:$A,0))</f>
        <v>22.318666666666665</v>
      </c>
      <c r="F8" s="3">
        <f>INDEX(Monthly!$V:$V,MATCH("2006-10",Monthly!$A:$A,0))</f>
        <v>22.07032258064516</v>
      </c>
      <c r="G8" s="3">
        <f>INDEX(Monthly!$V:$V,MATCH("2006-11",Monthly!$A:$A,0))</f>
        <v>19.708333333333336</v>
      </c>
      <c r="H8" s="3">
        <f>INDEX(Monthly!$V:$V,MATCH("2006-12",Monthly!$A:$A,0))</f>
        <v>20.178387096774188</v>
      </c>
      <c r="I8" s="3">
        <f>INDEX(Monthly!$V:$V,MATCH("2007-01",Monthly!$A:$A,0))</f>
        <v>20.612258064516134</v>
      </c>
      <c r="J8" s="3">
        <f>INDEX(Monthly!$V:$V,MATCH("2007-02",Monthly!$A:$A,0))</f>
        <v>21.62857142857143</v>
      </c>
      <c r="K8" s="3">
        <f>INDEX(Monthly!$V:$V,MATCH("2007-03",Monthly!$A:$A,0))</f>
        <v>22.585161290322585</v>
      </c>
      <c r="L8" s="3">
        <f>INDEX(Monthly!$V:$V,MATCH("2007-04",Monthly!$A:$A,0))</f>
        <v>24.719333333333335</v>
      </c>
      <c r="M8" s="3">
        <f>INDEX(Monthly!$V:$V,MATCH("2007-05",Monthly!$A:$A,0))</f>
        <v>25.443548387096786</v>
      </c>
      <c r="N8" s="3">
        <f>INDEX(Monthly!$V:$V,MATCH("2007-06",Monthly!$A:$A,0))</f>
        <v>23.074666666666666</v>
      </c>
      <c r="O8" s="18">
        <f>AVERAGE(C8:N8)</f>
        <v>22.28017933947773</v>
      </c>
    </row>
    <row r="9">
      <c r="A9" s="6" t="inlineStr">
        <is>
          <t xml:space="preserve">2009/10</t>
        </is>
      </c>
      <c r="B9" s="6" t="inlineStr">
        <is>
          <t xml:space="preserve">El Niño</t>
        </is>
      </c>
      <c r="C9" s="3">
        <f>INDEX(Monthly!$V:$V,MATCH("2009-07",Monthly!$A:$A,0))</f>
        <v>22.727096774193544</v>
      </c>
      <c r="D9" s="3">
        <f>INDEX(Monthly!$V:$V,MATCH("2009-08",Monthly!$A:$A,0))</f>
        <v>22.50451612903226</v>
      </c>
      <c r="E9" s="3">
        <f>INDEX(Monthly!$V:$V,MATCH("2009-09",Monthly!$A:$A,0))</f>
        <v>22.546333333333337</v>
      </c>
      <c r="F9" s="3">
        <f>INDEX(Monthly!$V:$V,MATCH("2009-10",Monthly!$A:$A,0))</f>
        <v>22.35548387096775</v>
      </c>
      <c r="G9" s="3">
        <f>INDEX(Monthly!$V:$V,MATCH("2009-11",Monthly!$A:$A,0))</f>
        <v>20.179333333333336</v>
      </c>
      <c r="H9" s="3">
        <f>INDEX(Monthly!$V:$V,MATCH("2009-12",Monthly!$A:$A,0))</f>
        <v>20.128709677419355</v>
      </c>
      <c r="I9" s="3">
        <f>INDEX(Monthly!$V:$V,MATCH("2010-01",Monthly!$A:$A,0))</f>
        <v>19.22451612903226</v>
      </c>
      <c r="J9" s="3">
        <f>INDEX(Monthly!$V:$V,MATCH("2010-02",Monthly!$A:$A,0))</f>
        <v>21.903571428571432</v>
      </c>
      <c r="K9" s="3">
        <f>INDEX(Monthly!$V:$V,MATCH("2010-03",Monthly!$A:$A,0))</f>
        <v>23.350322580645162</v>
      </c>
      <c r="L9" s="3">
        <f>INDEX(Monthly!$V:$V,MATCH("2010-04",Monthly!$A:$A,0))</f>
        <v>25.24866666666667</v>
      </c>
      <c r="M9" s="3">
        <f>INDEX(Monthly!$V:$V,MATCH("2010-05",Monthly!$A:$A,0))</f>
        <v>24.683548387096774</v>
      </c>
      <c r="N9" s="3">
        <f>INDEX(Monthly!$V:$V,MATCH("2010-06",Monthly!$A:$A,0))</f>
        <v>22.95433333333333</v>
      </c>
      <c r="O9" s="18">
        <f>AVERAGE(C9:N9)</f>
        <v>22.31720263696877</v>
      </c>
    </row>
    <row r="10">
      <c r="A10" s="6" t="inlineStr">
        <is>
          <t xml:space="preserve">2014/15</t>
        </is>
      </c>
      <c r="B10" s="6" t="inlineStr">
        <is>
          <t xml:space="preserve">El Niño</t>
        </is>
      </c>
      <c r="C10" s="3">
        <f>INDEX(Monthly!$V:$V,MATCH("2014-07",Monthly!$A:$A,0))</f>
        <v>23.33935483870968</v>
      </c>
      <c r="D10" s="3">
        <f>INDEX(Monthly!$V:$V,MATCH("2014-08",Monthly!$A:$A,0))</f>
        <v>22.723870967741934</v>
      </c>
      <c r="E10" s="3">
        <f>INDEX(Monthly!$V:$V,MATCH("2014-09",Monthly!$A:$A,0))</f>
        <v>22.122333333333334</v>
      </c>
      <c r="F10" s="3">
        <f>INDEX(Monthly!$V:$V,MATCH("2014-10",Monthly!$A:$A,0))</f>
        <v>21.504516129032254</v>
      </c>
      <c r="G10" s="3">
        <f>INDEX(Monthly!$V:$V,MATCH("2014-11",Monthly!$A:$A,0))</f>
        <v>19.65266666666667</v>
      </c>
      <c r="H10" s="3">
        <f>INDEX(Monthly!$V:$V,MATCH("2014-12",Monthly!$A:$A,0))</f>
        <v>18.85451612903226</v>
      </c>
      <c r="I10" s="3">
        <f>INDEX(Monthly!$V:$V,MATCH("2015-01",Monthly!$A:$A,0))</f>
        <v>19.13967741935484</v>
      </c>
      <c r="J10" s="3">
        <f>INDEX(Monthly!$V:$V,MATCH("2015-02",Monthly!$A:$A,0))</f>
        <v>20.028214285714288</v>
      </c>
      <c r="K10" s="3">
        <f>INDEX(Monthly!$V:$V,MATCH("2015-03",Monthly!$A:$A,0))</f>
        <v>22.16451612903226</v>
      </c>
      <c r="L10" s="3">
        <f>INDEX(Monthly!$V:$V,MATCH("2015-04",Monthly!$A:$A,0))</f>
        <v>25.233666666666668</v>
      </c>
      <c r="M10" s="3">
        <f>INDEX(Monthly!$V:$V,MATCH("2015-05",Monthly!$A:$A,0))</f>
        <v>24.777096774193552</v>
      </c>
      <c r="N10" s="3">
        <f>INDEX(Monthly!$V:$V,MATCH("2015-06",Monthly!$A:$A,0))</f>
        <v>23.05</v>
      </c>
      <c r="O10" s="18">
        <f>AVERAGE(C10:N10)</f>
        <v>21.882535778289807</v>
      </c>
    </row>
    <row r="11">
      <c r="A11" s="6" t="inlineStr">
        <is>
          <t xml:space="preserve">2015/16</t>
        </is>
      </c>
      <c r="B11" s="6" t="inlineStr">
        <is>
          <t xml:space="preserve">El Niño</t>
        </is>
      </c>
      <c r="C11" s="3">
        <f>INDEX(Monthly!$V:$V,MATCH("2015-07",Monthly!$A:$A,0))</f>
        <v>23.82451612903226</v>
      </c>
      <c r="D11" s="3">
        <f>INDEX(Monthly!$V:$V,MATCH("2015-08",Monthly!$A:$A,0))</f>
        <v>24.248064516129027</v>
      </c>
      <c r="E11" s="3">
        <f>INDEX(Monthly!$V:$V,MATCH("2015-09",Monthly!$A:$A,0))</f>
        <v>22.726333333333333</v>
      </c>
      <c r="F11" s="3">
        <f>INDEX(Monthly!$V:$V,MATCH("2015-10",Monthly!$A:$A,0))</f>
        <v>22.353870967741933</v>
      </c>
      <c r="G11" s="3">
        <f>INDEX(Monthly!$V:$V,MATCH("2015-11",Monthly!$A:$A,0))</f>
        <v>21.443666666666665</v>
      </c>
      <c r="H11" s="3">
        <f>INDEX(Monthly!$V:$V,MATCH("2015-12",Monthly!$A:$A,0))</f>
        <v>21.221935483870965</v>
      </c>
      <c r="I11" s="3">
        <f>INDEX(Monthly!$V:$V,MATCH("2016-01",Monthly!$A:$A,0))</f>
        <v>20.03516129032258</v>
      </c>
      <c r="J11" s="3">
        <f>INDEX(Monthly!$V:$V,MATCH("2016-02",Monthly!$A:$A,0))</f>
        <v>19.778275862068963</v>
      </c>
      <c r="K11" s="3">
        <f>INDEX(Monthly!$V:$V,MATCH("2016-03",Monthly!$A:$A,0))</f>
        <v>24.524193548387093</v>
      </c>
      <c r="L11" s="3">
        <f>INDEX(Monthly!$V:$V,MATCH("2016-04",Monthly!$A:$A,0))</f>
        <v>25.30966666666667</v>
      </c>
      <c r="M11" s="3">
        <f>INDEX(Monthly!$V:$V,MATCH("2016-05",Monthly!$A:$A,0))</f>
        <v>25.96354838709678</v>
      </c>
      <c r="N11" s="3">
        <f>INDEX(Monthly!$V:$V,MATCH("2016-06",Monthly!$A:$A,0))</f>
        <v>23.57066666666667</v>
      </c>
      <c r="O11" s="18">
        <f>AVERAGE(C11:N11)</f>
        <v>22.916658293165245</v>
      </c>
    </row>
    <row r="12">
      <c r="A12" s="6" t="inlineStr">
        <is>
          <t xml:space="preserve">2018/19</t>
        </is>
      </c>
      <c r="B12" s="6" t="inlineStr">
        <is>
          <t xml:space="preserve">El Niño</t>
        </is>
      </c>
      <c r="C12" s="3">
        <f>INDEX(Monthly!$V:$V,MATCH("2018-07",Monthly!$A:$A,0))</f>
        <v>22.960322580645162</v>
      </c>
      <c r="D12" s="3">
        <f>INDEX(Monthly!$V:$V,MATCH("2018-08",Monthly!$A:$A,0))</f>
        <v>22.738709677419358</v>
      </c>
      <c r="E12" s="3">
        <f>INDEX(Monthly!$V:$V,MATCH("2018-09",Monthly!$A:$A,0))</f>
        <v>22.605333333333327</v>
      </c>
      <c r="F12" s="3">
        <f>INDEX(Monthly!$V:$V,MATCH("2018-10",Monthly!$A:$A,0))</f>
        <v>21.554193548387097</v>
      </c>
      <c r="G12" s="3">
        <f>INDEX(Monthly!$V:$V,MATCH("2018-11",Monthly!$A:$A,0))</f>
        <v>21.411666666666665</v>
      </c>
      <c r="H12" s="3">
        <f>INDEX(Monthly!$V:$V,MATCH("2018-12",Monthly!$A:$A,0))</f>
        <v>20.437419354838706</v>
      </c>
      <c r="I12" s="3">
        <f>INDEX(Monthly!$V:$V,MATCH("2019-01",Monthly!$A:$A,0))</f>
        <v>20.75483870967742</v>
      </c>
      <c r="J12" s="3">
        <f>INDEX(Monthly!$V:$V,MATCH("2019-02",Monthly!$A:$A,0))</f>
        <v>23.53464285714286</v>
      </c>
      <c r="K12" s="3">
        <f>INDEX(Monthly!$V:$V,MATCH("2019-03",Monthly!$A:$A,0))</f>
        <v>23.999032258064524</v>
      </c>
      <c r="L12" s="3">
        <f>INDEX(Monthly!$V:$V,MATCH("2019-04",Monthly!$A:$A,0))</f>
        <v>25.737000000000005</v>
      </c>
      <c r="M12" s="3">
        <f>INDEX(Monthly!$V:$V,MATCH("2019-05",Monthly!$A:$A,0))</f>
        <v>24.126451612903224</v>
      </c>
      <c r="N12" s="3">
        <f>INDEX(Monthly!$V:$V,MATCH("2019-06",Monthly!$A:$A,0))</f>
        <v>23.679333333333325</v>
      </c>
      <c r="O12" s="18">
        <f>AVERAGE(C12:N12)</f>
        <v>22.794911994367638</v>
      </c>
    </row>
    <row r="13">
      <c r="A13" s="6" t="inlineStr">
        <is>
          <t xml:space="preserve">2019/20</t>
        </is>
      </c>
      <c r="B13" s="6" t="inlineStr">
        <is>
          <t xml:space="preserve">El Niño</t>
        </is>
      </c>
      <c r="C13" s="3">
        <f>INDEX(Monthly!$V:$V,MATCH("2019-07",Monthly!$A:$A,0))</f>
        <v>23.434838709677425</v>
      </c>
      <c r="D13" s="3">
        <f>INDEX(Monthly!$V:$V,MATCH("2019-08",Monthly!$A:$A,0))</f>
        <v>23.713225806451614</v>
      </c>
      <c r="E13" s="3">
        <f>INDEX(Monthly!$V:$V,MATCH("2019-09",Monthly!$A:$A,0))</f>
        <v>22.85166666666667</v>
      </c>
      <c r="F13" s="3">
        <f>INDEX(Monthly!$V:$V,MATCH("2019-10",Monthly!$A:$A,0))</f>
        <v>22.385483870967747</v>
      </c>
      <c r="G13" s="3">
        <f>INDEX(Monthly!$V:$V,MATCH("2019-11",Monthly!$A:$A,0))</f>
        <v>20.774333333333335</v>
      </c>
      <c r="H13" s="3">
        <f>INDEX(Monthly!$V:$V,MATCH("2019-12",Monthly!$A:$A,0))</f>
        <v>19.970967741935485</v>
      </c>
      <c r="I13" s="3">
        <f>INDEX(Monthly!$V:$V,MATCH("2020-01",Monthly!$A:$A,0))</f>
        <v>20.87</v>
      </c>
      <c r="J13" s="3">
        <f>INDEX(Monthly!$V:$V,MATCH("2020-02",Monthly!$A:$A,0))</f>
        <v>22.32862068965517</v>
      </c>
      <c r="K13" s="3">
        <f>INDEX(Monthly!$V:$V,MATCH("2020-03",Monthly!$A:$A,0))</f>
        <v>24.122258064516124</v>
      </c>
      <c r="L13" s="3">
        <f>INDEX(Monthly!$V:$V,MATCH("2020-04",Monthly!$A:$A,0))</f>
        <v>27.169999999999995</v>
      </c>
      <c r="M13" s="3">
        <f>INDEX(Monthly!$V:$V,MATCH("2020-05",Monthly!$A:$A,0))</f>
        <v>24.706774193548387</v>
      </c>
      <c r="N13" s="3">
        <f>INDEX(Monthly!$V:$V,MATCH("2020-06",Monthly!$A:$A,0))</f>
        <v>22.972666666666672</v>
      </c>
      <c r="O13" s="18">
        <f>AVERAGE(C13:N13)</f>
        <v>22.941736311951555</v>
      </c>
    </row>
    <row r="14">
      <c r="A14" s="6" t="inlineStr">
        <is>
          <t xml:space="preserve">2023/24</t>
        </is>
      </c>
      <c r="B14" s="6" t="inlineStr">
        <is>
          <t xml:space="preserve">El Niño</t>
        </is>
      </c>
      <c r="C14" s="3">
        <f>INDEX(Monthly!$V:$V,MATCH("2023-07",Monthly!$A:$A,0))</f>
        <v>23.83935483870968</v>
      </c>
      <c r="D14" s="3">
        <f>INDEX(Monthly!$V:$V,MATCH("2023-08",Monthly!$A:$A,0))</f>
        <v>23.68870967741935</v>
      </c>
      <c r="E14" s="3">
        <f>INDEX(Monthly!$V:$V,MATCH("2023-09",Monthly!$A:$A,0))</f>
        <v>23.58433333333333</v>
      </c>
      <c r="F14" s="3">
        <f>INDEX(Monthly!$V:$V,MATCH("2023-10",Monthly!$A:$A,0))</f>
        <v>22.430645161290318</v>
      </c>
      <c r="G14" s="3">
        <f>INDEX(Monthly!$V:$V,MATCH("2023-11",Monthly!$A:$A,0))</f>
        <v>21.498666666666665</v>
      </c>
      <c r="H14" s="3">
        <f>INDEX(Monthly!$V:$V,MATCH("2023-12",Monthly!$A:$A,0))</f>
        <v>20.395161290322577</v>
      </c>
      <c r="I14" s="3">
        <f>INDEX(Monthly!$V:$V,MATCH("2024-01",Monthly!$A:$A,0))</f>
        <v>21.31612903225807</v>
      </c>
      <c r="J14" s="3">
        <f>INDEX(Monthly!$V:$V,MATCH("2024-02",Monthly!$A:$A,0))</f>
        <v>21.684827586206904</v>
      </c>
      <c r="K14" s="3">
        <f>INDEX(Monthly!$V:$V,MATCH("2024-03",Monthly!$A:$A,0))</f>
        <v>25.02032258064516</v>
      </c>
      <c r="L14" s="3">
        <f>INDEX(Monthly!$V:$V,MATCH("2024-04",Monthly!$A:$A,0))</f>
        <v>25.472</v>
      </c>
      <c r="M14" s="3">
        <f>INDEX(Monthly!$V:$V,MATCH("2024-05",Monthly!$A:$A,0))</f>
        <v>27.279677419354837</v>
      </c>
      <c r="N14" s="3">
        <f>INDEX(Monthly!$V:$V,MATCH("2024-06",Monthly!$A:$A,0))</f>
        <v>24.174999999999997</v>
      </c>
      <c r="O14" s="18">
        <f>AVERAGE(C14:N14)</f>
        <v>23.365402298850572</v>
      </c>
    </row>
    <row r="15">
      <c r="A15" s="11" t="inlineStr">
        <is>
          <t xml:space="preserve">Average El Niño</t>
        </is>
      </c>
      <c r="B15" s="11" t="inlineStr">
        <is>
          <t xml:space="preserve">7 seasons</t>
        </is>
      </c>
      <c r="C15" s="19">
        <f>AVERAGE(C8:C14)</f>
        <v>23.240599078341017</v>
      </c>
      <c r="D15" s="19">
        <f>AVERAGE(D8:D14)</f>
        <v>23.15447004608295</v>
      </c>
      <c r="E15" s="19">
        <f>AVERAGE(E8:E14)</f>
        <v>22.679285714285715</v>
      </c>
      <c r="F15" s="19">
        <f>AVERAGE(F8:F14)</f>
        <v>22.093502304147467</v>
      </c>
      <c r="G15" s="19">
        <f>AVERAGE(G8:G14)</f>
        <v>20.66695238095238</v>
      </c>
      <c r="H15" s="19">
        <f>AVERAGE(H8:H14)</f>
        <v>20.16958525345622</v>
      </c>
      <c r="I15" s="19">
        <f>AVERAGE(I8:I14)</f>
        <v>20.2789400921659</v>
      </c>
      <c r="J15" s="19">
        <f>AVERAGE(J8:J14)</f>
        <v>21.55524630541872</v>
      </c>
      <c r="K15" s="19">
        <f>AVERAGE(K8:K14)</f>
        <v>23.680829493087558</v>
      </c>
      <c r="L15" s="19">
        <f>AVERAGE(L8:L14)</f>
        <v>25.555761904761905</v>
      </c>
      <c r="M15" s="19">
        <f>AVERAGE(M8:M14)</f>
        <v>25.282949308755764</v>
      </c>
      <c r="N15" s="19">
        <f>AVERAGE(N8:N14)</f>
        <v>23.353809523809524</v>
      </c>
      <c r="O15" s="19">
        <f>AVERAGE(C15:N15)</f>
        <v>22.64266095043876</v>
      </c>
    </row>
    <row r="17">
      <c r="A17" s="12" t="inlineStr">
        <is>
          <t xml:space="preserve">La Niña (9 seasons)</t>
        </is>
      </c>
    </row>
    <row r="18">
      <c r="A18" s="5" t="inlineStr">
        <is>
          <t xml:space="preserve">2005/06</t>
        </is>
      </c>
      <c r="B18" s="5" t="inlineStr">
        <is>
          <t xml:space="preserve">La Niña</t>
        </is>
      </c>
      <c r="C18" s="3">
        <f>INDEX(Monthly!$V:$V,MATCH("2005-07",Monthly!$A:$A,0))</f>
        <v>22.774516129032257</v>
      </c>
      <c r="D18" s="3">
        <f>INDEX(Monthly!$V:$V,MATCH("2005-08",Monthly!$A:$A,0))</f>
        <v>22.71451612903226</v>
      </c>
      <c r="E18" s="3">
        <f>INDEX(Monthly!$V:$V,MATCH("2005-09",Monthly!$A:$A,0))</f>
        <v>22.40366666666666</v>
      </c>
      <c r="F18" s="3">
        <f>INDEX(Monthly!$V:$V,MATCH("2005-10",Monthly!$A:$A,0))</f>
        <v>20.98193548387097</v>
      </c>
      <c r="G18" s="3">
        <f>INDEX(Monthly!$V:$V,MATCH("2005-11",Monthly!$A:$A,0))</f>
        <v>19.723000000000006</v>
      </c>
      <c r="H18" s="3">
        <f>INDEX(Monthly!$V:$V,MATCH("2005-12",Monthly!$A:$A,0))</f>
        <v>20.269032258064517</v>
      </c>
      <c r="I18" s="3">
        <f>INDEX(Monthly!$V:$V,MATCH("2006-01",Monthly!$A:$A,0))</f>
        <v>20.26161290322581</v>
      </c>
      <c r="J18" s="3">
        <f>INDEX(Monthly!$V:$V,MATCH("2006-02",Monthly!$A:$A,0))</f>
        <v>20.568571428571428</v>
      </c>
      <c r="K18" s="3">
        <f>INDEX(Monthly!$V:$V,MATCH("2006-03",Monthly!$A:$A,0))</f>
        <v>22.932258064516127</v>
      </c>
      <c r="L18" s="3">
        <f>INDEX(Monthly!$V:$V,MATCH("2006-04",Monthly!$A:$A,0))</f>
        <v>24.289666666666665</v>
      </c>
      <c r="M18" s="3">
        <f>INDEX(Monthly!$V:$V,MATCH("2006-05",Monthly!$A:$A,0))</f>
        <v>24.474838709677417</v>
      </c>
      <c r="N18" s="3">
        <f>INDEX(Monthly!$V:$V,MATCH("2006-06",Monthly!$A:$A,0))</f>
        <v>22.372333333333334</v>
      </c>
      <c r="O18" s="18">
        <f>AVERAGE(C18:N18)</f>
        <v>21.980495647721455</v>
      </c>
    </row>
    <row r="19">
      <c r="A19" s="5" t="inlineStr">
        <is>
          <t xml:space="preserve">2007/08</t>
        </is>
      </c>
      <c r="B19" s="5" t="inlineStr">
        <is>
          <t xml:space="preserve">La Niña</t>
        </is>
      </c>
      <c r="C19" s="3">
        <f>INDEX(Monthly!$V:$V,MATCH("2007-07",Monthly!$A:$A,0))</f>
        <v>22.861935483870973</v>
      </c>
      <c r="D19" s="3">
        <f>INDEX(Monthly!$V:$V,MATCH("2007-08",Monthly!$A:$A,0))</f>
        <v>22.172903225806447</v>
      </c>
      <c r="E19" s="3">
        <f>INDEX(Monthly!$V:$V,MATCH("2007-09",Monthly!$A:$A,0))</f>
        <v>21.87166666666667</v>
      </c>
      <c r="F19" s="3">
        <f>INDEX(Monthly!$V:$V,MATCH("2007-10",Monthly!$A:$A,0))</f>
        <v>20.824516129032258</v>
      </c>
      <c r="G19" s="3">
        <f>INDEX(Monthly!$V:$V,MATCH("2007-11",Monthly!$A:$A,0))</f>
        <v>19.36466666666667</v>
      </c>
      <c r="H19" s="3">
        <f>INDEX(Monthly!$V:$V,MATCH("2007-12",Monthly!$A:$A,0))</f>
        <v>19.235806451612902</v>
      </c>
      <c r="I19" s="3">
        <f>INDEX(Monthly!$V:$V,MATCH("2008-01",Monthly!$A:$A,0))</f>
        <v>19.117741935483867</v>
      </c>
      <c r="J19" s="3">
        <f>INDEX(Monthly!$V:$V,MATCH("2008-02",Monthly!$A:$A,0))</f>
        <v>21.356896551724137</v>
      </c>
      <c r="K19" s="3">
        <f>INDEX(Monthly!$V:$V,MATCH("2008-03",Monthly!$A:$A,0))</f>
        <v>22.66580645161291</v>
      </c>
      <c r="L19" s="3">
        <f>INDEX(Monthly!$V:$V,MATCH("2008-04",Monthly!$A:$A,0))</f>
        <v>24.08333333333334</v>
      </c>
      <c r="M19" s="3">
        <f>INDEX(Monthly!$V:$V,MATCH("2008-05",Monthly!$A:$A,0))</f>
        <v>24.565806451612893</v>
      </c>
      <c r="N19" s="3">
        <f>INDEX(Monthly!$V:$V,MATCH("2008-06",Monthly!$A:$A,0))</f>
        <v>22.56966666666667</v>
      </c>
      <c r="O19" s="18">
        <f>AVERAGE(C19:N19)</f>
        <v>21.724228834507482</v>
      </c>
    </row>
    <row r="20">
      <c r="A20" s="5" t="inlineStr">
        <is>
          <t xml:space="preserve">2008/09</t>
        </is>
      </c>
      <c r="B20" s="5" t="inlineStr">
        <is>
          <t xml:space="preserve">La Niña</t>
        </is>
      </c>
      <c r="C20" s="3">
        <f>INDEX(Monthly!$V:$V,MATCH("2008-07",Monthly!$A:$A,0))</f>
        <v>22.10096774193548</v>
      </c>
      <c r="D20" s="3">
        <f>INDEX(Monthly!$V:$V,MATCH("2008-08",Monthly!$A:$A,0))</f>
        <v>22.404838709677417</v>
      </c>
      <c r="E20" s="3">
        <f>INDEX(Monthly!$V:$V,MATCH("2008-09",Monthly!$A:$A,0))</f>
        <v>22.105999999999998</v>
      </c>
      <c r="F20" s="3">
        <f>INDEX(Monthly!$V:$V,MATCH("2008-10",Monthly!$A:$A,0))</f>
        <v>20.840645161290325</v>
      </c>
      <c r="G20" s="3">
        <f>INDEX(Monthly!$V:$V,MATCH("2008-11",Monthly!$A:$A,0))</f>
        <v>18.483999999999998</v>
      </c>
      <c r="H20" s="3">
        <f>INDEX(Monthly!$V:$V,MATCH("2008-12",Monthly!$A:$A,0))</f>
        <v>18.619032258064514</v>
      </c>
      <c r="I20" s="3">
        <f>INDEX(Monthly!$V:$V,MATCH("2009-01",Monthly!$A:$A,0))</f>
        <v>18.591612903225805</v>
      </c>
      <c r="J20" s="3">
        <f>INDEX(Monthly!$V:$V,MATCH("2009-02",Monthly!$A:$A,0))</f>
        <v>19.25321428571429</v>
      </c>
      <c r="K20" s="3">
        <f>INDEX(Monthly!$V:$V,MATCH("2009-03",Monthly!$A:$A,0))</f>
        <v>20.400645161290328</v>
      </c>
      <c r="L20" s="3">
        <f>INDEX(Monthly!$V:$V,MATCH("2009-04",Monthly!$A:$A,0))</f>
        <v>24.37166666666667</v>
      </c>
      <c r="M20" s="3">
        <f>INDEX(Monthly!$V:$V,MATCH("2009-05",Monthly!$A:$A,0))</f>
        <v>23.5441935483871</v>
      </c>
      <c r="N20" s="3">
        <f>INDEX(Monthly!$V:$V,MATCH("2009-06",Monthly!$A:$A,0))</f>
        <v>23.090666666666667</v>
      </c>
      <c r="O20" s="18">
        <f>AVERAGE(C20:N20)</f>
        <v>21.15062359190988</v>
      </c>
    </row>
    <row r="21">
      <c r="A21" s="5" t="inlineStr">
        <is>
          <t xml:space="preserve">2010/11</t>
        </is>
      </c>
      <c r="B21" s="5" t="inlineStr">
        <is>
          <t xml:space="preserve">La Niña</t>
        </is>
      </c>
      <c r="C21" s="3">
        <f>INDEX(Monthly!$V:$V,MATCH("2010-07",Monthly!$A:$A,0))</f>
        <v>22.41645161290322</v>
      </c>
      <c r="D21" s="3">
        <f>INDEX(Monthly!$V:$V,MATCH("2010-08",Monthly!$A:$A,0))</f>
        <v>22.22516129032258</v>
      </c>
      <c r="E21" s="3">
        <f>INDEX(Monthly!$V:$V,MATCH("2010-09",Monthly!$A:$A,0))</f>
        <v>21.82766666666667</v>
      </c>
      <c r="F21" s="3">
        <f>INDEX(Monthly!$V:$V,MATCH("2010-10",Monthly!$A:$A,0))</f>
        <v>20.096451612903227</v>
      </c>
      <c r="G21" s="3">
        <f>INDEX(Monthly!$V:$V,MATCH("2010-11",Monthly!$A:$A,0))</f>
        <v>19.249666666666666</v>
      </c>
      <c r="H21" s="3">
        <f>INDEX(Monthly!$V:$V,MATCH("2010-12",Monthly!$A:$A,0))</f>
        <v>17.245806451612903</v>
      </c>
      <c r="I21" s="3">
        <f>INDEX(Monthly!$V:$V,MATCH("2011-01",Monthly!$A:$A,0))</f>
        <v>20.43258064516129</v>
      </c>
      <c r="J21" s="3">
        <f>INDEX(Monthly!$V:$V,MATCH("2011-02",Monthly!$A:$A,0))</f>
        <v>21.602857142857143</v>
      </c>
      <c r="K21" s="3">
        <f>INDEX(Monthly!$V:$V,MATCH("2011-03",Monthly!$A:$A,0))</f>
        <v>22.266129032258057</v>
      </c>
      <c r="L21" s="3">
        <f>INDEX(Monthly!$V:$V,MATCH("2011-04",Monthly!$A:$A,0))</f>
        <v>25.080666666666673</v>
      </c>
      <c r="M21" s="3">
        <f>INDEX(Monthly!$V:$V,MATCH("2011-05",Monthly!$A:$A,0))</f>
        <v>24.168064516129036</v>
      </c>
      <c r="N21" s="3">
        <f>INDEX(Monthly!$V:$V,MATCH("2011-06",Monthly!$A:$A,0))</f>
        <v>22.87333333333334</v>
      </c>
      <c r="O21" s="18">
        <f>AVERAGE(C21:N21)</f>
        <v>21.623736303123398</v>
      </c>
    </row>
    <row r="22">
      <c r="A22" s="5" t="inlineStr">
        <is>
          <t xml:space="preserve">2011/12</t>
        </is>
      </c>
      <c r="B22" s="5" t="inlineStr">
        <is>
          <t xml:space="preserve">La Niña</t>
        </is>
      </c>
      <c r="C22" s="3">
        <f>INDEX(Monthly!$V:$V,MATCH("2011-07",Monthly!$A:$A,0))</f>
        <v>22.288064516129023</v>
      </c>
      <c r="D22" s="3">
        <f>INDEX(Monthly!$V:$V,MATCH("2011-08",Monthly!$A:$A,0))</f>
        <v>22.690322580645162</v>
      </c>
      <c r="E22" s="3">
        <f>INDEX(Monthly!$V:$V,MATCH("2011-09",Monthly!$A:$A,0))</f>
        <v>22.07766666666667</v>
      </c>
      <c r="F22" s="3">
        <f>INDEX(Monthly!$V:$V,MATCH("2011-10",Monthly!$A:$A,0))</f>
        <v>20.33032258064516</v>
      </c>
      <c r="G22" s="3">
        <f>INDEX(Monthly!$V:$V,MATCH("2011-11",Monthly!$A:$A,0))</f>
        <v>19.44633333333333</v>
      </c>
      <c r="H22" s="3">
        <f>INDEX(Monthly!$V:$V,MATCH("2011-12",Monthly!$A:$A,0))</f>
        <v>18.72903225806452</v>
      </c>
      <c r="I22" s="3">
        <f>INDEX(Monthly!$V:$V,MATCH("2012-01",Monthly!$A:$A,0))</f>
        <v>19.37709677419355</v>
      </c>
      <c r="J22" s="3">
        <f>INDEX(Monthly!$V:$V,MATCH("2012-02",Monthly!$A:$A,0))</f>
        <v>20.995517241379304</v>
      </c>
      <c r="K22" s="3">
        <f>INDEX(Monthly!$V:$V,MATCH("2012-03",Monthly!$A:$A,0))</f>
        <v>22.176129032258057</v>
      </c>
      <c r="L22" s="3">
        <f>INDEX(Monthly!$V:$V,MATCH("2012-04",Monthly!$A:$A,0))</f>
        <v>23.644000000000005</v>
      </c>
      <c r="M22" s="3">
        <f>INDEX(Monthly!$V:$V,MATCH("2012-05",Monthly!$A:$A,0))</f>
        <v>23.83935483870968</v>
      </c>
      <c r="N22" s="3">
        <f>INDEX(Monthly!$V:$V,MATCH("2012-06",Monthly!$A:$A,0))</f>
        <v>22.94366666666667</v>
      </c>
      <c r="O22" s="18">
        <f>AVERAGE(C22:N22)</f>
        <v>21.544792207390927</v>
      </c>
    </row>
    <row r="23">
      <c r="A23" s="5" t="inlineStr">
        <is>
          <t xml:space="preserve">2017/18</t>
        </is>
      </c>
      <c r="B23" s="5" t="inlineStr">
        <is>
          <t xml:space="preserve">La Niña</t>
        </is>
      </c>
      <c r="C23" s="3">
        <f>INDEX(Monthly!$V:$V,MATCH("2017-07",Monthly!$A:$A,0))</f>
        <v>22.55774193548387</v>
      </c>
      <c r="D23" s="3">
        <f>INDEX(Monthly!$V:$V,MATCH("2017-08",Monthly!$A:$A,0))</f>
        <v>22.781290322580645</v>
      </c>
      <c r="E23" s="3">
        <f>INDEX(Monthly!$V:$V,MATCH("2017-09",Monthly!$A:$A,0))</f>
        <v>22.650999999999993</v>
      </c>
      <c r="F23" s="3">
        <f>INDEX(Monthly!$V:$V,MATCH("2017-10",Monthly!$A:$A,0))</f>
        <v>21.336774193548383</v>
      </c>
      <c r="G23" s="3">
        <f>INDEX(Monthly!$V:$V,MATCH("2017-11",Monthly!$A:$A,0))</f>
        <v>19.644000000000002</v>
      </c>
      <c r="H23" s="3">
        <f>INDEX(Monthly!$V:$V,MATCH("2017-12",Monthly!$A:$A,0))</f>
        <v>18.733870967741936</v>
      </c>
      <c r="I23" s="3">
        <f>INDEX(Monthly!$V:$V,MATCH("2018-01",Monthly!$A:$A,0))</f>
        <v>18.040322580645164</v>
      </c>
      <c r="J23" s="3">
        <f>INDEX(Monthly!$V:$V,MATCH("2018-02",Monthly!$A:$A,0))</f>
        <v>21.215714285714288</v>
      </c>
      <c r="K23" s="3">
        <f>INDEX(Monthly!$V:$V,MATCH("2018-03",Monthly!$A:$A,0))</f>
        <v>23.707419354838706</v>
      </c>
      <c r="L23" s="3">
        <f>INDEX(Monthly!$V:$V,MATCH("2018-04",Monthly!$A:$A,0))</f>
        <v>24.450999999999997</v>
      </c>
      <c r="M23" s="3">
        <f>INDEX(Monthly!$V:$V,MATCH("2018-05",Monthly!$A:$A,0))</f>
        <v>24.32612903225807</v>
      </c>
      <c r="N23" s="3">
        <f>INDEX(Monthly!$V:$V,MATCH("2018-06",Monthly!$A:$A,0))</f>
        <v>22.76366666666667</v>
      </c>
      <c r="O23" s="18">
        <f>AVERAGE(C23:N23)</f>
        <v>21.850744111623143</v>
      </c>
    </row>
    <row r="24">
      <c r="A24" s="5" t="inlineStr">
        <is>
          <t xml:space="preserve">2020/21</t>
        </is>
      </c>
      <c r="B24" s="5" t="inlineStr">
        <is>
          <t xml:space="preserve">La Niña</t>
        </is>
      </c>
      <c r="C24" s="3">
        <f>INDEX(Monthly!$V:$V,MATCH("2020-07",Monthly!$A:$A,0))</f>
        <v>22.93967741935484</v>
      </c>
      <c r="D24" s="3">
        <f>INDEX(Monthly!$V:$V,MATCH("2020-08",Monthly!$A:$A,0))</f>
        <v>22.55516129032258</v>
      </c>
      <c r="E24" s="3">
        <f>INDEX(Monthly!$V:$V,MATCH("2020-09",Monthly!$A:$A,0))</f>
        <v>22.61733333333333</v>
      </c>
      <c r="F24" s="3">
        <f>INDEX(Monthly!$V:$V,MATCH("2020-10",Monthly!$A:$A,0))</f>
        <v>21.922258064516125</v>
      </c>
      <c r="G24" s="3">
        <f>INDEX(Monthly!$V:$V,MATCH("2020-11",Monthly!$A:$A,0))</f>
        <v>20.896333333333338</v>
      </c>
      <c r="H24" s="3">
        <f>INDEX(Monthly!$V:$V,MATCH("2020-12",Monthly!$A:$A,0))</f>
        <v>19.304838709677416</v>
      </c>
      <c r="I24" s="3">
        <f>INDEX(Monthly!$V:$V,MATCH("2021-01",Monthly!$A:$A,0))</f>
        <v>19.829677419354837</v>
      </c>
      <c r="J24" s="3">
        <f>INDEX(Monthly!$V:$V,MATCH("2021-02",Monthly!$A:$A,0))</f>
        <v>20.227142857142862</v>
      </c>
      <c r="K24" s="3">
        <f>INDEX(Monthly!$V:$V,MATCH("2021-03",Monthly!$A:$A,0))</f>
        <v>21.58903225806451</v>
      </c>
      <c r="L24" s="3">
        <f>INDEX(Monthly!$V:$V,MATCH("2021-04",Monthly!$A:$A,0))</f>
        <v>23.193666666666672</v>
      </c>
      <c r="M24" s="3">
        <f>INDEX(Monthly!$V:$V,MATCH("2021-05",Monthly!$A:$A,0))</f>
        <v>23.923225806451605</v>
      </c>
      <c r="N24" s="3">
        <f>INDEX(Monthly!$V:$V,MATCH("2021-06",Monthly!$A:$A,0))</f>
        <v>22.863333333333337</v>
      </c>
      <c r="O24" s="18">
        <f>AVERAGE(C24:N24)</f>
        <v>21.82180670762929</v>
      </c>
    </row>
    <row r="25">
      <c r="A25" s="5" t="inlineStr">
        <is>
          <t xml:space="preserve">2021/22</t>
        </is>
      </c>
      <c r="B25" s="5" t="inlineStr">
        <is>
          <t xml:space="preserve">La Niña</t>
        </is>
      </c>
      <c r="C25" s="3">
        <f>INDEX(Monthly!$V:$V,MATCH("2021-07",Monthly!$A:$A,0))</f>
        <v>22.62161290322581</v>
      </c>
      <c r="D25" s="3">
        <f>INDEX(Monthly!$V:$V,MATCH("2021-08",Monthly!$A:$A,0))</f>
        <v>22.61774193548387</v>
      </c>
      <c r="E25" s="3">
        <f>INDEX(Monthly!$V:$V,MATCH("2021-09",Monthly!$A:$A,0))</f>
        <v>22.564333333333334</v>
      </c>
      <c r="F25" s="3">
        <f>INDEX(Monthly!$V:$V,MATCH("2021-10",Monthly!$A:$A,0))</f>
        <v>22.359999999999996</v>
      </c>
      <c r="G25" s="3">
        <f>INDEX(Monthly!$V:$V,MATCH("2021-11",Monthly!$A:$A,0))</f>
        <v>19.473666666666666</v>
      </c>
      <c r="H25" s="3">
        <f>INDEX(Monthly!$V:$V,MATCH("2021-12",Monthly!$A:$A,0))</f>
        <v>19.902903225806455</v>
      </c>
      <c r="I25" s="3">
        <f>INDEX(Monthly!$V:$V,MATCH("2022-01",Monthly!$A:$A,0))</f>
        <v>19.203225806451613</v>
      </c>
      <c r="J25" s="3">
        <f>INDEX(Monthly!$V:$V,MATCH("2022-02",Monthly!$A:$A,0))</f>
        <v>19.912499999999998</v>
      </c>
      <c r="K25" s="3">
        <f>INDEX(Monthly!$V:$V,MATCH("2022-03",Monthly!$A:$A,0))</f>
        <v>21.44193548387097</v>
      </c>
      <c r="L25" s="3">
        <f>INDEX(Monthly!$V:$V,MATCH("2022-04",Monthly!$A:$A,0))</f>
        <v>23.721666666666668</v>
      </c>
      <c r="M25" s="3">
        <f>INDEX(Monthly!$V:$V,MATCH("2022-05",Monthly!$A:$A,0))</f>
        <v>22.856774193548382</v>
      </c>
      <c r="N25" s="3">
        <f>INDEX(Monthly!$V:$V,MATCH("2022-06",Monthly!$A:$A,0))</f>
        <v>22.00766666666667</v>
      </c>
      <c r="O25" s="18">
        <f>AVERAGE(C25:N25)</f>
        <v>21.557002240143365</v>
      </c>
    </row>
    <row r="26">
      <c r="A26" s="5" t="inlineStr">
        <is>
          <t xml:space="preserve">2022/23</t>
        </is>
      </c>
      <c r="B26" s="5" t="inlineStr">
        <is>
          <t xml:space="preserve">La Niña</t>
        </is>
      </c>
      <c r="C26" s="3">
        <f>INDEX(Monthly!$V:$V,MATCH("2022-07",Monthly!$A:$A,0))</f>
        <v>22.505161290322576</v>
      </c>
      <c r="D26" s="3">
        <f>INDEX(Monthly!$V:$V,MATCH("2022-08",Monthly!$A:$A,0))</f>
        <v>22.556451612903224</v>
      </c>
      <c r="E26" s="3">
        <f>INDEX(Monthly!$V:$V,MATCH("2022-09",Monthly!$A:$A,0))</f>
        <v>22.271666666666672</v>
      </c>
      <c r="F26" s="3">
        <f>INDEX(Monthly!$V:$V,MATCH("2022-10",Monthly!$A:$A,0))</f>
        <v>21.56451612903226</v>
      </c>
      <c r="G26" s="3">
        <f>INDEX(Monthly!$V:$V,MATCH("2022-11",Monthly!$A:$A,0))</f>
        <v>21.09933333333333</v>
      </c>
      <c r="H26" s="3">
        <f>INDEX(Monthly!$V:$V,MATCH("2022-12",Monthly!$A:$A,0))</f>
        <v>19.541935483870965</v>
      </c>
      <c r="I26" s="3">
        <f>INDEX(Monthly!$V:$V,MATCH("2023-01",Monthly!$A:$A,0))</f>
        <v>19.673870967741934</v>
      </c>
      <c r="J26" s="3">
        <f>INDEX(Monthly!$V:$V,MATCH("2023-02",Monthly!$A:$A,0))</f>
        <v>20.421785714285715</v>
      </c>
      <c r="K26" s="3">
        <f>INDEX(Monthly!$V:$V,MATCH("2023-03",Monthly!$A:$A,0))</f>
        <v>23.065806451612904</v>
      </c>
      <c r="L26" s="3">
        <f>INDEX(Monthly!$V:$V,MATCH("2023-04",Monthly!$A:$A,0))</f>
        <v>25.00533333333334</v>
      </c>
      <c r="M26" s="3">
        <f>INDEX(Monthly!$V:$V,MATCH("2023-05",Monthly!$A:$A,0))</f>
        <v>25.86806451612903</v>
      </c>
      <c r="N26" s="3">
        <f>INDEX(Monthly!$V:$V,MATCH("2023-06",Monthly!$A:$A,0))</f>
        <v>25.08866666666667</v>
      </c>
      <c r="O26" s="18">
        <f>AVERAGE(C26:N26)</f>
        <v>22.388549347158218</v>
      </c>
    </row>
    <row r="27">
      <c r="A27" s="12" t="inlineStr">
        <is>
          <t xml:space="preserve">Average La Niña</t>
        </is>
      </c>
      <c r="B27" s="12" t="inlineStr">
        <is>
          <t xml:space="preserve">9 seasons</t>
        </is>
      </c>
      <c r="C27" s="20">
        <f>AVERAGE(C18:C26)</f>
        <v>22.56290322580645</v>
      </c>
      <c r="D27" s="20">
        <f>AVERAGE(D18:D26)</f>
        <v>22.52426523297491</v>
      </c>
      <c r="E27" s="20">
        <f>AVERAGE(E18:E26)</f>
        <v>22.265666666666664</v>
      </c>
      <c r="F27" s="20">
        <f>AVERAGE(F18:F26)</f>
        <v>21.139713261648744</v>
      </c>
      <c r="G27" s="20">
        <f>AVERAGE(G18:G26)</f>
        <v>19.709</v>
      </c>
      <c r="H27" s="20">
        <f>AVERAGE(H18:H26)</f>
        <v>19.064695340501792</v>
      </c>
      <c r="I27" s="20">
        <f>AVERAGE(I18:I26)</f>
        <v>19.391971326164875</v>
      </c>
      <c r="J27" s="20">
        <f>AVERAGE(J18:J26)</f>
        <v>20.617133278598796</v>
      </c>
      <c r="K27" s="20">
        <f>AVERAGE(K18:K26)</f>
        <v>22.249462365591395</v>
      </c>
      <c r="L27" s="20">
        <f>AVERAGE(L18:L26)</f>
        <v>24.204555555555558</v>
      </c>
      <c r="M27" s="20">
        <f>AVERAGE(M18:M26)</f>
        <v>24.17405017921147</v>
      </c>
      <c r="N27" s="20">
        <f>AVERAGE(N18:N26)</f>
        <v>22.95255555555556</v>
      </c>
      <c r="O27" s="20">
        <f>AVERAGE(C27:N27)</f>
        <v>21.737997665689683</v>
      </c>
    </row>
    <row r="29">
      <c r="A29" s="8" t="inlineStr">
        <is>
          <t xml:space="preserve">Neutral (4 seasons)</t>
        </is>
      </c>
    </row>
    <row r="30">
      <c r="A30" s="21" t="inlineStr">
        <is>
          <t xml:space="preserve">2012/13</t>
        </is>
      </c>
      <c r="B30" s="21" t="inlineStr">
        <is>
          <t xml:space="preserve">Neutral</t>
        </is>
      </c>
      <c r="C30" s="3">
        <f>INDEX(Monthly!$V:$V,MATCH("2012-07",Monthly!$A:$A,0))</f>
        <v>22.50709677419355</v>
      </c>
      <c r="D30" s="3">
        <f>INDEX(Monthly!$V:$V,MATCH("2012-08",Monthly!$A:$A,0))</f>
        <v>22.649677419354834</v>
      </c>
      <c r="E30" s="3">
        <f>INDEX(Monthly!$V:$V,MATCH("2012-09",Monthly!$A:$A,0))</f>
        <v>22.23966666666667</v>
      </c>
      <c r="F30" s="3">
        <f>INDEX(Monthly!$V:$V,MATCH("2012-10",Monthly!$A:$A,0))</f>
        <v>21.073225806451617</v>
      </c>
      <c r="G30" s="3">
        <f>INDEX(Monthly!$V:$V,MATCH("2012-11",Monthly!$A:$A,0))</f>
        <v>18.742</v>
      </c>
      <c r="H30" s="3">
        <f>INDEX(Monthly!$V:$V,MATCH("2012-12",Monthly!$A:$A,0))</f>
        <v>19.55290322580645</v>
      </c>
      <c r="I30" s="3">
        <f>INDEX(Monthly!$V:$V,MATCH("2013-01",Monthly!$A:$A,0))</f>
        <v>20.20387096774194</v>
      </c>
      <c r="J30" s="3">
        <f>INDEX(Monthly!$V:$V,MATCH("2013-02",Monthly!$A:$A,0))</f>
        <v>22.28035714285715</v>
      </c>
      <c r="K30" s="3">
        <f>INDEX(Monthly!$V:$V,MATCH("2013-03",Monthly!$A:$A,0))</f>
        <v>21.645806451612906</v>
      </c>
      <c r="L30" s="3">
        <f>INDEX(Monthly!$V:$V,MATCH("2013-04",Monthly!$A:$A,0))</f>
        <v>25.82433333333334</v>
      </c>
      <c r="M30" s="3">
        <f>INDEX(Monthly!$V:$V,MATCH("2013-05",Monthly!$A:$A,0))</f>
        <v>24.447741935483872</v>
      </c>
      <c r="N30" s="3">
        <f>INDEX(Monthly!$V:$V,MATCH("2013-06",Monthly!$A:$A,0))</f>
        <v>23.275666666666666</v>
      </c>
      <c r="O30" s="18">
        <f>AVERAGE(C30:N30)</f>
        <v>22.036862199180746</v>
      </c>
    </row>
    <row r="31">
      <c r="A31" s="21" t="inlineStr">
        <is>
          <t xml:space="preserve">2013/14</t>
        </is>
      </c>
      <c r="B31" s="21" t="inlineStr">
        <is>
          <t xml:space="preserve">Neutral</t>
        </is>
      </c>
      <c r="C31" s="3">
        <f>INDEX(Monthly!$V:$V,MATCH("2013-07",Monthly!$A:$A,0))</f>
        <v>22.360322580645164</v>
      </c>
      <c r="D31" s="3">
        <f>INDEX(Monthly!$V:$V,MATCH("2013-08",Monthly!$A:$A,0))</f>
        <v>22.37193548387097</v>
      </c>
      <c r="E31" s="3">
        <f>INDEX(Monthly!$V:$V,MATCH("2013-09",Monthly!$A:$A,0))</f>
        <v>22.16833333333333</v>
      </c>
      <c r="F31" s="3">
        <f>INDEX(Monthly!$V:$V,MATCH("2013-10",Monthly!$A:$A,0))</f>
        <v>22.289032258064516</v>
      </c>
      <c r="G31" s="3">
        <f>INDEX(Monthly!$V:$V,MATCH("2013-11",Monthly!$A:$A,0))</f>
        <v>20.438333333333336</v>
      </c>
      <c r="H31" s="3">
        <f>INDEX(Monthly!$V:$V,MATCH("2013-12",Monthly!$A:$A,0))</f>
        <v>20.070000000000007</v>
      </c>
      <c r="I31" s="3">
        <f>INDEX(Monthly!$V:$V,MATCH("2014-01",Monthly!$A:$A,0))</f>
        <v>19.091290322580647</v>
      </c>
      <c r="J31" s="3">
        <f>INDEX(Monthly!$V:$V,MATCH("2014-02",Monthly!$A:$A,0))</f>
        <v>22.15214285714286</v>
      </c>
      <c r="K31" s="3">
        <f>INDEX(Monthly!$V:$V,MATCH("2014-03",Monthly!$A:$A,0))</f>
        <v>23.835483870967742</v>
      </c>
      <c r="L31" s="3">
        <f>INDEX(Monthly!$V:$V,MATCH("2014-04",Monthly!$A:$A,0))</f>
        <v>24.88533333333333</v>
      </c>
      <c r="M31" s="3">
        <f>INDEX(Monthly!$V:$V,MATCH("2014-05",Monthly!$A:$A,0))</f>
        <v>23.98096774193549</v>
      </c>
      <c r="N31" s="3">
        <f>INDEX(Monthly!$V:$V,MATCH("2014-06",Monthly!$A:$A,0))</f>
        <v>23.05233333333333</v>
      </c>
      <c r="O31" s="18">
        <f>AVERAGE(C31:N31)</f>
        <v>22.224625704045057</v>
      </c>
    </row>
    <row r="32">
      <c r="A32" s="21" t="inlineStr">
        <is>
          <t xml:space="preserve">2016/17</t>
        </is>
      </c>
      <c r="B32" s="21" t="inlineStr">
        <is>
          <t xml:space="preserve">Neutral</t>
        </is>
      </c>
      <c r="C32" s="3">
        <f>INDEX(Monthly!$V:$V,MATCH("2016-07",Monthly!$A:$A,0))</f>
        <v>23.197741935483876</v>
      </c>
      <c r="D32" s="3">
        <f>INDEX(Monthly!$V:$V,MATCH("2016-08",Monthly!$A:$A,0))</f>
        <v>22.838064516129037</v>
      </c>
      <c r="E32" s="3">
        <f>INDEX(Monthly!$V:$V,MATCH("2016-09",Monthly!$A:$A,0))</f>
        <v>22.32266666666666</v>
      </c>
      <c r="F32" s="3">
        <f>INDEX(Monthly!$V:$V,MATCH("2016-10",Monthly!$A:$A,0))</f>
        <v>21.36483870967742</v>
      </c>
      <c r="G32" s="3">
        <f>INDEX(Monthly!$V:$V,MATCH("2016-11",Monthly!$A:$A,0))</f>
        <v>20.272666666666666</v>
      </c>
      <c r="H32" s="3">
        <f>INDEX(Monthly!$V:$V,MATCH("2016-12",Monthly!$A:$A,0))</f>
        <v>21.239354838709673</v>
      </c>
      <c r="I32" s="3">
        <f>INDEX(Monthly!$V:$V,MATCH("2017-01",Monthly!$A:$A,0))</f>
        <v>20.478387096774195</v>
      </c>
      <c r="J32" s="3">
        <f>INDEX(Monthly!$V:$V,MATCH("2017-02",Monthly!$A:$A,0))</f>
        <v>22.58178571428572</v>
      </c>
      <c r="K32" s="3">
        <f>INDEX(Monthly!$V:$V,MATCH("2017-03",Monthly!$A:$A,0))</f>
        <v>22.175806451612907</v>
      </c>
      <c r="L32" s="3">
        <f>INDEX(Monthly!$V:$V,MATCH("2017-04",Monthly!$A:$A,0))</f>
        <v>24.89600000000001</v>
      </c>
      <c r="M32" s="3">
        <f>INDEX(Monthly!$V:$V,MATCH("2017-05",Monthly!$A:$A,0))</f>
        <v>23.913870967741936</v>
      </c>
      <c r="N32" s="3">
        <f>INDEX(Monthly!$V:$V,MATCH("2017-06",Monthly!$A:$A,0))</f>
        <v>22.801666666666673</v>
      </c>
      <c r="O32" s="18">
        <f>AVERAGE(C32:N32)</f>
        <v>22.340237519201228</v>
      </c>
    </row>
    <row r="33">
      <c r="A33" s="21" t="inlineStr">
        <is>
          <t xml:space="preserve">2024/25</t>
        </is>
      </c>
      <c r="B33" s="21" t="inlineStr">
        <is>
          <t xml:space="preserve">Neutral</t>
        </is>
      </c>
      <c r="C33" s="3">
        <f>INDEX(Monthly!$V:$V,MATCH("2024-07",Monthly!$A:$A,0))</f>
        <v>23.339354838709674</v>
      </c>
      <c r="D33" s="3">
        <f>INDEX(Monthly!$V:$V,MATCH("2024-08",Monthly!$A:$A,0))</f>
        <v>23.402903225806448</v>
      </c>
      <c r="E33" s="3">
        <f>INDEX(Monthly!$V:$V,MATCH("2024-09",Monthly!$A:$A,0))</f>
        <v>23.704333333333338</v>
      </c>
      <c r="F33" s="3">
        <f>INDEX(Monthly!$V:$V,MATCH("2024-10",Monthly!$A:$A,0))</f>
        <v>22.146451612903224</v>
      </c>
      <c r="G33" s="3">
        <f>INDEX(Monthly!$V:$V,MATCH("2024-11",Monthly!$A:$A,0))</f>
        <v>21.404999999999998</v>
      </c>
      <c r="H33" s="3">
        <f>INDEX(Monthly!$V:$V,MATCH("2024-12",Monthly!$A:$A,0))</f>
        <v>20.37064516129032</v>
      </c>
      <c r="I33" s="3">
        <f>INDEX(Monthly!$V:$V,MATCH("2025-01",Monthly!$A:$A,0))</f>
        <v>20.803225806451607</v>
      </c>
      <c r="J33" s="3">
        <f>INDEX(Monthly!$V:$V,MATCH("2025-02",Monthly!$A:$A,0))</f>
        <v>22.954642857142858</v>
      </c>
      <c r="K33" s="3">
        <f>INDEX(Monthly!$V:$V,MATCH("2025-03",Monthly!$A:$A,0))</f>
        <v>24.67483870967742</v>
      </c>
      <c r="L33" s="3">
        <f>INDEX(Monthly!$V:$V,MATCH("2025-04",Monthly!$A:$A,0))</f>
        <v>24.782333333333327</v>
      </c>
      <c r="M33" s="3">
        <f>INDEX(Monthly!$V:$V,MATCH("2025-05",Monthly!$A:$A,0))</f>
        <v>26.63709677419354</v>
      </c>
      <c r="N33" s="3">
        <f>INDEX(Monthly!$V:$V,MATCH("2025-06",Monthly!$A:$A,0))</f>
        <v>23.464333333333336</v>
      </c>
      <c r="O33" s="18">
        <f>AVERAGE(C33:N33)</f>
        <v>23.14042991551459</v>
      </c>
    </row>
    <row r="34">
      <c r="A34" s="8" t="inlineStr">
        <is>
          <t xml:space="preserve">Average Neutral</t>
        </is>
      </c>
      <c r="B34" s="8" t="inlineStr">
        <is>
          <t xml:space="preserve">4 seasons</t>
        </is>
      </c>
      <c r="C34" s="22">
        <f>AVERAGE(C30:C33)</f>
        <v>22.851129032258065</v>
      </c>
      <c r="D34" s="22">
        <f>AVERAGE(D30:D33)</f>
        <v>22.815645161290323</v>
      </c>
      <c r="E34" s="22">
        <f>AVERAGE(E30:E33)</f>
        <v>22.60875</v>
      </c>
      <c r="F34" s="22">
        <f>AVERAGE(F30:F33)</f>
        <v>21.718387096774194</v>
      </c>
      <c r="G34" s="22">
        <f>AVERAGE(G30:G33)</f>
        <v>20.2145</v>
      </c>
      <c r="H34" s="22">
        <f>AVERAGE(H30:H33)</f>
        <v>20.308225806451613</v>
      </c>
      <c r="I34" s="22">
        <f>AVERAGE(I30:I33)</f>
        <v>20.144193548387097</v>
      </c>
      <c r="J34" s="22">
        <f>AVERAGE(J30:J33)</f>
        <v>22.492232142857148</v>
      </c>
      <c r="K34" s="22">
        <f>AVERAGE(K30:K33)</f>
        <v>23.082983870967745</v>
      </c>
      <c r="L34" s="22">
        <f>AVERAGE(L30:L33)</f>
        <v>25.097</v>
      </c>
      <c r="M34" s="22">
        <f>AVERAGE(M30:M33)</f>
        <v>24.74491935483871</v>
      </c>
      <c r="N34" s="22">
        <f>AVERAGE(N30:N33)</f>
        <v>23.148500000000002</v>
      </c>
      <c r="O34" s="22">
        <f>AVERAGE(C34:N34)</f>
        <v>22.43553883448541</v>
      </c>
    </row>
    <row r="36">
      <c r="A36" s="23" t="inlineStr">
        <is>
          <t xml:space="preserve">After the photo window (not in the averages)</t>
        </is>
      </c>
    </row>
    <row r="37">
      <c r="A37" s="21" t="inlineStr">
        <is>
          <t xml:space="preserve">2025/26</t>
        </is>
      </c>
      <c r="B37" s="21" t="inlineStr">
        <is>
          <t xml:space="preserve">Neutral</t>
        </is>
      </c>
      <c r="C37" s="3">
        <f>INDEX(Monthly!$V:$V,MATCH("2025-07",Monthly!$A:$A,0))</f>
        <v>23.134516129032257</v>
      </c>
      <c r="D37" s="3">
        <f>INDEX(Monthly!$V:$V,MATCH("2025-08",Monthly!$A:$A,0))</f>
        <v>23.707096774193552</v>
      </c>
      <c r="E37" s="3">
        <f>INDEX(Monthly!$V:$V,MATCH("2025-09",Monthly!$A:$A,0))</f>
        <v>23.582000000000008</v>
      </c>
      <c r="F37" s="3">
        <f>INDEX(Monthly!$V:$V,MATCH("2025-10",Monthly!$A:$A,0))</f>
        <v>22.255806451612905</v>
      </c>
      <c r="G37" s="3">
        <f>INDEX(Monthly!$V:$V,MATCH("2025-11",Monthly!$A:$A,0))</f>
        <v>21.381333333333334</v>
      </c>
      <c r="H37" s="3">
        <f>INDEX(Monthly!$V:$V,MATCH("2025-12",Monthly!$A:$A,0))</f>
        <v>21.806774193548385</v>
      </c>
      <c r="I37" s="3">
        <f>INDEX(Monthly!$V:$V,MATCH("2026-01",Monthly!$A:$A,0))</f>
        <v>20.564838709677424</v>
      </c>
      <c r="J37" s="3">
        <f>INDEX(Monthly!$V:$V,MATCH("2026-02",Monthly!$A:$A,0))</f>
        <v>20.347857142857144</v>
      </c>
      <c r="K37" s="3">
        <f>INDEX(Monthly!$V:$V,MATCH("2026-03",Monthly!$A:$A,0))</f>
        <v>23.274838709677418</v>
      </c>
      <c r="L37" s="3">
        <f>INDEX(Monthly!$V:$V,MATCH("2026-04",Monthly!$A:$A,0))</f>
        <v>24.628666666666668</v>
      </c>
      <c r="M37" s="3">
        <f>INDEX(Monthly!$V:$V,MATCH("2026-05",Monthly!$A:$A,0))</f>
        <v>26.831935483870964</v>
      </c>
      <c r="N37" s="3">
        <f>INDEX(Monthly!$V:$V,MATCH("2026-06",Monthly!$A:$A,0))</f>
        <v>24.825666666666667</v>
      </c>
      <c r="O37" s="18">
        <f>AVERAGE(C37:N37)</f>
        <v>23.028444188428065</v>
      </c>
    </row>
    <row r="38">
      <c r="A38" s="6" t="inlineStr">
        <is>
          <t xml:space="preserve">2026/27</t>
        </is>
      </c>
      <c r="B38" s="6" t="inlineStr">
        <is>
          <t xml:space="preserve">El Niño (in progress)</t>
        </is>
      </c>
      <c r="C38" s="3">
        <f>INDEX(Monthly!$V:$V,MATCH("2026-07",Monthly!$A:$A,0))</f>
        <v>25.486774193548385</v>
      </c>
      <c r="D38" s="3">
        <f>INDEX(Monthly!$V:$V,MATCH("2026-08",Monthly!$A:$A,0))</f>
        <v>26.167741935483868</v>
      </c>
    </row>
    <row r="41">
      <c r="A41" s="17" t="inlineStr">
        <is>
          <t xml:space="preserve">Monthly rainfall (mm) — sum of daily rainfall from rain gauges (NOAA CPC)</t>
        </is>
      </c>
    </row>
    <row r="42">
      <c r="A42" s="1" t="inlineStr">
        <is>
          <t xml:space="preserve">Season</t>
        </is>
      </c>
      <c r="B42" s="1" t="inlineStr">
        <is>
          <t xml:space="preserve">Phase</t>
        </is>
      </c>
      <c r="C42" s="1" t="inlineStr">
        <is>
          <t xml:space="preserve">Jul</t>
        </is>
      </c>
      <c r="D42" s="1" t="inlineStr">
        <is>
          <t xml:space="preserve">Aug</t>
        </is>
      </c>
      <c r="E42" s="1" t="inlineStr">
        <is>
          <t xml:space="preserve">Sep</t>
        </is>
      </c>
      <c r="F42" s="1" t="inlineStr">
        <is>
          <t xml:space="preserve">Oct</t>
        </is>
      </c>
      <c r="G42" s="1" t="inlineStr">
        <is>
          <t xml:space="preserve">Nov</t>
        </is>
      </c>
      <c r="H42" s="1" t="inlineStr">
        <is>
          <t xml:space="preserve">Dec</t>
        </is>
      </c>
      <c r="I42" s="1" t="inlineStr">
        <is>
          <t xml:space="preserve">Jan</t>
        </is>
      </c>
      <c r="J42" s="1" t="inlineStr">
        <is>
          <t xml:space="preserve">Feb</t>
        </is>
      </c>
      <c r="K42" s="1" t="inlineStr">
        <is>
          <t xml:space="preserve">Mar</t>
        </is>
      </c>
      <c r="L42" s="1" t="inlineStr">
        <is>
          <t xml:space="preserve">Apr</t>
        </is>
      </c>
      <c r="M42" s="1" t="inlineStr">
        <is>
          <t xml:space="preserve">May</t>
        </is>
      </c>
      <c r="N42" s="1" t="inlineStr">
        <is>
          <t xml:space="preserve">Jun</t>
        </is>
      </c>
      <c r="O42" s="1" t="inlineStr">
        <is>
          <t xml:space="preserve">Season total</t>
        </is>
      </c>
    </row>
    <row r="43">
      <c r="A43" s="11" t="inlineStr">
        <is>
          <t xml:space="preserve">El Niño (7 seasons)</t>
        </is>
      </c>
    </row>
    <row r="44">
      <c r="A44" s="6" t="inlineStr">
        <is>
          <t xml:space="preserve">2006/07</t>
        </is>
      </c>
      <c r="B44" s="6" t="inlineStr">
        <is>
          <t xml:space="preserve">El Niño</t>
        </is>
      </c>
      <c r="C44" s="4">
        <f>INDEX(Monthly!$U:$U,MATCH("2006-07",Monthly!$A:$A,0))</f>
        <v>241.077</v>
      </c>
      <c r="D44" s="4">
        <f>INDEX(Monthly!$U:$U,MATCH("2006-08",Monthly!$A:$A,0))</f>
        <v>151.768</v>
      </c>
      <c r="E44" s="4">
        <f>INDEX(Monthly!$U:$U,MATCH("2006-09",Monthly!$A:$A,0))</f>
        <v>130.361</v>
      </c>
      <c r="F44" s="4">
        <f>INDEX(Monthly!$U:$U,MATCH("2006-10",Monthly!$A:$A,0))</f>
        <v>116.911</v>
      </c>
      <c r="G44" s="4">
        <f>INDEX(Monthly!$U:$U,MATCH("2006-11",Monthly!$A:$A,0))</f>
        <v>49.418</v>
      </c>
      <c r="H44" s="4">
        <f>INDEX(Monthly!$U:$U,MATCH("2006-12",Monthly!$A:$A,0))</f>
        <v>40.567</v>
      </c>
      <c r="I44" s="4">
        <f>INDEX(Monthly!$U:$U,MATCH("2007-01",Monthly!$A:$A,0))</f>
        <v>17.497</v>
      </c>
      <c r="J44" s="4">
        <f>INDEX(Monthly!$U:$U,MATCH("2007-02",Monthly!$A:$A,0))</f>
        <v>12.882</v>
      </c>
      <c r="K44" s="4">
        <f>INDEX(Monthly!$U:$U,MATCH("2007-03",Monthly!$A:$A,0))</f>
        <v>9.826</v>
      </c>
      <c r="L44" s="4">
        <f>INDEX(Monthly!$U:$U,MATCH("2007-04",Monthly!$A:$A,0))</f>
        <v>37.349</v>
      </c>
      <c r="M44" s="4">
        <f>INDEX(Monthly!$U:$U,MATCH("2007-05",Monthly!$A:$A,0))</f>
        <v>102.166</v>
      </c>
      <c r="N44" s="4">
        <f>INDEX(Monthly!$U:$U,MATCH("2007-06",Monthly!$A:$A,0))</f>
        <v>215.052</v>
      </c>
      <c r="O44" s="24">
        <f>SUM(C44:N44)</f>
        <v>1124.8739999999998</v>
      </c>
    </row>
    <row r="45">
      <c r="A45" s="6" t="inlineStr">
        <is>
          <t xml:space="preserve">2009/10</t>
        </is>
      </c>
      <c r="B45" s="6" t="inlineStr">
        <is>
          <t xml:space="preserve">El Niño</t>
        </is>
      </c>
      <c r="C45" s="4">
        <f>INDEX(Monthly!$U:$U,MATCH("2009-07",Monthly!$A:$A,0))</f>
        <v>193.474</v>
      </c>
      <c r="D45" s="4">
        <f>INDEX(Monthly!$U:$U,MATCH("2009-08",Monthly!$A:$A,0))</f>
        <v>265.009</v>
      </c>
      <c r="E45" s="4">
        <f>INDEX(Monthly!$U:$U,MATCH("2009-09",Monthly!$A:$A,0))</f>
        <v>181.344</v>
      </c>
      <c r="F45" s="4">
        <f>INDEX(Monthly!$U:$U,MATCH("2009-10",Monthly!$A:$A,0))</f>
        <v>85.421</v>
      </c>
      <c r="G45" s="4">
        <f>INDEX(Monthly!$U:$U,MATCH("2009-11",Monthly!$A:$A,0))</f>
        <v>104.896</v>
      </c>
      <c r="H45" s="4">
        <f>INDEX(Monthly!$U:$U,MATCH("2009-12",Monthly!$A:$A,0))</f>
        <v>39.359</v>
      </c>
      <c r="I45" s="4">
        <f>INDEX(Monthly!$U:$U,MATCH("2010-01",Monthly!$A:$A,0))</f>
        <v>27.75</v>
      </c>
      <c r="J45" s="4">
        <f>INDEX(Monthly!$U:$U,MATCH("2010-02",Monthly!$A:$A,0))</f>
        <v>17.917</v>
      </c>
      <c r="K45" s="4">
        <f>INDEX(Monthly!$U:$U,MATCH("2010-03",Monthly!$A:$A,0))</f>
        <v>1.101</v>
      </c>
      <c r="L45" s="4">
        <f>INDEX(Monthly!$U:$U,MATCH("2010-04",Monthly!$A:$A,0))</f>
        <v>67.157</v>
      </c>
      <c r="M45" s="4">
        <f>INDEX(Monthly!$U:$U,MATCH("2010-05",Monthly!$A:$A,0))</f>
        <v>223.127</v>
      </c>
      <c r="N45" s="4">
        <f>INDEX(Monthly!$U:$U,MATCH("2010-06",Monthly!$A:$A,0))</f>
        <v>290.553</v>
      </c>
      <c r="O45" s="24">
        <f>SUM(C45:N45)</f>
        <v>1497.1080000000002</v>
      </c>
    </row>
    <row r="46">
      <c r="A46" s="6" t="inlineStr">
        <is>
          <t xml:space="preserve">2014/15</t>
        </is>
      </c>
      <c r="B46" s="6" t="inlineStr">
        <is>
          <t xml:space="preserve">El Niño</t>
        </is>
      </c>
      <c r="C46" s="4">
        <f>INDEX(Monthly!$U:$U,MATCH("2014-07",Monthly!$A:$A,0))</f>
        <v>76.476</v>
      </c>
      <c r="D46" s="4">
        <f>INDEX(Monthly!$U:$U,MATCH("2014-08",Monthly!$A:$A,0))</f>
        <v>208.168</v>
      </c>
      <c r="E46" s="4">
        <f>INDEX(Monthly!$U:$U,MATCH("2014-09",Monthly!$A:$A,0))</f>
        <v>262.123</v>
      </c>
      <c r="F46" s="4">
        <f>INDEX(Monthly!$U:$U,MATCH("2014-10",Monthly!$A:$A,0))</f>
        <v>249.157</v>
      </c>
      <c r="G46" s="4">
        <f>INDEX(Monthly!$U:$U,MATCH("2014-11",Monthly!$A:$A,0))</f>
        <v>29.378</v>
      </c>
      <c r="H46" s="4">
        <f>INDEX(Monthly!$U:$U,MATCH("2014-12",Monthly!$A:$A,0))</f>
        <v>25.082</v>
      </c>
      <c r="I46" s="4">
        <f>INDEX(Monthly!$U:$U,MATCH("2015-01",Monthly!$A:$A,0))</f>
        <v>7.495</v>
      </c>
      <c r="J46" s="4">
        <f>INDEX(Monthly!$U:$U,MATCH("2015-02",Monthly!$A:$A,0))</f>
        <v>8.184</v>
      </c>
      <c r="K46" s="4">
        <f>INDEX(Monthly!$U:$U,MATCH("2015-03",Monthly!$A:$A,0))</f>
        <v>22.006</v>
      </c>
      <c r="L46" s="4">
        <f>INDEX(Monthly!$U:$U,MATCH("2015-04",Monthly!$A:$A,0))</f>
        <v>28.217</v>
      </c>
      <c r="M46" s="4">
        <f>INDEX(Monthly!$U:$U,MATCH("2015-05",Monthly!$A:$A,0))</f>
        <v>64.122</v>
      </c>
      <c r="N46" s="4">
        <f>INDEX(Monthly!$U:$U,MATCH("2015-06",Monthly!$A:$A,0))</f>
        <v>172.435</v>
      </c>
      <c r="O46" s="24">
        <f>SUM(C46:N46)</f>
        <v>1152.843</v>
      </c>
    </row>
    <row r="47">
      <c r="A47" s="6" t="inlineStr">
        <is>
          <t xml:space="preserve">2015/16</t>
        </is>
      </c>
      <c r="B47" s="6" t="inlineStr">
        <is>
          <t xml:space="preserve">El Niño</t>
        </is>
      </c>
      <c r="C47" s="4">
        <f>INDEX(Monthly!$U:$U,MATCH("2015-07",Monthly!$A:$A,0))</f>
        <v>58.162</v>
      </c>
      <c r="D47" s="4">
        <f>INDEX(Monthly!$U:$U,MATCH("2015-08",Monthly!$A:$A,0))</f>
        <v>106.513</v>
      </c>
      <c r="E47" s="4">
        <f>INDEX(Monthly!$U:$U,MATCH("2015-09",Monthly!$A:$A,0))</f>
        <v>376.803</v>
      </c>
      <c r="F47" s="4">
        <f>INDEX(Monthly!$U:$U,MATCH("2015-10",Monthly!$A:$A,0))</f>
        <v>193.916</v>
      </c>
      <c r="G47" s="4">
        <f>INDEX(Monthly!$U:$U,MATCH("2015-11",Monthly!$A:$A,0))</f>
        <v>76.598</v>
      </c>
      <c r="H47" s="4">
        <f>INDEX(Monthly!$U:$U,MATCH("2015-12",Monthly!$A:$A,0))</f>
        <v>13.602</v>
      </c>
      <c r="I47" s="4">
        <f>INDEX(Monthly!$U:$U,MATCH("2016-01",Monthly!$A:$A,0))</f>
        <v>9.022</v>
      </c>
      <c r="J47" s="4">
        <f>INDEX(Monthly!$U:$U,MATCH("2016-02",Monthly!$A:$A,0))</f>
        <v>22.076</v>
      </c>
      <c r="K47" s="4">
        <f>INDEX(Monthly!$U:$U,MATCH("2016-03",Monthly!$A:$A,0))</f>
        <v>14.397</v>
      </c>
      <c r="L47" s="4">
        <f>INDEX(Monthly!$U:$U,MATCH("2016-04",Monthly!$A:$A,0))</f>
        <v>22.145</v>
      </c>
      <c r="M47" s="4">
        <f>INDEX(Monthly!$U:$U,MATCH("2016-05",Monthly!$A:$A,0))</f>
        <v>51.304</v>
      </c>
      <c r="N47" s="4">
        <f>INDEX(Monthly!$U:$U,MATCH("2016-06",Monthly!$A:$A,0))</f>
        <v>230.345</v>
      </c>
      <c r="O47" s="24">
        <f>SUM(C47:N47)</f>
        <v>1174.883</v>
      </c>
    </row>
    <row r="48">
      <c r="A48" s="6" t="inlineStr">
        <is>
          <t xml:space="preserve">2018/19</t>
        </is>
      </c>
      <c r="B48" s="6" t="inlineStr">
        <is>
          <t xml:space="preserve">El Niño</t>
        </is>
      </c>
      <c r="C48" s="4">
        <f>INDEX(Monthly!$U:$U,MATCH("2018-07",Monthly!$A:$A,0))</f>
        <v>104.002</v>
      </c>
      <c r="D48" s="4">
        <f>INDEX(Monthly!$U:$U,MATCH("2018-08",Monthly!$A:$A,0))</f>
        <v>319.697</v>
      </c>
      <c r="E48" s="4">
        <f>INDEX(Monthly!$U:$U,MATCH("2018-09",Monthly!$A:$A,0))</f>
        <v>238.022</v>
      </c>
      <c r="F48" s="4">
        <f>INDEX(Monthly!$U:$U,MATCH("2018-10",Monthly!$A:$A,0))</f>
        <v>131.118</v>
      </c>
      <c r="G48" s="4">
        <f>INDEX(Monthly!$U:$U,MATCH("2018-11",Monthly!$A:$A,0))</f>
        <v>44.65</v>
      </c>
      <c r="H48" s="4">
        <f>INDEX(Monthly!$U:$U,MATCH("2018-12",Monthly!$A:$A,0))</f>
        <v>15.356</v>
      </c>
      <c r="I48" s="4">
        <f>INDEX(Monthly!$U:$U,MATCH("2019-01",Monthly!$A:$A,0))</f>
        <v>10.609</v>
      </c>
      <c r="J48" s="4">
        <f>INDEX(Monthly!$U:$U,MATCH("2019-02",Monthly!$A:$A,0))</f>
        <v>6.47</v>
      </c>
      <c r="K48" s="4">
        <f>INDEX(Monthly!$U:$U,MATCH("2019-03",Monthly!$A:$A,0))</f>
        <v>0.677</v>
      </c>
      <c r="L48" s="4">
        <f>INDEX(Monthly!$U:$U,MATCH("2019-04",Monthly!$A:$A,0))</f>
        <v>21.552</v>
      </c>
      <c r="M48" s="4">
        <f>INDEX(Monthly!$U:$U,MATCH("2019-05",Monthly!$A:$A,0))</f>
        <v>250.405</v>
      </c>
      <c r="N48" s="4">
        <f>INDEX(Monthly!$U:$U,MATCH("2019-06",Monthly!$A:$A,0))</f>
        <v>134.204</v>
      </c>
      <c r="O48" s="24">
        <f>SUM(C48:N48)</f>
        <v>1276.762</v>
      </c>
    </row>
    <row r="49">
      <c r="A49" s="6" t="inlineStr">
        <is>
          <t xml:space="preserve">2019/20</t>
        </is>
      </c>
      <c r="B49" s="6" t="inlineStr">
        <is>
          <t xml:space="preserve">El Niño</t>
        </is>
      </c>
      <c r="C49" s="4">
        <f>INDEX(Monthly!$U:$U,MATCH("2019-07",Monthly!$A:$A,0))</f>
        <v>207.088</v>
      </c>
      <c r="D49" s="4">
        <f>INDEX(Monthly!$U:$U,MATCH("2019-08",Monthly!$A:$A,0))</f>
        <v>216.069</v>
      </c>
      <c r="E49" s="4">
        <f>INDEX(Monthly!$U:$U,MATCH("2019-09",Monthly!$A:$A,0))</f>
        <v>228.741</v>
      </c>
      <c r="F49" s="4">
        <f>INDEX(Monthly!$U:$U,MATCH("2019-10",Monthly!$A:$A,0))</f>
        <v>225.823</v>
      </c>
      <c r="G49" s="4">
        <f>INDEX(Monthly!$U:$U,MATCH("2019-11",Monthly!$A:$A,0))</f>
        <v>24.355</v>
      </c>
      <c r="H49" s="4">
        <f>INDEX(Monthly!$U:$U,MATCH("2019-12",Monthly!$A:$A,0))</f>
        <v>15.344</v>
      </c>
      <c r="I49" s="4">
        <f>INDEX(Monthly!$U:$U,MATCH("2020-01",Monthly!$A:$A,0))</f>
        <v>12.872</v>
      </c>
      <c r="J49" s="4">
        <f>INDEX(Monthly!$U:$U,MATCH("2020-02",Monthly!$A:$A,0))</f>
        <v>8.3</v>
      </c>
      <c r="K49" s="4">
        <f>INDEX(Monthly!$U:$U,MATCH("2020-03",Monthly!$A:$A,0))</f>
        <v>7.126</v>
      </c>
      <c r="L49" s="4">
        <f>INDEX(Monthly!$U:$U,MATCH("2020-04",Monthly!$A:$A,0))</f>
        <v>7.135</v>
      </c>
      <c r="M49" s="4">
        <f>INDEX(Monthly!$U:$U,MATCH("2020-05",Monthly!$A:$A,0))</f>
        <v>256.675</v>
      </c>
      <c r="N49" s="4">
        <f>INDEX(Monthly!$U:$U,MATCH("2020-06",Monthly!$A:$A,0))</f>
        <v>198.805</v>
      </c>
      <c r="O49" s="24">
        <f>SUM(C49:N49)</f>
        <v>1408.333</v>
      </c>
    </row>
    <row r="50">
      <c r="A50" s="6" t="inlineStr">
        <is>
          <t xml:space="preserve">2023/24</t>
        </is>
      </c>
      <c r="B50" s="6" t="inlineStr">
        <is>
          <t xml:space="preserve">El Niño</t>
        </is>
      </c>
      <c r="C50" s="4">
        <f>INDEX(Monthly!$U:$U,MATCH("2023-07",Monthly!$A:$A,0))</f>
        <v>154.881</v>
      </c>
      <c r="D50" s="4">
        <f>INDEX(Monthly!$U:$U,MATCH("2023-08",Monthly!$A:$A,0))</f>
        <v>133.29</v>
      </c>
      <c r="E50" s="4">
        <f>INDEX(Monthly!$U:$U,MATCH("2023-09",Monthly!$A:$A,0))</f>
        <v>292.996</v>
      </c>
      <c r="F50" s="4">
        <f>INDEX(Monthly!$U:$U,MATCH("2023-10",Monthly!$A:$A,0))</f>
        <v>118.59</v>
      </c>
      <c r="G50" s="4">
        <f>INDEX(Monthly!$U:$U,MATCH("2023-11",Monthly!$A:$A,0))</f>
        <v>70.584</v>
      </c>
      <c r="H50" s="4">
        <f>INDEX(Monthly!$U:$U,MATCH("2023-12",Monthly!$A:$A,0))</f>
        <v>14.872</v>
      </c>
      <c r="I50" s="4">
        <f>INDEX(Monthly!$U:$U,MATCH("2024-01",Monthly!$A:$A,0))</f>
        <v>0.622</v>
      </c>
      <c r="J50" s="4">
        <f>INDEX(Monthly!$U:$U,MATCH("2024-02",Monthly!$A:$A,0))</f>
        <v>0.743</v>
      </c>
      <c r="K50" s="4">
        <f>INDEX(Monthly!$U:$U,MATCH("2024-03",Monthly!$A:$A,0))</f>
        <v>0.0</v>
      </c>
      <c r="L50" s="4">
        <f>INDEX(Monthly!$U:$U,MATCH("2024-04",Monthly!$A:$A,0))</f>
        <v>33.605</v>
      </c>
      <c r="M50" s="4">
        <f>INDEX(Monthly!$U:$U,MATCH("2024-05",Monthly!$A:$A,0))</f>
        <v>59.426</v>
      </c>
      <c r="N50" s="4">
        <f>INDEX(Monthly!$U:$U,MATCH("2024-06",Monthly!$A:$A,0))</f>
        <v>203.008</v>
      </c>
      <c r="O50" s="24">
        <f>SUM(C50:N50)</f>
        <v>1082.617</v>
      </c>
    </row>
    <row r="51">
      <c r="A51" s="11" t="inlineStr">
        <is>
          <t xml:space="preserve">Average El Niño</t>
        </is>
      </c>
      <c r="B51" s="11" t="inlineStr">
        <is>
          <t xml:space="preserve">7 seasons</t>
        </is>
      </c>
      <c r="C51" s="25">
        <f>AVERAGE(C44:C50)</f>
        <v>147.88</v>
      </c>
      <c r="D51" s="25">
        <f>AVERAGE(D44:D50)</f>
        <v>200.07342857142856</v>
      </c>
      <c r="E51" s="25">
        <f>AVERAGE(E44:E50)</f>
        <v>244.34142857142857</v>
      </c>
      <c r="F51" s="25">
        <f>AVERAGE(F44:F50)</f>
        <v>160.1337142857143</v>
      </c>
      <c r="G51" s="25">
        <f>AVERAGE(G44:G50)</f>
        <v>57.125571428571426</v>
      </c>
      <c r="H51" s="25">
        <f>AVERAGE(H44:H50)</f>
        <v>23.45457142857143</v>
      </c>
      <c r="I51" s="25">
        <f>AVERAGE(I44:I50)</f>
        <v>12.266714285714286</v>
      </c>
      <c r="J51" s="25">
        <f>AVERAGE(J44:J50)</f>
        <v>10.938857142857144</v>
      </c>
      <c r="K51" s="25">
        <f>AVERAGE(K44:K50)</f>
        <v>7.876142857142858</v>
      </c>
      <c r="L51" s="25">
        <f>AVERAGE(L44:L50)</f>
        <v>31.02285714285714</v>
      </c>
      <c r="M51" s="25">
        <f>AVERAGE(M44:M50)</f>
        <v>143.8892857142857</v>
      </c>
      <c r="N51" s="25">
        <f>AVERAGE(N44:N50)</f>
        <v>206.34314285714285</v>
      </c>
      <c r="O51" s="25">
        <f>SUM(C51:N51)</f>
        <v>1245.3457142857142</v>
      </c>
    </row>
    <row r="53">
      <c r="A53" s="12" t="inlineStr">
        <is>
          <t xml:space="preserve">La Niña (9 seasons)</t>
        </is>
      </c>
    </row>
    <row r="54">
      <c r="A54" s="5" t="inlineStr">
        <is>
          <t xml:space="preserve">2005/06</t>
        </is>
      </c>
      <c r="B54" s="5" t="inlineStr">
        <is>
          <t xml:space="preserve">La Niña</t>
        </is>
      </c>
      <c r="C54" s="4">
        <f>INDEX(Monthly!$U:$U,MATCH("2005-07",Monthly!$A:$A,0))</f>
        <v>110.182</v>
      </c>
      <c r="D54" s="4">
        <f>INDEX(Monthly!$U:$U,MATCH("2005-08",Monthly!$A:$A,0))</f>
        <v>167.823</v>
      </c>
      <c r="E54" s="4">
        <f>INDEX(Monthly!$U:$U,MATCH("2005-09",Monthly!$A:$A,0))</f>
        <v>223.733</v>
      </c>
      <c r="F54" s="4">
        <f>INDEX(Monthly!$U:$U,MATCH("2005-10",Monthly!$A:$A,0))</f>
        <v>91.145</v>
      </c>
      <c r="G54" s="4">
        <f>INDEX(Monthly!$U:$U,MATCH("2005-11",Monthly!$A:$A,0))</f>
        <v>6.397</v>
      </c>
      <c r="H54" s="4">
        <f>INDEX(Monthly!$U:$U,MATCH("2005-12",Monthly!$A:$A,0))</f>
        <v>23.582</v>
      </c>
      <c r="I54" s="4">
        <f>INDEX(Monthly!$U:$U,MATCH("2006-01",Monthly!$A:$A,0))</f>
        <v>7.806</v>
      </c>
      <c r="J54" s="4">
        <f>INDEX(Monthly!$U:$U,MATCH("2006-02",Monthly!$A:$A,0))</f>
        <v>3.885</v>
      </c>
      <c r="K54" s="4">
        <f>INDEX(Monthly!$U:$U,MATCH("2006-03",Monthly!$A:$A,0))</f>
        <v>4.185</v>
      </c>
      <c r="L54" s="4">
        <f>INDEX(Monthly!$U:$U,MATCH("2006-04",Monthly!$A:$A,0))</f>
        <v>33.662</v>
      </c>
      <c r="M54" s="4">
        <f>INDEX(Monthly!$U:$U,MATCH("2006-05",Monthly!$A:$A,0))</f>
        <v>144.414</v>
      </c>
      <c r="N54" s="4">
        <f>INDEX(Monthly!$U:$U,MATCH("2006-06",Monthly!$A:$A,0))</f>
        <v>189.236</v>
      </c>
      <c r="O54" s="24">
        <f>SUM(C54:N54)</f>
        <v>1006.0500000000001</v>
      </c>
    </row>
    <row r="55">
      <c r="A55" s="5" t="inlineStr">
        <is>
          <t xml:space="preserve">2007/08</t>
        </is>
      </c>
      <c r="B55" s="5" t="inlineStr">
        <is>
          <t xml:space="preserve">La Niña</t>
        </is>
      </c>
      <c r="C55" s="4">
        <f>INDEX(Monthly!$U:$U,MATCH("2007-07",Monthly!$A:$A,0))</f>
        <v>217.112</v>
      </c>
      <c r="D55" s="4">
        <f>INDEX(Monthly!$U:$U,MATCH("2007-08",Monthly!$A:$A,0))</f>
        <v>237.352</v>
      </c>
      <c r="E55" s="4">
        <f>INDEX(Monthly!$U:$U,MATCH("2007-09",Monthly!$A:$A,0))</f>
        <v>289.355</v>
      </c>
      <c r="F55" s="4">
        <f>INDEX(Monthly!$U:$U,MATCH("2007-10",Monthly!$A:$A,0))</f>
        <v>210.576</v>
      </c>
      <c r="G55" s="4">
        <f>INDEX(Monthly!$U:$U,MATCH("2007-11",Monthly!$A:$A,0))</f>
        <v>38.861</v>
      </c>
      <c r="H55" s="4">
        <f>INDEX(Monthly!$U:$U,MATCH("2007-12",Monthly!$A:$A,0))</f>
        <v>11.685</v>
      </c>
      <c r="I55" s="4">
        <f>INDEX(Monthly!$U:$U,MATCH("2008-01",Monthly!$A:$A,0))</f>
        <v>25.694</v>
      </c>
      <c r="J55" s="4">
        <f>INDEX(Monthly!$U:$U,MATCH("2008-02",Monthly!$A:$A,0))</f>
        <v>15.238</v>
      </c>
      <c r="K55" s="4">
        <f>INDEX(Monthly!$U:$U,MATCH("2008-03",Monthly!$A:$A,0))</f>
        <v>8.767</v>
      </c>
      <c r="L55" s="4">
        <f>INDEX(Monthly!$U:$U,MATCH("2008-04",Monthly!$A:$A,0))</f>
        <v>52.865</v>
      </c>
      <c r="M55" s="4">
        <f>INDEX(Monthly!$U:$U,MATCH("2008-05",Monthly!$A:$A,0))</f>
        <v>106.164</v>
      </c>
      <c r="N55" s="4">
        <f>INDEX(Monthly!$U:$U,MATCH("2008-06",Monthly!$A:$A,0))</f>
        <v>186.665</v>
      </c>
      <c r="O55" s="24">
        <f>SUM(C55:N55)</f>
        <v>1400.334</v>
      </c>
    </row>
    <row r="56">
      <c r="A56" s="5" t="inlineStr">
        <is>
          <t xml:space="preserve">2008/09</t>
        </is>
      </c>
      <c r="B56" s="5" t="inlineStr">
        <is>
          <t xml:space="preserve">La Niña</t>
        </is>
      </c>
      <c r="C56" s="4">
        <f>INDEX(Monthly!$U:$U,MATCH("2008-07",Monthly!$A:$A,0))</f>
        <v>357.091</v>
      </c>
      <c r="D56" s="4">
        <f>INDEX(Monthly!$U:$U,MATCH("2008-08",Monthly!$A:$A,0))</f>
        <v>263.939</v>
      </c>
      <c r="E56" s="4">
        <f>INDEX(Monthly!$U:$U,MATCH("2008-09",Monthly!$A:$A,0))</f>
        <v>394.322</v>
      </c>
      <c r="F56" s="4">
        <f>INDEX(Monthly!$U:$U,MATCH("2008-10",Monthly!$A:$A,0))</f>
        <v>174.157</v>
      </c>
      <c r="G56" s="4">
        <f>INDEX(Monthly!$U:$U,MATCH("2008-11",Monthly!$A:$A,0))</f>
        <v>21.868</v>
      </c>
      <c r="H56" s="4">
        <f>INDEX(Monthly!$U:$U,MATCH("2008-12",Monthly!$A:$A,0))</f>
        <v>58.165</v>
      </c>
      <c r="I56" s="4">
        <f>INDEX(Monthly!$U:$U,MATCH("2009-01",Monthly!$A:$A,0))</f>
        <v>8.723</v>
      </c>
      <c r="J56" s="4">
        <f>INDEX(Monthly!$U:$U,MATCH("2009-02",Monthly!$A:$A,0))</f>
        <v>29.413</v>
      </c>
      <c r="K56" s="4">
        <f>INDEX(Monthly!$U:$U,MATCH("2009-03",Monthly!$A:$A,0))</f>
        <v>3.56</v>
      </c>
      <c r="L56" s="4">
        <f>INDEX(Monthly!$U:$U,MATCH("2009-04",Monthly!$A:$A,0))</f>
        <v>19.22</v>
      </c>
      <c r="M56" s="4">
        <f>INDEX(Monthly!$U:$U,MATCH("2009-05",Monthly!$A:$A,0))</f>
        <v>194.216</v>
      </c>
      <c r="N56" s="4">
        <f>INDEX(Monthly!$U:$U,MATCH("2009-06",Monthly!$A:$A,0))</f>
        <v>132.516</v>
      </c>
      <c r="O56" s="24">
        <f>SUM(C56:N56)</f>
        <v>1657.19</v>
      </c>
    </row>
    <row r="57">
      <c r="A57" s="5" t="inlineStr">
        <is>
          <t xml:space="preserve">2010/11</t>
        </is>
      </c>
      <c r="B57" s="5" t="inlineStr">
        <is>
          <t xml:space="preserve">La Niña</t>
        </is>
      </c>
      <c r="C57" s="4">
        <f>INDEX(Monthly!$U:$U,MATCH("2010-07",Monthly!$A:$A,0))</f>
        <v>193.684</v>
      </c>
      <c r="D57" s="4">
        <f>INDEX(Monthly!$U:$U,MATCH("2010-08",Monthly!$A:$A,0))</f>
        <v>274.91</v>
      </c>
      <c r="E57" s="4">
        <f>INDEX(Monthly!$U:$U,MATCH("2010-09",Monthly!$A:$A,0))</f>
        <v>186.942</v>
      </c>
      <c r="F57" s="4">
        <f>INDEX(Monthly!$U:$U,MATCH("2010-10",Monthly!$A:$A,0))</f>
        <v>20.887</v>
      </c>
      <c r="G57" s="4">
        <f>INDEX(Monthly!$U:$U,MATCH("2010-11",Monthly!$A:$A,0))</f>
        <v>11.228</v>
      </c>
      <c r="H57" s="4">
        <f>INDEX(Monthly!$U:$U,MATCH("2010-12",Monthly!$A:$A,0))</f>
        <v>8.218</v>
      </c>
      <c r="I57" s="4">
        <f>INDEX(Monthly!$U:$U,MATCH("2011-01",Monthly!$A:$A,0))</f>
        <v>8.262</v>
      </c>
      <c r="J57" s="4">
        <f>INDEX(Monthly!$U:$U,MATCH("2011-02",Monthly!$A:$A,0))</f>
        <v>16.499</v>
      </c>
      <c r="K57" s="4">
        <f>INDEX(Monthly!$U:$U,MATCH("2011-03",Monthly!$A:$A,0))</f>
        <v>6.637</v>
      </c>
      <c r="L57" s="4">
        <f>INDEX(Monthly!$U:$U,MATCH("2011-04",Monthly!$A:$A,0))</f>
        <v>46.635</v>
      </c>
      <c r="M57" s="4">
        <f>INDEX(Monthly!$U:$U,MATCH("2011-05",Monthly!$A:$A,0))</f>
        <v>141.937</v>
      </c>
      <c r="N57" s="4">
        <f>INDEX(Monthly!$U:$U,MATCH("2011-06",Monthly!$A:$A,0))</f>
        <v>195.032</v>
      </c>
      <c r="O57" s="24">
        <f>SUM(C57:N57)</f>
        <v>1110.8709999999999</v>
      </c>
    </row>
    <row r="58">
      <c r="A58" s="5" t="inlineStr">
        <is>
          <t xml:space="preserve">2011/12</t>
        </is>
      </c>
      <c r="B58" s="5" t="inlineStr">
        <is>
          <t xml:space="preserve">La Niña</t>
        </is>
      </c>
      <c r="C58" s="4">
        <f>INDEX(Monthly!$U:$U,MATCH("2011-07",Monthly!$A:$A,0))</f>
        <v>296.705</v>
      </c>
      <c r="D58" s="4">
        <f>INDEX(Monthly!$U:$U,MATCH("2011-08",Monthly!$A:$A,0))</f>
        <v>257.703</v>
      </c>
      <c r="E58" s="4">
        <f>INDEX(Monthly!$U:$U,MATCH("2011-09",Monthly!$A:$A,0))</f>
        <v>238.403</v>
      </c>
      <c r="F58" s="4">
        <f>INDEX(Monthly!$U:$U,MATCH("2011-10",Monthly!$A:$A,0))</f>
        <v>322.373</v>
      </c>
      <c r="G58" s="4">
        <f>INDEX(Monthly!$U:$U,MATCH("2011-11",Monthly!$A:$A,0))</f>
        <v>25.039</v>
      </c>
      <c r="H58" s="4">
        <f>INDEX(Monthly!$U:$U,MATCH("2011-12",Monthly!$A:$A,0))</f>
        <v>35.516</v>
      </c>
      <c r="I58" s="4">
        <f>INDEX(Monthly!$U:$U,MATCH("2012-01",Monthly!$A:$A,0))</f>
        <v>8.494</v>
      </c>
      <c r="J58" s="4">
        <f>INDEX(Monthly!$U:$U,MATCH("2012-02",Monthly!$A:$A,0))</f>
        <v>15.348</v>
      </c>
      <c r="K58" s="4">
        <f>INDEX(Monthly!$U:$U,MATCH("2012-03",Monthly!$A:$A,0))</f>
        <v>23.945</v>
      </c>
      <c r="L58" s="4">
        <f>INDEX(Monthly!$U:$U,MATCH("2012-04",Monthly!$A:$A,0))</f>
        <v>50.178</v>
      </c>
      <c r="M58" s="4">
        <f>INDEX(Monthly!$U:$U,MATCH("2012-05",Monthly!$A:$A,0))</f>
        <v>188.655</v>
      </c>
      <c r="N58" s="4">
        <f>INDEX(Monthly!$U:$U,MATCH("2012-06",Monthly!$A:$A,0))</f>
        <v>112.506</v>
      </c>
      <c r="O58" s="24">
        <f>SUM(C58:N58)</f>
        <v>1574.8649999999998</v>
      </c>
    </row>
    <row r="59">
      <c r="A59" s="5" t="inlineStr">
        <is>
          <t xml:space="preserve">2017/18</t>
        </is>
      </c>
      <c r="B59" s="5" t="inlineStr">
        <is>
          <t xml:space="preserve">La Niña</t>
        </is>
      </c>
      <c r="C59" s="4">
        <f>INDEX(Monthly!$U:$U,MATCH("2017-07",Monthly!$A:$A,0))</f>
        <v>269.24</v>
      </c>
      <c r="D59" s="4">
        <f>INDEX(Monthly!$U:$U,MATCH("2017-08",Monthly!$A:$A,0))</f>
        <v>207.396</v>
      </c>
      <c r="E59" s="4">
        <f>INDEX(Monthly!$U:$U,MATCH("2017-09",Monthly!$A:$A,0))</f>
        <v>261.335</v>
      </c>
      <c r="F59" s="4">
        <f>INDEX(Monthly!$U:$U,MATCH("2017-10",Monthly!$A:$A,0))</f>
        <v>152.433</v>
      </c>
      <c r="G59" s="4">
        <f>INDEX(Monthly!$U:$U,MATCH("2017-11",Monthly!$A:$A,0))</f>
        <v>15.103</v>
      </c>
      <c r="H59" s="4">
        <f>INDEX(Monthly!$U:$U,MATCH("2017-12",Monthly!$A:$A,0))</f>
        <v>11.004</v>
      </c>
      <c r="I59" s="4">
        <f>INDEX(Monthly!$U:$U,MATCH("2018-01",Monthly!$A:$A,0))</f>
        <v>21.208</v>
      </c>
      <c r="J59" s="4">
        <f>INDEX(Monthly!$U:$U,MATCH("2018-02",Monthly!$A:$A,0))</f>
        <v>13.424</v>
      </c>
      <c r="K59" s="4">
        <f>INDEX(Monthly!$U:$U,MATCH("2018-03",Monthly!$A:$A,0))</f>
        <v>4.261</v>
      </c>
      <c r="L59" s="4">
        <f>INDEX(Monthly!$U:$U,MATCH("2018-04",Monthly!$A:$A,0))</f>
        <v>122.293</v>
      </c>
      <c r="M59" s="4">
        <f>INDEX(Monthly!$U:$U,MATCH("2018-05",Monthly!$A:$A,0))</f>
        <v>188.437</v>
      </c>
      <c r="N59" s="4">
        <f>INDEX(Monthly!$U:$U,MATCH("2018-06",Monthly!$A:$A,0))</f>
        <v>183.928</v>
      </c>
      <c r="O59" s="24">
        <f>SUM(C59:N59)</f>
        <v>1450.062</v>
      </c>
    </row>
    <row r="60">
      <c r="A60" s="5" t="inlineStr">
        <is>
          <t xml:space="preserve">2020/21</t>
        </is>
      </c>
      <c r="B60" s="5" t="inlineStr">
        <is>
          <t xml:space="preserve">La Niña</t>
        </is>
      </c>
      <c r="C60" s="4">
        <f>INDEX(Monthly!$U:$U,MATCH("2020-07",Monthly!$A:$A,0))</f>
        <v>180.968</v>
      </c>
      <c r="D60" s="4">
        <f>INDEX(Monthly!$U:$U,MATCH("2020-08",Monthly!$A:$A,0))</f>
        <v>211.345</v>
      </c>
      <c r="E60" s="4">
        <f>INDEX(Monthly!$U:$U,MATCH("2020-09",Monthly!$A:$A,0))</f>
        <v>251.172</v>
      </c>
      <c r="F60" s="4">
        <f>INDEX(Monthly!$U:$U,MATCH("2020-10",Monthly!$A:$A,0))</f>
        <v>154.544</v>
      </c>
      <c r="G60" s="4">
        <f>INDEX(Monthly!$U:$U,MATCH("2020-11",Monthly!$A:$A,0))</f>
        <v>195.619</v>
      </c>
      <c r="H60" s="4">
        <f>INDEX(Monthly!$U:$U,MATCH("2020-12",Monthly!$A:$A,0))</f>
        <v>6.775</v>
      </c>
      <c r="I60" s="4">
        <f>INDEX(Monthly!$U:$U,MATCH("2021-01",Monthly!$A:$A,0))</f>
        <v>11.085</v>
      </c>
      <c r="J60" s="4">
        <f>INDEX(Monthly!$U:$U,MATCH("2021-02",Monthly!$A:$A,0))</f>
        <v>19.94</v>
      </c>
      <c r="K60" s="4">
        <f>INDEX(Monthly!$U:$U,MATCH("2021-03",Monthly!$A:$A,0))</f>
        <v>7.027</v>
      </c>
      <c r="L60" s="4">
        <f>INDEX(Monthly!$U:$U,MATCH("2021-04",Monthly!$A:$A,0))</f>
        <v>41.586</v>
      </c>
      <c r="M60" s="4">
        <f>INDEX(Monthly!$U:$U,MATCH("2021-05",Monthly!$A:$A,0))</f>
        <v>144.432</v>
      </c>
      <c r="N60" s="4">
        <f>INDEX(Monthly!$U:$U,MATCH("2021-06",Monthly!$A:$A,0))</f>
        <v>307.854</v>
      </c>
      <c r="O60" s="24">
        <f>SUM(C60:N60)</f>
        <v>1532.3470000000002</v>
      </c>
    </row>
    <row r="61">
      <c r="A61" s="5" t="inlineStr">
        <is>
          <t xml:space="preserve">2021/22</t>
        </is>
      </c>
      <c r="B61" s="5" t="inlineStr">
        <is>
          <t xml:space="preserve">La Niña</t>
        </is>
      </c>
      <c r="C61" s="4">
        <f>INDEX(Monthly!$U:$U,MATCH("2021-07",Monthly!$A:$A,0))</f>
        <v>160.959</v>
      </c>
      <c r="D61" s="4">
        <f>INDEX(Monthly!$U:$U,MATCH("2021-08",Monthly!$A:$A,0))</f>
        <v>229.253</v>
      </c>
      <c r="E61" s="4">
        <f>INDEX(Monthly!$U:$U,MATCH("2021-09",Monthly!$A:$A,0))</f>
        <v>167.768</v>
      </c>
      <c r="F61" s="4">
        <f>INDEX(Monthly!$U:$U,MATCH("2021-10",Monthly!$A:$A,0))</f>
        <v>133.58</v>
      </c>
      <c r="G61" s="4">
        <f>INDEX(Monthly!$U:$U,MATCH("2021-11",Monthly!$A:$A,0))</f>
        <v>13.11</v>
      </c>
      <c r="H61" s="4">
        <f>INDEX(Monthly!$U:$U,MATCH("2021-12",Monthly!$A:$A,0))</f>
        <v>12.092</v>
      </c>
      <c r="I61" s="4">
        <f>INDEX(Monthly!$U:$U,MATCH("2022-01",Monthly!$A:$A,0))</f>
        <v>13.49</v>
      </c>
      <c r="J61" s="4">
        <f>INDEX(Monthly!$U:$U,MATCH("2022-02",Monthly!$A:$A,0))</f>
        <v>16.493</v>
      </c>
      <c r="K61" s="4">
        <f>INDEX(Monthly!$U:$U,MATCH("2022-03",Monthly!$A:$A,0))</f>
        <v>30.209</v>
      </c>
      <c r="L61" s="4">
        <f>INDEX(Monthly!$U:$U,MATCH("2022-04",Monthly!$A:$A,0))</f>
        <v>48.542</v>
      </c>
      <c r="M61" s="4">
        <f>INDEX(Monthly!$U:$U,MATCH("2022-05",Monthly!$A:$A,0))</f>
        <v>111.351</v>
      </c>
      <c r="N61" s="4">
        <f>INDEX(Monthly!$U:$U,MATCH("2022-06",Monthly!$A:$A,0))</f>
        <v>224.061</v>
      </c>
      <c r="O61" s="24">
        <f>SUM(C61:N61)</f>
        <v>1160.9080000000001</v>
      </c>
    </row>
    <row r="62">
      <c r="A62" s="5" t="inlineStr">
        <is>
          <t xml:space="preserve">2022/23</t>
        </is>
      </c>
      <c r="B62" s="5" t="inlineStr">
        <is>
          <t xml:space="preserve">La Niña</t>
        </is>
      </c>
      <c r="C62" s="4">
        <f>INDEX(Monthly!$U:$U,MATCH("2022-07",Monthly!$A:$A,0))</f>
        <v>210.152</v>
      </c>
      <c r="D62" s="4">
        <f>INDEX(Monthly!$U:$U,MATCH("2022-08",Monthly!$A:$A,0))</f>
        <v>329.191</v>
      </c>
      <c r="E62" s="4">
        <f>INDEX(Monthly!$U:$U,MATCH("2022-09",Monthly!$A:$A,0))</f>
        <v>235.141</v>
      </c>
      <c r="F62" s="4">
        <f>INDEX(Monthly!$U:$U,MATCH("2022-10",Monthly!$A:$A,0))</f>
        <v>153.806</v>
      </c>
      <c r="G62" s="4">
        <f>INDEX(Monthly!$U:$U,MATCH("2022-11",Monthly!$A:$A,0))</f>
        <v>51.526</v>
      </c>
      <c r="H62" s="4">
        <f>INDEX(Monthly!$U:$U,MATCH("2022-12",Monthly!$A:$A,0))</f>
        <v>3.755</v>
      </c>
      <c r="I62" s="4">
        <f>INDEX(Monthly!$U:$U,MATCH("2023-01",Monthly!$A:$A,0))</f>
        <v>4.77</v>
      </c>
      <c r="J62" s="4">
        <f>INDEX(Monthly!$U:$U,MATCH("2023-02",Monthly!$A:$A,0))</f>
        <v>1.814</v>
      </c>
      <c r="K62" s="4">
        <f>INDEX(Monthly!$U:$U,MATCH("2023-03",Monthly!$A:$A,0))</f>
        <v>7.259</v>
      </c>
      <c r="L62" s="4">
        <f>INDEX(Monthly!$U:$U,MATCH("2023-04",Monthly!$A:$A,0))</f>
        <v>19.734</v>
      </c>
      <c r="M62" s="4">
        <f>INDEX(Monthly!$U:$U,MATCH("2023-05",Monthly!$A:$A,0))</f>
        <v>71.927</v>
      </c>
      <c r="N62" s="4">
        <f>INDEX(Monthly!$U:$U,MATCH("2023-06",Monthly!$A:$A,0))</f>
        <v>119.624</v>
      </c>
      <c r="O62" s="24">
        <f>SUM(C62:N62)</f>
        <v>1208.6989999999998</v>
      </c>
    </row>
    <row r="63">
      <c r="A63" s="12" t="inlineStr">
        <is>
          <t xml:space="preserve">Average La Niña</t>
        </is>
      </c>
      <c r="B63" s="12" t="inlineStr">
        <is>
          <t xml:space="preserve">9 seasons</t>
        </is>
      </c>
      <c r="C63" s="26">
        <f>AVERAGE(C54:C62)</f>
        <v>221.7881111111111</v>
      </c>
      <c r="D63" s="26">
        <f>AVERAGE(D54:D62)</f>
        <v>242.10133333333334</v>
      </c>
      <c r="E63" s="26">
        <f>AVERAGE(E54:E62)</f>
        <v>249.79677777777778</v>
      </c>
      <c r="F63" s="26">
        <f>AVERAGE(F54:F62)</f>
        <v>157.05566666666667</v>
      </c>
      <c r="G63" s="26">
        <f>AVERAGE(G54:G62)</f>
        <v>42.083444444444446</v>
      </c>
      <c r="H63" s="26">
        <f>AVERAGE(H54:H62)</f>
        <v>18.97688888888889</v>
      </c>
      <c r="I63" s="26">
        <f>AVERAGE(I54:I62)</f>
        <v>12.170222222222222</v>
      </c>
      <c r="J63" s="26">
        <f>AVERAGE(J54:J62)</f>
        <v>14.672666666666666</v>
      </c>
      <c r="K63" s="26">
        <f>AVERAGE(K54:K62)</f>
        <v>10.65</v>
      </c>
      <c r="L63" s="26">
        <f>AVERAGE(L54:L62)</f>
        <v>48.30166666666667</v>
      </c>
      <c r="M63" s="26">
        <f>AVERAGE(M54:M62)</f>
        <v>143.50366666666667</v>
      </c>
      <c r="N63" s="26">
        <f>AVERAGE(N54:N62)</f>
        <v>183.49133333333333</v>
      </c>
      <c r="O63" s="26">
        <f>SUM(C63:N63)</f>
        <v>1344.591777777778</v>
      </c>
    </row>
    <row r="65">
      <c r="A65" s="8" t="inlineStr">
        <is>
          <t xml:space="preserve">Neutral (4 seasons)</t>
        </is>
      </c>
    </row>
    <row r="66">
      <c r="A66" s="21" t="inlineStr">
        <is>
          <t xml:space="preserve">2012/13</t>
        </is>
      </c>
      <c r="B66" s="21" t="inlineStr">
        <is>
          <t xml:space="preserve">Neutral</t>
        </is>
      </c>
      <c r="C66" s="4">
        <f>INDEX(Monthly!$U:$U,MATCH("2012-07",Monthly!$A:$A,0))</f>
        <v>130.434</v>
      </c>
      <c r="D66" s="4">
        <f>INDEX(Monthly!$U:$U,MATCH("2012-08",Monthly!$A:$A,0))</f>
        <v>373.815</v>
      </c>
      <c r="E66" s="4">
        <f>INDEX(Monthly!$U:$U,MATCH("2012-09",Monthly!$A:$A,0))</f>
        <v>151.059</v>
      </c>
      <c r="F66" s="4">
        <f>INDEX(Monthly!$U:$U,MATCH("2012-10",Monthly!$A:$A,0))</f>
        <v>146.86</v>
      </c>
      <c r="G66" s="4">
        <f>INDEX(Monthly!$U:$U,MATCH("2012-11",Monthly!$A:$A,0))</f>
        <v>43.405</v>
      </c>
      <c r="H66" s="4">
        <f>INDEX(Monthly!$U:$U,MATCH("2012-12",Monthly!$A:$A,0))</f>
        <v>30.28</v>
      </c>
      <c r="I66" s="4">
        <f>INDEX(Monthly!$U:$U,MATCH("2013-01",Monthly!$A:$A,0))</f>
        <v>24.518</v>
      </c>
      <c r="J66" s="4">
        <f>INDEX(Monthly!$U:$U,MATCH("2013-02",Monthly!$A:$A,0))</f>
        <v>10.092</v>
      </c>
      <c r="K66" s="4">
        <f>INDEX(Monthly!$U:$U,MATCH("2013-03",Monthly!$A:$A,0))</f>
        <v>17.567</v>
      </c>
      <c r="L66" s="4">
        <f>INDEX(Monthly!$U:$U,MATCH("2013-04",Monthly!$A:$A,0))</f>
        <v>30.929</v>
      </c>
      <c r="M66" s="4">
        <f>INDEX(Monthly!$U:$U,MATCH("2013-05",Monthly!$A:$A,0))</f>
        <v>144.241</v>
      </c>
      <c r="N66" s="4">
        <f>INDEX(Monthly!$U:$U,MATCH("2013-06",Monthly!$A:$A,0))</f>
        <v>184.244</v>
      </c>
      <c r="O66" s="24">
        <f>SUM(C66:N66)</f>
        <v>1287.444</v>
      </c>
    </row>
    <row r="67">
      <c r="A67" s="21" t="inlineStr">
        <is>
          <t xml:space="preserve">2013/14</t>
        </is>
      </c>
      <c r="B67" s="21" t="inlineStr">
        <is>
          <t xml:space="preserve">Neutral</t>
        </is>
      </c>
      <c r="C67" s="4">
        <f>INDEX(Monthly!$U:$U,MATCH("2013-07",Monthly!$A:$A,0))</f>
        <v>181.49</v>
      </c>
      <c r="D67" s="4">
        <f>INDEX(Monthly!$U:$U,MATCH("2013-08",Monthly!$A:$A,0))</f>
        <v>197.388</v>
      </c>
      <c r="E67" s="4">
        <f>INDEX(Monthly!$U:$U,MATCH("2013-09",Monthly!$A:$A,0))</f>
        <v>106.174</v>
      </c>
      <c r="F67" s="4">
        <f>INDEX(Monthly!$U:$U,MATCH("2013-10",Monthly!$A:$A,0))</f>
        <v>157.347</v>
      </c>
      <c r="G67" s="4">
        <f>INDEX(Monthly!$U:$U,MATCH("2013-11",Monthly!$A:$A,0))</f>
        <v>39.533</v>
      </c>
      <c r="H67" s="4">
        <f>INDEX(Monthly!$U:$U,MATCH("2013-12",Monthly!$A:$A,0))</f>
        <v>10.82</v>
      </c>
      <c r="I67" s="4">
        <f>INDEX(Monthly!$U:$U,MATCH("2014-01",Monthly!$A:$A,0))</f>
        <v>13.172</v>
      </c>
      <c r="J67" s="4">
        <f>INDEX(Monthly!$U:$U,MATCH("2014-02",Monthly!$A:$A,0))</f>
        <v>4.973</v>
      </c>
      <c r="K67" s="4">
        <f>INDEX(Monthly!$U:$U,MATCH("2014-03",Monthly!$A:$A,0))</f>
        <v>25.253</v>
      </c>
      <c r="L67" s="4">
        <f>INDEX(Monthly!$U:$U,MATCH("2014-04",Monthly!$A:$A,0))</f>
        <v>6.163</v>
      </c>
      <c r="M67" s="4">
        <f>INDEX(Monthly!$U:$U,MATCH("2014-05",Monthly!$A:$A,0))</f>
        <v>142.951</v>
      </c>
      <c r="N67" s="4">
        <f>INDEX(Monthly!$U:$U,MATCH("2014-06",Monthly!$A:$A,0))</f>
        <v>242.509</v>
      </c>
      <c r="O67" s="24">
        <f>SUM(C67:N67)</f>
        <v>1127.7730000000001</v>
      </c>
    </row>
    <row r="68">
      <c r="A68" s="21" t="inlineStr">
        <is>
          <t xml:space="preserve">2016/17</t>
        </is>
      </c>
      <c r="B68" s="21" t="inlineStr">
        <is>
          <t xml:space="preserve">Neutral</t>
        </is>
      </c>
      <c r="C68" s="4">
        <f>INDEX(Monthly!$U:$U,MATCH("2016-07",Monthly!$A:$A,0))</f>
        <v>172.17</v>
      </c>
      <c r="D68" s="4">
        <f>INDEX(Monthly!$U:$U,MATCH("2016-08",Monthly!$A:$A,0))</f>
        <v>182.226</v>
      </c>
      <c r="E68" s="4">
        <f>INDEX(Monthly!$U:$U,MATCH("2016-09",Monthly!$A:$A,0))</f>
        <v>270.349</v>
      </c>
      <c r="F68" s="4">
        <f>INDEX(Monthly!$U:$U,MATCH("2016-10",Monthly!$A:$A,0))</f>
        <v>73.824</v>
      </c>
      <c r="G68" s="4">
        <f>INDEX(Monthly!$U:$U,MATCH("2016-11",Monthly!$A:$A,0))</f>
        <v>24.331</v>
      </c>
      <c r="H68" s="4">
        <f>INDEX(Monthly!$U:$U,MATCH("2016-12",Monthly!$A:$A,0))</f>
        <v>16.835</v>
      </c>
      <c r="I68" s="4">
        <f>INDEX(Monthly!$U:$U,MATCH("2017-01",Monthly!$A:$A,0))</f>
        <v>9.237</v>
      </c>
      <c r="J68" s="4">
        <f>INDEX(Monthly!$U:$U,MATCH("2017-02",Monthly!$A:$A,0))</f>
        <v>3.509</v>
      </c>
      <c r="K68" s="4">
        <f>INDEX(Monthly!$U:$U,MATCH("2017-03",Monthly!$A:$A,0))</f>
        <v>40.521</v>
      </c>
      <c r="L68" s="4">
        <f>INDEX(Monthly!$U:$U,MATCH("2017-04",Monthly!$A:$A,0))</f>
        <v>28.016</v>
      </c>
      <c r="M68" s="4">
        <f>INDEX(Monthly!$U:$U,MATCH("2017-05",Monthly!$A:$A,0))</f>
        <v>205.415</v>
      </c>
      <c r="N68" s="4">
        <f>INDEX(Monthly!$U:$U,MATCH("2017-06",Monthly!$A:$A,0))</f>
        <v>230.711</v>
      </c>
      <c r="O68" s="24">
        <f>SUM(C68:N68)</f>
        <v>1257.1439999999998</v>
      </c>
    </row>
    <row r="69">
      <c r="A69" s="21" t="inlineStr">
        <is>
          <t xml:space="preserve">2024/25</t>
        </is>
      </c>
      <c r="B69" s="21" t="inlineStr">
        <is>
          <t xml:space="preserve">Neutral</t>
        </is>
      </c>
      <c r="C69" s="4">
        <f>INDEX(Monthly!$U:$U,MATCH("2024-07",Monthly!$A:$A,0))</f>
        <v>173.931</v>
      </c>
      <c r="D69" s="4">
        <f>INDEX(Monthly!$U:$U,MATCH("2024-08",Monthly!$A:$A,0))</f>
        <v>179.105</v>
      </c>
      <c r="E69" s="4">
        <f>INDEX(Monthly!$U:$U,MATCH("2024-09",Monthly!$A:$A,0))</f>
        <v>143.461</v>
      </c>
      <c r="F69" s="4">
        <f>INDEX(Monthly!$U:$U,MATCH("2024-10",Monthly!$A:$A,0))</f>
        <v>67.001</v>
      </c>
      <c r="G69" s="4">
        <f>INDEX(Monthly!$U:$U,MATCH("2024-11",Monthly!$A:$A,0))</f>
        <v>87.197</v>
      </c>
      <c r="H69" s="4">
        <f>INDEX(Monthly!$U:$U,MATCH("2024-12",Monthly!$A:$A,0))</f>
        <v>4.462</v>
      </c>
      <c r="I69" s="4">
        <f>INDEX(Monthly!$U:$U,MATCH("2025-01",Monthly!$A:$A,0))</f>
        <v>3.544</v>
      </c>
      <c r="J69" s="4">
        <f>INDEX(Monthly!$U:$U,MATCH("2025-02",Monthly!$A:$A,0))</f>
        <v>6.28</v>
      </c>
      <c r="K69" s="4">
        <f>INDEX(Monthly!$U:$U,MATCH("2025-03",Monthly!$A:$A,0))</f>
        <v>8.087</v>
      </c>
      <c r="L69" s="4">
        <f>INDEX(Monthly!$U:$U,MATCH("2025-04",Monthly!$A:$A,0))</f>
        <v>28.502</v>
      </c>
      <c r="M69" s="4">
        <f>INDEX(Monthly!$U:$U,MATCH("2025-05",Monthly!$A:$A,0))</f>
        <v>94.875</v>
      </c>
      <c r="N69" s="4">
        <f>INDEX(Monthly!$U:$U,MATCH("2025-06",Monthly!$A:$A,0))</f>
        <v>355.957</v>
      </c>
      <c r="O69" s="24">
        <f>SUM(C69:N69)</f>
        <v>1152.402</v>
      </c>
    </row>
    <row r="70">
      <c r="A70" s="8" t="inlineStr">
        <is>
          <t xml:space="preserve">Average Neutral</t>
        </is>
      </c>
      <c r="B70" s="8" t="inlineStr">
        <is>
          <t xml:space="preserve">4 seasons</t>
        </is>
      </c>
      <c r="C70" s="27">
        <f>AVERAGE(C66:C69)</f>
        <v>164.50625</v>
      </c>
      <c r="D70" s="27">
        <f>AVERAGE(D66:D69)</f>
        <v>233.1335</v>
      </c>
      <c r="E70" s="27">
        <f>AVERAGE(E66:E69)</f>
        <v>167.76075</v>
      </c>
      <c r="F70" s="27">
        <f>AVERAGE(F66:F69)</f>
        <v>111.25800000000001</v>
      </c>
      <c r="G70" s="27">
        <f>AVERAGE(G66:G69)</f>
        <v>48.6165</v>
      </c>
      <c r="H70" s="27">
        <f>AVERAGE(H66:H69)</f>
        <v>15.599250000000001</v>
      </c>
      <c r="I70" s="27">
        <f>AVERAGE(I66:I69)</f>
        <v>12.617750000000001</v>
      </c>
      <c r="J70" s="27">
        <f>AVERAGE(J66:J69)</f>
        <v>6.2135</v>
      </c>
      <c r="K70" s="27">
        <f>AVERAGE(K66:K69)</f>
        <v>22.857</v>
      </c>
      <c r="L70" s="27">
        <f>AVERAGE(L66:L69)</f>
        <v>23.4025</v>
      </c>
      <c r="M70" s="27">
        <f>AVERAGE(M66:M69)</f>
        <v>146.8705</v>
      </c>
      <c r="N70" s="27">
        <f>AVERAGE(N66:N69)</f>
        <v>253.35525</v>
      </c>
      <c r="O70" s="27">
        <f>SUM(C70:N70)</f>
        <v>1206.19075</v>
      </c>
    </row>
    <row r="72">
      <c r="A72" s="23" t="inlineStr">
        <is>
          <t xml:space="preserve">After the photo window (not in the averages)</t>
        </is>
      </c>
    </row>
    <row r="73">
      <c r="A73" s="21" t="inlineStr">
        <is>
          <t xml:space="preserve">2025/26</t>
        </is>
      </c>
      <c r="B73" s="21" t="inlineStr">
        <is>
          <t xml:space="preserve">Neutral</t>
        </is>
      </c>
      <c r="C73" s="4">
        <f>INDEX(Monthly!$U:$U,MATCH("2025-07",Monthly!$A:$A,0))</f>
        <v>199.357</v>
      </c>
      <c r="D73" s="4">
        <f>INDEX(Monthly!$U:$U,MATCH("2025-08",Monthly!$A:$A,0))</f>
        <v>158.159</v>
      </c>
      <c r="E73" s="4">
        <f>INDEX(Monthly!$U:$U,MATCH("2025-09",Monthly!$A:$A,0))</f>
        <v>106.814</v>
      </c>
      <c r="F73" s="4">
        <f>INDEX(Monthly!$U:$U,MATCH("2025-10",Monthly!$A:$A,0))</f>
        <v>175.359</v>
      </c>
      <c r="G73" s="4">
        <f>INDEX(Monthly!$U:$U,MATCH("2025-11",Monthly!$A:$A,0))</f>
        <v>31.532</v>
      </c>
      <c r="H73" s="4">
        <f>INDEX(Monthly!$U:$U,MATCH("2025-12",Monthly!$A:$A,0))</f>
        <v>16.486</v>
      </c>
      <c r="I73" s="4">
        <f>INDEX(Monthly!$U:$U,MATCH("2026-01",Monthly!$A:$A,0))</f>
        <v>0.712</v>
      </c>
      <c r="J73" s="4">
        <f>INDEX(Monthly!$U:$U,MATCH("2026-02",Monthly!$A:$A,0))</f>
        <v>0.631</v>
      </c>
      <c r="K73" s="4">
        <f>INDEX(Monthly!$U:$U,MATCH("2026-03",Monthly!$A:$A,0))</f>
        <v>16.414</v>
      </c>
      <c r="L73" s="4">
        <f>INDEX(Monthly!$U:$U,MATCH("2026-04",Monthly!$A:$A,0))</f>
        <v>63.316</v>
      </c>
      <c r="M73" s="4">
        <f>INDEX(Monthly!$U:$U,MATCH("2026-05",Monthly!$A:$A,0))</f>
        <v>61.715</v>
      </c>
      <c r="N73" s="4">
        <f>INDEX(Monthly!$U:$U,MATCH("2026-06",Monthly!$A:$A,0))</f>
        <v>72.205</v>
      </c>
      <c r="O73" s="24">
        <f>SUM(C73:N73)</f>
        <v>902.7</v>
      </c>
    </row>
    <row r="74">
      <c r="A74" s="6" t="inlineStr">
        <is>
          <t xml:space="preserve">2026/27</t>
        </is>
      </c>
      <c r="B74" s="6" t="inlineStr">
        <is>
          <t xml:space="preserve">El Niño (in progress)</t>
        </is>
      </c>
      <c r="C74" s="4">
        <f>INDEX(Monthly!$U:$U,MATCH("2026-07",Monthly!$A:$A,0))</f>
        <v>47.519</v>
      </c>
      <c r="D74" s="4">
        <f>INDEX(Monthly!$U:$U,MATCH("2026-08",Monthly!$A:$A,0))</f>
        <v>12.148</v>
      </c>
    </row>
  </sheetData>
</worksheet>
</file>

<file path=xl/worksheets/sheet5.xml><?xml version="1.0" encoding="utf-8"?>
<worksheet xmlns="http://schemas.openxmlformats.org/spreadsheetml/2006/main" xmlns:r="http://schemas.openxmlformats.org/officeDocument/2006/relationships">
  <sheetViews>
    <sheetView workbookViewId="0">
      <pane xSplit="2" ySplit="4" topLeftCell="C5" activePane="bottomRight" state="frozen"/>
    </sheetView>
  </sheetViews>
  <sheetFormatPr defaultRowHeight="13.2"/>
  <cols>
    <col min="1" max="1" width="30" customWidth="1"/>
    <col min="2" max="2" width="1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11" customWidth="1"/>
  </cols>
  <sheetData>
    <row r="1">
      <c r="A1" s="16" t="inlineStr">
        <is>
          <t xml:space="preserve">Copán — Copán department, town of Santa Rosa de Copán | Temperature and rainfall by ENSO season</t>
        </is>
      </c>
    </row>
    <row r="2">
      <c r="A2" s="7" t="inlineStr">
        <is>
          <t xml:space="preserve">Rain: NOAA CPC gauge analysis (daily, 0.5°). Temperature: NASA POWER daily (grid cell of each town). July–June seasons 2005/06–2024/25 as in the São Mateus chart. Season phase = official NOAA ENSO episode at its Nov–Jan peak (sheet ENSO_seasons). Average rows = mean of the seasons of that phase in the photo window.</t>
        </is>
      </c>
    </row>
    <row r="3">
      <c r="A3" s="7" t="inlineStr">
        <is>
          <t xml:space="preserve">Seasons after the photo window are listed below each block, outside the averages. 2026/27: complete months only (data end 2026-09-22).</t>
        </is>
      </c>
    </row>
    <row r="5">
      <c r="A5" s="17" t="inlineStr">
        <is>
          <t xml:space="preserve">Mean temperature (°C) — monthly mean of daily T2M</t>
        </is>
      </c>
    </row>
    <row r="6">
      <c r="A6" s="1" t="inlineStr">
        <is>
          <t xml:space="preserve">Season</t>
        </is>
      </c>
      <c r="B6" s="1" t="inlineStr">
        <is>
          <t xml:space="preserve">Phase</t>
        </is>
      </c>
      <c r="C6" s="1" t="inlineStr">
        <is>
          <t xml:space="preserve">Jul</t>
        </is>
      </c>
      <c r="D6" s="1" t="inlineStr">
        <is>
          <t xml:space="preserve">Aug</t>
        </is>
      </c>
      <c r="E6" s="1" t="inlineStr">
        <is>
          <t xml:space="preserve">Sep</t>
        </is>
      </c>
      <c r="F6" s="1" t="inlineStr">
        <is>
          <t xml:space="preserve">Oct</t>
        </is>
      </c>
      <c r="G6" s="1" t="inlineStr">
        <is>
          <t xml:space="preserve">Nov</t>
        </is>
      </c>
      <c r="H6" s="1" t="inlineStr">
        <is>
          <t xml:space="preserve">Dec</t>
        </is>
      </c>
      <c r="I6" s="1" t="inlineStr">
        <is>
          <t xml:space="preserve">Jan</t>
        </is>
      </c>
      <c r="J6" s="1" t="inlineStr">
        <is>
          <t xml:space="preserve">Feb</t>
        </is>
      </c>
      <c r="K6" s="1" t="inlineStr">
        <is>
          <t xml:space="preserve">Mar</t>
        </is>
      </c>
      <c r="L6" s="1" t="inlineStr">
        <is>
          <t xml:space="preserve">Apr</t>
        </is>
      </c>
      <c r="M6" s="1" t="inlineStr">
        <is>
          <t xml:space="preserve">May</t>
        </is>
      </c>
      <c r="N6" s="1" t="inlineStr">
        <is>
          <t xml:space="preserve">Jun</t>
        </is>
      </c>
      <c r="O6" s="1" t="inlineStr">
        <is>
          <t xml:space="preserve">Season mean</t>
        </is>
      </c>
    </row>
    <row r="7">
      <c r="A7" s="11" t="inlineStr">
        <is>
          <t xml:space="preserve">El Niño (7 seasons)</t>
        </is>
      </c>
    </row>
    <row r="8">
      <c r="A8" s="6" t="inlineStr">
        <is>
          <t xml:space="preserve">2006/07</t>
        </is>
      </c>
      <c r="B8" s="6" t="inlineStr">
        <is>
          <t xml:space="preserve">El Niño</t>
        </is>
      </c>
      <c r="C8" s="3">
        <f>INDEX(Monthly!$AA:$AA,MATCH("2006-07",Monthly!$A:$A,0))</f>
        <v>22.668064516129032</v>
      </c>
      <c r="D8" s="3">
        <f>INDEX(Monthly!$AA:$AA,MATCH("2006-08",Monthly!$A:$A,0))</f>
        <v>22.73838709677419</v>
      </c>
      <c r="E8" s="3">
        <f>INDEX(Monthly!$AA:$AA,MATCH("2006-09",Monthly!$A:$A,0))</f>
        <v>22.772000000000002</v>
      </c>
      <c r="F8" s="3">
        <f>INDEX(Monthly!$AA:$AA,MATCH("2006-10",Monthly!$A:$A,0))</f>
        <v>22.518387096774187</v>
      </c>
      <c r="G8" s="3">
        <f>INDEX(Monthly!$AA:$AA,MATCH("2006-11",Monthly!$A:$A,0))</f>
        <v>19.887333333333334</v>
      </c>
      <c r="H8" s="3">
        <f>INDEX(Monthly!$AA:$AA,MATCH("2006-12",Monthly!$A:$A,0))</f>
        <v>20.093870967741935</v>
      </c>
      <c r="I8" s="3">
        <f>INDEX(Monthly!$AA:$AA,MATCH("2007-01",Monthly!$A:$A,0))</f>
        <v>19.9941935483871</v>
      </c>
      <c r="J8" s="3">
        <f>INDEX(Monthly!$AA:$AA,MATCH("2007-02",Monthly!$A:$A,0))</f>
        <v>20.448571428571427</v>
      </c>
      <c r="K8" s="3">
        <f>INDEX(Monthly!$AA:$AA,MATCH("2007-03",Monthly!$A:$A,0))</f>
        <v>21.30129032258065</v>
      </c>
      <c r="L8" s="3">
        <f>INDEX(Monthly!$AA:$AA,MATCH("2007-04",Monthly!$A:$A,0))</f>
        <v>23.993</v>
      </c>
      <c r="M8" s="3">
        <f>INDEX(Monthly!$AA:$AA,MATCH("2007-05",Monthly!$A:$A,0))</f>
        <v>24.879032258064516</v>
      </c>
      <c r="N8" s="3">
        <f>INDEX(Monthly!$AA:$AA,MATCH("2007-06",Monthly!$A:$A,0))</f>
        <v>23.538999999999998</v>
      </c>
      <c r="O8" s="18">
        <f>AVERAGE(C8:N8)</f>
        <v>22.06942754736303</v>
      </c>
    </row>
    <row r="9">
      <c r="A9" s="6" t="inlineStr">
        <is>
          <t xml:space="preserve">2009/10</t>
        </is>
      </c>
      <c r="B9" s="6" t="inlineStr">
        <is>
          <t xml:space="preserve">El Niño</t>
        </is>
      </c>
      <c r="C9" s="3">
        <f>INDEX(Monthly!$AA:$AA,MATCH("2009-07",Monthly!$A:$A,0))</f>
        <v>22.954193548387096</v>
      </c>
      <c r="D9" s="3">
        <f>INDEX(Monthly!$AA:$AA,MATCH("2009-08",Monthly!$A:$A,0))</f>
        <v>22.702903225806455</v>
      </c>
      <c r="E9" s="3">
        <f>INDEX(Monthly!$AA:$AA,MATCH("2009-09",Monthly!$A:$A,0))</f>
        <v>22.97933333333333</v>
      </c>
      <c r="F9" s="3">
        <f>INDEX(Monthly!$AA:$AA,MATCH("2009-10",Monthly!$A:$A,0))</f>
        <v>22.726129032258065</v>
      </c>
      <c r="G9" s="3">
        <f>INDEX(Monthly!$AA:$AA,MATCH("2009-11",Monthly!$A:$A,0))</f>
        <v>20.509999999999998</v>
      </c>
      <c r="H9" s="3">
        <f>INDEX(Monthly!$AA:$AA,MATCH("2009-12",Monthly!$A:$A,0))</f>
        <v>20.48870967741935</v>
      </c>
      <c r="I9" s="3">
        <f>INDEX(Monthly!$AA:$AA,MATCH("2010-01",Monthly!$A:$A,0))</f>
        <v>18.9058064516129</v>
      </c>
      <c r="J9" s="3">
        <f>INDEX(Monthly!$AA:$AA,MATCH("2010-02",Monthly!$A:$A,0))</f>
        <v>21.299285714285713</v>
      </c>
      <c r="K9" s="3">
        <f>INDEX(Monthly!$AA:$AA,MATCH("2010-03",Monthly!$A:$A,0))</f>
        <v>22.70516129032258</v>
      </c>
      <c r="L9" s="3">
        <f>INDEX(Monthly!$AA:$AA,MATCH("2010-04",Monthly!$A:$A,0))</f>
        <v>24.877333333333333</v>
      </c>
      <c r="M9" s="3">
        <f>INDEX(Monthly!$AA:$AA,MATCH("2010-05",Monthly!$A:$A,0))</f>
        <v>24.568709677419356</v>
      </c>
      <c r="N9" s="3">
        <f>INDEX(Monthly!$AA:$AA,MATCH("2010-06",Monthly!$A:$A,0))</f>
        <v>23.57066666666667</v>
      </c>
      <c r="O9" s="18">
        <f>AVERAGE(C9:N9)</f>
        <v>22.357352662570403</v>
      </c>
    </row>
    <row r="10">
      <c r="A10" s="6" t="inlineStr">
        <is>
          <t xml:space="preserve">2014/15</t>
        </is>
      </c>
      <c r="B10" s="6" t="inlineStr">
        <is>
          <t xml:space="preserve">El Niño</t>
        </is>
      </c>
      <c r="C10" s="3">
        <f>INDEX(Monthly!$AA:$AA,MATCH("2014-07",Monthly!$A:$A,0))</f>
        <v>22.99258064516129</v>
      </c>
      <c r="D10" s="3">
        <f>INDEX(Monthly!$AA:$AA,MATCH("2014-08",Monthly!$A:$A,0))</f>
        <v>22.634193548387103</v>
      </c>
      <c r="E10" s="3">
        <f>INDEX(Monthly!$AA:$AA,MATCH("2014-09",Monthly!$A:$A,0))</f>
        <v>22.487666666666666</v>
      </c>
      <c r="F10" s="3">
        <f>INDEX(Monthly!$AA:$AA,MATCH("2014-10",Monthly!$A:$A,0))</f>
        <v>21.813870967741938</v>
      </c>
      <c r="G10" s="3">
        <f>INDEX(Monthly!$AA:$AA,MATCH("2014-11",Monthly!$A:$A,0))</f>
        <v>19.786666666666665</v>
      </c>
      <c r="H10" s="3">
        <f>INDEX(Monthly!$AA:$AA,MATCH("2014-12",Monthly!$A:$A,0))</f>
        <v>18.970967741935482</v>
      </c>
      <c r="I10" s="3">
        <f>INDEX(Monthly!$AA:$AA,MATCH("2015-01",Monthly!$A:$A,0))</f>
        <v>18.875483870967738</v>
      </c>
      <c r="J10" s="3">
        <f>INDEX(Monthly!$AA:$AA,MATCH("2015-02",Monthly!$A:$A,0))</f>
        <v>18.947499999999994</v>
      </c>
      <c r="K10" s="3">
        <f>INDEX(Monthly!$AA:$AA,MATCH("2015-03",Monthly!$A:$A,0))</f>
        <v>20.931935483870966</v>
      </c>
      <c r="L10" s="3">
        <f>INDEX(Monthly!$AA:$AA,MATCH("2015-04",Monthly!$A:$A,0))</f>
        <v>23.86766666666667</v>
      </c>
      <c r="M10" s="3">
        <f>INDEX(Monthly!$AA:$AA,MATCH("2015-05",Monthly!$A:$A,0))</f>
        <v>23.62064516129032</v>
      </c>
      <c r="N10" s="3">
        <f>INDEX(Monthly!$AA:$AA,MATCH("2015-06",Monthly!$A:$A,0))</f>
        <v>22.972</v>
      </c>
      <c r="O10" s="18">
        <f>AVERAGE(C10:N10)</f>
        <v>21.491764784946238</v>
      </c>
    </row>
    <row r="11">
      <c r="A11" s="6" t="inlineStr">
        <is>
          <t xml:space="preserve">2015/16</t>
        </is>
      </c>
      <c r="B11" s="6" t="inlineStr">
        <is>
          <t xml:space="preserve">El Niño</t>
        </is>
      </c>
      <c r="C11" s="3">
        <f>INDEX(Monthly!$AA:$AA,MATCH("2015-07",Monthly!$A:$A,0))</f>
        <v>23.734838709677422</v>
      </c>
      <c r="D11" s="3">
        <f>INDEX(Monthly!$AA:$AA,MATCH("2015-08",Monthly!$A:$A,0))</f>
        <v>24.120967741935484</v>
      </c>
      <c r="E11" s="3">
        <f>INDEX(Monthly!$AA:$AA,MATCH("2015-09",Monthly!$A:$A,0))</f>
        <v>23.13133333333333</v>
      </c>
      <c r="F11" s="3">
        <f>INDEX(Monthly!$AA:$AA,MATCH("2015-10",Monthly!$A:$A,0))</f>
        <v>22.69483870967742</v>
      </c>
      <c r="G11" s="3">
        <f>INDEX(Monthly!$AA:$AA,MATCH("2015-11",Monthly!$A:$A,0))</f>
        <v>21.771</v>
      </c>
      <c r="H11" s="3">
        <f>INDEX(Monthly!$AA:$AA,MATCH("2015-12",Monthly!$A:$A,0))</f>
        <v>21.388064516129027</v>
      </c>
      <c r="I11" s="3">
        <f>INDEX(Monthly!$AA:$AA,MATCH("2016-01",Monthly!$A:$A,0))</f>
        <v>19.824516129032265</v>
      </c>
      <c r="J11" s="3">
        <f>INDEX(Monthly!$AA:$AA,MATCH("2016-02",Monthly!$A:$A,0))</f>
        <v>19.470344827586207</v>
      </c>
      <c r="K11" s="3">
        <f>INDEX(Monthly!$AA:$AA,MATCH("2016-03",Monthly!$A:$A,0))</f>
        <v>23.79290322580646</v>
      </c>
      <c r="L11" s="3">
        <f>INDEX(Monthly!$AA:$AA,MATCH("2016-04",Monthly!$A:$A,0))</f>
        <v>24.731666666666673</v>
      </c>
      <c r="M11" s="3">
        <f>INDEX(Monthly!$AA:$AA,MATCH("2016-05",Monthly!$A:$A,0))</f>
        <v>25.559032258064512</v>
      </c>
      <c r="N11" s="3">
        <f>INDEX(Monthly!$AA:$AA,MATCH("2016-06",Monthly!$A:$A,0))</f>
        <v>23.56866666666667</v>
      </c>
      <c r="O11" s="18">
        <f>AVERAGE(C11:N11)</f>
        <v>22.815681065381295</v>
      </c>
    </row>
    <row r="12">
      <c r="A12" s="6" t="inlineStr">
        <is>
          <t xml:space="preserve">2018/19</t>
        </is>
      </c>
      <c r="B12" s="6" t="inlineStr">
        <is>
          <t xml:space="preserve">El Niño</t>
        </is>
      </c>
      <c r="C12" s="3">
        <f>INDEX(Monthly!$AA:$AA,MATCH("2018-07",Monthly!$A:$A,0))</f>
        <v>23.158709677419353</v>
      </c>
      <c r="D12" s="3">
        <f>INDEX(Monthly!$AA:$AA,MATCH("2018-08",Monthly!$A:$A,0))</f>
        <v>22.94741935483871</v>
      </c>
      <c r="E12" s="3">
        <f>INDEX(Monthly!$AA:$AA,MATCH("2018-09",Monthly!$A:$A,0))</f>
        <v>23.094666666666665</v>
      </c>
      <c r="F12" s="3">
        <f>INDEX(Monthly!$AA:$AA,MATCH("2018-10",Monthly!$A:$A,0))</f>
        <v>22.406451612903226</v>
      </c>
      <c r="G12" s="3">
        <f>INDEX(Monthly!$AA:$AA,MATCH("2018-11",Monthly!$A:$A,0))</f>
        <v>22.479000000000006</v>
      </c>
      <c r="H12" s="3">
        <f>INDEX(Monthly!$AA:$AA,MATCH("2018-12",Monthly!$A:$A,0))</f>
        <v>21.02645161290322</v>
      </c>
      <c r="I12" s="3">
        <f>INDEX(Monthly!$AA:$AA,MATCH("2019-01",Monthly!$A:$A,0))</f>
        <v>20.460322580645165</v>
      </c>
      <c r="J12" s="3">
        <f>INDEX(Monthly!$AA:$AA,MATCH("2019-02",Monthly!$A:$A,0))</f>
        <v>23.35821428571428</v>
      </c>
      <c r="K12" s="3">
        <f>INDEX(Monthly!$AA:$AA,MATCH("2019-03",Monthly!$A:$A,0))</f>
        <v>23.172258064516125</v>
      </c>
      <c r="L12" s="3">
        <f>INDEX(Monthly!$AA:$AA,MATCH("2019-04",Monthly!$A:$A,0))</f>
        <v>25.486666666666665</v>
      </c>
      <c r="M12" s="3">
        <f>INDEX(Monthly!$AA:$AA,MATCH("2019-05",Monthly!$A:$A,0))</f>
        <v>25.378709677419348</v>
      </c>
      <c r="N12" s="3">
        <f>INDEX(Monthly!$AA:$AA,MATCH("2019-06",Monthly!$A:$A,0))</f>
        <v>24.531999999999996</v>
      </c>
      <c r="O12" s="18">
        <f>AVERAGE(C12:N12)</f>
        <v>23.125072516641065</v>
      </c>
    </row>
    <row r="13">
      <c r="A13" s="6" t="inlineStr">
        <is>
          <t xml:space="preserve">2019/20</t>
        </is>
      </c>
      <c r="B13" s="6" t="inlineStr">
        <is>
          <t xml:space="preserve">El Niño</t>
        </is>
      </c>
      <c r="C13" s="3">
        <f>INDEX(Monthly!$AA:$AA,MATCH("2019-07",Monthly!$A:$A,0))</f>
        <v>24.186129032258073</v>
      </c>
      <c r="D13" s="3">
        <f>INDEX(Monthly!$AA:$AA,MATCH("2019-08",Monthly!$A:$A,0))</f>
        <v>24.41483870967742</v>
      </c>
      <c r="E13" s="3">
        <f>INDEX(Monthly!$AA:$AA,MATCH("2019-09",Monthly!$A:$A,0))</f>
        <v>23.577000000000005</v>
      </c>
      <c r="F13" s="3">
        <f>INDEX(Monthly!$AA:$AA,MATCH("2019-10",Monthly!$A:$A,0))</f>
        <v>22.910322580645154</v>
      </c>
      <c r="G13" s="3">
        <f>INDEX(Monthly!$AA:$AA,MATCH("2019-11",Monthly!$A:$A,0))</f>
        <v>20.967</v>
      </c>
      <c r="H13" s="3">
        <f>INDEX(Monthly!$AA:$AA,MATCH("2019-12",Monthly!$A:$A,0))</f>
        <v>20.186774193548384</v>
      </c>
      <c r="I13" s="3">
        <f>INDEX(Monthly!$AA:$AA,MATCH("2020-01",Monthly!$A:$A,0))</f>
        <v>21.063870967741938</v>
      </c>
      <c r="J13" s="3">
        <f>INDEX(Monthly!$AA:$AA,MATCH("2020-02",Monthly!$A:$A,0))</f>
        <v>22.206896551724142</v>
      </c>
      <c r="K13" s="3">
        <f>INDEX(Monthly!$AA:$AA,MATCH("2020-03",Monthly!$A:$A,0))</f>
        <v>23.119999999999994</v>
      </c>
      <c r="L13" s="3">
        <f>INDEX(Monthly!$AA:$AA,MATCH("2020-04",Monthly!$A:$A,0))</f>
        <v>26.868333333333336</v>
      </c>
      <c r="M13" s="3">
        <f>INDEX(Monthly!$AA:$AA,MATCH("2020-05",Monthly!$A:$A,0))</f>
        <v>25.002580645161288</v>
      </c>
      <c r="N13" s="3">
        <f>INDEX(Monthly!$AA:$AA,MATCH("2020-06",Monthly!$A:$A,0))</f>
        <v>23.81466666666666</v>
      </c>
      <c r="O13" s="18">
        <f>AVERAGE(C13:N13)</f>
        <v>23.193201056729702</v>
      </c>
    </row>
    <row r="14">
      <c r="A14" s="6" t="inlineStr">
        <is>
          <t xml:space="preserve">2023/24</t>
        </is>
      </c>
      <c r="B14" s="6" t="inlineStr">
        <is>
          <t xml:space="preserve">El Niño</t>
        </is>
      </c>
      <c r="C14" s="3">
        <f>INDEX(Monthly!$AA:$AA,MATCH("2023-07",Monthly!$A:$A,0))</f>
        <v>24.007096774193553</v>
      </c>
      <c r="D14" s="3">
        <f>INDEX(Monthly!$AA:$AA,MATCH("2023-08",Monthly!$A:$A,0))</f>
        <v>24.14741935483871</v>
      </c>
      <c r="E14" s="3">
        <f>INDEX(Monthly!$AA:$AA,MATCH("2023-09",Monthly!$A:$A,0))</f>
        <v>24.149999999999995</v>
      </c>
      <c r="F14" s="3">
        <f>INDEX(Monthly!$AA:$AA,MATCH("2023-10",Monthly!$A:$A,0))</f>
        <v>23.166129032258066</v>
      </c>
      <c r="G14" s="3">
        <f>INDEX(Monthly!$AA:$AA,MATCH("2023-11",Monthly!$A:$A,0))</f>
        <v>21.655000000000005</v>
      </c>
      <c r="H14" s="3">
        <f>INDEX(Monthly!$AA:$AA,MATCH("2023-12",Monthly!$A:$A,0))</f>
        <v>20.344193548387096</v>
      </c>
      <c r="I14" s="3">
        <f>INDEX(Monthly!$AA:$AA,MATCH("2024-01",Monthly!$A:$A,0))</f>
        <v>21.06967741935484</v>
      </c>
      <c r="J14" s="3">
        <f>INDEX(Monthly!$AA:$AA,MATCH("2024-02",Monthly!$A:$A,0))</f>
        <v>20.753103448275862</v>
      </c>
      <c r="K14" s="3">
        <f>INDEX(Monthly!$AA:$AA,MATCH("2024-03",Monthly!$A:$A,0))</f>
        <v>24.82806451612903</v>
      </c>
      <c r="L14" s="3">
        <f>INDEX(Monthly!$AA:$AA,MATCH("2024-04",Monthly!$A:$A,0))</f>
        <v>25.44599999999999</v>
      </c>
      <c r="M14" s="3">
        <f>INDEX(Monthly!$AA:$AA,MATCH("2024-05",Monthly!$A:$A,0))</f>
        <v>28.03516129032258</v>
      </c>
      <c r="N14" s="3">
        <f>INDEX(Monthly!$AA:$AA,MATCH("2024-06",Monthly!$A:$A,0))</f>
        <v>24.71566666666667</v>
      </c>
      <c r="O14" s="18">
        <f>AVERAGE(C14:N14)</f>
        <v>23.52645933753553</v>
      </c>
    </row>
    <row r="15">
      <c r="A15" s="11" t="inlineStr">
        <is>
          <t xml:space="preserve">Average El Niño</t>
        </is>
      </c>
      <c r="B15" s="11" t="inlineStr">
        <is>
          <t xml:space="preserve">7 seasons</t>
        </is>
      </c>
      <c r="C15" s="19">
        <f>AVERAGE(C8:C14)</f>
        <v>23.385944700460833</v>
      </c>
      <c r="D15" s="19">
        <f>AVERAGE(D8:D14)</f>
        <v>23.386589861751155</v>
      </c>
      <c r="E15" s="19">
        <f>AVERAGE(E8:E14)</f>
        <v>23.170285714285715</v>
      </c>
      <c r="F15" s="19">
        <f>AVERAGE(F8:F14)</f>
        <v>22.60516129032258</v>
      </c>
      <c r="G15" s="19">
        <f>AVERAGE(G8:G14)</f>
        <v>21.008000000000003</v>
      </c>
      <c r="H15" s="19">
        <f>AVERAGE(H8:H14)</f>
        <v>20.35700460829493</v>
      </c>
      <c r="I15" s="19">
        <f>AVERAGE(I8:I14)</f>
        <v>20.027695852534563</v>
      </c>
      <c r="J15" s="19">
        <f>AVERAGE(J8:J14)</f>
        <v>20.92627375087966</v>
      </c>
      <c r="K15" s="19">
        <f>AVERAGE(K8:K14)</f>
        <v>22.83594470046083</v>
      </c>
      <c r="L15" s="19">
        <f>AVERAGE(L8:L14)</f>
        <v>25.038666666666668</v>
      </c>
      <c r="M15" s="19">
        <f>AVERAGE(M8:M14)</f>
        <v>25.291981566820276</v>
      </c>
      <c r="N15" s="19">
        <f>AVERAGE(N8:N14)</f>
        <v>23.816095238095237</v>
      </c>
      <c r="O15" s="19">
        <f>AVERAGE(C15:N15)</f>
        <v>22.654136995881036</v>
      </c>
    </row>
    <row r="17">
      <c r="A17" s="12" t="inlineStr">
        <is>
          <t xml:space="preserve">La Niña (9 seasons)</t>
        </is>
      </c>
    </row>
    <row r="18">
      <c r="A18" s="5" t="inlineStr">
        <is>
          <t xml:space="preserve">2005/06</t>
        </is>
      </c>
      <c r="B18" s="5" t="inlineStr">
        <is>
          <t xml:space="preserve">La Niña</t>
        </is>
      </c>
      <c r="C18" s="3">
        <f>INDEX(Monthly!$AA:$AA,MATCH("2005-07",Monthly!$A:$A,0))</f>
        <v>23.213548387096772</v>
      </c>
      <c r="D18" s="3">
        <f>INDEX(Monthly!$AA:$AA,MATCH("2005-08",Monthly!$A:$A,0))</f>
        <v>23.284838709677423</v>
      </c>
      <c r="E18" s="3">
        <f>INDEX(Monthly!$AA:$AA,MATCH("2005-09",Monthly!$A:$A,0))</f>
        <v>22.76066666666667</v>
      </c>
      <c r="F18" s="3">
        <f>INDEX(Monthly!$AA:$AA,MATCH("2005-10",Monthly!$A:$A,0))</f>
        <v>21.344516129032254</v>
      </c>
      <c r="G18" s="3">
        <f>INDEX(Monthly!$AA:$AA,MATCH("2005-11",Monthly!$A:$A,0))</f>
        <v>20.017000000000003</v>
      </c>
      <c r="H18" s="3">
        <f>INDEX(Monthly!$AA:$AA,MATCH("2005-12",Monthly!$A:$A,0))</f>
        <v>20.312258064516122</v>
      </c>
      <c r="I18" s="3">
        <f>INDEX(Monthly!$AA:$AA,MATCH("2006-01",Monthly!$A:$A,0))</f>
        <v>19.85516129032258</v>
      </c>
      <c r="J18" s="3">
        <f>INDEX(Monthly!$AA:$AA,MATCH("2006-02",Monthly!$A:$A,0))</f>
        <v>19.858571428571423</v>
      </c>
      <c r="K18" s="3">
        <f>INDEX(Monthly!$AA:$AA,MATCH("2006-03",Monthly!$A:$A,0))</f>
        <v>22.384838709677414</v>
      </c>
      <c r="L18" s="3">
        <f>INDEX(Monthly!$AA:$AA,MATCH("2006-04",Monthly!$A:$A,0))</f>
        <v>23.780666666666665</v>
      </c>
      <c r="M18" s="3">
        <f>INDEX(Monthly!$AA:$AA,MATCH("2006-05",Monthly!$A:$A,0))</f>
        <v>24.147741935483868</v>
      </c>
      <c r="N18" s="3">
        <f>INDEX(Monthly!$AA:$AA,MATCH("2006-06",Monthly!$A:$A,0))</f>
        <v>22.64666666666666</v>
      </c>
      <c r="O18" s="18">
        <f>AVERAGE(C18:N18)</f>
        <v>21.967206221198154</v>
      </c>
    </row>
    <row r="19">
      <c r="A19" s="5" t="inlineStr">
        <is>
          <t xml:space="preserve">2007/08</t>
        </is>
      </c>
      <c r="B19" s="5" t="inlineStr">
        <is>
          <t xml:space="preserve">La Niña</t>
        </is>
      </c>
      <c r="C19" s="3">
        <f>INDEX(Monthly!$AA:$AA,MATCH("2007-07",Monthly!$A:$A,0))</f>
        <v>23.09387096774194</v>
      </c>
      <c r="D19" s="3">
        <f>INDEX(Monthly!$AA:$AA,MATCH("2007-08",Monthly!$A:$A,0))</f>
        <v>22.842580645161295</v>
      </c>
      <c r="E19" s="3">
        <f>INDEX(Monthly!$AA:$AA,MATCH("2007-09",Monthly!$A:$A,0))</f>
        <v>22.14533333333333</v>
      </c>
      <c r="F19" s="3">
        <f>INDEX(Monthly!$AA:$AA,MATCH("2007-10",Monthly!$A:$A,0))</f>
        <v>21.4041935483871</v>
      </c>
      <c r="G19" s="3">
        <f>INDEX(Monthly!$AA:$AA,MATCH("2007-11",Monthly!$A:$A,0))</f>
        <v>19.67066666666667</v>
      </c>
      <c r="H19" s="3">
        <f>INDEX(Monthly!$AA:$AA,MATCH("2007-12",Monthly!$A:$A,0))</f>
        <v>19.447096774193554</v>
      </c>
      <c r="I19" s="3">
        <f>INDEX(Monthly!$AA:$AA,MATCH("2008-01",Monthly!$A:$A,0))</f>
        <v>19.158709677419353</v>
      </c>
      <c r="J19" s="3">
        <f>INDEX(Monthly!$AA:$AA,MATCH("2008-02",Monthly!$A:$A,0))</f>
        <v>20.481724137931035</v>
      </c>
      <c r="K19" s="3">
        <f>INDEX(Monthly!$AA:$AA,MATCH("2008-03",Monthly!$A:$A,0))</f>
        <v>21.845483870967733</v>
      </c>
      <c r="L19" s="3">
        <f>INDEX(Monthly!$AA:$AA,MATCH("2008-04",Monthly!$A:$A,0))</f>
        <v>23.482666666666667</v>
      </c>
      <c r="M19" s="3">
        <f>INDEX(Monthly!$AA:$AA,MATCH("2008-05",Monthly!$A:$A,0))</f>
        <v>24.955161290322582</v>
      </c>
      <c r="N19" s="3">
        <f>INDEX(Monthly!$AA:$AA,MATCH("2008-06",Monthly!$A:$A,0))</f>
        <v>22.814999999999998</v>
      </c>
      <c r="O19" s="18">
        <f>AVERAGE(C19:N19)</f>
        <v>21.778540631565935</v>
      </c>
    </row>
    <row r="20">
      <c r="A20" s="5" t="inlineStr">
        <is>
          <t xml:space="preserve">2008/09</t>
        </is>
      </c>
      <c r="B20" s="5" t="inlineStr">
        <is>
          <t xml:space="preserve">La Niña</t>
        </is>
      </c>
      <c r="C20" s="3">
        <f>INDEX(Monthly!$AA:$AA,MATCH("2008-07",Monthly!$A:$A,0))</f>
        <v>22.24548387096774</v>
      </c>
      <c r="D20" s="3">
        <f>INDEX(Monthly!$AA:$AA,MATCH("2008-08",Monthly!$A:$A,0))</f>
        <v>22.787741935483872</v>
      </c>
      <c r="E20" s="3">
        <f>INDEX(Monthly!$AA:$AA,MATCH("2008-09",Monthly!$A:$A,0))</f>
        <v>22.87466666666667</v>
      </c>
      <c r="F20" s="3">
        <f>INDEX(Monthly!$AA:$AA,MATCH("2008-10",Monthly!$A:$A,0))</f>
        <v>21.17322580645161</v>
      </c>
      <c r="G20" s="3">
        <f>INDEX(Monthly!$AA:$AA,MATCH("2008-11",Monthly!$A:$A,0))</f>
        <v>18.725666666666665</v>
      </c>
      <c r="H20" s="3">
        <f>INDEX(Monthly!$AA:$AA,MATCH("2008-12",Monthly!$A:$A,0))</f>
        <v>18.797096774193548</v>
      </c>
      <c r="I20" s="3">
        <f>INDEX(Monthly!$AA:$AA,MATCH("2009-01",Monthly!$A:$A,0))</f>
        <v>18.77709677419354</v>
      </c>
      <c r="J20" s="3">
        <f>INDEX(Monthly!$AA:$AA,MATCH("2009-02",Monthly!$A:$A,0))</f>
        <v>18.893214285714286</v>
      </c>
      <c r="K20" s="3">
        <f>INDEX(Monthly!$AA:$AA,MATCH("2009-03",Monthly!$A:$A,0))</f>
        <v>19.4041935483871</v>
      </c>
      <c r="L20" s="3">
        <f>INDEX(Monthly!$AA:$AA,MATCH("2009-04",Monthly!$A:$A,0))</f>
        <v>23.269666666666662</v>
      </c>
      <c r="M20" s="3">
        <f>INDEX(Monthly!$AA:$AA,MATCH("2009-05",Monthly!$A:$A,0))</f>
        <v>23.349677419354844</v>
      </c>
      <c r="N20" s="3">
        <f>INDEX(Monthly!$AA:$AA,MATCH("2009-06",Monthly!$A:$A,0))</f>
        <v>23.442333333333334</v>
      </c>
      <c r="O20" s="18">
        <f>AVERAGE(C20:N20)</f>
        <v>21.14500531233999</v>
      </c>
    </row>
    <row r="21">
      <c r="A21" s="5" t="inlineStr">
        <is>
          <t xml:space="preserve">2010/11</t>
        </is>
      </c>
      <c r="B21" s="5" t="inlineStr">
        <is>
          <t xml:space="preserve">La Niña</t>
        </is>
      </c>
      <c r="C21" s="3">
        <f>INDEX(Monthly!$AA:$AA,MATCH("2010-07",Monthly!$A:$A,0))</f>
        <v>23.024838709677415</v>
      </c>
      <c r="D21" s="3">
        <f>INDEX(Monthly!$AA:$AA,MATCH("2010-08",Monthly!$A:$A,0))</f>
        <v>23.05806451612903</v>
      </c>
      <c r="E21" s="3">
        <f>INDEX(Monthly!$AA:$AA,MATCH("2010-09",Monthly!$A:$A,0))</f>
        <v>22.667999999999996</v>
      </c>
      <c r="F21" s="3">
        <f>INDEX(Monthly!$AA:$AA,MATCH("2010-10",Monthly!$A:$A,0))</f>
        <v>20.53870967741935</v>
      </c>
      <c r="G21" s="3">
        <f>INDEX(Monthly!$AA:$AA,MATCH("2010-11",Monthly!$A:$A,0))</f>
        <v>19.387000000000004</v>
      </c>
      <c r="H21" s="3">
        <f>INDEX(Monthly!$AA:$AA,MATCH("2010-12",Monthly!$A:$A,0))</f>
        <v>17.328387096774193</v>
      </c>
      <c r="I21" s="3">
        <f>INDEX(Monthly!$AA:$AA,MATCH("2011-01",Monthly!$A:$A,0))</f>
        <v>19.68870967741935</v>
      </c>
      <c r="J21" s="3">
        <f>INDEX(Monthly!$AA:$AA,MATCH("2011-02",Monthly!$A:$A,0))</f>
        <v>20.706428571428575</v>
      </c>
      <c r="K21" s="3">
        <f>INDEX(Monthly!$AA:$AA,MATCH("2011-03",Monthly!$A:$A,0))</f>
        <v>21.930645161290325</v>
      </c>
      <c r="L21" s="3">
        <f>INDEX(Monthly!$AA:$AA,MATCH("2011-04",Monthly!$A:$A,0))</f>
        <v>24.332333333333338</v>
      </c>
      <c r="M21" s="3">
        <f>INDEX(Monthly!$AA:$AA,MATCH("2011-05",Monthly!$A:$A,0))</f>
        <v>24.11709677419355</v>
      </c>
      <c r="N21" s="3">
        <f>INDEX(Monthly!$AA:$AA,MATCH("2011-06",Monthly!$A:$A,0))</f>
        <v>23.122333333333337</v>
      </c>
      <c r="O21" s="18">
        <f>AVERAGE(C21:N21)</f>
        <v>21.65854557091654</v>
      </c>
    </row>
    <row r="22">
      <c r="A22" s="5" t="inlineStr">
        <is>
          <t xml:space="preserve">2011/12</t>
        </is>
      </c>
      <c r="B22" s="5" t="inlineStr">
        <is>
          <t xml:space="preserve">La Niña</t>
        </is>
      </c>
      <c r="C22" s="3">
        <f>INDEX(Monthly!$AA:$AA,MATCH("2011-07",Monthly!$A:$A,0))</f>
        <v>22.646129032258067</v>
      </c>
      <c r="D22" s="3">
        <f>INDEX(Monthly!$AA:$AA,MATCH("2011-08",Monthly!$A:$A,0))</f>
        <v>23.11032258064516</v>
      </c>
      <c r="E22" s="3">
        <f>INDEX(Monthly!$AA:$AA,MATCH("2011-09",Monthly!$A:$A,0))</f>
        <v>22.59500000000001</v>
      </c>
      <c r="F22" s="3">
        <f>INDEX(Monthly!$AA:$AA,MATCH("2011-10",Monthly!$A:$A,0))</f>
        <v>20.693870967741944</v>
      </c>
      <c r="G22" s="3">
        <f>INDEX(Monthly!$AA:$AA,MATCH("2011-11",Monthly!$A:$A,0))</f>
        <v>19.68366666666667</v>
      </c>
      <c r="H22" s="3">
        <f>INDEX(Monthly!$AA:$AA,MATCH("2011-12",Monthly!$A:$A,0))</f>
        <v>18.92290322580645</v>
      </c>
      <c r="I22" s="3">
        <f>INDEX(Monthly!$AA:$AA,MATCH("2012-01",Monthly!$A:$A,0))</f>
        <v>19.39193548387097</v>
      </c>
      <c r="J22" s="3">
        <f>INDEX(Monthly!$AA:$AA,MATCH("2012-02",Monthly!$A:$A,0))</f>
        <v>20.188275862068963</v>
      </c>
      <c r="K22" s="3">
        <f>INDEX(Monthly!$AA:$AA,MATCH("2012-03",Monthly!$A:$A,0))</f>
        <v>20.88612903225807</v>
      </c>
      <c r="L22" s="3">
        <f>INDEX(Monthly!$AA:$AA,MATCH("2012-04",Monthly!$A:$A,0))</f>
        <v>22.788</v>
      </c>
      <c r="M22" s="3">
        <f>INDEX(Monthly!$AA:$AA,MATCH("2012-05",Monthly!$A:$A,0))</f>
        <v>23.780322580645162</v>
      </c>
      <c r="N22" s="3">
        <f>INDEX(Monthly!$AA:$AA,MATCH("2012-06",Monthly!$A:$A,0))</f>
        <v>23.480000000000004</v>
      </c>
      <c r="O22" s="18">
        <f>AVERAGE(C22:N22)</f>
        <v>21.513879619330122</v>
      </c>
    </row>
    <row r="23">
      <c r="A23" s="5" t="inlineStr">
        <is>
          <t xml:space="preserve">2017/18</t>
        </is>
      </c>
      <c r="B23" s="5" t="inlineStr">
        <is>
          <t xml:space="preserve">La Niña</t>
        </is>
      </c>
      <c r="C23" s="3">
        <f>INDEX(Monthly!$AA:$AA,MATCH("2017-07",Monthly!$A:$A,0))</f>
        <v>22.77387096774193</v>
      </c>
      <c r="D23" s="3">
        <f>INDEX(Monthly!$AA:$AA,MATCH("2017-08",Monthly!$A:$A,0))</f>
        <v>23.207419354838706</v>
      </c>
      <c r="E23" s="3">
        <f>INDEX(Monthly!$AA:$AA,MATCH("2017-09",Monthly!$A:$A,0))</f>
        <v>23.282</v>
      </c>
      <c r="F23" s="3">
        <f>INDEX(Monthly!$AA:$AA,MATCH("2017-10",Monthly!$A:$A,0))</f>
        <v>21.77645161290323</v>
      </c>
      <c r="G23" s="3">
        <f>INDEX(Monthly!$AA:$AA,MATCH("2017-11",Monthly!$A:$A,0))</f>
        <v>19.79566666666666</v>
      </c>
      <c r="H23" s="3">
        <f>INDEX(Monthly!$AA:$AA,MATCH("2017-12",Monthly!$A:$A,0))</f>
        <v>19.00516129032258</v>
      </c>
      <c r="I23" s="3">
        <f>INDEX(Monthly!$AA:$AA,MATCH("2018-01",Monthly!$A:$A,0))</f>
        <v>17.944516129032255</v>
      </c>
      <c r="J23" s="3">
        <f>INDEX(Monthly!$AA:$AA,MATCH("2018-02",Monthly!$A:$A,0))</f>
        <v>20.2425</v>
      </c>
      <c r="K23" s="3">
        <f>INDEX(Monthly!$AA:$AA,MATCH("2018-03",Monthly!$A:$A,0))</f>
        <v>22.602903225806454</v>
      </c>
      <c r="L23" s="3">
        <f>INDEX(Monthly!$AA:$AA,MATCH("2018-04",Monthly!$A:$A,0))</f>
        <v>24.23866666666667</v>
      </c>
      <c r="M23" s="3">
        <f>INDEX(Monthly!$AA:$AA,MATCH("2018-05",Monthly!$A:$A,0))</f>
        <v>24.839999999999993</v>
      </c>
      <c r="N23" s="3">
        <f>INDEX(Monthly!$AA:$AA,MATCH("2018-06",Monthly!$A:$A,0))</f>
        <v>23.07333333333333</v>
      </c>
      <c r="O23" s="18">
        <f>AVERAGE(C23:N23)</f>
        <v>21.898540770609316</v>
      </c>
    </row>
    <row r="24">
      <c r="A24" s="5" t="inlineStr">
        <is>
          <t xml:space="preserve">2020/21</t>
        </is>
      </c>
      <c r="B24" s="5" t="inlineStr">
        <is>
          <t xml:space="preserve">La Niña</t>
        </is>
      </c>
      <c r="C24" s="3">
        <f>INDEX(Monthly!$AA:$AA,MATCH("2020-07",Monthly!$A:$A,0))</f>
        <v>23.77903225806451</v>
      </c>
      <c r="D24" s="3">
        <f>INDEX(Monthly!$AA:$AA,MATCH("2020-08",Monthly!$A:$A,0))</f>
        <v>23.26709677419355</v>
      </c>
      <c r="E24" s="3">
        <f>INDEX(Monthly!$AA:$AA,MATCH("2020-09",Monthly!$A:$A,0))</f>
        <v>23.247666666666667</v>
      </c>
      <c r="F24" s="3">
        <f>INDEX(Monthly!$AA:$AA,MATCH("2020-10",Monthly!$A:$A,0))</f>
        <v>22.286774193548382</v>
      </c>
      <c r="G24" s="3">
        <f>INDEX(Monthly!$AA:$AA,MATCH("2020-11",Monthly!$A:$A,0))</f>
        <v>21.212333333333326</v>
      </c>
      <c r="H24" s="3">
        <f>INDEX(Monthly!$AA:$AA,MATCH("2020-12",Monthly!$A:$A,0))</f>
        <v>19.490322580645167</v>
      </c>
      <c r="I24" s="3">
        <f>INDEX(Monthly!$AA:$AA,MATCH("2021-01",Monthly!$A:$A,0))</f>
        <v>19.88290322580645</v>
      </c>
      <c r="J24" s="3">
        <f>INDEX(Monthly!$AA:$AA,MATCH("2021-02",Monthly!$A:$A,0))</f>
        <v>20.203928571428573</v>
      </c>
      <c r="K24" s="3">
        <f>INDEX(Monthly!$AA:$AA,MATCH("2021-03",Monthly!$A:$A,0))</f>
        <v>20.999032258064513</v>
      </c>
      <c r="L24" s="3">
        <f>INDEX(Monthly!$AA:$AA,MATCH("2021-04",Monthly!$A:$A,0))</f>
        <v>22.90966666666667</v>
      </c>
      <c r="M24" s="3">
        <f>INDEX(Monthly!$AA:$AA,MATCH("2021-05",Monthly!$A:$A,0))</f>
        <v>23.690645161290327</v>
      </c>
      <c r="N24" s="3">
        <f>INDEX(Monthly!$AA:$AA,MATCH("2021-06",Monthly!$A:$A,0))</f>
        <v>23.198333333333334</v>
      </c>
      <c r="O24" s="18">
        <f>AVERAGE(C24:N24)</f>
        <v>22.01397791858679</v>
      </c>
    </row>
    <row r="25">
      <c r="A25" s="5" t="inlineStr">
        <is>
          <t xml:space="preserve">2021/22</t>
        </is>
      </c>
      <c r="B25" s="5" t="inlineStr">
        <is>
          <t xml:space="preserve">La Niña</t>
        </is>
      </c>
      <c r="C25" s="3">
        <f>INDEX(Monthly!$AA:$AA,MATCH("2021-07",Monthly!$A:$A,0))</f>
        <v>22.979677419354836</v>
      </c>
      <c r="D25" s="3">
        <f>INDEX(Monthly!$AA:$AA,MATCH("2021-08",Monthly!$A:$A,0))</f>
        <v>22.99806451612903</v>
      </c>
      <c r="E25" s="3">
        <f>INDEX(Monthly!$AA:$AA,MATCH("2021-09",Monthly!$A:$A,0))</f>
        <v>23.101999999999997</v>
      </c>
      <c r="F25" s="3">
        <f>INDEX(Monthly!$AA:$AA,MATCH("2021-10",Monthly!$A:$A,0))</f>
        <v>22.82129032258064</v>
      </c>
      <c r="G25" s="3">
        <f>INDEX(Monthly!$AA:$AA,MATCH("2021-11",Monthly!$A:$A,0))</f>
        <v>19.707333333333334</v>
      </c>
      <c r="H25" s="3">
        <f>INDEX(Monthly!$AA:$AA,MATCH("2021-12",Monthly!$A:$A,0))</f>
        <v>20.249354838709678</v>
      </c>
      <c r="I25" s="3">
        <f>INDEX(Monthly!$AA:$AA,MATCH("2022-01",Monthly!$A:$A,0))</f>
        <v>19.288709677419355</v>
      </c>
      <c r="J25" s="3">
        <f>INDEX(Monthly!$AA:$AA,MATCH("2022-02",Monthly!$A:$A,0))</f>
        <v>19.83535714285714</v>
      </c>
      <c r="K25" s="3">
        <f>INDEX(Monthly!$AA:$AA,MATCH("2022-03",Monthly!$A:$A,0))</f>
        <v>21.470645161290324</v>
      </c>
      <c r="L25" s="3">
        <f>INDEX(Monthly!$AA:$AA,MATCH("2022-04",Monthly!$A:$A,0))</f>
        <v>23.311</v>
      </c>
      <c r="M25" s="3">
        <f>INDEX(Monthly!$AA:$AA,MATCH("2022-05",Monthly!$A:$A,0))</f>
        <v>23.197741935483865</v>
      </c>
      <c r="N25" s="3">
        <f>INDEX(Monthly!$AA:$AA,MATCH("2022-06",Monthly!$A:$A,0))</f>
        <v>22.44033333333333</v>
      </c>
      <c r="O25" s="18">
        <f>AVERAGE(C25:N25)</f>
        <v>21.783458973374294</v>
      </c>
    </row>
    <row r="26">
      <c r="A26" s="5" t="inlineStr">
        <is>
          <t xml:space="preserve">2022/23</t>
        </is>
      </c>
      <c r="B26" s="5" t="inlineStr">
        <is>
          <t xml:space="preserve">La Niña</t>
        </is>
      </c>
      <c r="C26" s="3">
        <f>INDEX(Monthly!$AA:$AA,MATCH("2022-07",Monthly!$A:$A,0))</f>
        <v>22.712903225806446</v>
      </c>
      <c r="D26" s="3">
        <f>INDEX(Monthly!$AA:$AA,MATCH("2022-08",Monthly!$A:$A,0))</f>
        <v>22.896774193548385</v>
      </c>
      <c r="E26" s="3">
        <f>INDEX(Monthly!$AA:$AA,MATCH("2022-09",Monthly!$A:$A,0))</f>
        <v>22.60333333333333</v>
      </c>
      <c r="F26" s="3">
        <f>INDEX(Monthly!$AA:$AA,MATCH("2022-10",Monthly!$A:$A,0))</f>
        <v>22.089999999999996</v>
      </c>
      <c r="G26" s="3">
        <f>INDEX(Monthly!$AA:$AA,MATCH("2022-11",Monthly!$A:$A,0))</f>
        <v>21.426666666666666</v>
      </c>
      <c r="H26" s="3">
        <f>INDEX(Monthly!$AA:$AA,MATCH("2022-12",Monthly!$A:$A,0))</f>
        <v>19.912258064516127</v>
      </c>
      <c r="I26" s="3">
        <f>INDEX(Monthly!$AA:$AA,MATCH("2023-01",Monthly!$A:$A,0))</f>
        <v>19.92677419354838</v>
      </c>
      <c r="J26" s="3">
        <f>INDEX(Monthly!$AA:$AA,MATCH("2023-02",Monthly!$A:$A,0))</f>
        <v>20.363214285714285</v>
      </c>
      <c r="K26" s="3">
        <f>INDEX(Monthly!$AA:$AA,MATCH("2023-03",Monthly!$A:$A,0))</f>
        <v>22.27129032258064</v>
      </c>
      <c r="L26" s="3">
        <f>INDEX(Monthly!$AA:$AA,MATCH("2023-04",Monthly!$A:$A,0))</f>
        <v>24.240666666666666</v>
      </c>
      <c r="M26" s="3">
        <f>INDEX(Monthly!$AA:$AA,MATCH("2023-05",Monthly!$A:$A,0))</f>
        <v>25.25129032258064</v>
      </c>
      <c r="N26" s="3">
        <f>INDEX(Monthly!$AA:$AA,MATCH("2023-06",Monthly!$A:$A,0))</f>
        <v>25.236333333333334</v>
      </c>
      <c r="O26" s="18">
        <f>AVERAGE(C26:N26)</f>
        <v>22.410958717357904</v>
      </c>
    </row>
    <row r="27">
      <c r="A27" s="12" t="inlineStr">
        <is>
          <t xml:space="preserve">Average La Niña</t>
        </is>
      </c>
      <c r="B27" s="12" t="inlineStr">
        <is>
          <t xml:space="preserve">9 seasons</t>
        </is>
      </c>
      <c r="C27" s="20">
        <f>AVERAGE(C18:C26)</f>
        <v>22.941039426523297</v>
      </c>
      <c r="D27" s="20">
        <f>AVERAGE(D18:D26)</f>
        <v>23.05032258064516</v>
      </c>
      <c r="E27" s="20">
        <f>AVERAGE(E18:E26)</f>
        <v>22.808740740740742</v>
      </c>
      <c r="F27" s="20">
        <f>AVERAGE(F18:F26)</f>
        <v>21.56989247311828</v>
      </c>
      <c r="G27" s="20">
        <f>AVERAGE(G18:G26)</f>
        <v>19.958444444444446</v>
      </c>
      <c r="H27" s="20">
        <f>AVERAGE(H18:H26)</f>
        <v>19.273870967741935</v>
      </c>
      <c r="I27" s="20">
        <f>AVERAGE(I18:I26)</f>
        <v>19.323835125448028</v>
      </c>
      <c r="J27" s="20">
        <f>AVERAGE(J18:J26)</f>
        <v>20.0859126984127</v>
      </c>
      <c r="K27" s="20">
        <f>AVERAGE(K18:K26)</f>
        <v>21.53279569892473</v>
      </c>
      <c r="L27" s="20">
        <f>AVERAGE(L18:L26)</f>
        <v>23.594814814814814</v>
      </c>
      <c r="M27" s="20">
        <f>AVERAGE(M18:M26)</f>
        <v>24.14774193548387</v>
      </c>
      <c r="N27" s="20">
        <f>AVERAGE(N18:N26)</f>
        <v>23.27274074074074</v>
      </c>
      <c r="O27" s="20">
        <f>AVERAGE(C27:N27)</f>
        <v>21.796679303919895</v>
      </c>
    </row>
    <row r="29">
      <c r="A29" s="8" t="inlineStr">
        <is>
          <t xml:space="preserve">Neutral (4 seasons)</t>
        </is>
      </c>
    </row>
    <row r="30">
      <c r="A30" s="21" t="inlineStr">
        <is>
          <t xml:space="preserve">2012/13</t>
        </is>
      </c>
      <c r="B30" s="21" t="inlineStr">
        <is>
          <t xml:space="preserve">Neutral</t>
        </is>
      </c>
      <c r="C30" s="3">
        <f>INDEX(Monthly!$AA:$AA,MATCH("2012-07",Monthly!$A:$A,0))</f>
        <v>22.546774193548384</v>
      </c>
      <c r="D30" s="3">
        <f>INDEX(Monthly!$AA:$AA,MATCH("2012-08",Monthly!$A:$A,0))</f>
        <v>22.806774193548385</v>
      </c>
      <c r="E30" s="3">
        <f>INDEX(Monthly!$AA:$AA,MATCH("2012-09",Monthly!$A:$A,0))</f>
        <v>22.484333333333336</v>
      </c>
      <c r="F30" s="3">
        <f>INDEX(Monthly!$AA:$AA,MATCH("2012-10",Monthly!$A:$A,0))</f>
        <v>21.43516129032258</v>
      </c>
      <c r="G30" s="3">
        <f>INDEX(Monthly!$AA:$AA,MATCH("2012-11",Monthly!$A:$A,0))</f>
        <v>18.862000000000002</v>
      </c>
      <c r="H30" s="3">
        <f>INDEX(Monthly!$AA:$AA,MATCH("2012-12",Monthly!$A:$A,0))</f>
        <v>19.55516129032258</v>
      </c>
      <c r="I30" s="3">
        <f>INDEX(Monthly!$AA:$AA,MATCH("2013-01",Monthly!$A:$A,0))</f>
        <v>19.49645161290323</v>
      </c>
      <c r="J30" s="3">
        <f>INDEX(Monthly!$AA:$AA,MATCH("2013-02",Monthly!$A:$A,0))</f>
        <v>21.192142857142866</v>
      </c>
      <c r="K30" s="3">
        <f>INDEX(Monthly!$AA:$AA,MATCH("2013-03",Monthly!$A:$A,0))</f>
        <v>21.17322580645161</v>
      </c>
      <c r="L30" s="3">
        <f>INDEX(Monthly!$AA:$AA,MATCH("2013-04",Monthly!$A:$A,0))</f>
        <v>25.398999999999997</v>
      </c>
      <c r="M30" s="3">
        <f>INDEX(Monthly!$AA:$AA,MATCH("2013-05",Monthly!$A:$A,0))</f>
        <v>24.28709677419354</v>
      </c>
      <c r="N30" s="3">
        <f>INDEX(Monthly!$AA:$AA,MATCH("2013-06",Monthly!$A:$A,0))</f>
        <v>23.240666666666666</v>
      </c>
      <c r="O30" s="18">
        <f>AVERAGE(C30:N30)</f>
        <v>21.87323233486943</v>
      </c>
    </row>
    <row r="31">
      <c r="A31" s="21" t="inlineStr">
        <is>
          <t xml:space="preserve">2013/14</t>
        </is>
      </c>
      <c r="B31" s="21" t="inlineStr">
        <is>
          <t xml:space="preserve">Neutral</t>
        </is>
      </c>
      <c r="C31" s="3">
        <f>INDEX(Monthly!$AA:$AA,MATCH("2013-07",Monthly!$A:$A,0))</f>
        <v>22.602580645161293</v>
      </c>
      <c r="D31" s="3">
        <f>INDEX(Monthly!$AA:$AA,MATCH("2013-08",Monthly!$A:$A,0))</f>
        <v>22.620645161290323</v>
      </c>
      <c r="E31" s="3">
        <f>INDEX(Monthly!$AA:$AA,MATCH("2013-09",Monthly!$A:$A,0))</f>
        <v>22.664000000000005</v>
      </c>
      <c r="F31" s="3">
        <f>INDEX(Monthly!$AA:$AA,MATCH("2013-10",Monthly!$A:$A,0))</f>
        <v>22.41838709677419</v>
      </c>
      <c r="G31" s="3">
        <f>INDEX(Monthly!$AA:$AA,MATCH("2013-11",Monthly!$A:$A,0))</f>
        <v>20.65233333333333</v>
      </c>
      <c r="H31" s="3">
        <f>INDEX(Monthly!$AA:$AA,MATCH("2013-12",Monthly!$A:$A,0))</f>
        <v>20.016774193548386</v>
      </c>
      <c r="I31" s="3">
        <f>INDEX(Monthly!$AA:$AA,MATCH("2014-01",Monthly!$A:$A,0))</f>
        <v>18.43548387096774</v>
      </c>
      <c r="J31" s="3">
        <f>INDEX(Monthly!$AA:$AA,MATCH("2014-02",Monthly!$A:$A,0))</f>
        <v>20.676428571428577</v>
      </c>
      <c r="K31" s="3">
        <f>INDEX(Monthly!$AA:$AA,MATCH("2014-03",Monthly!$A:$A,0))</f>
        <v>22.173548387096776</v>
      </c>
      <c r="L31" s="3">
        <f>INDEX(Monthly!$AA:$AA,MATCH("2014-04",Monthly!$A:$A,0))</f>
        <v>23.643333333333334</v>
      </c>
      <c r="M31" s="3">
        <f>INDEX(Monthly!$AA:$AA,MATCH("2014-05",Monthly!$A:$A,0))</f>
        <v>23.326129032258063</v>
      </c>
      <c r="N31" s="3">
        <f>INDEX(Monthly!$AA:$AA,MATCH("2014-06",Monthly!$A:$A,0))</f>
        <v>23.01466666666666</v>
      </c>
      <c r="O31" s="18">
        <f>AVERAGE(C31:N31)</f>
        <v>21.85369252432156</v>
      </c>
    </row>
    <row r="32">
      <c r="A32" s="21" t="inlineStr">
        <is>
          <t xml:space="preserve">2016/17</t>
        </is>
      </c>
      <c r="B32" s="21" t="inlineStr">
        <is>
          <t xml:space="preserve">Neutral</t>
        </is>
      </c>
      <c r="C32" s="3">
        <f>INDEX(Monthly!$AA:$AA,MATCH("2016-07",Monthly!$A:$A,0))</f>
        <v>23.367419354838706</v>
      </c>
      <c r="D32" s="3">
        <f>INDEX(Monthly!$AA:$AA,MATCH("2016-08",Monthly!$A:$A,0))</f>
        <v>23.217096774193546</v>
      </c>
      <c r="E32" s="3">
        <f>INDEX(Monthly!$AA:$AA,MATCH("2016-09",Monthly!$A:$A,0))</f>
        <v>22.86966666666667</v>
      </c>
      <c r="F32" s="3">
        <f>INDEX(Monthly!$AA:$AA,MATCH("2016-10",Monthly!$A:$A,0))</f>
        <v>21.60806451612903</v>
      </c>
      <c r="G32" s="3">
        <f>INDEX(Monthly!$AA:$AA,MATCH("2016-11",Monthly!$A:$A,0))</f>
        <v>20.36766666666666</v>
      </c>
      <c r="H32" s="3">
        <f>INDEX(Monthly!$AA:$AA,MATCH("2016-12",Monthly!$A:$A,0))</f>
        <v>20.938709677419357</v>
      </c>
      <c r="I32" s="3">
        <f>INDEX(Monthly!$AA:$AA,MATCH("2017-01",Monthly!$A:$A,0))</f>
        <v>19.95645161290323</v>
      </c>
      <c r="J32" s="3">
        <f>INDEX(Monthly!$AA:$AA,MATCH("2017-02",Monthly!$A:$A,0))</f>
        <v>22.02214285714286</v>
      </c>
      <c r="K32" s="3">
        <f>INDEX(Monthly!$AA:$AA,MATCH("2017-03",Monthly!$A:$A,0))</f>
        <v>21.580322580645166</v>
      </c>
      <c r="L32" s="3">
        <f>INDEX(Monthly!$AA:$AA,MATCH("2017-04",Monthly!$A:$A,0))</f>
        <v>24.765</v>
      </c>
      <c r="M32" s="3">
        <f>INDEX(Monthly!$AA:$AA,MATCH("2017-05",Monthly!$A:$A,0))</f>
        <v>24.477096774193548</v>
      </c>
      <c r="N32" s="3">
        <f>INDEX(Monthly!$AA:$AA,MATCH("2017-06",Monthly!$A:$A,0))</f>
        <v>23.465333333333334</v>
      </c>
      <c r="O32" s="18">
        <f>AVERAGE(C32:N32)</f>
        <v>22.386247567844347</v>
      </c>
    </row>
    <row r="33">
      <c r="A33" s="21" t="inlineStr">
        <is>
          <t xml:space="preserve">2024/25</t>
        </is>
      </c>
      <c r="B33" s="21" t="inlineStr">
        <is>
          <t xml:space="preserve">Neutral</t>
        </is>
      </c>
      <c r="C33" s="3">
        <f>INDEX(Monthly!$AA:$AA,MATCH("2024-07",Monthly!$A:$A,0))</f>
        <v>23.55677419354839</v>
      </c>
      <c r="D33" s="3">
        <f>INDEX(Monthly!$AA:$AA,MATCH("2024-08",Monthly!$A:$A,0))</f>
        <v>23.67419354838709</v>
      </c>
      <c r="E33" s="3">
        <f>INDEX(Monthly!$AA:$AA,MATCH("2024-09",Monthly!$A:$A,0))</f>
        <v>24.032999999999994</v>
      </c>
      <c r="F33" s="3">
        <f>INDEX(Monthly!$AA:$AA,MATCH("2024-10",Monthly!$A:$A,0))</f>
        <v>22.353225806451622</v>
      </c>
      <c r="G33" s="3">
        <f>INDEX(Monthly!$AA:$AA,MATCH("2024-11",Monthly!$A:$A,0))</f>
        <v>21.31066666666667</v>
      </c>
      <c r="H33" s="3">
        <f>INDEX(Monthly!$AA:$AA,MATCH("2024-12",Monthly!$A:$A,0))</f>
        <v>20.112903225806452</v>
      </c>
      <c r="I33" s="3">
        <f>INDEX(Monthly!$AA:$AA,MATCH("2025-01",Monthly!$A:$A,0))</f>
        <v>20.204516129032257</v>
      </c>
      <c r="J33" s="3">
        <f>INDEX(Monthly!$AA:$AA,MATCH("2025-02",Monthly!$A:$A,0))</f>
        <v>21.38821428571429</v>
      </c>
      <c r="K33" s="3">
        <f>INDEX(Monthly!$AA:$AA,MATCH("2025-03",Monthly!$A:$A,0))</f>
        <v>22.78548387096774</v>
      </c>
      <c r="L33" s="3">
        <f>INDEX(Monthly!$AA:$AA,MATCH("2025-04",Monthly!$A:$A,0))</f>
        <v>23.113999999999997</v>
      </c>
      <c r="M33" s="3">
        <f>INDEX(Monthly!$AA:$AA,MATCH("2025-05",Monthly!$A:$A,0))</f>
        <v>26.40225806451613</v>
      </c>
      <c r="N33" s="3">
        <f>INDEX(Monthly!$AA:$AA,MATCH("2025-06",Monthly!$A:$A,0))</f>
        <v>23.736333333333334</v>
      </c>
      <c r="O33" s="18">
        <f>AVERAGE(C33:N33)</f>
        <v>22.722630760368663</v>
      </c>
    </row>
    <row r="34">
      <c r="A34" s="8" t="inlineStr">
        <is>
          <t xml:space="preserve">Average Neutral</t>
        </is>
      </c>
      <c r="B34" s="8" t="inlineStr">
        <is>
          <t xml:space="preserve">4 seasons</t>
        </is>
      </c>
      <c r="C34" s="22">
        <f>AVERAGE(C30:C33)</f>
        <v>23.01838709677419</v>
      </c>
      <c r="D34" s="22">
        <f>AVERAGE(D30:D33)</f>
        <v>23.079677419354837</v>
      </c>
      <c r="E34" s="22">
        <f>AVERAGE(E30:E33)</f>
        <v>23.01275</v>
      </c>
      <c r="F34" s="22">
        <f>AVERAGE(F30:F33)</f>
        <v>21.953709677419354</v>
      </c>
      <c r="G34" s="22">
        <f>AVERAGE(G30:G33)</f>
        <v>20.298166666666667</v>
      </c>
      <c r="H34" s="22">
        <f>AVERAGE(H30:H33)</f>
        <v>20.155887096774194</v>
      </c>
      <c r="I34" s="22">
        <f>AVERAGE(I30:I33)</f>
        <v>19.523225806451613</v>
      </c>
      <c r="J34" s="22">
        <f>AVERAGE(J30:J33)</f>
        <v>21.31973214285715</v>
      </c>
      <c r="K34" s="22">
        <f>AVERAGE(K30:K33)</f>
        <v>21.928145161290324</v>
      </c>
      <c r="L34" s="22">
        <f>AVERAGE(L30:L33)</f>
        <v>24.230333333333334</v>
      </c>
      <c r="M34" s="22">
        <f>AVERAGE(M30:M33)</f>
        <v>24.62314516129032</v>
      </c>
      <c r="N34" s="22">
        <f>AVERAGE(N30:N33)</f>
        <v>23.36425</v>
      </c>
      <c r="O34" s="22">
        <f>AVERAGE(C34:N34)</f>
        <v>22.208950796851</v>
      </c>
    </row>
    <row r="36">
      <c r="A36" s="23" t="inlineStr">
        <is>
          <t xml:space="preserve">After the photo window (not in the averages)</t>
        </is>
      </c>
    </row>
    <row r="37">
      <c r="A37" s="21" t="inlineStr">
        <is>
          <t xml:space="preserve">2025/26</t>
        </is>
      </c>
      <c r="B37" s="21" t="inlineStr">
        <is>
          <t xml:space="preserve">Neutral</t>
        </is>
      </c>
      <c r="C37" s="3">
        <f>INDEX(Monthly!$AA:$AA,MATCH("2025-07",Monthly!$A:$A,0))</f>
        <v>23.640967741935487</v>
      </c>
      <c r="D37" s="3">
        <f>INDEX(Monthly!$AA:$AA,MATCH("2025-08",Monthly!$A:$A,0))</f>
        <v>24.345806451612912</v>
      </c>
      <c r="E37" s="3">
        <f>INDEX(Monthly!$AA:$AA,MATCH("2025-09",Monthly!$A:$A,0))</f>
        <v>24.004666666666672</v>
      </c>
      <c r="F37" s="3">
        <f>INDEX(Monthly!$AA:$AA,MATCH("2025-10",Monthly!$A:$A,0))</f>
        <v>22.47290322580645</v>
      </c>
      <c r="G37" s="3">
        <f>INDEX(Monthly!$AA:$AA,MATCH("2025-11",Monthly!$A:$A,0))</f>
        <v>21.063000000000002</v>
      </c>
      <c r="H37" s="3">
        <f>INDEX(Monthly!$AA:$AA,MATCH("2025-12",Monthly!$A:$A,0))</f>
        <v>21.145483870967738</v>
      </c>
      <c r="I37" s="3">
        <f>INDEX(Monthly!$AA:$AA,MATCH("2026-01",Monthly!$A:$A,0))</f>
        <v>19.326451612903227</v>
      </c>
      <c r="J37" s="3">
        <f>INDEX(Monthly!$AA:$AA,MATCH("2026-02",Monthly!$A:$A,0))</f>
        <v>19.017499999999995</v>
      </c>
      <c r="K37" s="3">
        <f>INDEX(Monthly!$AA:$AA,MATCH("2026-03",Monthly!$A:$A,0))</f>
        <v>21.511612903225807</v>
      </c>
      <c r="L37" s="3">
        <f>INDEX(Monthly!$AA:$AA,MATCH("2026-04",Monthly!$A:$A,0))</f>
        <v>23.073999999999998</v>
      </c>
      <c r="M37" s="3">
        <f>INDEX(Monthly!$AA:$AA,MATCH("2026-05",Monthly!$A:$A,0))</f>
        <v>25.889032258064518</v>
      </c>
      <c r="N37" s="3">
        <f>INDEX(Monthly!$AA:$AA,MATCH("2026-06",Monthly!$A:$A,0))</f>
        <v>24.60166666666667</v>
      </c>
      <c r="O37" s="18">
        <f>AVERAGE(C37:N37)</f>
        <v>22.507757616487456</v>
      </c>
    </row>
    <row r="38">
      <c r="A38" s="6" t="inlineStr">
        <is>
          <t xml:space="preserve">2026/27</t>
        </is>
      </c>
      <c r="B38" s="6" t="inlineStr">
        <is>
          <t xml:space="preserve">El Niño (in progress)</t>
        </is>
      </c>
      <c r="C38" s="3">
        <f>INDEX(Monthly!$AA:$AA,MATCH("2026-07",Monthly!$A:$A,0))</f>
        <v>24.821935483870966</v>
      </c>
      <c r="D38" s="3">
        <f>INDEX(Monthly!$AA:$AA,MATCH("2026-08",Monthly!$A:$A,0))</f>
        <v>24.86</v>
      </c>
    </row>
    <row r="41">
      <c r="A41" s="17" t="inlineStr">
        <is>
          <t xml:space="preserve">Monthly rainfall (mm) — sum of daily rainfall from rain gauges (NOAA CPC)</t>
        </is>
      </c>
    </row>
    <row r="42">
      <c r="A42" s="1" t="inlineStr">
        <is>
          <t xml:space="preserve">Season</t>
        </is>
      </c>
      <c r="B42" s="1" t="inlineStr">
        <is>
          <t xml:space="preserve">Phase</t>
        </is>
      </c>
      <c r="C42" s="1" t="inlineStr">
        <is>
          <t xml:space="preserve">Jul</t>
        </is>
      </c>
      <c r="D42" s="1" t="inlineStr">
        <is>
          <t xml:space="preserve">Aug</t>
        </is>
      </c>
      <c r="E42" s="1" t="inlineStr">
        <is>
          <t xml:space="preserve">Sep</t>
        </is>
      </c>
      <c r="F42" s="1" t="inlineStr">
        <is>
          <t xml:space="preserve">Oct</t>
        </is>
      </c>
      <c r="G42" s="1" t="inlineStr">
        <is>
          <t xml:space="preserve">Nov</t>
        </is>
      </c>
      <c r="H42" s="1" t="inlineStr">
        <is>
          <t xml:space="preserve">Dec</t>
        </is>
      </c>
      <c r="I42" s="1" t="inlineStr">
        <is>
          <t xml:space="preserve">Jan</t>
        </is>
      </c>
      <c r="J42" s="1" t="inlineStr">
        <is>
          <t xml:space="preserve">Feb</t>
        </is>
      </c>
      <c r="K42" s="1" t="inlineStr">
        <is>
          <t xml:space="preserve">Mar</t>
        </is>
      </c>
      <c r="L42" s="1" t="inlineStr">
        <is>
          <t xml:space="preserve">Apr</t>
        </is>
      </c>
      <c r="M42" s="1" t="inlineStr">
        <is>
          <t xml:space="preserve">May</t>
        </is>
      </c>
      <c r="N42" s="1" t="inlineStr">
        <is>
          <t xml:space="preserve">Jun</t>
        </is>
      </c>
      <c r="O42" s="1" t="inlineStr">
        <is>
          <t xml:space="preserve">Season total</t>
        </is>
      </c>
    </row>
    <row r="43">
      <c r="A43" s="11" t="inlineStr">
        <is>
          <t xml:space="preserve">El Niño (7 seasons)</t>
        </is>
      </c>
    </row>
    <row r="44">
      <c r="A44" s="6" t="inlineStr">
        <is>
          <t xml:space="preserve">2006/07</t>
        </is>
      </c>
      <c r="B44" s="6" t="inlineStr">
        <is>
          <t xml:space="preserve">El Niño</t>
        </is>
      </c>
      <c r="C44" s="4">
        <f>INDEX(Monthly!$Z:$Z,MATCH("2006-07",Monthly!$A:$A,0))</f>
        <v>111.276</v>
      </c>
      <c r="D44" s="4">
        <f>INDEX(Monthly!$Z:$Z,MATCH("2006-08",Monthly!$A:$A,0))</f>
        <v>188.179</v>
      </c>
      <c r="E44" s="4">
        <f>INDEX(Monthly!$Z:$Z,MATCH("2006-09",Monthly!$A:$A,0))</f>
        <v>165.874</v>
      </c>
      <c r="F44" s="4">
        <f>INDEX(Monthly!$Z:$Z,MATCH("2006-10",Monthly!$A:$A,0))</f>
        <v>113.251</v>
      </c>
      <c r="G44" s="4">
        <f>INDEX(Monthly!$Z:$Z,MATCH("2006-11",Monthly!$A:$A,0))</f>
        <v>39.969</v>
      </c>
      <c r="H44" s="4">
        <f>INDEX(Monthly!$Z:$Z,MATCH("2006-12",Monthly!$A:$A,0))</f>
        <v>98.523</v>
      </c>
      <c r="I44" s="4">
        <f>INDEX(Monthly!$Z:$Z,MATCH("2007-01",Monthly!$A:$A,0))</f>
        <v>43.994</v>
      </c>
      <c r="J44" s="4">
        <f>INDEX(Monthly!$Z:$Z,MATCH("2007-02",Monthly!$A:$A,0))</f>
        <v>18.063</v>
      </c>
      <c r="K44" s="4">
        <f>INDEX(Monthly!$Z:$Z,MATCH("2007-03",Monthly!$A:$A,0))</f>
        <v>17.174</v>
      </c>
      <c r="L44" s="4">
        <f>INDEX(Monthly!$Z:$Z,MATCH("2007-04",Monthly!$A:$A,0))</f>
        <v>31.204</v>
      </c>
      <c r="M44" s="4">
        <f>INDEX(Monthly!$Z:$Z,MATCH("2007-05",Monthly!$A:$A,0))</f>
        <v>108.226</v>
      </c>
      <c r="N44" s="4">
        <f>INDEX(Monthly!$Z:$Z,MATCH("2007-06",Monthly!$A:$A,0))</f>
        <v>252.203</v>
      </c>
      <c r="O44" s="24">
        <f>SUM(C44:N44)</f>
        <v>1187.936</v>
      </c>
    </row>
    <row r="45">
      <c r="A45" s="6" t="inlineStr">
        <is>
          <t xml:space="preserve">2009/10</t>
        </is>
      </c>
      <c r="B45" s="6" t="inlineStr">
        <is>
          <t xml:space="preserve">El Niño</t>
        </is>
      </c>
      <c r="C45" s="4">
        <f>INDEX(Monthly!$Z:$Z,MATCH("2009-07",Monthly!$A:$A,0))</f>
        <v>163.399</v>
      </c>
      <c r="D45" s="4">
        <f>INDEX(Monthly!$Z:$Z,MATCH("2009-08",Monthly!$A:$A,0))</f>
        <v>250.814</v>
      </c>
      <c r="E45" s="4">
        <f>INDEX(Monthly!$Z:$Z,MATCH("2009-09",Monthly!$A:$A,0))</f>
        <v>95.793</v>
      </c>
      <c r="F45" s="4">
        <f>INDEX(Monthly!$Z:$Z,MATCH("2009-10",Monthly!$A:$A,0))</f>
        <v>115.473</v>
      </c>
      <c r="G45" s="4">
        <f>INDEX(Monthly!$Z:$Z,MATCH("2009-11",Monthly!$A:$A,0))</f>
        <v>84.1</v>
      </c>
      <c r="H45" s="4">
        <f>INDEX(Monthly!$Z:$Z,MATCH("2009-12",Monthly!$A:$A,0))</f>
        <v>44.657</v>
      </c>
      <c r="I45" s="4">
        <f>INDEX(Monthly!$Z:$Z,MATCH("2010-01",Monthly!$A:$A,0))</f>
        <v>41.859</v>
      </c>
      <c r="J45" s="4">
        <f>INDEX(Monthly!$Z:$Z,MATCH("2010-02",Monthly!$A:$A,0))</f>
        <v>26.009</v>
      </c>
      <c r="K45" s="4">
        <f>INDEX(Monthly!$Z:$Z,MATCH("2010-03",Monthly!$A:$A,0))</f>
        <v>1.796</v>
      </c>
      <c r="L45" s="4">
        <f>INDEX(Monthly!$Z:$Z,MATCH("2010-04",Monthly!$A:$A,0))</f>
        <v>137.995</v>
      </c>
      <c r="M45" s="4">
        <f>INDEX(Monthly!$Z:$Z,MATCH("2010-05",Monthly!$A:$A,0))</f>
        <v>271.476</v>
      </c>
      <c r="N45" s="4">
        <f>INDEX(Monthly!$Z:$Z,MATCH("2010-06",Monthly!$A:$A,0))</f>
        <v>306.941</v>
      </c>
      <c r="O45" s="24">
        <f>SUM(C45:N45)</f>
        <v>1540.3120000000001</v>
      </c>
    </row>
    <row r="46">
      <c r="A46" s="6" t="inlineStr">
        <is>
          <t xml:space="preserve">2014/15</t>
        </is>
      </c>
      <c r="B46" s="6" t="inlineStr">
        <is>
          <t xml:space="preserve">El Niño</t>
        </is>
      </c>
      <c r="C46" s="4">
        <f>INDEX(Monthly!$Z:$Z,MATCH("2014-07",Monthly!$A:$A,0))</f>
        <v>65.469</v>
      </c>
      <c r="D46" s="4">
        <f>INDEX(Monthly!$Z:$Z,MATCH("2014-08",Monthly!$A:$A,0))</f>
        <v>284.291</v>
      </c>
      <c r="E46" s="4">
        <f>INDEX(Monthly!$Z:$Z,MATCH("2014-09",Monthly!$A:$A,0))</f>
        <v>297.636</v>
      </c>
      <c r="F46" s="4">
        <f>INDEX(Monthly!$Z:$Z,MATCH("2014-10",Monthly!$A:$A,0))</f>
        <v>272.222</v>
      </c>
      <c r="G46" s="4">
        <f>INDEX(Monthly!$Z:$Z,MATCH("2014-11",Monthly!$A:$A,0))</f>
        <v>113.902</v>
      </c>
      <c r="H46" s="4">
        <f>INDEX(Monthly!$Z:$Z,MATCH("2014-12",Monthly!$A:$A,0))</f>
        <v>91.953</v>
      </c>
      <c r="I46" s="4">
        <f>INDEX(Monthly!$Z:$Z,MATCH("2015-01",Monthly!$A:$A,0))</f>
        <v>37.503</v>
      </c>
      <c r="J46" s="4">
        <f>INDEX(Monthly!$Z:$Z,MATCH("2015-02",Monthly!$A:$A,0))</f>
        <v>35.568</v>
      </c>
      <c r="K46" s="4">
        <f>INDEX(Monthly!$Z:$Z,MATCH("2015-03",Monthly!$A:$A,0))</f>
        <v>34.61</v>
      </c>
      <c r="L46" s="4">
        <f>INDEX(Monthly!$Z:$Z,MATCH("2015-04",Monthly!$A:$A,0))</f>
        <v>21.681</v>
      </c>
      <c r="M46" s="4">
        <f>INDEX(Monthly!$Z:$Z,MATCH("2015-05",Monthly!$A:$A,0))</f>
        <v>46.324</v>
      </c>
      <c r="N46" s="4">
        <f>INDEX(Monthly!$Z:$Z,MATCH("2015-06",Monthly!$A:$A,0))</f>
        <v>166.379</v>
      </c>
      <c r="O46" s="24">
        <f>SUM(C46:N46)</f>
        <v>1467.5379999999998</v>
      </c>
    </row>
    <row r="47">
      <c r="A47" s="6" t="inlineStr">
        <is>
          <t xml:space="preserve">2015/16</t>
        </is>
      </c>
      <c r="B47" s="6" t="inlineStr">
        <is>
          <t xml:space="preserve">El Niño</t>
        </is>
      </c>
      <c r="C47" s="4">
        <f>INDEX(Monthly!$Z:$Z,MATCH("2015-07",Monthly!$A:$A,0))</f>
        <v>44.525</v>
      </c>
      <c r="D47" s="4">
        <f>INDEX(Monthly!$Z:$Z,MATCH("2015-08",Monthly!$A:$A,0))</f>
        <v>119.271</v>
      </c>
      <c r="E47" s="4">
        <f>INDEX(Monthly!$Z:$Z,MATCH("2015-09",Monthly!$A:$A,0))</f>
        <v>455.048</v>
      </c>
      <c r="F47" s="4">
        <f>INDEX(Monthly!$Z:$Z,MATCH("2015-10",Monthly!$A:$A,0))</f>
        <v>252.865</v>
      </c>
      <c r="G47" s="4">
        <f>INDEX(Monthly!$Z:$Z,MATCH("2015-11",Monthly!$A:$A,0))</f>
        <v>90.873</v>
      </c>
      <c r="H47" s="4">
        <f>INDEX(Monthly!$Z:$Z,MATCH("2015-12",Monthly!$A:$A,0))</f>
        <v>40.298</v>
      </c>
      <c r="I47" s="4">
        <f>INDEX(Monthly!$Z:$Z,MATCH("2016-01",Monthly!$A:$A,0))</f>
        <v>21.122</v>
      </c>
      <c r="J47" s="4">
        <f>INDEX(Monthly!$Z:$Z,MATCH("2016-02",Monthly!$A:$A,0))</f>
        <v>39.453</v>
      </c>
      <c r="K47" s="4">
        <f>INDEX(Monthly!$Z:$Z,MATCH("2016-03",Monthly!$A:$A,0))</f>
        <v>18.195</v>
      </c>
      <c r="L47" s="4">
        <f>INDEX(Monthly!$Z:$Z,MATCH("2016-04",Monthly!$A:$A,0))</f>
        <v>15.951</v>
      </c>
      <c r="M47" s="4">
        <f>INDEX(Monthly!$Z:$Z,MATCH("2016-05",Monthly!$A:$A,0))</f>
        <v>42.623</v>
      </c>
      <c r="N47" s="4">
        <f>INDEX(Monthly!$Z:$Z,MATCH("2016-06",Monthly!$A:$A,0))</f>
        <v>278.205</v>
      </c>
      <c r="O47" s="24">
        <f>SUM(C47:N47)</f>
        <v>1418.429</v>
      </c>
    </row>
    <row r="48">
      <c r="A48" s="6" t="inlineStr">
        <is>
          <t xml:space="preserve">2018/19</t>
        </is>
      </c>
      <c r="B48" s="6" t="inlineStr">
        <is>
          <t xml:space="preserve">El Niño</t>
        </is>
      </c>
      <c r="C48" s="4">
        <f>INDEX(Monthly!$Z:$Z,MATCH("2018-07",Monthly!$A:$A,0))</f>
        <v>102.399</v>
      </c>
      <c r="D48" s="4">
        <f>INDEX(Monthly!$Z:$Z,MATCH("2018-08",Monthly!$A:$A,0))</f>
        <v>126.959</v>
      </c>
      <c r="E48" s="4">
        <f>INDEX(Monthly!$Z:$Z,MATCH("2018-09",Monthly!$A:$A,0))</f>
        <v>168.533</v>
      </c>
      <c r="F48" s="4">
        <f>INDEX(Monthly!$Z:$Z,MATCH("2018-10",Monthly!$A:$A,0))</f>
        <v>95.923</v>
      </c>
      <c r="G48" s="4">
        <f>INDEX(Monthly!$Z:$Z,MATCH("2018-11",Monthly!$A:$A,0))</f>
        <v>13.58</v>
      </c>
      <c r="H48" s="4">
        <f>INDEX(Monthly!$Z:$Z,MATCH("2018-12",Monthly!$A:$A,0))</f>
        <v>32.916</v>
      </c>
      <c r="I48" s="4">
        <f>INDEX(Monthly!$Z:$Z,MATCH("2019-01",Monthly!$A:$A,0))</f>
        <v>43.216</v>
      </c>
      <c r="J48" s="4">
        <f>INDEX(Monthly!$Z:$Z,MATCH("2019-02",Monthly!$A:$A,0))</f>
        <v>11.173</v>
      </c>
      <c r="K48" s="4">
        <f>INDEX(Monthly!$Z:$Z,MATCH("2019-03",Monthly!$A:$A,0))</f>
        <v>3.197</v>
      </c>
      <c r="L48" s="4">
        <f>INDEX(Monthly!$Z:$Z,MATCH("2019-04",Monthly!$A:$A,0))</f>
        <v>15.457</v>
      </c>
      <c r="M48" s="4">
        <f>INDEX(Monthly!$Z:$Z,MATCH("2019-05",Monthly!$A:$A,0))</f>
        <v>239.585</v>
      </c>
      <c r="N48" s="4">
        <f>INDEX(Monthly!$Z:$Z,MATCH("2019-06",Monthly!$A:$A,0))</f>
        <v>168.26</v>
      </c>
      <c r="O48" s="24">
        <f>SUM(C48:N48)</f>
        <v>1021.198</v>
      </c>
    </row>
    <row r="49">
      <c r="A49" s="6" t="inlineStr">
        <is>
          <t xml:space="preserve">2019/20</t>
        </is>
      </c>
      <c r="B49" s="6" t="inlineStr">
        <is>
          <t xml:space="preserve">El Niño</t>
        </is>
      </c>
      <c r="C49" s="4">
        <f>INDEX(Monthly!$Z:$Z,MATCH("2019-07",Monthly!$A:$A,0))</f>
        <v>72.657</v>
      </c>
      <c r="D49" s="4">
        <f>INDEX(Monthly!$Z:$Z,MATCH("2019-08",Monthly!$A:$A,0))</f>
        <v>224.37</v>
      </c>
      <c r="E49" s="4">
        <f>INDEX(Monthly!$Z:$Z,MATCH("2019-09",Monthly!$A:$A,0))</f>
        <v>229.74</v>
      </c>
      <c r="F49" s="4">
        <f>INDEX(Monthly!$Z:$Z,MATCH("2019-10",Monthly!$A:$A,0))</f>
        <v>409.218</v>
      </c>
      <c r="G49" s="4">
        <f>INDEX(Monthly!$Z:$Z,MATCH("2019-11",Monthly!$A:$A,0))</f>
        <v>71.93</v>
      </c>
      <c r="H49" s="4">
        <f>INDEX(Monthly!$Z:$Z,MATCH("2019-12",Monthly!$A:$A,0))</f>
        <v>49.262</v>
      </c>
      <c r="I49" s="4">
        <f>INDEX(Monthly!$Z:$Z,MATCH("2020-01",Monthly!$A:$A,0))</f>
        <v>51.669</v>
      </c>
      <c r="J49" s="4">
        <f>INDEX(Monthly!$Z:$Z,MATCH("2020-02",Monthly!$A:$A,0))</f>
        <v>34.539</v>
      </c>
      <c r="K49" s="4">
        <f>INDEX(Monthly!$Z:$Z,MATCH("2020-03",Monthly!$A:$A,0))</f>
        <v>29.557</v>
      </c>
      <c r="L49" s="4">
        <f>INDEX(Monthly!$Z:$Z,MATCH("2020-04",Monthly!$A:$A,0))</f>
        <v>16.928</v>
      </c>
      <c r="M49" s="4">
        <f>INDEX(Monthly!$Z:$Z,MATCH("2020-05",Monthly!$A:$A,0))</f>
        <v>196.588</v>
      </c>
      <c r="N49" s="4">
        <f>INDEX(Monthly!$Z:$Z,MATCH("2020-06",Monthly!$A:$A,0))</f>
        <v>93.36</v>
      </c>
      <c r="O49" s="24">
        <f>SUM(C49:N49)</f>
        <v>1479.8180000000002</v>
      </c>
    </row>
    <row r="50">
      <c r="A50" s="6" t="inlineStr">
        <is>
          <t xml:space="preserve">2023/24</t>
        </is>
      </c>
      <c r="B50" s="6" t="inlineStr">
        <is>
          <t xml:space="preserve">El Niño</t>
        </is>
      </c>
      <c r="C50" s="4">
        <f>INDEX(Monthly!$Z:$Z,MATCH("2023-07",Monthly!$A:$A,0))</f>
        <v>283.012</v>
      </c>
      <c r="D50" s="4">
        <f>INDEX(Monthly!$Z:$Z,MATCH("2023-08",Monthly!$A:$A,0))</f>
        <v>141.624</v>
      </c>
      <c r="E50" s="4">
        <f>INDEX(Monthly!$Z:$Z,MATCH("2023-09",Monthly!$A:$A,0))</f>
        <v>121.638</v>
      </c>
      <c r="F50" s="4">
        <f>INDEX(Monthly!$Z:$Z,MATCH("2023-10",Monthly!$A:$A,0))</f>
        <v>167.643</v>
      </c>
      <c r="G50" s="4">
        <f>INDEX(Monthly!$Z:$Z,MATCH("2023-11",Monthly!$A:$A,0))</f>
        <v>110.812</v>
      </c>
      <c r="H50" s="4">
        <f>INDEX(Monthly!$Z:$Z,MATCH("2023-12",Monthly!$A:$A,0))</f>
        <v>62.826</v>
      </c>
      <c r="I50" s="4">
        <f>INDEX(Monthly!$Z:$Z,MATCH("2024-01",Monthly!$A:$A,0))</f>
        <v>15.23732580193336</v>
      </c>
      <c r="J50" s="4">
        <f>INDEX(Monthly!$Z:$Z,MATCH("2024-02",Monthly!$A:$A,0))</f>
        <v>8.937985826470024</v>
      </c>
      <c r="K50" s="4">
        <f>INDEX(Monthly!$Z:$Z,MATCH("2024-03",Monthly!$A:$A,0))</f>
        <v>3.919019349845201</v>
      </c>
      <c r="L50" s="4">
        <f>INDEX(Monthly!$Z:$Z,MATCH("2024-04",Monthly!$A:$A,0))</f>
        <v>25.48886672571143</v>
      </c>
      <c r="M50" s="4">
        <f>INDEX(Monthly!$Z:$Z,MATCH("2024-05",Monthly!$A:$A,0))</f>
        <v>41.54777662205984</v>
      </c>
      <c r="N50" s="4">
        <f>INDEX(Monthly!$Z:$Z,MATCH("2024-06",Monthly!$A:$A,0))</f>
        <v>341.08085828125144</v>
      </c>
      <c r="O50" s="24">
        <f>SUM(C50:N50)</f>
        <v>1323.7668326072715</v>
      </c>
    </row>
    <row r="51">
      <c r="A51" s="11" t="inlineStr">
        <is>
          <t xml:space="preserve">Average El Niño</t>
        </is>
      </c>
      <c r="B51" s="11" t="inlineStr">
        <is>
          <t xml:space="preserve">7 seasons</t>
        </is>
      </c>
      <c r="C51" s="25">
        <f>AVERAGE(C44:C50)</f>
        <v>120.39099999999999</v>
      </c>
      <c r="D51" s="25">
        <f>AVERAGE(D44:D50)</f>
        <v>190.78685714285714</v>
      </c>
      <c r="E51" s="25">
        <f>AVERAGE(E44:E50)</f>
        <v>219.18028571428573</v>
      </c>
      <c r="F51" s="25">
        <f>AVERAGE(F44:F50)</f>
        <v>203.7992857142857</v>
      </c>
      <c r="G51" s="25">
        <f>AVERAGE(G44:G50)</f>
        <v>75.02371428571429</v>
      </c>
      <c r="H51" s="25">
        <f>AVERAGE(H44:H50)</f>
        <v>60.06214285714286</v>
      </c>
      <c r="I51" s="25">
        <f>AVERAGE(I44:I50)</f>
        <v>36.37147511456191</v>
      </c>
      <c r="J51" s="25">
        <f>AVERAGE(J44:J50)</f>
        <v>24.820426546638576</v>
      </c>
      <c r="K51" s="25">
        <f>AVERAGE(K44:K50)</f>
        <v>15.49257419283503</v>
      </c>
      <c r="L51" s="25">
        <f>AVERAGE(L44:L50)</f>
        <v>37.814980960815916</v>
      </c>
      <c r="M51" s="25">
        <f>AVERAGE(M44:M50)</f>
        <v>135.19568237457997</v>
      </c>
      <c r="N51" s="25">
        <f>AVERAGE(N44:N50)</f>
        <v>229.48983689732162</v>
      </c>
      <c r="O51" s="25">
        <f>SUM(C51:N51)</f>
        <v>1348.4282618010386</v>
      </c>
    </row>
    <row r="53">
      <c r="A53" s="12" t="inlineStr">
        <is>
          <t xml:space="preserve">La Niña (9 seasons)</t>
        </is>
      </c>
    </row>
    <row r="54">
      <c r="A54" s="5" t="inlineStr">
        <is>
          <t xml:space="preserve">2005/06</t>
        </is>
      </c>
      <c r="B54" s="5" t="inlineStr">
        <is>
          <t xml:space="preserve">La Niña</t>
        </is>
      </c>
      <c r="C54" s="4">
        <f>INDEX(Monthly!$Z:$Z,MATCH("2005-07",Monthly!$A:$A,0))</f>
        <v>155.001</v>
      </c>
      <c r="D54" s="4">
        <f>INDEX(Monthly!$Z:$Z,MATCH("2005-08",Monthly!$A:$A,0))</f>
        <v>129.104</v>
      </c>
      <c r="E54" s="4">
        <f>INDEX(Monthly!$Z:$Z,MATCH("2005-09",Monthly!$A:$A,0))</f>
        <v>211.215</v>
      </c>
      <c r="F54" s="4">
        <f>INDEX(Monthly!$Z:$Z,MATCH("2005-10",Monthly!$A:$A,0))</f>
        <v>116.649</v>
      </c>
      <c r="G54" s="4">
        <f>INDEX(Monthly!$Z:$Z,MATCH("2005-11",Monthly!$A:$A,0))</f>
        <v>32.106</v>
      </c>
      <c r="H54" s="4">
        <f>INDEX(Monthly!$Z:$Z,MATCH("2005-12",Monthly!$A:$A,0))</f>
        <v>35.716</v>
      </c>
      <c r="I54" s="4">
        <f>INDEX(Monthly!$Z:$Z,MATCH("2006-01",Monthly!$A:$A,0))</f>
        <v>49.05</v>
      </c>
      <c r="J54" s="4">
        <f>INDEX(Monthly!$Z:$Z,MATCH("2006-02",Monthly!$A:$A,0))</f>
        <v>12.137</v>
      </c>
      <c r="K54" s="4">
        <f>INDEX(Monthly!$Z:$Z,MATCH("2006-03",Monthly!$A:$A,0))</f>
        <v>10.905</v>
      </c>
      <c r="L54" s="4">
        <f>INDEX(Monthly!$Z:$Z,MATCH("2006-04",Monthly!$A:$A,0))</f>
        <v>66.607</v>
      </c>
      <c r="M54" s="4">
        <f>INDEX(Monthly!$Z:$Z,MATCH("2006-05",Monthly!$A:$A,0))</f>
        <v>134.088</v>
      </c>
      <c r="N54" s="4">
        <f>INDEX(Monthly!$Z:$Z,MATCH("2006-06",Monthly!$A:$A,0))</f>
        <v>302.914</v>
      </c>
      <c r="O54" s="24">
        <f>SUM(C54:N54)</f>
        <v>1255.492</v>
      </c>
    </row>
    <row r="55">
      <c r="A55" s="5" t="inlineStr">
        <is>
          <t xml:space="preserve">2007/08</t>
        </is>
      </c>
      <c r="B55" s="5" t="inlineStr">
        <is>
          <t xml:space="preserve">La Niña</t>
        </is>
      </c>
      <c r="C55" s="4">
        <f>INDEX(Monthly!$Z:$Z,MATCH("2007-07",Monthly!$A:$A,0))</f>
        <v>264.3</v>
      </c>
      <c r="D55" s="4">
        <f>INDEX(Monthly!$Z:$Z,MATCH("2007-08",Monthly!$A:$A,0))</f>
        <v>213.736</v>
      </c>
      <c r="E55" s="4">
        <f>INDEX(Monthly!$Z:$Z,MATCH("2007-09",Monthly!$A:$A,0))</f>
        <v>308.432</v>
      </c>
      <c r="F55" s="4">
        <f>INDEX(Monthly!$Z:$Z,MATCH("2007-10",Monthly!$A:$A,0))</f>
        <v>224.085</v>
      </c>
      <c r="G55" s="4">
        <f>INDEX(Monthly!$Z:$Z,MATCH("2007-11",Monthly!$A:$A,0))</f>
        <v>63.516</v>
      </c>
      <c r="H55" s="4">
        <f>INDEX(Monthly!$Z:$Z,MATCH("2007-12",Monthly!$A:$A,0))</f>
        <v>18.061</v>
      </c>
      <c r="I55" s="4">
        <f>INDEX(Monthly!$Z:$Z,MATCH("2008-01",Monthly!$A:$A,0))</f>
        <v>42.528</v>
      </c>
      <c r="J55" s="4">
        <f>INDEX(Monthly!$Z:$Z,MATCH("2008-02",Monthly!$A:$A,0))</f>
        <v>18.866</v>
      </c>
      <c r="K55" s="4">
        <f>INDEX(Monthly!$Z:$Z,MATCH("2008-03",Monthly!$A:$A,0))</f>
        <v>12.903</v>
      </c>
      <c r="L55" s="4">
        <f>INDEX(Monthly!$Z:$Z,MATCH("2008-04",Monthly!$A:$A,0))</f>
        <v>58.894</v>
      </c>
      <c r="M55" s="4">
        <f>INDEX(Monthly!$Z:$Z,MATCH("2008-05",Monthly!$A:$A,0))</f>
        <v>86.194</v>
      </c>
      <c r="N55" s="4">
        <f>INDEX(Monthly!$Z:$Z,MATCH("2008-06",Monthly!$A:$A,0))</f>
        <v>188.332</v>
      </c>
      <c r="O55" s="24">
        <f>SUM(C55:N55)</f>
        <v>1499.8470000000002</v>
      </c>
    </row>
    <row r="56">
      <c r="A56" s="5" t="inlineStr">
        <is>
          <t xml:space="preserve">2008/09</t>
        </is>
      </c>
      <c r="B56" s="5" t="inlineStr">
        <is>
          <t xml:space="preserve">La Niña</t>
        </is>
      </c>
      <c r="C56" s="4">
        <f>INDEX(Monthly!$Z:$Z,MATCH("2008-07",Monthly!$A:$A,0))</f>
        <v>404.252</v>
      </c>
      <c r="D56" s="4">
        <f>INDEX(Monthly!$Z:$Z,MATCH("2008-08",Monthly!$A:$A,0))</f>
        <v>300.71</v>
      </c>
      <c r="E56" s="4">
        <f>INDEX(Monthly!$Z:$Z,MATCH("2008-09",Monthly!$A:$A,0))</f>
        <v>436.868</v>
      </c>
      <c r="F56" s="4">
        <f>INDEX(Monthly!$Z:$Z,MATCH("2008-10",Monthly!$A:$A,0))</f>
        <v>199.493</v>
      </c>
      <c r="G56" s="4">
        <f>INDEX(Monthly!$Z:$Z,MATCH("2008-11",Monthly!$A:$A,0))</f>
        <v>36.068</v>
      </c>
      <c r="H56" s="4">
        <f>INDEX(Monthly!$Z:$Z,MATCH("2008-12",Monthly!$A:$A,0))</f>
        <v>87.874</v>
      </c>
      <c r="I56" s="4">
        <f>INDEX(Monthly!$Z:$Z,MATCH("2009-01",Monthly!$A:$A,0))</f>
        <v>36.652</v>
      </c>
      <c r="J56" s="4">
        <f>INDEX(Monthly!$Z:$Z,MATCH("2009-02",Monthly!$A:$A,0))</f>
        <v>110.994</v>
      </c>
      <c r="K56" s="4">
        <f>INDEX(Monthly!$Z:$Z,MATCH("2009-03",Monthly!$A:$A,0))</f>
        <v>13.823</v>
      </c>
      <c r="L56" s="4">
        <f>INDEX(Monthly!$Z:$Z,MATCH("2009-04",Monthly!$A:$A,0))</f>
        <v>25.006</v>
      </c>
      <c r="M56" s="4">
        <f>INDEX(Monthly!$Z:$Z,MATCH("2009-05",Monthly!$A:$A,0))</f>
        <v>197.946</v>
      </c>
      <c r="N56" s="4">
        <f>INDEX(Monthly!$Z:$Z,MATCH("2009-06",Monthly!$A:$A,0))</f>
        <v>218.581</v>
      </c>
      <c r="O56" s="24">
        <f>SUM(C56:N56)</f>
        <v>2068.267</v>
      </c>
    </row>
    <row r="57">
      <c r="A57" s="5" t="inlineStr">
        <is>
          <t xml:space="preserve">2010/11</t>
        </is>
      </c>
      <c r="B57" s="5" t="inlineStr">
        <is>
          <t xml:space="preserve">La Niña</t>
        </is>
      </c>
      <c r="C57" s="4">
        <f>INDEX(Monthly!$Z:$Z,MATCH("2010-07",Monthly!$A:$A,0))</f>
        <v>123.154</v>
      </c>
      <c r="D57" s="4">
        <f>INDEX(Monthly!$Z:$Z,MATCH("2010-08",Monthly!$A:$A,0))</f>
        <v>331.006</v>
      </c>
      <c r="E57" s="4">
        <f>INDEX(Monthly!$Z:$Z,MATCH("2010-09",Monthly!$A:$A,0))</f>
        <v>190.439</v>
      </c>
      <c r="F57" s="4">
        <f>INDEX(Monthly!$Z:$Z,MATCH("2010-10",Monthly!$A:$A,0))</f>
        <v>33.731</v>
      </c>
      <c r="G57" s="4">
        <f>INDEX(Monthly!$Z:$Z,MATCH("2010-11",Monthly!$A:$A,0))</f>
        <v>34.399</v>
      </c>
      <c r="H57" s="4">
        <f>INDEX(Monthly!$Z:$Z,MATCH("2010-12",Monthly!$A:$A,0))</f>
        <v>29.659</v>
      </c>
      <c r="I57" s="4">
        <f>INDEX(Monthly!$Z:$Z,MATCH("2011-01",Monthly!$A:$A,0))</f>
        <v>29.628</v>
      </c>
      <c r="J57" s="4">
        <f>INDEX(Monthly!$Z:$Z,MATCH("2011-02",Monthly!$A:$A,0))</f>
        <v>27.009</v>
      </c>
      <c r="K57" s="4">
        <f>INDEX(Monthly!$Z:$Z,MATCH("2011-03",Monthly!$A:$A,0))</f>
        <v>13.181</v>
      </c>
      <c r="L57" s="4">
        <f>INDEX(Monthly!$Z:$Z,MATCH("2011-04",Monthly!$A:$A,0))</f>
        <v>108.153</v>
      </c>
      <c r="M57" s="4">
        <f>INDEX(Monthly!$Z:$Z,MATCH("2011-05",Monthly!$A:$A,0))</f>
        <v>165.297</v>
      </c>
      <c r="N57" s="4">
        <f>INDEX(Monthly!$Z:$Z,MATCH("2011-06",Monthly!$A:$A,0))</f>
        <v>353.024</v>
      </c>
      <c r="O57" s="24">
        <f>SUM(C57:N57)</f>
        <v>1438.6799999999998</v>
      </c>
    </row>
    <row r="58">
      <c r="A58" s="5" t="inlineStr">
        <is>
          <t xml:space="preserve">2011/12</t>
        </is>
      </c>
      <c r="B58" s="5" t="inlineStr">
        <is>
          <t xml:space="preserve">La Niña</t>
        </is>
      </c>
      <c r="C58" s="4">
        <f>INDEX(Monthly!$Z:$Z,MATCH("2011-07",Monthly!$A:$A,0))</f>
        <v>349.576</v>
      </c>
      <c r="D58" s="4">
        <f>INDEX(Monthly!$Z:$Z,MATCH("2011-08",Monthly!$A:$A,0))</f>
        <v>169.144</v>
      </c>
      <c r="E58" s="4">
        <f>INDEX(Monthly!$Z:$Z,MATCH("2011-09",Monthly!$A:$A,0))</f>
        <v>273.497</v>
      </c>
      <c r="F58" s="4">
        <f>INDEX(Monthly!$Z:$Z,MATCH("2011-10",Monthly!$A:$A,0))</f>
        <v>239.522</v>
      </c>
      <c r="G58" s="4">
        <f>INDEX(Monthly!$Z:$Z,MATCH("2011-11",Monthly!$A:$A,0))</f>
        <v>48.808</v>
      </c>
      <c r="H58" s="4">
        <f>INDEX(Monthly!$Z:$Z,MATCH("2011-12",Monthly!$A:$A,0))</f>
        <v>73.846</v>
      </c>
      <c r="I58" s="4">
        <f>INDEX(Monthly!$Z:$Z,MATCH("2012-01",Monthly!$A:$A,0))</f>
        <v>22.599</v>
      </c>
      <c r="J58" s="4">
        <f>INDEX(Monthly!$Z:$Z,MATCH("2012-02",Monthly!$A:$A,0))</f>
        <v>26.948</v>
      </c>
      <c r="K58" s="4">
        <f>INDEX(Monthly!$Z:$Z,MATCH("2012-03",Monthly!$A:$A,0))</f>
        <v>34.221</v>
      </c>
      <c r="L58" s="4">
        <f>INDEX(Monthly!$Z:$Z,MATCH("2012-04",Monthly!$A:$A,0))</f>
        <v>52.771</v>
      </c>
      <c r="M58" s="4">
        <f>INDEX(Monthly!$Z:$Z,MATCH("2012-05",Monthly!$A:$A,0))</f>
        <v>217.114</v>
      </c>
      <c r="N58" s="4">
        <f>INDEX(Monthly!$Z:$Z,MATCH("2012-06",Monthly!$A:$A,0))</f>
        <v>137.905</v>
      </c>
      <c r="O58" s="24">
        <f>SUM(C58:N58)</f>
        <v>1645.951</v>
      </c>
    </row>
    <row r="59">
      <c r="A59" s="5" t="inlineStr">
        <is>
          <t xml:space="preserve">2017/18</t>
        </is>
      </c>
      <c r="B59" s="5" t="inlineStr">
        <is>
          <t xml:space="preserve">La Niña</t>
        </is>
      </c>
      <c r="C59" s="4">
        <f>INDEX(Monthly!$Z:$Z,MATCH("2017-07",Monthly!$A:$A,0))</f>
        <v>340.568</v>
      </c>
      <c r="D59" s="4">
        <f>INDEX(Monthly!$Z:$Z,MATCH("2017-08",Monthly!$A:$A,0))</f>
        <v>169.206</v>
      </c>
      <c r="E59" s="4">
        <f>INDEX(Monthly!$Z:$Z,MATCH("2017-09",Monthly!$A:$A,0))</f>
        <v>283.865</v>
      </c>
      <c r="F59" s="4">
        <f>INDEX(Monthly!$Z:$Z,MATCH("2017-10",Monthly!$A:$A,0))</f>
        <v>248.724</v>
      </c>
      <c r="G59" s="4">
        <f>INDEX(Monthly!$Z:$Z,MATCH("2017-11",Monthly!$A:$A,0))</f>
        <v>56.539</v>
      </c>
      <c r="H59" s="4">
        <f>INDEX(Monthly!$Z:$Z,MATCH("2017-12",Monthly!$A:$A,0))</f>
        <v>39.412</v>
      </c>
      <c r="I59" s="4">
        <f>INDEX(Monthly!$Z:$Z,MATCH("2018-01",Monthly!$A:$A,0))</f>
        <v>68.178</v>
      </c>
      <c r="J59" s="4">
        <f>INDEX(Monthly!$Z:$Z,MATCH("2018-02",Monthly!$A:$A,0))</f>
        <v>19.481</v>
      </c>
      <c r="K59" s="4">
        <f>INDEX(Monthly!$Z:$Z,MATCH("2018-03",Monthly!$A:$A,0))</f>
        <v>14.403</v>
      </c>
      <c r="L59" s="4">
        <f>INDEX(Monthly!$Z:$Z,MATCH("2018-04",Monthly!$A:$A,0))</f>
        <v>47.433</v>
      </c>
      <c r="M59" s="4">
        <f>INDEX(Monthly!$Z:$Z,MATCH("2018-05",Monthly!$A:$A,0))</f>
        <v>142.19</v>
      </c>
      <c r="N59" s="4">
        <f>INDEX(Monthly!$Z:$Z,MATCH("2018-06",Monthly!$A:$A,0))</f>
        <v>303.535</v>
      </c>
      <c r="O59" s="24">
        <f>SUM(C59:N59)</f>
        <v>1733.5340000000003</v>
      </c>
    </row>
    <row r="60">
      <c r="A60" s="5" t="inlineStr">
        <is>
          <t xml:space="preserve">2020/21</t>
        </is>
      </c>
      <c r="B60" s="5" t="inlineStr">
        <is>
          <t xml:space="preserve">La Niña</t>
        </is>
      </c>
      <c r="C60" s="4">
        <f>INDEX(Monthly!$Z:$Z,MATCH("2020-07",Monthly!$A:$A,0))</f>
        <v>209.743</v>
      </c>
      <c r="D60" s="4">
        <f>INDEX(Monthly!$Z:$Z,MATCH("2020-08",Monthly!$A:$A,0))</f>
        <v>278.427</v>
      </c>
      <c r="E60" s="4">
        <f>INDEX(Monthly!$Z:$Z,MATCH("2020-09",Monthly!$A:$A,0))</f>
        <v>492.964</v>
      </c>
      <c r="F60" s="4">
        <f>INDEX(Monthly!$Z:$Z,MATCH("2020-10",Monthly!$A:$A,0))</f>
        <v>246.973</v>
      </c>
      <c r="G60" s="4">
        <f>INDEX(Monthly!$Z:$Z,MATCH("2020-11",Monthly!$A:$A,0))</f>
        <v>439.708</v>
      </c>
      <c r="H60" s="4">
        <f>INDEX(Monthly!$Z:$Z,MATCH("2020-12",Monthly!$A:$A,0))</f>
        <v>25.996</v>
      </c>
      <c r="I60" s="4">
        <f>INDEX(Monthly!$Z:$Z,MATCH("2021-01",Monthly!$A:$A,0))</f>
        <v>35.406</v>
      </c>
      <c r="J60" s="4">
        <f>INDEX(Monthly!$Z:$Z,MATCH("2021-02",Monthly!$A:$A,0))</f>
        <v>35.748</v>
      </c>
      <c r="K60" s="4">
        <f>INDEX(Monthly!$Z:$Z,MATCH("2021-03",Monthly!$A:$A,0))</f>
        <v>24.869</v>
      </c>
      <c r="L60" s="4">
        <f>INDEX(Monthly!$Z:$Z,MATCH("2021-04",Monthly!$A:$A,0))</f>
        <v>113.47</v>
      </c>
      <c r="M60" s="4">
        <f>INDEX(Monthly!$Z:$Z,MATCH("2021-05",Monthly!$A:$A,0))</f>
        <v>75.194</v>
      </c>
      <c r="N60" s="4">
        <f>INDEX(Monthly!$Z:$Z,MATCH("2021-06",Monthly!$A:$A,0))</f>
        <v>450.436</v>
      </c>
      <c r="O60" s="24">
        <f>SUM(C60:N60)</f>
        <v>2428.934</v>
      </c>
    </row>
    <row r="61">
      <c r="A61" s="5" t="inlineStr">
        <is>
          <t xml:space="preserve">2021/22</t>
        </is>
      </c>
      <c r="B61" s="5" t="inlineStr">
        <is>
          <t xml:space="preserve">La Niña</t>
        </is>
      </c>
      <c r="C61" s="4">
        <f>INDEX(Monthly!$Z:$Z,MATCH("2021-07",Monthly!$A:$A,0))</f>
        <v>115.291</v>
      </c>
      <c r="D61" s="4">
        <f>INDEX(Monthly!$Z:$Z,MATCH("2021-08",Monthly!$A:$A,0))</f>
        <v>374.078</v>
      </c>
      <c r="E61" s="4">
        <f>INDEX(Monthly!$Z:$Z,MATCH("2021-09",Monthly!$A:$A,0))</f>
        <v>131.503</v>
      </c>
      <c r="F61" s="4">
        <f>INDEX(Monthly!$Z:$Z,MATCH("2021-10",Monthly!$A:$A,0))</f>
        <v>239.776</v>
      </c>
      <c r="G61" s="4">
        <f>INDEX(Monthly!$Z:$Z,MATCH("2021-11",Monthly!$A:$A,0))</f>
        <v>55.094</v>
      </c>
      <c r="H61" s="4">
        <f>INDEX(Monthly!$Z:$Z,MATCH("2021-12",Monthly!$A:$A,0))</f>
        <v>14.776</v>
      </c>
      <c r="I61" s="4">
        <f>INDEX(Monthly!$Z:$Z,MATCH("2022-01",Monthly!$A:$A,0))</f>
        <v>48.5</v>
      </c>
      <c r="J61" s="4">
        <f>INDEX(Monthly!$Z:$Z,MATCH("2022-02",Monthly!$A:$A,0))</f>
        <v>61.149</v>
      </c>
      <c r="K61" s="4">
        <f>INDEX(Monthly!$Z:$Z,MATCH("2022-03",Monthly!$A:$A,0))</f>
        <v>24.79</v>
      </c>
      <c r="L61" s="4">
        <f>INDEX(Monthly!$Z:$Z,MATCH("2022-04",Monthly!$A:$A,0))</f>
        <v>63.915</v>
      </c>
      <c r="M61" s="4">
        <f>INDEX(Monthly!$Z:$Z,MATCH("2022-05",Monthly!$A:$A,0))</f>
        <v>188.41</v>
      </c>
      <c r="N61" s="4">
        <f>INDEX(Monthly!$Z:$Z,MATCH("2022-06",Monthly!$A:$A,0))</f>
        <v>363.358</v>
      </c>
      <c r="O61" s="24">
        <f>SUM(C61:N61)</f>
        <v>1680.6399999999999</v>
      </c>
    </row>
    <row r="62">
      <c r="A62" s="5" t="inlineStr">
        <is>
          <t xml:space="preserve">2022/23</t>
        </is>
      </c>
      <c r="B62" s="5" t="inlineStr">
        <is>
          <t xml:space="preserve">La Niña</t>
        </is>
      </c>
      <c r="C62" s="4">
        <f>INDEX(Monthly!$Z:$Z,MATCH("2022-07",Monthly!$A:$A,0))</f>
        <v>166.353</v>
      </c>
      <c r="D62" s="4">
        <f>INDEX(Monthly!$Z:$Z,MATCH("2022-08",Monthly!$A:$A,0))</f>
        <v>370.203</v>
      </c>
      <c r="E62" s="4">
        <f>INDEX(Monthly!$Z:$Z,MATCH("2022-09",Monthly!$A:$A,0))</f>
        <v>459.506</v>
      </c>
      <c r="F62" s="4">
        <f>INDEX(Monthly!$Z:$Z,MATCH("2022-10",Monthly!$A:$A,0))</f>
        <v>278.868</v>
      </c>
      <c r="G62" s="4">
        <f>INDEX(Monthly!$Z:$Z,MATCH("2022-11",Monthly!$A:$A,0))</f>
        <v>93.887</v>
      </c>
      <c r="H62" s="4">
        <f>INDEX(Monthly!$Z:$Z,MATCH("2022-12",Monthly!$A:$A,0))</f>
        <v>13.804</v>
      </c>
      <c r="I62" s="4">
        <f>INDEX(Monthly!$Z:$Z,MATCH("2023-01",Monthly!$A:$A,0))</f>
        <v>20.348</v>
      </c>
      <c r="J62" s="4">
        <f>INDEX(Monthly!$Z:$Z,MATCH("2023-02",Monthly!$A:$A,0))</f>
        <v>7.792</v>
      </c>
      <c r="K62" s="4">
        <f>INDEX(Monthly!$Z:$Z,MATCH("2023-03",Monthly!$A:$A,0))</f>
        <v>27.712</v>
      </c>
      <c r="L62" s="4">
        <f>INDEX(Monthly!$Z:$Z,MATCH("2023-04",Monthly!$A:$A,0))</f>
        <v>14.734</v>
      </c>
      <c r="M62" s="4">
        <f>INDEX(Monthly!$Z:$Z,MATCH("2023-05",Monthly!$A:$A,0))</f>
        <v>89.98</v>
      </c>
      <c r="N62" s="4">
        <f>INDEX(Monthly!$Z:$Z,MATCH("2023-06",Monthly!$A:$A,0))</f>
        <v>174.312</v>
      </c>
      <c r="O62" s="24">
        <f>SUM(C62:N62)</f>
        <v>1717.4989999999998</v>
      </c>
    </row>
    <row r="63">
      <c r="A63" s="12" t="inlineStr">
        <is>
          <t xml:space="preserve">Average La Niña</t>
        </is>
      </c>
      <c r="B63" s="12" t="inlineStr">
        <is>
          <t xml:space="preserve">9 seasons</t>
        </is>
      </c>
      <c r="C63" s="26">
        <f>AVERAGE(C54:C62)</f>
        <v>236.47088888888888</v>
      </c>
      <c r="D63" s="26">
        <f>AVERAGE(D54:D62)</f>
        <v>259.51266666666663</v>
      </c>
      <c r="E63" s="26">
        <f>AVERAGE(E54:E62)</f>
        <v>309.8098888888889</v>
      </c>
      <c r="F63" s="26">
        <f>AVERAGE(F54:F62)</f>
        <v>203.09122222222223</v>
      </c>
      <c r="G63" s="26">
        <f>AVERAGE(G54:G62)</f>
        <v>95.56944444444444</v>
      </c>
      <c r="H63" s="26">
        <f>AVERAGE(H54:H62)</f>
        <v>37.68266666666667</v>
      </c>
      <c r="I63" s="26">
        <f>AVERAGE(I54:I62)</f>
        <v>39.20988888888889</v>
      </c>
      <c r="J63" s="26">
        <f>AVERAGE(J54:J62)</f>
        <v>35.56933333333333</v>
      </c>
      <c r="K63" s="26">
        <f>AVERAGE(K54:K62)</f>
        <v>19.645222222222223</v>
      </c>
      <c r="L63" s="26">
        <f>AVERAGE(L54:L62)</f>
        <v>61.220333333333336</v>
      </c>
      <c r="M63" s="26">
        <f>AVERAGE(M54:M62)</f>
        <v>144.0458888888889</v>
      </c>
      <c r="N63" s="26">
        <f>AVERAGE(N54:N62)</f>
        <v>276.933</v>
      </c>
      <c r="O63" s="26">
        <f>SUM(C63:N63)</f>
        <v>1718.7604444444444</v>
      </c>
    </row>
    <row r="65">
      <c r="A65" s="8" t="inlineStr">
        <is>
          <t xml:space="preserve">Neutral (4 seasons)</t>
        </is>
      </c>
    </row>
    <row r="66">
      <c r="A66" s="21" t="inlineStr">
        <is>
          <t xml:space="preserve">2012/13</t>
        </is>
      </c>
      <c r="B66" s="21" t="inlineStr">
        <is>
          <t xml:space="preserve">Neutral</t>
        </is>
      </c>
      <c r="C66" s="4">
        <f>INDEX(Monthly!$Z:$Z,MATCH("2012-07",Monthly!$A:$A,0))</f>
        <v>160.3</v>
      </c>
      <c r="D66" s="4">
        <f>INDEX(Monthly!$Z:$Z,MATCH("2012-08",Monthly!$A:$A,0))</f>
        <v>432.106</v>
      </c>
      <c r="E66" s="4">
        <f>INDEX(Monthly!$Z:$Z,MATCH("2012-09",Monthly!$A:$A,0))</f>
        <v>171.05</v>
      </c>
      <c r="F66" s="4">
        <f>INDEX(Monthly!$Z:$Z,MATCH("2012-10",Monthly!$A:$A,0))</f>
        <v>155.693</v>
      </c>
      <c r="G66" s="4">
        <f>INDEX(Monthly!$Z:$Z,MATCH("2012-11",Monthly!$A:$A,0))</f>
        <v>65.07</v>
      </c>
      <c r="H66" s="4">
        <f>INDEX(Monthly!$Z:$Z,MATCH("2012-12",Monthly!$A:$A,0))</f>
        <v>44.233</v>
      </c>
      <c r="I66" s="4">
        <f>INDEX(Monthly!$Z:$Z,MATCH("2013-01",Monthly!$A:$A,0))</f>
        <v>39.416</v>
      </c>
      <c r="J66" s="4">
        <f>INDEX(Monthly!$Z:$Z,MATCH("2013-02",Monthly!$A:$A,0))</f>
        <v>17.454</v>
      </c>
      <c r="K66" s="4">
        <f>INDEX(Monthly!$Z:$Z,MATCH("2013-03",Monthly!$A:$A,0))</f>
        <v>43.138</v>
      </c>
      <c r="L66" s="4">
        <f>INDEX(Monthly!$Z:$Z,MATCH("2013-04",Monthly!$A:$A,0))</f>
        <v>13.709</v>
      </c>
      <c r="M66" s="4">
        <f>INDEX(Monthly!$Z:$Z,MATCH("2013-05",Monthly!$A:$A,0))</f>
        <v>142.103</v>
      </c>
      <c r="N66" s="4">
        <f>INDEX(Monthly!$Z:$Z,MATCH("2013-06",Monthly!$A:$A,0))</f>
        <v>104.458</v>
      </c>
      <c r="O66" s="24">
        <f>SUM(C66:N66)</f>
        <v>1388.7299999999998</v>
      </c>
    </row>
    <row r="67">
      <c r="A67" s="21" t="inlineStr">
        <is>
          <t xml:space="preserve">2013/14</t>
        </is>
      </c>
      <c r="B67" s="21" t="inlineStr">
        <is>
          <t xml:space="preserve">Neutral</t>
        </is>
      </c>
      <c r="C67" s="4">
        <f>INDEX(Monthly!$Z:$Z,MATCH("2013-07",Monthly!$A:$A,0))</f>
        <v>215.164</v>
      </c>
      <c r="D67" s="4">
        <f>INDEX(Monthly!$Z:$Z,MATCH("2013-08",Monthly!$A:$A,0))</f>
        <v>166.868</v>
      </c>
      <c r="E67" s="4">
        <f>INDEX(Monthly!$Z:$Z,MATCH("2013-09",Monthly!$A:$A,0))</f>
        <v>242.385</v>
      </c>
      <c r="F67" s="4">
        <f>INDEX(Monthly!$Z:$Z,MATCH("2013-10",Monthly!$A:$A,0))</f>
        <v>213.047</v>
      </c>
      <c r="G67" s="4">
        <f>INDEX(Monthly!$Z:$Z,MATCH("2013-11",Monthly!$A:$A,0))</f>
        <v>72.308</v>
      </c>
      <c r="H67" s="4">
        <f>INDEX(Monthly!$Z:$Z,MATCH("2013-12",Monthly!$A:$A,0))</f>
        <v>45.244</v>
      </c>
      <c r="I67" s="4">
        <f>INDEX(Monthly!$Z:$Z,MATCH("2014-01",Monthly!$A:$A,0))</f>
        <v>54.136</v>
      </c>
      <c r="J67" s="4">
        <f>INDEX(Monthly!$Z:$Z,MATCH("2014-02",Monthly!$A:$A,0))</f>
        <v>22.302</v>
      </c>
      <c r="K67" s="4">
        <f>INDEX(Monthly!$Z:$Z,MATCH("2014-03",Monthly!$A:$A,0))</f>
        <v>65.599</v>
      </c>
      <c r="L67" s="4">
        <f>INDEX(Monthly!$Z:$Z,MATCH("2014-04",Monthly!$A:$A,0))</f>
        <v>14.354</v>
      </c>
      <c r="M67" s="4">
        <f>INDEX(Monthly!$Z:$Z,MATCH("2014-05",Monthly!$A:$A,0))</f>
        <v>142.846</v>
      </c>
      <c r="N67" s="4">
        <f>INDEX(Monthly!$Z:$Z,MATCH("2014-06",Monthly!$A:$A,0))</f>
        <v>203.678</v>
      </c>
      <c r="O67" s="24">
        <f>SUM(C67:N67)</f>
        <v>1457.931</v>
      </c>
    </row>
    <row r="68">
      <c r="A68" s="21" t="inlineStr">
        <is>
          <t xml:space="preserve">2016/17</t>
        </is>
      </c>
      <c r="B68" s="21" t="inlineStr">
        <is>
          <t xml:space="preserve">Neutral</t>
        </is>
      </c>
      <c r="C68" s="4">
        <f>INDEX(Monthly!$Z:$Z,MATCH("2016-07",Monthly!$A:$A,0))</f>
        <v>113.312</v>
      </c>
      <c r="D68" s="4">
        <f>INDEX(Monthly!$Z:$Z,MATCH("2016-08",Monthly!$A:$A,0))</f>
        <v>182.094</v>
      </c>
      <c r="E68" s="4">
        <f>INDEX(Monthly!$Z:$Z,MATCH("2016-09",Monthly!$A:$A,0))</f>
        <v>309.184</v>
      </c>
      <c r="F68" s="4">
        <f>INDEX(Monthly!$Z:$Z,MATCH("2016-10",Monthly!$A:$A,0))</f>
        <v>54.179</v>
      </c>
      <c r="G68" s="4">
        <f>INDEX(Monthly!$Z:$Z,MATCH("2016-11",Monthly!$A:$A,0))</f>
        <v>79.954</v>
      </c>
      <c r="H68" s="4">
        <f>INDEX(Monthly!$Z:$Z,MATCH("2016-12",Monthly!$A:$A,0))</f>
        <v>50.416</v>
      </c>
      <c r="I68" s="4">
        <f>INDEX(Monthly!$Z:$Z,MATCH("2017-01",Monthly!$A:$A,0))</f>
        <v>32.38</v>
      </c>
      <c r="J68" s="4">
        <f>INDEX(Monthly!$Z:$Z,MATCH("2017-02",Monthly!$A:$A,0))</f>
        <v>6.274</v>
      </c>
      <c r="K68" s="4">
        <f>INDEX(Monthly!$Z:$Z,MATCH("2017-03",Monthly!$A:$A,0))</f>
        <v>38.13</v>
      </c>
      <c r="L68" s="4">
        <f>INDEX(Monthly!$Z:$Z,MATCH("2017-04",Monthly!$A:$A,0))</f>
        <v>74.726</v>
      </c>
      <c r="M68" s="4">
        <f>INDEX(Monthly!$Z:$Z,MATCH("2017-05",Monthly!$A:$A,0))</f>
        <v>264.116</v>
      </c>
      <c r="N68" s="4">
        <f>INDEX(Monthly!$Z:$Z,MATCH("2017-06",Monthly!$A:$A,0))</f>
        <v>432.015</v>
      </c>
      <c r="O68" s="24">
        <f>SUM(C68:N68)</f>
        <v>1636.7799999999997</v>
      </c>
    </row>
    <row r="69">
      <c r="A69" s="21" t="inlineStr">
        <is>
          <t xml:space="preserve">2024/25</t>
        </is>
      </c>
      <c r="B69" s="21" t="inlineStr">
        <is>
          <t xml:space="preserve">Neutral</t>
        </is>
      </c>
      <c r="C69" s="4">
        <f>INDEX(Monthly!$Z:$Z,MATCH("2024-07",Monthly!$A:$A,0))</f>
        <v>202.26287402579305</v>
      </c>
      <c r="D69" s="4">
        <f>INDEX(Monthly!$Z:$Z,MATCH("2024-08",Monthly!$A:$A,0))</f>
        <v>153.3569251364185</v>
      </c>
      <c r="E69" s="4">
        <f>INDEX(Monthly!$Z:$Z,MATCH("2024-09",Monthly!$A:$A,0))</f>
        <v>270.2506058828964</v>
      </c>
      <c r="F69" s="4">
        <f>INDEX(Monthly!$Z:$Z,MATCH("2024-10",Monthly!$A:$A,0))</f>
        <v>69.746438273006</v>
      </c>
      <c r="G69" s="4">
        <f>INDEX(Monthly!$Z:$Z,MATCH("2024-11",Monthly!$A:$A,0))</f>
        <v>156.09056808820733</v>
      </c>
      <c r="H69" s="4">
        <f>INDEX(Monthly!$Z:$Z,MATCH("2024-12",Monthly!$A:$A,0))</f>
        <v>71.72774608026265</v>
      </c>
      <c r="I69" s="4">
        <f>INDEX(Monthly!$Z:$Z,MATCH("2025-01",Monthly!$A:$A,0))</f>
        <v>37.72360469334802</v>
      </c>
      <c r="J69" s="4">
        <f>INDEX(Monthly!$Z:$Z,MATCH("2025-02",Monthly!$A:$A,0))</f>
        <v>19.643369980208135</v>
      </c>
      <c r="K69" s="4">
        <f>INDEX(Monthly!$Z:$Z,MATCH("2025-03",Monthly!$A:$A,0))</f>
        <v>14.559485294117646</v>
      </c>
      <c r="L69" s="4">
        <f>INDEX(Monthly!$Z:$Z,MATCH("2025-04",Monthly!$A:$A,0))</f>
        <v>36.10011167160847</v>
      </c>
      <c r="M69" s="4">
        <f>INDEX(Monthly!$Z:$Z,MATCH("2025-05",Monthly!$A:$A,0))</f>
        <v>80.8816573811043</v>
      </c>
      <c r="N69" s="4">
        <f>INDEX(Monthly!$Z:$Z,MATCH("2025-06",Monthly!$A:$A,0))</f>
        <v>410.257467432984</v>
      </c>
      <c r="O69" s="24">
        <f>SUM(C69:N69)</f>
        <v>1522.6008539399545</v>
      </c>
    </row>
    <row r="70">
      <c r="A70" s="8" t="inlineStr">
        <is>
          <t xml:space="preserve">Average Neutral</t>
        </is>
      </c>
      <c r="B70" s="8" t="inlineStr">
        <is>
          <t xml:space="preserve">4 seasons</t>
        </is>
      </c>
      <c r="C70" s="27">
        <f>AVERAGE(C66:C69)</f>
        <v>172.75971850644825</v>
      </c>
      <c r="D70" s="27">
        <f>AVERAGE(D66:D69)</f>
        <v>233.60623128410464</v>
      </c>
      <c r="E70" s="27">
        <f>AVERAGE(E66:E69)</f>
        <v>248.2174014707241</v>
      </c>
      <c r="F70" s="27">
        <f>AVERAGE(F66:F69)</f>
        <v>123.16635956825151</v>
      </c>
      <c r="G70" s="27">
        <f>AVERAGE(G66:G69)</f>
        <v>93.35564202205182</v>
      </c>
      <c r="H70" s="27">
        <f>AVERAGE(H66:H69)</f>
        <v>52.90518652006566</v>
      </c>
      <c r="I70" s="27">
        <f>AVERAGE(I66:I69)</f>
        <v>40.91390117333701</v>
      </c>
      <c r="J70" s="27">
        <f>AVERAGE(J66:J69)</f>
        <v>16.418342495052034</v>
      </c>
      <c r="K70" s="27">
        <f>AVERAGE(K66:K69)</f>
        <v>40.35662132352941</v>
      </c>
      <c r="L70" s="27">
        <f>AVERAGE(L66:L69)</f>
        <v>34.72227791790212</v>
      </c>
      <c r="M70" s="27">
        <f>AVERAGE(M66:M69)</f>
        <v>157.48666434527607</v>
      </c>
      <c r="N70" s="27">
        <f>AVERAGE(N66:N69)</f>
        <v>287.602116858246</v>
      </c>
      <c r="O70" s="27">
        <f>SUM(C70:N70)</f>
        <v>1501.5104634849886</v>
      </c>
    </row>
    <row r="72">
      <c r="A72" s="23" t="inlineStr">
        <is>
          <t xml:space="preserve">After the photo window (not in the averages)</t>
        </is>
      </c>
    </row>
    <row r="73">
      <c r="A73" s="21" t="inlineStr">
        <is>
          <t xml:space="preserve">2025/26</t>
        </is>
      </c>
      <c r="B73" s="21" t="inlineStr">
        <is>
          <t xml:space="preserve">Neutral</t>
        </is>
      </c>
      <c r="C73" s="4">
        <f>INDEX(Monthly!$Z:$Z,MATCH("2025-07",Monthly!$A:$A,0))</f>
        <v>185.66192649449872</v>
      </c>
      <c r="D73" s="4">
        <f>INDEX(Monthly!$Z:$Z,MATCH("2025-08",Monthly!$A:$A,0))</f>
        <v>155.02470636859707</v>
      </c>
      <c r="E73" s="4">
        <f>INDEX(Monthly!$Z:$Z,MATCH("2025-09",Monthly!$A:$A,0))</f>
        <v>304.86830427730354</v>
      </c>
      <c r="F73" s="4">
        <f>INDEX(Monthly!$Z:$Z,MATCH("2025-10",Monthly!$A:$A,0))</f>
        <v>190.62378777889464</v>
      </c>
      <c r="G73" s="4">
        <f>INDEX(Monthly!$Z:$Z,MATCH("2025-11",Monthly!$A:$A,0))</f>
        <v>36.89326717782988</v>
      </c>
      <c r="H73" s="4">
        <f>INDEX(Monthly!$Z:$Z,MATCH("2025-12",Monthly!$A:$A,0))</f>
        <v>62.13650251882041</v>
      </c>
      <c r="I73" s="4">
        <f>INDEX(Monthly!$Z:$Z,MATCH("2026-01",Monthly!$A:$A,0))</f>
        <v>66.86466019149961</v>
      </c>
      <c r="J73" s="4">
        <f>INDEX(Monthly!$Z:$Z,MATCH("2026-02",Monthly!$A:$A,0))</f>
        <v>27.82389938070612</v>
      </c>
      <c r="K73" s="4">
        <f>INDEX(Monthly!$Z:$Z,MATCH("2026-03",Monthly!$A:$A,0))</f>
        <v>34.19836996904024</v>
      </c>
      <c r="L73" s="4">
        <f>INDEX(Monthly!$Z:$Z,MATCH("2026-04",Monthly!$A:$A,0))</f>
        <v>56.78474636425483</v>
      </c>
      <c r="M73" s="4">
        <f>INDEX(Monthly!$Z:$Z,MATCH("2026-05",Monthly!$A:$A,0))</f>
        <v>112.48179429580358</v>
      </c>
      <c r="N73" s="4">
        <f>INDEX(Monthly!$Z:$Z,MATCH("2026-06",Monthly!$A:$A,0))</f>
        <v>192.28628245609397</v>
      </c>
      <c r="O73" s="24">
        <f>SUM(C73:N73)</f>
        <v>1425.6482472733426</v>
      </c>
    </row>
    <row r="74">
      <c r="A74" s="6" t="inlineStr">
        <is>
          <t xml:space="preserve">2026/27</t>
        </is>
      </c>
      <c r="B74" s="6" t="inlineStr">
        <is>
          <t xml:space="preserve">El Niño (in progress)</t>
        </is>
      </c>
      <c r="C74" s="4">
        <f>INDEX(Monthly!$Z:$Z,MATCH("2026-07",Monthly!$A:$A,0))</f>
        <v>123.82579592128445</v>
      </c>
      <c r="D74" s="4">
        <f>INDEX(Monthly!$Z:$Z,MATCH("2026-08",Monthly!$A:$A,0))</f>
        <v>69.3362777354232</v>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3.2"/>
  <cols>
    <col min="1" max="1" width="44" customWidth="1"/>
    <col min="2" max="2" width="9" customWidth="1"/>
    <col min="3" max="3" width="20" customWidth="1"/>
    <col min="4" max="4" width="10" customWidth="1"/>
    <col min="5" max="5" width="7" customWidth="1"/>
    <col min="6" max="6" width="10" customWidth="1"/>
    <col min="7" max="7" width="9" customWidth="1"/>
    <col min="8" max="8" width="9" customWidth="1"/>
    <col min="9" max="9" width="12" customWidth="1"/>
    <col min="10" max="10" width="11" customWidth="1"/>
  </cols>
  <sheetData>
    <row r="1">
      <c r="A1" s="1" t="inlineStr">
        <is>
          <t xml:space="preserve">Location</t>
        </is>
      </c>
      <c r="B1" s="1" t="inlineStr">
        <is>
          <t xml:space="preserve">Season</t>
        </is>
      </c>
      <c r="C1" s="1" t="inlineStr">
        <is>
          <t xml:space="preserve">Phase</t>
        </is>
      </c>
      <c r="D1" s="1" t="inlineStr">
        <is>
          <t xml:space="preserve">In photo window</t>
        </is>
      </c>
      <c r="E1" s="1" t="inlineStr">
        <is>
          <t xml:space="preserve">Month</t>
        </is>
      </c>
      <c r="F1" s="1" t="inlineStr">
        <is>
          <t xml:space="preserve">Month order (Jul = 1)</t>
        </is>
      </c>
      <c r="G1" s="1" t="inlineStr">
        <is>
          <t xml:space="preserve">Calendar year</t>
        </is>
      </c>
      <c r="H1" s="1" t="inlineStr">
        <is>
          <t xml:space="preserve">Month key</t>
        </is>
      </c>
      <c r="I1" s="1" t="inlineStr">
        <is>
          <t xml:space="preserve">Mean temperature (°C)</t>
        </is>
      </c>
      <c r="J1" s="1" t="inlineStr">
        <is>
          <t xml:space="preserve">Rainfall (mm)</t>
        </is>
      </c>
    </row>
    <row r="2">
      <c r="A2" t="inlineStr">
        <is>
          <t xml:space="preserve">Honduras, mean of 3 towns (Comayagua, Ocotepeque, Copán)</t>
        </is>
      </c>
      <c r="B2" t="inlineStr">
        <is>
          <t xml:space="preserve">2005/06</t>
        </is>
      </c>
      <c r="C2" t="inlineStr">
        <is>
          <t xml:space="preserve">La Niña</t>
        </is>
      </c>
      <c r="D2" t="inlineStr">
        <is>
          <t xml:space="preserve">yes</t>
        </is>
      </c>
      <c r="E2" t="inlineStr">
        <is>
          <t xml:space="preserve">Jul</t>
        </is>
      </c>
      <c r="F2">
        <v>1</v>
      </c>
      <c r="G2">
        <v>2005</v>
      </c>
      <c r="H2" t="inlineStr">
        <is>
          <t xml:space="preserve">2005-07</t>
        </is>
      </c>
      <c r="I2" s="3">
        <f>INDEX(Monthly!$AF:$AF,MATCH(H2,Monthly!$A:$A,0))</f>
        <v>22.663440860215047</v>
      </c>
      <c r="J2" s="4">
        <f>INDEX(Monthly!$AE:$AE,MATCH(H2,Monthly!$A:$A,0))</f>
        <v>139.01733333333334</v>
      </c>
    </row>
    <row r="3">
      <c r="A3" t="inlineStr">
        <is>
          <t xml:space="preserve">Honduras, mean of 3 towns (Comayagua, Ocotepeque, Copán)</t>
        </is>
      </c>
      <c r="B3" t="inlineStr">
        <is>
          <t xml:space="preserve">2005/06</t>
        </is>
      </c>
      <c r="C3" t="inlineStr">
        <is>
          <t xml:space="preserve">La Niña</t>
        </is>
      </c>
      <c r="D3" t="inlineStr">
        <is>
          <t xml:space="preserve">yes</t>
        </is>
      </c>
      <c r="E3" t="inlineStr">
        <is>
          <t xml:space="preserve">Aug</t>
        </is>
      </c>
      <c r="F3">
        <v>2</v>
      </c>
      <c r="G3">
        <v>2005</v>
      </c>
      <c r="H3" t="inlineStr">
        <is>
          <t xml:space="preserve">2005-08</t>
        </is>
      </c>
      <c r="I3" s="3">
        <f>INDEX(Monthly!$AF:$AF,MATCH(H3,Monthly!$A:$A,0))</f>
        <v>22.784408602150545</v>
      </c>
      <c r="J3" s="4">
        <f>INDEX(Monthly!$AE:$AE,MATCH(H3,Monthly!$A:$A,0))</f>
        <v>155.90533333333335</v>
      </c>
    </row>
    <row r="4">
      <c r="A4" t="inlineStr">
        <is>
          <t xml:space="preserve">Honduras, mean of 3 towns (Comayagua, Ocotepeque, Copán)</t>
        </is>
      </c>
      <c r="B4" t="inlineStr">
        <is>
          <t xml:space="preserve">2005/06</t>
        </is>
      </c>
      <c r="C4" t="inlineStr">
        <is>
          <t xml:space="preserve">La Niña</t>
        </is>
      </c>
      <c r="D4" t="inlineStr">
        <is>
          <t xml:space="preserve">yes</t>
        </is>
      </c>
      <c r="E4" t="inlineStr">
        <is>
          <t xml:space="preserve">Sep</t>
        </is>
      </c>
      <c r="F4">
        <v>3</v>
      </c>
      <c r="G4">
        <v>2005</v>
      </c>
      <c r="H4" t="inlineStr">
        <is>
          <t xml:space="preserve">2005-09</t>
        </is>
      </c>
      <c r="I4" s="3">
        <f>INDEX(Monthly!$AF:$AF,MATCH(H4,Monthly!$A:$A,0))</f>
        <v>22.38811111111111</v>
      </c>
      <c r="J4" s="4">
        <f>INDEX(Monthly!$AE:$AE,MATCH(H4,Monthly!$A:$A,0))</f>
        <v>199.99333333333334</v>
      </c>
    </row>
    <row r="5">
      <c r="A5" t="inlineStr">
        <is>
          <t xml:space="preserve">Honduras, mean of 3 towns (Comayagua, Ocotepeque, Copán)</t>
        </is>
      </c>
      <c r="B5" t="inlineStr">
        <is>
          <t xml:space="preserve">2005/06</t>
        </is>
      </c>
      <c r="C5" t="inlineStr">
        <is>
          <t xml:space="preserve">La Niña</t>
        </is>
      </c>
      <c r="D5" t="inlineStr">
        <is>
          <t xml:space="preserve">yes</t>
        </is>
      </c>
      <c r="E5" t="inlineStr">
        <is>
          <t xml:space="preserve">Oct</t>
        </is>
      </c>
      <c r="F5">
        <v>4</v>
      </c>
      <c r="G5">
        <v>2005</v>
      </c>
      <c r="H5" t="inlineStr">
        <is>
          <t xml:space="preserve">2005-10</t>
        </is>
      </c>
      <c r="I5" s="3">
        <f>INDEX(Monthly!$AF:$AF,MATCH(H5,Monthly!$A:$A,0))</f>
        <v>21.018387096774195</v>
      </c>
      <c r="J5" s="4">
        <f>INDEX(Monthly!$AE:$AE,MATCH(H5,Monthly!$A:$A,0))</f>
        <v>104.91933333333333</v>
      </c>
    </row>
    <row r="6">
      <c r="A6" t="inlineStr">
        <is>
          <t xml:space="preserve">Honduras, mean of 3 towns (Comayagua, Ocotepeque, Copán)</t>
        </is>
      </c>
      <c r="B6" t="inlineStr">
        <is>
          <t xml:space="preserve">2005/06</t>
        </is>
      </c>
      <c r="C6" t="inlineStr">
        <is>
          <t xml:space="preserve">La Niña</t>
        </is>
      </c>
      <c r="D6" t="inlineStr">
        <is>
          <t xml:space="preserve">yes</t>
        </is>
      </c>
      <c r="E6" t="inlineStr">
        <is>
          <t xml:space="preserve">Nov</t>
        </is>
      </c>
      <c r="F6">
        <v>5</v>
      </c>
      <c r="G6">
        <v>2005</v>
      </c>
      <c r="H6" t="inlineStr">
        <is>
          <t xml:space="preserve">2005-11</t>
        </is>
      </c>
      <c r="I6" s="3">
        <f>INDEX(Monthly!$AF:$AF,MATCH(H6,Monthly!$A:$A,0))</f>
        <v>19.830444444444446</v>
      </c>
      <c r="J6" s="4">
        <f>INDEX(Monthly!$AE:$AE,MATCH(H6,Monthly!$A:$A,0))</f>
        <v>16.416333333333334</v>
      </c>
    </row>
    <row r="7">
      <c r="A7" t="inlineStr">
        <is>
          <t xml:space="preserve">Honduras, mean of 3 towns (Comayagua, Ocotepeque, Copán)</t>
        </is>
      </c>
      <c r="B7" t="inlineStr">
        <is>
          <t xml:space="preserve">2005/06</t>
        </is>
      </c>
      <c r="C7" t="inlineStr">
        <is>
          <t xml:space="preserve">La Niña</t>
        </is>
      </c>
      <c r="D7" t="inlineStr">
        <is>
          <t xml:space="preserve">yes</t>
        </is>
      </c>
      <c r="E7" t="inlineStr">
        <is>
          <t xml:space="preserve">Dec</t>
        </is>
      </c>
      <c r="F7">
        <v>6</v>
      </c>
      <c r="G7">
        <v>2005</v>
      </c>
      <c r="H7" t="inlineStr">
        <is>
          <t xml:space="preserve">2005-12</t>
        </is>
      </c>
      <c r="I7" s="3">
        <f>INDEX(Monthly!$AF:$AF,MATCH(H7,Monthly!$A:$A,0))</f>
        <v>20.398172043010753</v>
      </c>
      <c r="J7" s="4">
        <f>INDEX(Monthly!$AE:$AE,MATCH(H7,Monthly!$A:$A,0))</f>
        <v>21.50466666666667</v>
      </c>
    </row>
    <row r="8">
      <c r="A8" t="inlineStr">
        <is>
          <t xml:space="preserve">Honduras, mean of 3 towns (Comayagua, Ocotepeque, Copán)</t>
        </is>
      </c>
      <c r="B8" t="inlineStr">
        <is>
          <t xml:space="preserve">2005/06</t>
        </is>
      </c>
      <c r="C8" t="inlineStr">
        <is>
          <t xml:space="preserve">La Niña</t>
        </is>
      </c>
      <c r="D8" t="inlineStr">
        <is>
          <t xml:space="preserve">yes</t>
        </is>
      </c>
      <c r="E8" t="inlineStr">
        <is>
          <t xml:space="preserve">Jan</t>
        </is>
      </c>
      <c r="F8">
        <v>7</v>
      </c>
      <c r="G8">
        <v>2006</v>
      </c>
      <c r="H8" t="inlineStr">
        <is>
          <t xml:space="preserve">2006-01</t>
        </is>
      </c>
      <c r="I8" s="3">
        <f>INDEX(Monthly!$AF:$AF,MATCH(H8,Monthly!$A:$A,0))</f>
        <v>20.128924731182796</v>
      </c>
      <c r="J8" s="4">
        <f>INDEX(Monthly!$AE:$AE,MATCH(H8,Monthly!$A:$A,0))</f>
        <v>20.605999999999998</v>
      </c>
    </row>
    <row r="9">
      <c r="A9" t="inlineStr">
        <is>
          <t xml:space="preserve">Honduras, mean of 3 towns (Comayagua, Ocotepeque, Copán)</t>
        </is>
      </c>
      <c r="B9" t="inlineStr">
        <is>
          <t xml:space="preserve">2005/06</t>
        </is>
      </c>
      <c r="C9" t="inlineStr">
        <is>
          <t xml:space="preserve">La Niña</t>
        </is>
      </c>
      <c r="D9" t="inlineStr">
        <is>
          <t xml:space="preserve">yes</t>
        </is>
      </c>
      <c r="E9" t="inlineStr">
        <is>
          <t xml:space="preserve">Feb</t>
        </is>
      </c>
      <c r="F9">
        <v>8</v>
      </c>
      <c r="G9">
        <v>2006</v>
      </c>
      <c r="H9" t="inlineStr">
        <is>
          <t xml:space="preserve">2006-02</t>
        </is>
      </c>
      <c r="I9" s="3">
        <f>INDEX(Monthly!$AF:$AF,MATCH(H9,Monthly!$A:$A,0))</f>
        <v>20.368690476190476</v>
      </c>
      <c r="J9" s="4">
        <f>INDEX(Monthly!$AE:$AE,MATCH(H9,Monthly!$A:$A,0))</f>
        <v>5.604</v>
      </c>
    </row>
    <row r="10">
      <c r="A10" t="inlineStr">
        <is>
          <t xml:space="preserve">Honduras, mean of 3 towns (Comayagua, Ocotepeque, Copán)</t>
        </is>
      </c>
      <c r="B10" t="inlineStr">
        <is>
          <t xml:space="preserve">2005/06</t>
        </is>
      </c>
      <c r="C10" t="inlineStr">
        <is>
          <t xml:space="preserve">La Niña</t>
        </is>
      </c>
      <c r="D10" t="inlineStr">
        <is>
          <t xml:space="preserve">yes</t>
        </is>
      </c>
      <c r="E10" t="inlineStr">
        <is>
          <t xml:space="preserve">Mar</t>
        </is>
      </c>
      <c r="F10">
        <v>9</v>
      </c>
      <c r="G10">
        <v>2006</v>
      </c>
      <c r="H10" t="inlineStr">
        <is>
          <t xml:space="preserve">2006-03</t>
        </is>
      </c>
      <c r="I10" s="3">
        <f>INDEX(Monthly!$AF:$AF,MATCH(H10,Monthly!$A:$A,0))</f>
        <v>22.834731182795693</v>
      </c>
      <c r="J10" s="4">
        <f>INDEX(Monthly!$AE:$AE,MATCH(H10,Monthly!$A:$A,0))</f>
        <v>5.2956666666666665</v>
      </c>
    </row>
    <row r="11">
      <c r="A11" t="inlineStr">
        <is>
          <t xml:space="preserve">Honduras, mean of 3 towns (Comayagua, Ocotepeque, Copán)</t>
        </is>
      </c>
      <c r="B11" t="inlineStr">
        <is>
          <t xml:space="preserve">2005/06</t>
        </is>
      </c>
      <c r="C11" t="inlineStr">
        <is>
          <t xml:space="preserve">La Niña</t>
        </is>
      </c>
      <c r="D11" t="inlineStr">
        <is>
          <t xml:space="preserve">yes</t>
        </is>
      </c>
      <c r="E11" t="inlineStr">
        <is>
          <t xml:space="preserve">Apr</t>
        </is>
      </c>
      <c r="F11">
        <v>10</v>
      </c>
      <c r="G11">
        <v>2006</v>
      </c>
      <c r="H11" t="inlineStr">
        <is>
          <t xml:space="preserve">2006-04</t>
        </is>
      </c>
      <c r="I11" s="3">
        <f>INDEX(Monthly!$AF:$AF,MATCH(H11,Monthly!$A:$A,0))</f>
        <v>24.13911111111111</v>
      </c>
      <c r="J11" s="4">
        <f>INDEX(Monthly!$AE:$AE,MATCH(H11,Monthly!$A:$A,0))</f>
        <v>41.95733333333333</v>
      </c>
    </row>
    <row r="12">
      <c r="A12" t="inlineStr">
        <is>
          <t xml:space="preserve">Honduras, mean of 3 towns (Comayagua, Ocotepeque, Copán)</t>
        </is>
      </c>
      <c r="B12" t="inlineStr">
        <is>
          <t xml:space="preserve">2005/06</t>
        </is>
      </c>
      <c r="C12" t="inlineStr">
        <is>
          <t xml:space="preserve">La Niña</t>
        </is>
      </c>
      <c r="D12" t="inlineStr">
        <is>
          <t xml:space="preserve">yes</t>
        </is>
      </c>
      <c r="E12" t="inlineStr">
        <is>
          <t xml:space="preserve">May</t>
        </is>
      </c>
      <c r="F12">
        <v>11</v>
      </c>
      <c r="G12">
        <v>2006</v>
      </c>
      <c r="H12" t="inlineStr">
        <is>
          <t xml:space="preserve">2006-05</t>
        </is>
      </c>
      <c r="I12" s="3">
        <f>INDEX(Monthly!$AF:$AF,MATCH(H12,Monthly!$A:$A,0))</f>
        <v>24.481720430107526</v>
      </c>
      <c r="J12" s="4">
        <f>INDEX(Monthly!$AE:$AE,MATCH(H12,Monthly!$A:$A,0))</f>
        <v>116.61500000000001</v>
      </c>
    </row>
    <row r="13">
      <c r="A13" t="inlineStr">
        <is>
          <t xml:space="preserve">Honduras, mean of 3 towns (Comayagua, Ocotepeque, Copán)</t>
        </is>
      </c>
      <c r="B13" t="inlineStr">
        <is>
          <t xml:space="preserve">2005/06</t>
        </is>
      </c>
      <c r="C13" t="inlineStr">
        <is>
          <t xml:space="preserve">La Niña</t>
        </is>
      </c>
      <c r="D13" t="inlineStr">
        <is>
          <t xml:space="preserve">yes</t>
        </is>
      </c>
      <c r="E13" t="inlineStr">
        <is>
          <t xml:space="preserve">Jun</t>
        </is>
      </c>
      <c r="F13">
        <v>12</v>
      </c>
      <c r="G13">
        <v>2006</v>
      </c>
      <c r="H13" t="inlineStr">
        <is>
          <t xml:space="preserve">2006-06</t>
        </is>
      </c>
      <c r="I13" s="3">
        <f>INDEX(Monthly!$AF:$AF,MATCH(H13,Monthly!$A:$A,0))</f>
        <v>22.454222222222224</v>
      </c>
      <c r="J13" s="4">
        <f>INDEX(Monthly!$AE:$AE,MATCH(H13,Monthly!$A:$A,0))</f>
        <v>235.36866666666666</v>
      </c>
    </row>
    <row r="14">
      <c r="A14" t="inlineStr">
        <is>
          <t xml:space="preserve">Honduras, mean of 3 towns (Comayagua, Ocotepeque, Copán)</t>
        </is>
      </c>
      <c r="B14" t="inlineStr">
        <is>
          <t xml:space="preserve">2006/07</t>
        </is>
      </c>
      <c r="C14" t="inlineStr">
        <is>
          <t xml:space="preserve">El Niño</t>
        </is>
      </c>
      <c r="D14" t="inlineStr">
        <is>
          <t xml:space="preserve">yes</t>
        </is>
      </c>
      <c r="E14" t="inlineStr">
        <is>
          <t xml:space="preserve">Jul</t>
        </is>
      </c>
      <c r="F14">
        <v>1</v>
      </c>
      <c r="G14">
        <v>2006</v>
      </c>
      <c r="H14" t="inlineStr">
        <is>
          <t xml:space="preserve">2006-07</t>
        </is>
      </c>
      <c r="I14" s="3">
        <f>INDEX(Monthly!$AF:$AF,MATCH(H14,Monthly!$A:$A,0))</f>
        <v>22.467849462365592</v>
      </c>
      <c r="J14" s="4">
        <f>INDEX(Monthly!$AE:$AE,MATCH(H14,Monthly!$A:$A,0))</f>
        <v>164.15433333333334</v>
      </c>
    </row>
    <row r="15">
      <c r="A15" t="inlineStr">
        <is>
          <t xml:space="preserve">Honduras, mean of 3 towns (Comayagua, Ocotepeque, Copán)</t>
        </is>
      </c>
      <c r="B15" t="inlineStr">
        <is>
          <t xml:space="preserve">2006/07</t>
        </is>
      </c>
      <c r="C15" t="inlineStr">
        <is>
          <t xml:space="preserve">El Niño</t>
        </is>
      </c>
      <c r="D15" t="inlineStr">
        <is>
          <t xml:space="preserve">yes</t>
        </is>
      </c>
      <c r="E15" t="inlineStr">
        <is>
          <t xml:space="preserve">Aug</t>
        </is>
      </c>
      <c r="F15">
        <v>2</v>
      </c>
      <c r="G15">
        <v>2006</v>
      </c>
      <c r="H15" t="inlineStr">
        <is>
          <t xml:space="preserve">2006-08</t>
        </is>
      </c>
      <c r="I15" s="3">
        <f>INDEX(Monthly!$AF:$AF,MATCH(H15,Monthly!$A:$A,0))</f>
        <v>22.804623655913982</v>
      </c>
      <c r="J15" s="4">
        <f>INDEX(Monthly!$AE:$AE,MATCH(H15,Monthly!$A:$A,0))</f>
        <v>131.59133333333332</v>
      </c>
    </row>
    <row r="16">
      <c r="A16" t="inlineStr">
        <is>
          <t xml:space="preserve">Honduras, mean of 3 towns (Comayagua, Ocotepeque, Copán)</t>
        </is>
      </c>
      <c r="B16" t="inlineStr">
        <is>
          <t xml:space="preserve">2006/07</t>
        </is>
      </c>
      <c r="C16" t="inlineStr">
        <is>
          <t xml:space="preserve">El Niño</t>
        </is>
      </c>
      <c r="D16" t="inlineStr">
        <is>
          <t xml:space="preserve">yes</t>
        </is>
      </c>
      <c r="E16" t="inlineStr">
        <is>
          <t xml:space="preserve">Sep</t>
        </is>
      </c>
      <c r="F16">
        <v>3</v>
      </c>
      <c r="G16">
        <v>2006</v>
      </c>
      <c r="H16" t="inlineStr">
        <is>
          <t xml:space="preserve">2006-09</t>
        </is>
      </c>
      <c r="I16" s="3">
        <f>INDEX(Monthly!$AF:$AF,MATCH(H16,Monthly!$A:$A,0))</f>
        <v>22.678</v>
      </c>
      <c r="J16" s="4">
        <f>INDEX(Monthly!$AE:$AE,MATCH(H16,Monthly!$A:$A,0))</f>
        <v>160.00633333333334</v>
      </c>
    </row>
    <row r="17">
      <c r="A17" t="inlineStr">
        <is>
          <t xml:space="preserve">Honduras, mean of 3 towns (Comayagua, Ocotepeque, Copán)</t>
        </is>
      </c>
      <c r="B17" t="inlineStr">
        <is>
          <t xml:space="preserve">2006/07</t>
        </is>
      </c>
      <c r="C17" t="inlineStr">
        <is>
          <t xml:space="preserve">El Niño</t>
        </is>
      </c>
      <c r="D17" t="inlineStr">
        <is>
          <t xml:space="preserve">yes</t>
        </is>
      </c>
      <c r="E17" t="inlineStr">
        <is>
          <t xml:space="preserve">Oct</t>
        </is>
      </c>
      <c r="F17">
        <v>4</v>
      </c>
      <c r="G17">
        <v>2006</v>
      </c>
      <c r="H17" t="inlineStr">
        <is>
          <t xml:space="preserve">2006-10</t>
        </is>
      </c>
      <c r="I17" s="3">
        <f>INDEX(Monthly!$AF:$AF,MATCH(H17,Monthly!$A:$A,0))</f>
        <v>22.33043010752688</v>
      </c>
      <c r="J17" s="4">
        <f>INDEX(Monthly!$AE:$AE,MATCH(H17,Monthly!$A:$A,0))</f>
        <v>134.13</v>
      </c>
    </row>
    <row r="18">
      <c r="A18" t="inlineStr">
        <is>
          <t xml:space="preserve">Honduras, mean of 3 towns (Comayagua, Ocotepeque, Copán)</t>
        </is>
      </c>
      <c r="B18" t="inlineStr">
        <is>
          <t xml:space="preserve">2006/07</t>
        </is>
      </c>
      <c r="C18" t="inlineStr">
        <is>
          <t xml:space="preserve">El Niño</t>
        </is>
      </c>
      <c r="D18" t="inlineStr">
        <is>
          <t xml:space="preserve">yes</t>
        </is>
      </c>
      <c r="E18" t="inlineStr">
        <is>
          <t xml:space="preserve">Nov</t>
        </is>
      </c>
      <c r="F18">
        <v>5</v>
      </c>
      <c r="G18">
        <v>2006</v>
      </c>
      <c r="H18" t="inlineStr">
        <is>
          <t xml:space="preserve">2006-11</t>
        </is>
      </c>
      <c r="I18" s="3">
        <f>INDEX(Monthly!$AF:$AF,MATCH(H18,Monthly!$A:$A,0))</f>
        <v>19.802555555555557</v>
      </c>
      <c r="J18" s="4">
        <f>INDEX(Monthly!$AE:$AE,MATCH(H18,Monthly!$A:$A,0))</f>
        <v>48.461666666666666</v>
      </c>
    </row>
    <row r="19">
      <c r="A19" t="inlineStr">
        <is>
          <t xml:space="preserve">Honduras, mean of 3 towns (Comayagua, Ocotepeque, Copán)</t>
        </is>
      </c>
      <c r="B19" t="inlineStr">
        <is>
          <t xml:space="preserve">2006/07</t>
        </is>
      </c>
      <c r="C19" t="inlineStr">
        <is>
          <t xml:space="preserve">El Niño</t>
        </is>
      </c>
      <c r="D19" t="inlineStr">
        <is>
          <t xml:space="preserve">yes</t>
        </is>
      </c>
      <c r="E19" t="inlineStr">
        <is>
          <t xml:space="preserve">Dec</t>
        </is>
      </c>
      <c r="F19">
        <v>6</v>
      </c>
      <c r="G19">
        <v>2006</v>
      </c>
      <c r="H19" t="inlineStr">
        <is>
          <t xml:space="preserve">2006-12</t>
        </is>
      </c>
      <c r="I19" s="3">
        <f>INDEX(Monthly!$AF:$AF,MATCH(H19,Monthly!$A:$A,0))</f>
        <v>20.17784946236559</v>
      </c>
      <c r="J19" s="4">
        <f>INDEX(Monthly!$AE:$AE,MATCH(H19,Monthly!$A:$A,0))</f>
        <v>57.11333333333334</v>
      </c>
    </row>
    <row r="20">
      <c r="A20" t="inlineStr">
        <is>
          <t xml:space="preserve">Honduras, mean of 3 towns (Comayagua, Ocotepeque, Copán)</t>
        </is>
      </c>
      <c r="B20" t="inlineStr">
        <is>
          <t xml:space="preserve">2006/07</t>
        </is>
      </c>
      <c r="C20" t="inlineStr">
        <is>
          <t xml:space="preserve">El Niño</t>
        </is>
      </c>
      <c r="D20" t="inlineStr">
        <is>
          <t xml:space="preserve">yes</t>
        </is>
      </c>
      <c r="E20" t="inlineStr">
        <is>
          <t xml:space="preserve">Jan</t>
        </is>
      </c>
      <c r="F20">
        <v>7</v>
      </c>
      <c r="G20">
        <v>2007</v>
      </c>
      <c r="H20" t="inlineStr">
        <is>
          <t xml:space="preserve">2007-01</t>
        </is>
      </c>
      <c r="I20" s="3">
        <f>INDEX(Monthly!$AF:$AF,MATCH(H20,Monthly!$A:$A,0))</f>
        <v>20.346451612903227</v>
      </c>
      <c r="J20" s="4">
        <f>INDEX(Monthly!$AE:$AE,MATCH(H20,Monthly!$A:$A,0))</f>
        <v>21.41033333333333</v>
      </c>
    </row>
    <row r="21">
      <c r="A21" t="inlineStr">
        <is>
          <t xml:space="preserve">Honduras, mean of 3 towns (Comayagua, Ocotepeque, Copán)</t>
        </is>
      </c>
      <c r="B21" t="inlineStr">
        <is>
          <t xml:space="preserve">2006/07</t>
        </is>
      </c>
      <c r="C21" t="inlineStr">
        <is>
          <t xml:space="preserve">El Niño</t>
        </is>
      </c>
      <c r="D21" t="inlineStr">
        <is>
          <t xml:space="preserve">yes</t>
        </is>
      </c>
      <c r="E21" t="inlineStr">
        <is>
          <t xml:space="preserve">Feb</t>
        </is>
      </c>
      <c r="F21">
        <v>8</v>
      </c>
      <c r="G21">
        <v>2007</v>
      </c>
      <c r="H21" t="inlineStr">
        <is>
          <t xml:space="preserve">2007-02</t>
        </is>
      </c>
      <c r="I21" s="3">
        <f>INDEX(Monthly!$AF:$AF,MATCH(H21,Monthly!$A:$A,0))</f>
        <v>21.379880952380955</v>
      </c>
      <c r="J21" s="4">
        <f>INDEX(Monthly!$AE:$AE,MATCH(H21,Monthly!$A:$A,0))</f>
        <v>11.01</v>
      </c>
    </row>
    <row r="22">
      <c r="A22" t="inlineStr">
        <is>
          <t xml:space="preserve">Honduras, mean of 3 towns (Comayagua, Ocotepeque, Copán)</t>
        </is>
      </c>
      <c r="B22" t="inlineStr">
        <is>
          <t xml:space="preserve">2006/07</t>
        </is>
      </c>
      <c r="C22" t="inlineStr">
        <is>
          <t xml:space="preserve">El Niño</t>
        </is>
      </c>
      <c r="D22" t="inlineStr">
        <is>
          <t xml:space="preserve">yes</t>
        </is>
      </c>
      <c r="E22" t="inlineStr">
        <is>
          <t xml:space="preserve">Mar</t>
        </is>
      </c>
      <c r="F22">
        <v>9</v>
      </c>
      <c r="G22">
        <v>2007</v>
      </c>
      <c r="H22" t="inlineStr">
        <is>
          <t xml:space="preserve">2007-03</t>
        </is>
      </c>
      <c r="I22" s="3">
        <f>INDEX(Monthly!$AF:$AF,MATCH(H22,Monthly!$A:$A,0))</f>
        <v>22.16118279569893</v>
      </c>
      <c r="J22" s="4">
        <f>INDEX(Monthly!$AE:$AE,MATCH(H22,Monthly!$A:$A,0))</f>
        <v>10.826666666666668</v>
      </c>
    </row>
    <row r="23">
      <c r="A23" t="inlineStr">
        <is>
          <t xml:space="preserve">Honduras, mean of 3 towns (Comayagua, Ocotepeque, Copán)</t>
        </is>
      </c>
      <c r="B23" t="inlineStr">
        <is>
          <t xml:space="preserve">2006/07</t>
        </is>
      </c>
      <c r="C23" t="inlineStr">
        <is>
          <t xml:space="preserve">El Niño</t>
        </is>
      </c>
      <c r="D23" t="inlineStr">
        <is>
          <t xml:space="preserve">yes</t>
        </is>
      </c>
      <c r="E23" t="inlineStr">
        <is>
          <t xml:space="preserve">Apr</t>
        </is>
      </c>
      <c r="F23">
        <v>10</v>
      </c>
      <c r="G23">
        <v>2007</v>
      </c>
      <c r="H23" t="inlineStr">
        <is>
          <t xml:space="preserve">2007-04</t>
        </is>
      </c>
      <c r="I23" s="3">
        <f>INDEX(Monthly!$AF:$AF,MATCH(H23,Monthly!$A:$A,0))</f>
        <v>24.37888888888889</v>
      </c>
      <c r="J23" s="4">
        <f>INDEX(Monthly!$AE:$AE,MATCH(H23,Monthly!$A:$A,0))</f>
        <v>42.211333333333336</v>
      </c>
    </row>
    <row r="24">
      <c r="A24" t="inlineStr">
        <is>
          <t xml:space="preserve">Honduras, mean of 3 towns (Comayagua, Ocotepeque, Copán)</t>
        </is>
      </c>
      <c r="B24" t="inlineStr">
        <is>
          <t xml:space="preserve">2006/07</t>
        </is>
      </c>
      <c r="C24" t="inlineStr">
        <is>
          <t xml:space="preserve">El Niño</t>
        </is>
      </c>
      <c r="D24" t="inlineStr">
        <is>
          <t xml:space="preserve">yes</t>
        </is>
      </c>
      <c r="E24" t="inlineStr">
        <is>
          <t xml:space="preserve">May</t>
        </is>
      </c>
      <c r="F24">
        <v>11</v>
      </c>
      <c r="G24">
        <v>2007</v>
      </c>
      <c r="H24" t="inlineStr">
        <is>
          <t xml:space="preserve">2007-05</t>
        </is>
      </c>
      <c r="I24" s="3">
        <f>INDEX(Monthly!$AF:$AF,MATCH(H24,Monthly!$A:$A,0))</f>
        <v>24.912795698924736</v>
      </c>
      <c r="J24" s="4">
        <f>INDEX(Monthly!$AE:$AE,MATCH(H24,Monthly!$A:$A,0))</f>
        <v>96.00733333333334</v>
      </c>
    </row>
    <row r="25">
      <c r="A25" t="inlineStr">
        <is>
          <t xml:space="preserve">Honduras, mean of 3 towns (Comayagua, Ocotepeque, Copán)</t>
        </is>
      </c>
      <c r="B25" t="inlineStr">
        <is>
          <t xml:space="preserve">2006/07</t>
        </is>
      </c>
      <c r="C25" t="inlineStr">
        <is>
          <t xml:space="preserve">El Niño</t>
        </is>
      </c>
      <c r="D25" t="inlineStr">
        <is>
          <t xml:space="preserve">yes</t>
        </is>
      </c>
      <c r="E25" t="inlineStr">
        <is>
          <t xml:space="preserve">Jun</t>
        </is>
      </c>
      <c r="F25">
        <v>12</v>
      </c>
      <c r="G25">
        <v>2007</v>
      </c>
      <c r="H25" t="inlineStr">
        <is>
          <t xml:space="preserve">2007-06</t>
        </is>
      </c>
      <c r="I25" s="3">
        <f>INDEX(Monthly!$AF:$AF,MATCH(H25,Monthly!$A:$A,0))</f>
        <v>23.18444444444444</v>
      </c>
      <c r="J25" s="4">
        <f>INDEX(Monthly!$AE:$AE,MATCH(H25,Monthly!$A:$A,0))</f>
        <v>219.43766666666667</v>
      </c>
    </row>
    <row r="26">
      <c r="A26" t="inlineStr">
        <is>
          <t xml:space="preserve">Honduras, mean of 3 towns (Comayagua, Ocotepeque, Copán)</t>
        </is>
      </c>
      <c r="B26" t="inlineStr">
        <is>
          <t xml:space="preserve">2007/08</t>
        </is>
      </c>
      <c r="C26" t="inlineStr">
        <is>
          <t xml:space="preserve">La Niña</t>
        </is>
      </c>
      <c r="D26" t="inlineStr">
        <is>
          <t xml:space="preserve">yes</t>
        </is>
      </c>
      <c r="E26" t="inlineStr">
        <is>
          <t xml:space="preserve">Jul</t>
        </is>
      </c>
      <c r="F26">
        <v>1</v>
      </c>
      <c r="G26">
        <v>2007</v>
      </c>
      <c r="H26" t="inlineStr">
        <is>
          <t xml:space="preserve">2007-07</t>
        </is>
      </c>
      <c r="I26" s="3">
        <f>INDEX(Monthly!$AF:$AF,MATCH(H26,Monthly!$A:$A,0))</f>
        <v>22.83688172043011</v>
      </c>
      <c r="J26" s="4">
        <f>INDEX(Monthly!$AE:$AE,MATCH(H26,Monthly!$A:$A,0))</f>
        <v>209.17466666666667</v>
      </c>
    </row>
    <row r="27">
      <c r="A27" t="inlineStr">
        <is>
          <t xml:space="preserve">Honduras, mean of 3 towns (Comayagua, Ocotepeque, Copán)</t>
        </is>
      </c>
      <c r="B27" t="inlineStr">
        <is>
          <t xml:space="preserve">2007/08</t>
        </is>
      </c>
      <c r="C27" t="inlineStr">
        <is>
          <t xml:space="preserve">La Niña</t>
        </is>
      </c>
      <c r="D27" t="inlineStr">
        <is>
          <t xml:space="preserve">yes</t>
        </is>
      </c>
      <c r="E27" t="inlineStr">
        <is>
          <t xml:space="preserve">Aug</t>
        </is>
      </c>
      <c r="F27">
        <v>2</v>
      </c>
      <c r="G27">
        <v>2007</v>
      </c>
      <c r="H27" t="inlineStr">
        <is>
          <t xml:space="preserve">2007-08</t>
        </is>
      </c>
      <c r="I27" s="3">
        <f>INDEX(Monthly!$AF:$AF,MATCH(H27,Monthly!$A:$A,0))</f>
        <v>22.46720430107527</v>
      </c>
      <c r="J27" s="4">
        <f>INDEX(Monthly!$AE:$AE,MATCH(H27,Monthly!$A:$A,0))</f>
        <v>215.88</v>
      </c>
    </row>
    <row r="28">
      <c r="A28" t="inlineStr">
        <is>
          <t xml:space="preserve">Honduras, mean of 3 towns (Comayagua, Ocotepeque, Copán)</t>
        </is>
      </c>
      <c r="B28" t="inlineStr">
        <is>
          <t xml:space="preserve">2007/08</t>
        </is>
      </c>
      <c r="C28" t="inlineStr">
        <is>
          <t xml:space="preserve">La Niña</t>
        </is>
      </c>
      <c r="D28" t="inlineStr">
        <is>
          <t xml:space="preserve">yes</t>
        </is>
      </c>
      <c r="E28" t="inlineStr">
        <is>
          <t xml:space="preserve">Sep</t>
        </is>
      </c>
      <c r="F28">
        <v>3</v>
      </c>
      <c r="G28">
        <v>2007</v>
      </c>
      <c r="H28" t="inlineStr">
        <is>
          <t xml:space="preserve">2007-09</t>
        </is>
      </c>
      <c r="I28" s="3">
        <f>INDEX(Monthly!$AF:$AF,MATCH(H28,Monthly!$A:$A,0))</f>
        <v>21.802333333333333</v>
      </c>
      <c r="J28" s="4">
        <f>INDEX(Monthly!$AE:$AE,MATCH(H28,Monthly!$A:$A,0))</f>
        <v>289.1553333333333</v>
      </c>
    </row>
    <row r="29">
      <c r="A29" t="inlineStr">
        <is>
          <t xml:space="preserve">Honduras, mean of 3 towns (Comayagua, Ocotepeque, Copán)</t>
        </is>
      </c>
      <c r="B29" t="inlineStr">
        <is>
          <t xml:space="preserve">2007/08</t>
        </is>
      </c>
      <c r="C29" t="inlineStr">
        <is>
          <t xml:space="preserve">La Niña</t>
        </is>
      </c>
      <c r="D29" t="inlineStr">
        <is>
          <t xml:space="preserve">yes</t>
        </is>
      </c>
      <c r="E29" t="inlineStr">
        <is>
          <t xml:space="preserve">Oct</t>
        </is>
      </c>
      <c r="F29">
        <v>4</v>
      </c>
      <c r="G29">
        <v>2007</v>
      </c>
      <c r="H29" t="inlineStr">
        <is>
          <t xml:space="preserve">2007-10</t>
        </is>
      </c>
      <c r="I29" s="3">
        <f>INDEX(Monthly!$AF:$AF,MATCH(H29,Monthly!$A:$A,0))</f>
        <v>20.912580645161288</v>
      </c>
      <c r="J29" s="4">
        <f>INDEX(Monthly!$AE:$AE,MATCH(H29,Monthly!$A:$A,0))</f>
        <v>210.64533333333335</v>
      </c>
    </row>
    <row r="30">
      <c r="A30" t="inlineStr">
        <is>
          <t xml:space="preserve">Honduras, mean of 3 towns (Comayagua, Ocotepeque, Copán)</t>
        </is>
      </c>
      <c r="B30" t="inlineStr">
        <is>
          <t xml:space="preserve">2007/08</t>
        </is>
      </c>
      <c r="C30" t="inlineStr">
        <is>
          <t xml:space="preserve">La Niña</t>
        </is>
      </c>
      <c r="D30" t="inlineStr">
        <is>
          <t xml:space="preserve">yes</t>
        </is>
      </c>
      <c r="E30" t="inlineStr">
        <is>
          <t xml:space="preserve">Nov</t>
        </is>
      </c>
      <c r="F30">
        <v>5</v>
      </c>
      <c r="G30">
        <v>2007</v>
      </c>
      <c r="H30" t="inlineStr">
        <is>
          <t xml:space="preserve">2007-11</t>
        </is>
      </c>
      <c r="I30" s="3">
        <f>INDEX(Monthly!$AF:$AF,MATCH(H30,Monthly!$A:$A,0))</f>
        <v>19.378000000000004</v>
      </c>
      <c r="J30" s="4">
        <f>INDEX(Monthly!$AE:$AE,MATCH(H30,Monthly!$A:$A,0))</f>
        <v>37.38466666666667</v>
      </c>
    </row>
    <row r="31">
      <c r="A31" t="inlineStr">
        <is>
          <t xml:space="preserve">Honduras, mean of 3 towns (Comayagua, Ocotepeque, Copán)</t>
        </is>
      </c>
      <c r="B31" t="inlineStr">
        <is>
          <t xml:space="preserve">2007/08</t>
        </is>
      </c>
      <c r="C31" t="inlineStr">
        <is>
          <t xml:space="preserve">La Niña</t>
        </is>
      </c>
      <c r="D31" t="inlineStr">
        <is>
          <t xml:space="preserve">yes</t>
        </is>
      </c>
      <c r="E31" t="inlineStr">
        <is>
          <t xml:space="preserve">Dec</t>
        </is>
      </c>
      <c r="F31">
        <v>6</v>
      </c>
      <c r="G31">
        <v>2007</v>
      </c>
      <c r="H31" t="inlineStr">
        <is>
          <t xml:space="preserve">2007-12</t>
        </is>
      </c>
      <c r="I31" s="3">
        <f>INDEX(Monthly!$AF:$AF,MATCH(H31,Monthly!$A:$A,0))</f>
        <v>19.170107526881722</v>
      </c>
      <c r="J31" s="4">
        <f>INDEX(Monthly!$AE:$AE,MATCH(H31,Monthly!$A:$A,0))</f>
        <v>11.013</v>
      </c>
    </row>
    <row r="32">
      <c r="A32" t="inlineStr">
        <is>
          <t xml:space="preserve">Honduras, mean of 3 towns (Comayagua, Ocotepeque, Copán)</t>
        </is>
      </c>
      <c r="B32" t="inlineStr">
        <is>
          <t xml:space="preserve">2007/08</t>
        </is>
      </c>
      <c r="C32" t="inlineStr">
        <is>
          <t xml:space="preserve">La Niña</t>
        </is>
      </c>
      <c r="D32" t="inlineStr">
        <is>
          <t xml:space="preserve">yes</t>
        </is>
      </c>
      <c r="E32" t="inlineStr">
        <is>
          <t xml:space="preserve">Jan</t>
        </is>
      </c>
      <c r="F32">
        <v>7</v>
      </c>
      <c r="G32">
        <v>2008</v>
      </c>
      <c r="H32" t="inlineStr">
        <is>
          <t xml:space="preserve">2008-01</t>
        </is>
      </c>
      <c r="I32" s="3">
        <f>INDEX(Monthly!$AF:$AF,MATCH(H32,Monthly!$A:$A,0))</f>
        <v>19.251075268817203</v>
      </c>
      <c r="J32" s="4">
        <f>INDEX(Monthly!$AE:$AE,MATCH(H32,Monthly!$A:$A,0))</f>
        <v>24.64933333333333</v>
      </c>
    </row>
    <row r="33">
      <c r="A33" t="inlineStr">
        <is>
          <t xml:space="preserve">Honduras, mean of 3 towns (Comayagua, Ocotepeque, Copán)</t>
        </is>
      </c>
      <c r="B33" t="inlineStr">
        <is>
          <t xml:space="preserve">2007/08</t>
        </is>
      </c>
      <c r="C33" t="inlineStr">
        <is>
          <t xml:space="preserve">La Niña</t>
        </is>
      </c>
      <c r="D33" t="inlineStr">
        <is>
          <t xml:space="preserve">yes</t>
        </is>
      </c>
      <c r="E33" t="inlineStr">
        <is>
          <t xml:space="preserve">Feb</t>
        </is>
      </c>
      <c r="F33">
        <v>8</v>
      </c>
      <c r="G33">
        <v>2008</v>
      </c>
      <c r="H33" t="inlineStr">
        <is>
          <t xml:space="preserve">2008-02</t>
        </is>
      </c>
      <c r="I33" s="3">
        <f>INDEX(Monthly!$AF:$AF,MATCH(H33,Monthly!$A:$A,0))</f>
        <v>21.120689655172416</v>
      </c>
      <c r="J33" s="4">
        <f>INDEX(Monthly!$AE:$AE,MATCH(H33,Monthly!$A:$A,0))</f>
        <v>13.695666666666668</v>
      </c>
    </row>
    <row r="34">
      <c r="A34" t="inlineStr">
        <is>
          <t xml:space="preserve">Honduras, mean of 3 towns (Comayagua, Ocotepeque, Copán)</t>
        </is>
      </c>
      <c r="B34" t="inlineStr">
        <is>
          <t xml:space="preserve">2007/08</t>
        </is>
      </c>
      <c r="C34" t="inlineStr">
        <is>
          <t xml:space="preserve">La Niña</t>
        </is>
      </c>
      <c r="D34" t="inlineStr">
        <is>
          <t xml:space="preserve">yes</t>
        </is>
      </c>
      <c r="E34" t="inlineStr">
        <is>
          <t xml:space="preserve">Mar</t>
        </is>
      </c>
      <c r="F34">
        <v>9</v>
      </c>
      <c r="G34">
        <v>2008</v>
      </c>
      <c r="H34" t="inlineStr">
        <is>
          <t xml:space="preserve">2008-03</t>
        </is>
      </c>
      <c r="I34" s="3">
        <f>INDEX(Monthly!$AF:$AF,MATCH(H34,Monthly!$A:$A,0))</f>
        <v>22.471075268817202</v>
      </c>
      <c r="J34" s="4">
        <f>INDEX(Monthly!$AE:$AE,MATCH(H34,Monthly!$A:$A,0))</f>
        <v>8.664</v>
      </c>
    </row>
    <row r="35">
      <c r="A35" t="inlineStr">
        <is>
          <t xml:space="preserve">Honduras, mean of 3 towns (Comayagua, Ocotepeque, Copán)</t>
        </is>
      </c>
      <c r="B35" t="inlineStr">
        <is>
          <t xml:space="preserve">2007/08</t>
        </is>
      </c>
      <c r="C35" t="inlineStr">
        <is>
          <t xml:space="preserve">La Niña</t>
        </is>
      </c>
      <c r="D35" t="inlineStr">
        <is>
          <t xml:space="preserve">yes</t>
        </is>
      </c>
      <c r="E35" t="inlineStr">
        <is>
          <t xml:space="preserve">Apr</t>
        </is>
      </c>
      <c r="F35">
        <v>10</v>
      </c>
      <c r="G35">
        <v>2008</v>
      </c>
      <c r="H35" t="inlineStr">
        <is>
          <t xml:space="preserve">2008-04</t>
        </is>
      </c>
      <c r="I35" s="3">
        <f>INDEX(Monthly!$AF:$AF,MATCH(H35,Monthly!$A:$A,0))</f>
        <v>24.00088888888889</v>
      </c>
      <c r="J35" s="4">
        <f>INDEX(Monthly!$AE:$AE,MATCH(H35,Monthly!$A:$A,0))</f>
        <v>48.09166666666667</v>
      </c>
    </row>
    <row r="36">
      <c r="A36" t="inlineStr">
        <is>
          <t xml:space="preserve">Honduras, mean of 3 towns (Comayagua, Ocotepeque, Copán)</t>
        </is>
      </c>
      <c r="B36" t="inlineStr">
        <is>
          <t xml:space="preserve">2007/08</t>
        </is>
      </c>
      <c r="C36" t="inlineStr">
        <is>
          <t xml:space="preserve">La Niña</t>
        </is>
      </c>
      <c r="D36" t="inlineStr">
        <is>
          <t xml:space="preserve">yes</t>
        </is>
      </c>
      <c r="E36" t="inlineStr">
        <is>
          <t xml:space="preserve">May</t>
        </is>
      </c>
      <c r="F36">
        <v>11</v>
      </c>
      <c r="G36">
        <v>2008</v>
      </c>
      <c r="H36" t="inlineStr">
        <is>
          <t xml:space="preserve">2008-05</t>
        </is>
      </c>
      <c r="I36" s="3">
        <f>INDEX(Monthly!$AF:$AF,MATCH(H36,Monthly!$A:$A,0))</f>
        <v>24.862365591397847</v>
      </c>
      <c r="J36" s="4">
        <f>INDEX(Monthly!$AE:$AE,MATCH(H36,Monthly!$A:$A,0))</f>
        <v>110.48533333333334</v>
      </c>
    </row>
    <row r="37">
      <c r="A37" t="inlineStr">
        <is>
          <t xml:space="preserve">Honduras, mean of 3 towns (Comayagua, Ocotepeque, Copán)</t>
        </is>
      </c>
      <c r="B37" t="inlineStr">
        <is>
          <t xml:space="preserve">2007/08</t>
        </is>
      </c>
      <c r="C37" t="inlineStr">
        <is>
          <t xml:space="preserve">La Niña</t>
        </is>
      </c>
      <c r="D37" t="inlineStr">
        <is>
          <t xml:space="preserve">yes</t>
        </is>
      </c>
      <c r="E37" t="inlineStr">
        <is>
          <t xml:space="preserve">Jun</t>
        </is>
      </c>
      <c r="F37">
        <v>12</v>
      </c>
      <c r="G37">
        <v>2008</v>
      </c>
      <c r="H37" t="inlineStr">
        <is>
          <t xml:space="preserve">2008-06</t>
        </is>
      </c>
      <c r="I37" s="3">
        <f>INDEX(Monthly!$AF:$AF,MATCH(H37,Monthly!$A:$A,0))</f>
        <v>22.482555555555553</v>
      </c>
      <c r="J37" s="4">
        <f>INDEX(Monthly!$AE:$AE,MATCH(H37,Monthly!$A:$A,0))</f>
        <v>182.43933333333334</v>
      </c>
    </row>
    <row r="38">
      <c r="A38" t="inlineStr">
        <is>
          <t xml:space="preserve">Honduras, mean of 3 towns (Comayagua, Ocotepeque, Copán)</t>
        </is>
      </c>
      <c r="B38" t="inlineStr">
        <is>
          <t xml:space="preserve">2008/09</t>
        </is>
      </c>
      <c r="C38" t="inlineStr">
        <is>
          <t xml:space="preserve">La Niña</t>
        </is>
      </c>
      <c r="D38" t="inlineStr">
        <is>
          <t xml:space="preserve">yes</t>
        </is>
      </c>
      <c r="E38" t="inlineStr">
        <is>
          <t xml:space="preserve">Jul</t>
        </is>
      </c>
      <c r="F38">
        <v>1</v>
      </c>
      <c r="G38">
        <v>2008</v>
      </c>
      <c r="H38" t="inlineStr">
        <is>
          <t xml:space="preserve">2008-07</t>
        </is>
      </c>
      <c r="I38" s="3">
        <f>INDEX(Monthly!$AF:$AF,MATCH(H38,Monthly!$A:$A,0))</f>
        <v>21.755591397849457</v>
      </c>
      <c r="J38" s="4">
        <f>INDEX(Monthly!$AE:$AE,MATCH(H38,Monthly!$A:$A,0))</f>
        <v>353.41799999999995</v>
      </c>
    </row>
    <row r="39">
      <c r="A39" t="inlineStr">
        <is>
          <t xml:space="preserve">Honduras, mean of 3 towns (Comayagua, Ocotepeque, Copán)</t>
        </is>
      </c>
      <c r="B39" t="inlineStr">
        <is>
          <t xml:space="preserve">2008/09</t>
        </is>
      </c>
      <c r="C39" t="inlineStr">
        <is>
          <t xml:space="preserve">La Niña</t>
        </is>
      </c>
      <c r="D39" t="inlineStr">
        <is>
          <t xml:space="preserve">yes</t>
        </is>
      </c>
      <c r="E39" t="inlineStr">
        <is>
          <t xml:space="preserve">Aug</t>
        </is>
      </c>
      <c r="F39">
        <v>2</v>
      </c>
      <c r="G39">
        <v>2008</v>
      </c>
      <c r="H39" t="inlineStr">
        <is>
          <t xml:space="preserve">2008-08</t>
        </is>
      </c>
      <c r="I39" s="3">
        <f>INDEX(Monthly!$AF:$AF,MATCH(H39,Monthly!$A:$A,0))</f>
        <v>22.230645161290322</v>
      </c>
      <c r="J39" s="4">
        <f>INDEX(Monthly!$AE:$AE,MATCH(H39,Monthly!$A:$A,0))</f>
        <v>275.5173333333334</v>
      </c>
    </row>
    <row r="40">
      <c r="A40" t="inlineStr">
        <is>
          <t xml:space="preserve">Honduras, mean of 3 towns (Comayagua, Ocotepeque, Copán)</t>
        </is>
      </c>
      <c r="B40" t="inlineStr">
        <is>
          <t xml:space="preserve">2008/09</t>
        </is>
      </c>
      <c r="C40" t="inlineStr">
        <is>
          <t xml:space="preserve">La Niña</t>
        </is>
      </c>
      <c r="D40" t="inlineStr">
        <is>
          <t xml:space="preserve">yes</t>
        </is>
      </c>
      <c r="E40" t="inlineStr">
        <is>
          <t xml:space="preserve">Sep</t>
        </is>
      </c>
      <c r="F40">
        <v>3</v>
      </c>
      <c r="G40">
        <v>2008</v>
      </c>
      <c r="H40" t="inlineStr">
        <is>
          <t xml:space="preserve">2008-09</t>
        </is>
      </c>
      <c r="I40" s="3">
        <f>INDEX(Monthly!$AF:$AF,MATCH(H40,Monthly!$A:$A,0))</f>
        <v>22.26811111111111</v>
      </c>
      <c r="J40" s="4">
        <f>INDEX(Monthly!$AE:$AE,MATCH(H40,Monthly!$A:$A,0))</f>
        <v>376.468</v>
      </c>
    </row>
    <row r="41">
      <c r="A41" t="inlineStr">
        <is>
          <t xml:space="preserve">Honduras, mean of 3 towns (Comayagua, Ocotepeque, Copán)</t>
        </is>
      </c>
      <c r="B41" t="inlineStr">
        <is>
          <t xml:space="preserve">2008/09</t>
        </is>
      </c>
      <c r="C41" t="inlineStr">
        <is>
          <t xml:space="preserve">La Niña</t>
        </is>
      </c>
      <c r="D41" t="inlineStr">
        <is>
          <t xml:space="preserve">yes</t>
        </is>
      </c>
      <c r="E41" t="inlineStr">
        <is>
          <t xml:space="preserve">Oct</t>
        </is>
      </c>
      <c r="F41">
        <v>4</v>
      </c>
      <c r="G41">
        <v>2008</v>
      </c>
      <c r="H41" t="inlineStr">
        <is>
          <t xml:space="preserve">2008-10</t>
        </is>
      </c>
      <c r="I41" s="3">
        <f>INDEX(Monthly!$AF:$AF,MATCH(H41,Monthly!$A:$A,0))</f>
        <v>20.856451612903225</v>
      </c>
      <c r="J41" s="4">
        <f>INDEX(Monthly!$AE:$AE,MATCH(H41,Monthly!$A:$A,0))</f>
        <v>193.58266666666668</v>
      </c>
    </row>
    <row r="42">
      <c r="A42" t="inlineStr">
        <is>
          <t xml:space="preserve">Honduras, mean of 3 towns (Comayagua, Ocotepeque, Copán)</t>
        </is>
      </c>
      <c r="B42" t="inlineStr">
        <is>
          <t xml:space="preserve">2008/09</t>
        </is>
      </c>
      <c r="C42" t="inlineStr">
        <is>
          <t xml:space="preserve">La Niña</t>
        </is>
      </c>
      <c r="D42" t="inlineStr">
        <is>
          <t xml:space="preserve">yes</t>
        </is>
      </c>
      <c r="E42" t="inlineStr">
        <is>
          <t xml:space="preserve">Nov</t>
        </is>
      </c>
      <c r="F42">
        <v>5</v>
      </c>
      <c r="G42">
        <v>2008</v>
      </c>
      <c r="H42" t="inlineStr">
        <is>
          <t xml:space="preserve">2008-11</t>
        </is>
      </c>
      <c r="I42" s="3">
        <f>INDEX(Monthly!$AF:$AF,MATCH(H42,Monthly!$A:$A,0))</f>
        <v>18.513</v>
      </c>
      <c r="J42" s="4">
        <f>INDEX(Monthly!$AE:$AE,MATCH(H42,Monthly!$A:$A,0))</f>
        <v>20.612666666666666</v>
      </c>
    </row>
    <row r="43">
      <c r="A43" t="inlineStr">
        <is>
          <t xml:space="preserve">Honduras, mean of 3 towns (Comayagua, Ocotepeque, Copán)</t>
        </is>
      </c>
      <c r="B43" t="inlineStr">
        <is>
          <t xml:space="preserve">2008/09</t>
        </is>
      </c>
      <c r="C43" t="inlineStr">
        <is>
          <t xml:space="preserve">La Niña</t>
        </is>
      </c>
      <c r="D43" t="inlineStr">
        <is>
          <t xml:space="preserve">yes</t>
        </is>
      </c>
      <c r="E43" t="inlineStr">
        <is>
          <t xml:space="preserve">Dec</t>
        </is>
      </c>
      <c r="F43">
        <v>6</v>
      </c>
      <c r="G43">
        <v>2008</v>
      </c>
      <c r="H43" t="inlineStr">
        <is>
          <t xml:space="preserve">2008-12</t>
        </is>
      </c>
      <c r="I43" s="3">
        <f>INDEX(Monthly!$AF:$AF,MATCH(H43,Monthly!$A:$A,0))</f>
        <v>18.50010752688172</v>
      </c>
      <c r="J43" s="4">
        <f>INDEX(Monthly!$AE:$AE,MATCH(H43,Monthly!$A:$A,0))</f>
        <v>50.873</v>
      </c>
    </row>
    <row r="44">
      <c r="A44" t="inlineStr">
        <is>
          <t xml:space="preserve">Honduras, mean of 3 towns (Comayagua, Ocotepeque, Copán)</t>
        </is>
      </c>
      <c r="B44" t="inlineStr">
        <is>
          <t xml:space="preserve">2008/09</t>
        </is>
      </c>
      <c r="C44" t="inlineStr">
        <is>
          <t xml:space="preserve">La Niña</t>
        </is>
      </c>
      <c r="D44" t="inlineStr">
        <is>
          <t xml:space="preserve">yes</t>
        </is>
      </c>
      <c r="E44" t="inlineStr">
        <is>
          <t xml:space="preserve">Jan</t>
        </is>
      </c>
      <c r="F44">
        <v>7</v>
      </c>
      <c r="G44">
        <v>2009</v>
      </c>
      <c r="H44" t="inlineStr">
        <is>
          <t xml:space="preserve">2009-01</t>
        </is>
      </c>
      <c r="I44" s="3">
        <f>INDEX(Monthly!$AF:$AF,MATCH(H44,Monthly!$A:$A,0))</f>
        <v>18.49784946236559</v>
      </c>
      <c r="J44" s="4">
        <f>INDEX(Monthly!$AE:$AE,MATCH(H44,Monthly!$A:$A,0))</f>
        <v>16.486333333333334</v>
      </c>
    </row>
    <row r="45">
      <c r="A45" t="inlineStr">
        <is>
          <t xml:space="preserve">Honduras, mean of 3 towns (Comayagua, Ocotepeque, Copán)</t>
        </is>
      </c>
      <c r="B45" t="inlineStr">
        <is>
          <t xml:space="preserve">2008/09</t>
        </is>
      </c>
      <c r="C45" t="inlineStr">
        <is>
          <t xml:space="preserve">La Niña</t>
        </is>
      </c>
      <c r="D45" t="inlineStr">
        <is>
          <t xml:space="preserve">yes</t>
        </is>
      </c>
      <c r="E45" t="inlineStr">
        <is>
          <t xml:space="preserve">Feb</t>
        </is>
      </c>
      <c r="F45">
        <v>8</v>
      </c>
      <c r="G45">
        <v>2009</v>
      </c>
      <c r="H45" t="inlineStr">
        <is>
          <t xml:space="preserve">2009-02</t>
        </is>
      </c>
      <c r="I45" s="3">
        <f>INDEX(Monthly!$AF:$AF,MATCH(H45,Monthly!$A:$A,0))</f>
        <v>19.112380952380953</v>
      </c>
      <c r="J45" s="4">
        <f>INDEX(Monthly!$AE:$AE,MATCH(H45,Monthly!$A:$A,0))</f>
        <v>48.281666666666666</v>
      </c>
    </row>
    <row r="46">
      <c r="A46" t="inlineStr">
        <is>
          <t xml:space="preserve">Honduras, mean of 3 towns (Comayagua, Ocotepeque, Copán)</t>
        </is>
      </c>
      <c r="B46" t="inlineStr">
        <is>
          <t xml:space="preserve">2008/09</t>
        </is>
      </c>
      <c r="C46" t="inlineStr">
        <is>
          <t xml:space="preserve">La Niña</t>
        </is>
      </c>
      <c r="D46" t="inlineStr">
        <is>
          <t xml:space="preserve">yes</t>
        </is>
      </c>
      <c r="E46" t="inlineStr">
        <is>
          <t xml:space="preserve">Mar</t>
        </is>
      </c>
      <c r="F46">
        <v>9</v>
      </c>
      <c r="G46">
        <v>2009</v>
      </c>
      <c r="H46" t="inlineStr">
        <is>
          <t xml:space="preserve">2009-03</t>
        </is>
      </c>
      <c r="I46" s="3">
        <f>INDEX(Monthly!$AF:$AF,MATCH(H46,Monthly!$A:$A,0))</f>
        <v>20.205483870967743</v>
      </c>
      <c r="J46" s="4">
        <f>INDEX(Monthly!$AE:$AE,MATCH(H46,Monthly!$A:$A,0))</f>
        <v>6.147000000000001</v>
      </c>
    </row>
    <row r="47">
      <c r="A47" t="inlineStr">
        <is>
          <t xml:space="preserve">Honduras, mean of 3 towns (Comayagua, Ocotepeque, Copán)</t>
        </is>
      </c>
      <c r="B47" t="inlineStr">
        <is>
          <t xml:space="preserve">2008/09</t>
        </is>
      </c>
      <c r="C47" t="inlineStr">
        <is>
          <t xml:space="preserve">La Niña</t>
        </is>
      </c>
      <c r="D47" t="inlineStr">
        <is>
          <t xml:space="preserve">yes</t>
        </is>
      </c>
      <c r="E47" t="inlineStr">
        <is>
          <t xml:space="preserve">Apr</t>
        </is>
      </c>
      <c r="F47">
        <v>10</v>
      </c>
      <c r="G47">
        <v>2009</v>
      </c>
      <c r="H47" t="inlineStr">
        <is>
          <t xml:space="preserve">2009-04</t>
        </is>
      </c>
      <c r="I47" s="3">
        <f>INDEX(Monthly!$AF:$AF,MATCH(H47,Monthly!$A:$A,0))</f>
        <v>24.052444444444447</v>
      </c>
      <c r="J47" s="4">
        <f>INDEX(Monthly!$AE:$AE,MATCH(H47,Monthly!$A:$A,0))</f>
        <v>17.863</v>
      </c>
    </row>
    <row r="48">
      <c r="A48" t="inlineStr">
        <is>
          <t xml:space="preserve">Honduras, mean of 3 towns (Comayagua, Ocotepeque, Copán)</t>
        </is>
      </c>
      <c r="B48" t="inlineStr">
        <is>
          <t xml:space="preserve">2008/09</t>
        </is>
      </c>
      <c r="C48" t="inlineStr">
        <is>
          <t xml:space="preserve">La Niña</t>
        </is>
      </c>
      <c r="D48" t="inlineStr">
        <is>
          <t xml:space="preserve">yes</t>
        </is>
      </c>
      <c r="E48" t="inlineStr">
        <is>
          <t xml:space="preserve">May</t>
        </is>
      </c>
      <c r="F48">
        <v>11</v>
      </c>
      <c r="G48">
        <v>2009</v>
      </c>
      <c r="H48" t="inlineStr">
        <is>
          <t xml:space="preserve">2009-05</t>
        </is>
      </c>
      <c r="I48" s="3">
        <f>INDEX(Monthly!$AF:$AF,MATCH(H48,Monthly!$A:$A,0))</f>
        <v>23.407634408602153</v>
      </c>
      <c r="J48" s="4">
        <f>INDEX(Monthly!$AE:$AE,MATCH(H48,Monthly!$A:$A,0))</f>
        <v>213.36733333333333</v>
      </c>
    </row>
    <row r="49">
      <c r="A49" t="inlineStr">
        <is>
          <t xml:space="preserve">Honduras, mean of 3 towns (Comayagua, Ocotepeque, Copán)</t>
        </is>
      </c>
      <c r="B49" t="inlineStr">
        <is>
          <t xml:space="preserve">2008/09</t>
        </is>
      </c>
      <c r="C49" t="inlineStr">
        <is>
          <t xml:space="preserve">La Niña</t>
        </is>
      </c>
      <c r="D49" t="inlineStr">
        <is>
          <t xml:space="preserve">yes</t>
        </is>
      </c>
      <c r="E49" t="inlineStr">
        <is>
          <t xml:space="preserve">Jun</t>
        </is>
      </c>
      <c r="F49">
        <v>12</v>
      </c>
      <c r="G49">
        <v>2009</v>
      </c>
      <c r="H49" t="inlineStr">
        <is>
          <t xml:space="preserve">2009-06</t>
        </is>
      </c>
      <c r="I49" s="3">
        <f>INDEX(Monthly!$AF:$AF,MATCH(H49,Monthly!$A:$A,0))</f>
        <v>22.98811111111111</v>
      </c>
      <c r="J49" s="4">
        <f>INDEX(Monthly!$AE:$AE,MATCH(H49,Monthly!$A:$A,0))</f>
        <v>234.08766666666668</v>
      </c>
    </row>
    <row r="50">
      <c r="A50" t="inlineStr">
        <is>
          <t xml:space="preserve">Honduras, mean of 3 towns (Comayagua, Ocotepeque, Copán)</t>
        </is>
      </c>
      <c r="B50" t="inlineStr">
        <is>
          <t xml:space="preserve">2009/10</t>
        </is>
      </c>
      <c r="C50" t="inlineStr">
        <is>
          <t xml:space="preserve">El Niño</t>
        </is>
      </c>
      <c r="D50" t="inlineStr">
        <is>
          <t xml:space="preserve">yes</t>
        </is>
      </c>
      <c r="E50" t="inlineStr">
        <is>
          <t xml:space="preserve">Jul</t>
        </is>
      </c>
      <c r="F50">
        <v>1</v>
      </c>
      <c r="G50">
        <v>2009</v>
      </c>
      <c r="H50" t="inlineStr">
        <is>
          <t xml:space="preserve">2009-07</t>
        </is>
      </c>
      <c r="I50" s="3">
        <f>INDEX(Monthly!$AF:$AF,MATCH(H50,Monthly!$A:$A,0))</f>
        <v>22.477634408602146</v>
      </c>
      <c r="J50" s="4">
        <f>INDEX(Monthly!$AE:$AE,MATCH(H50,Monthly!$A:$A,0))</f>
        <v>170.408</v>
      </c>
    </row>
    <row r="51">
      <c r="A51" t="inlineStr">
        <is>
          <t xml:space="preserve">Honduras, mean of 3 towns (Comayagua, Ocotepeque, Copán)</t>
        </is>
      </c>
      <c r="B51" t="inlineStr">
        <is>
          <t xml:space="preserve">2009/10</t>
        </is>
      </c>
      <c r="C51" t="inlineStr">
        <is>
          <t xml:space="preserve">El Niño</t>
        </is>
      </c>
      <c r="D51" t="inlineStr">
        <is>
          <t xml:space="preserve">yes</t>
        </is>
      </c>
      <c r="E51" t="inlineStr">
        <is>
          <t xml:space="preserve">Aug</t>
        </is>
      </c>
      <c r="F51">
        <v>2</v>
      </c>
      <c r="G51">
        <v>2009</v>
      </c>
      <c r="H51" t="inlineStr">
        <is>
          <t xml:space="preserve">2009-08</t>
        </is>
      </c>
      <c r="I51" s="3">
        <f>INDEX(Monthly!$AF:$AF,MATCH(H51,Monthly!$A:$A,0))</f>
        <v>22.400645161290328</v>
      </c>
      <c r="J51" s="4">
        <f>INDEX(Monthly!$AE:$AE,MATCH(H51,Monthly!$A:$A,0))</f>
        <v>225.11266666666666</v>
      </c>
    </row>
    <row r="52">
      <c r="A52" t="inlineStr">
        <is>
          <t xml:space="preserve">Honduras, mean of 3 towns (Comayagua, Ocotepeque, Copán)</t>
        </is>
      </c>
      <c r="B52" t="inlineStr">
        <is>
          <t xml:space="preserve">2009/10</t>
        </is>
      </c>
      <c r="C52" t="inlineStr">
        <is>
          <t xml:space="preserve">El Niño</t>
        </is>
      </c>
      <c r="D52" t="inlineStr">
        <is>
          <t xml:space="preserve">yes</t>
        </is>
      </c>
      <c r="E52" t="inlineStr">
        <is>
          <t xml:space="preserve">Sep</t>
        </is>
      </c>
      <c r="F52">
        <v>3</v>
      </c>
      <c r="G52">
        <v>2009</v>
      </c>
      <c r="H52" t="inlineStr">
        <is>
          <t xml:space="preserve">2009-09</t>
        </is>
      </c>
      <c r="I52" s="3">
        <f>INDEX(Monthly!$AF:$AF,MATCH(H52,Monthly!$A:$A,0))</f>
        <v>22.667999999999996</v>
      </c>
      <c r="J52" s="4">
        <f>INDEX(Monthly!$AE:$AE,MATCH(H52,Monthly!$A:$A,0))</f>
        <v>144.964</v>
      </c>
    </row>
    <row r="53">
      <c r="A53" t="inlineStr">
        <is>
          <t xml:space="preserve">Honduras, mean of 3 towns (Comayagua, Ocotepeque, Copán)</t>
        </is>
      </c>
      <c r="B53" t="inlineStr">
        <is>
          <t xml:space="preserve">2009/10</t>
        </is>
      </c>
      <c r="C53" t="inlineStr">
        <is>
          <t xml:space="preserve">El Niño</t>
        </is>
      </c>
      <c r="D53" t="inlineStr">
        <is>
          <t xml:space="preserve">yes</t>
        </is>
      </c>
      <c r="E53" t="inlineStr">
        <is>
          <t xml:space="preserve">Oct</t>
        </is>
      </c>
      <c r="F53">
        <v>4</v>
      </c>
      <c r="G53">
        <v>2009</v>
      </c>
      <c r="H53" t="inlineStr">
        <is>
          <t xml:space="preserve">2009-10</t>
        </is>
      </c>
      <c r="I53" s="3">
        <f>INDEX(Monthly!$AF:$AF,MATCH(H53,Monthly!$A:$A,0))</f>
        <v>22.455698924731184</v>
      </c>
      <c r="J53" s="4">
        <f>INDEX(Monthly!$AE:$AE,MATCH(H53,Monthly!$A:$A,0))</f>
        <v>96.57000000000001</v>
      </c>
    </row>
    <row r="54">
      <c r="A54" t="inlineStr">
        <is>
          <t xml:space="preserve">Honduras, mean of 3 towns (Comayagua, Ocotepeque, Copán)</t>
        </is>
      </c>
      <c r="B54" t="inlineStr">
        <is>
          <t xml:space="preserve">2009/10</t>
        </is>
      </c>
      <c r="C54" t="inlineStr">
        <is>
          <t xml:space="preserve">El Niño</t>
        </is>
      </c>
      <c r="D54" t="inlineStr">
        <is>
          <t xml:space="preserve">yes</t>
        </is>
      </c>
      <c r="E54" t="inlineStr">
        <is>
          <t xml:space="preserve">Nov</t>
        </is>
      </c>
      <c r="F54">
        <v>5</v>
      </c>
      <c r="G54">
        <v>2009</v>
      </c>
      <c r="H54" t="inlineStr">
        <is>
          <t xml:space="preserve">2009-11</t>
        </is>
      </c>
      <c r="I54" s="3">
        <f>INDEX(Monthly!$AF:$AF,MATCH(H54,Monthly!$A:$A,0))</f>
        <v>20.38588888888889</v>
      </c>
      <c r="J54" s="4">
        <f>INDEX(Monthly!$AE:$AE,MATCH(H54,Monthly!$A:$A,0))</f>
        <v>96.67533333333331</v>
      </c>
    </row>
    <row r="55">
      <c r="A55" t="inlineStr">
        <is>
          <t xml:space="preserve">Honduras, mean of 3 towns (Comayagua, Ocotepeque, Copán)</t>
        </is>
      </c>
      <c r="B55" t="inlineStr">
        <is>
          <t xml:space="preserve">2009/10</t>
        </is>
      </c>
      <c r="C55" t="inlineStr">
        <is>
          <t xml:space="preserve">El Niño</t>
        </is>
      </c>
      <c r="D55" t="inlineStr">
        <is>
          <t xml:space="preserve">yes</t>
        </is>
      </c>
      <c r="E55" t="inlineStr">
        <is>
          <t xml:space="preserve">Dec</t>
        </is>
      </c>
      <c r="F55">
        <v>6</v>
      </c>
      <c r="G55">
        <v>2009</v>
      </c>
      <c r="H55" t="inlineStr">
        <is>
          <t xml:space="preserve">2009-12</t>
        </is>
      </c>
      <c r="I55" s="3">
        <f>INDEX(Monthly!$AF:$AF,MATCH(H55,Monthly!$A:$A,0))</f>
        <v>20.37268817204301</v>
      </c>
      <c r="J55" s="4">
        <f>INDEX(Monthly!$AE:$AE,MATCH(H55,Monthly!$A:$A,0))</f>
        <v>39.386</v>
      </c>
    </row>
    <row r="56">
      <c r="A56" t="inlineStr">
        <is>
          <t xml:space="preserve">Honduras, mean of 3 towns (Comayagua, Ocotepeque, Copán)</t>
        </is>
      </c>
      <c r="B56" t="inlineStr">
        <is>
          <t xml:space="preserve">2009/10</t>
        </is>
      </c>
      <c r="C56" t="inlineStr">
        <is>
          <t xml:space="preserve">El Niño</t>
        </is>
      </c>
      <c r="D56" t="inlineStr">
        <is>
          <t xml:space="preserve">yes</t>
        </is>
      </c>
      <c r="E56" t="inlineStr">
        <is>
          <t xml:space="preserve">Jan</t>
        </is>
      </c>
      <c r="F56">
        <v>7</v>
      </c>
      <c r="G56">
        <v>2010</v>
      </c>
      <c r="H56" t="inlineStr">
        <is>
          <t xml:space="preserve">2010-01</t>
        </is>
      </c>
      <c r="I56" s="3">
        <f>INDEX(Monthly!$AF:$AF,MATCH(H56,Monthly!$A:$A,0))</f>
        <v>19.25376344086021</v>
      </c>
      <c r="J56" s="4">
        <f>INDEX(Monthly!$AE:$AE,MATCH(H56,Monthly!$A:$A,0))</f>
        <v>23.679000000000002</v>
      </c>
    </row>
    <row r="57">
      <c r="A57" t="inlineStr">
        <is>
          <t xml:space="preserve">Honduras, mean of 3 towns (Comayagua, Ocotepeque, Copán)</t>
        </is>
      </c>
      <c r="B57" t="inlineStr">
        <is>
          <t xml:space="preserve">2009/10</t>
        </is>
      </c>
      <c r="C57" t="inlineStr">
        <is>
          <t xml:space="preserve">El Niño</t>
        </is>
      </c>
      <c r="D57" t="inlineStr">
        <is>
          <t xml:space="preserve">yes</t>
        </is>
      </c>
      <c r="E57" t="inlineStr">
        <is>
          <t xml:space="preserve">Feb</t>
        </is>
      </c>
      <c r="F57">
        <v>8</v>
      </c>
      <c r="G57">
        <v>2010</v>
      </c>
      <c r="H57" t="inlineStr">
        <is>
          <t xml:space="preserve">2010-02</t>
        </is>
      </c>
      <c r="I57" s="3">
        <f>INDEX(Monthly!$AF:$AF,MATCH(H57,Monthly!$A:$A,0))</f>
        <v>21.726428571428574</v>
      </c>
      <c r="J57" s="4">
        <f>INDEX(Monthly!$AE:$AE,MATCH(H57,Monthly!$A:$A,0))</f>
        <v>15.198666666666668</v>
      </c>
    </row>
    <row r="58">
      <c r="A58" t="inlineStr">
        <is>
          <t xml:space="preserve">Honduras, mean of 3 towns (Comayagua, Ocotepeque, Copán)</t>
        </is>
      </c>
      <c r="B58" t="inlineStr">
        <is>
          <t xml:space="preserve">2009/10</t>
        </is>
      </c>
      <c r="C58" t="inlineStr">
        <is>
          <t xml:space="preserve">El Niño</t>
        </is>
      </c>
      <c r="D58" t="inlineStr">
        <is>
          <t xml:space="preserve">yes</t>
        </is>
      </c>
      <c r="E58" t="inlineStr">
        <is>
          <t xml:space="preserve">Mar</t>
        </is>
      </c>
      <c r="F58">
        <v>9</v>
      </c>
      <c r="G58">
        <v>2010</v>
      </c>
      <c r="H58" t="inlineStr">
        <is>
          <t xml:space="preserve">2010-03</t>
        </is>
      </c>
      <c r="I58" s="3">
        <f>INDEX(Monthly!$AF:$AF,MATCH(H58,Monthly!$A:$A,0))</f>
        <v>23.028387096774196</v>
      </c>
      <c r="J58" s="4">
        <f>INDEX(Monthly!$AE:$AE,MATCH(H58,Monthly!$A:$A,0))</f>
        <v>1.2973333333333334</v>
      </c>
    </row>
    <row r="59">
      <c r="A59" t="inlineStr">
        <is>
          <t xml:space="preserve">Honduras, mean of 3 towns (Comayagua, Ocotepeque, Copán)</t>
        </is>
      </c>
      <c r="B59" t="inlineStr">
        <is>
          <t xml:space="preserve">2009/10</t>
        </is>
      </c>
      <c r="C59" t="inlineStr">
        <is>
          <t xml:space="preserve">El Niño</t>
        </is>
      </c>
      <c r="D59" t="inlineStr">
        <is>
          <t xml:space="preserve">yes</t>
        </is>
      </c>
      <c r="E59" t="inlineStr">
        <is>
          <t xml:space="preserve">Apr</t>
        </is>
      </c>
      <c r="F59">
        <v>10</v>
      </c>
      <c r="G59">
        <v>2010</v>
      </c>
      <c r="H59" t="inlineStr">
        <is>
          <t xml:space="preserve">2010-04</t>
        </is>
      </c>
      <c r="I59" s="3">
        <f>INDEX(Monthly!$AF:$AF,MATCH(H59,Monthly!$A:$A,0))</f>
        <v>24.781222222222226</v>
      </c>
      <c r="J59" s="4">
        <f>INDEX(Monthly!$AE:$AE,MATCH(H59,Monthly!$A:$A,0))</f>
        <v>105.63133333333333</v>
      </c>
    </row>
    <row r="60">
      <c r="A60" t="inlineStr">
        <is>
          <t xml:space="preserve">Honduras, mean of 3 towns (Comayagua, Ocotepeque, Copán)</t>
        </is>
      </c>
      <c r="B60" t="inlineStr">
        <is>
          <t xml:space="preserve">2009/10</t>
        </is>
      </c>
      <c r="C60" t="inlineStr">
        <is>
          <t xml:space="preserve">El Niño</t>
        </is>
      </c>
      <c r="D60" t="inlineStr">
        <is>
          <t xml:space="preserve">yes</t>
        </is>
      </c>
      <c r="E60" t="inlineStr">
        <is>
          <t xml:space="preserve">May</t>
        </is>
      </c>
      <c r="F60">
        <v>11</v>
      </c>
      <c r="G60">
        <v>2010</v>
      </c>
      <c r="H60" t="inlineStr">
        <is>
          <t xml:space="preserve">2010-05</t>
        </is>
      </c>
      <c r="I60" s="3">
        <f>INDEX(Monthly!$AF:$AF,MATCH(H60,Monthly!$A:$A,0))</f>
        <v>24.435268817204303</v>
      </c>
      <c r="J60" s="4">
        <f>INDEX(Monthly!$AE:$AE,MATCH(H60,Monthly!$A:$A,0))</f>
        <v>271.5676666666667</v>
      </c>
    </row>
    <row r="61">
      <c r="A61" t="inlineStr">
        <is>
          <t xml:space="preserve">Honduras, mean of 3 towns (Comayagua, Ocotepeque, Copán)</t>
        </is>
      </c>
      <c r="B61" t="inlineStr">
        <is>
          <t xml:space="preserve">2009/10</t>
        </is>
      </c>
      <c r="C61" t="inlineStr">
        <is>
          <t xml:space="preserve">El Niño</t>
        </is>
      </c>
      <c r="D61" t="inlineStr">
        <is>
          <t xml:space="preserve">yes</t>
        </is>
      </c>
      <c r="E61" t="inlineStr">
        <is>
          <t xml:space="preserve">Jun</t>
        </is>
      </c>
      <c r="F61">
        <v>12</v>
      </c>
      <c r="G61">
        <v>2010</v>
      </c>
      <c r="H61" t="inlineStr">
        <is>
          <t xml:space="preserve">2010-06</t>
        </is>
      </c>
      <c r="I61" s="3">
        <f>INDEX(Monthly!$AF:$AF,MATCH(H61,Monthly!$A:$A,0))</f>
        <v>22.939000000000004</v>
      </c>
      <c r="J61" s="4">
        <f>INDEX(Monthly!$AE:$AE,MATCH(H61,Monthly!$A:$A,0))</f>
        <v>282.7773333333333</v>
      </c>
    </row>
    <row r="62">
      <c r="A62" t="inlineStr">
        <is>
          <t xml:space="preserve">Honduras, mean of 3 towns (Comayagua, Ocotepeque, Copán)</t>
        </is>
      </c>
      <c r="B62" t="inlineStr">
        <is>
          <t xml:space="preserve">2010/11</t>
        </is>
      </c>
      <c r="C62" t="inlineStr">
        <is>
          <t xml:space="preserve">La Niña</t>
        </is>
      </c>
      <c r="D62" t="inlineStr">
        <is>
          <t xml:space="preserve">yes</t>
        </is>
      </c>
      <c r="E62" t="inlineStr">
        <is>
          <t xml:space="preserve">Jul</t>
        </is>
      </c>
      <c r="F62">
        <v>1</v>
      </c>
      <c r="G62">
        <v>2010</v>
      </c>
      <c r="H62" t="inlineStr">
        <is>
          <t xml:space="preserve">2010-07</t>
        </is>
      </c>
      <c r="I62" s="3">
        <f>INDEX(Monthly!$AF:$AF,MATCH(H62,Monthly!$A:$A,0))</f>
        <v>22.38806451612903</v>
      </c>
      <c r="J62" s="4">
        <f>INDEX(Monthly!$AE:$AE,MATCH(H62,Monthly!$A:$A,0))</f>
        <v>199.029</v>
      </c>
    </row>
    <row r="63">
      <c r="A63" t="inlineStr">
        <is>
          <t xml:space="preserve">Honduras, mean of 3 towns (Comayagua, Ocotepeque, Copán)</t>
        </is>
      </c>
      <c r="B63" t="inlineStr">
        <is>
          <t xml:space="preserve">2010/11</t>
        </is>
      </c>
      <c r="C63" t="inlineStr">
        <is>
          <t xml:space="preserve">La Niña</t>
        </is>
      </c>
      <c r="D63" t="inlineStr">
        <is>
          <t xml:space="preserve">yes</t>
        </is>
      </c>
      <c r="E63" t="inlineStr">
        <is>
          <t xml:space="preserve">Aug</t>
        </is>
      </c>
      <c r="F63">
        <v>2</v>
      </c>
      <c r="G63">
        <v>2010</v>
      </c>
      <c r="H63" t="inlineStr">
        <is>
          <t xml:space="preserve">2010-08</t>
        </is>
      </c>
      <c r="I63" s="3">
        <f>INDEX(Monthly!$AF:$AF,MATCH(H63,Monthly!$A:$A,0))</f>
        <v>22.370107526881714</v>
      </c>
      <c r="J63" s="4">
        <f>INDEX(Monthly!$AE:$AE,MATCH(H63,Monthly!$A:$A,0))</f>
        <v>293.492</v>
      </c>
    </row>
    <row r="64">
      <c r="A64" t="inlineStr">
        <is>
          <t xml:space="preserve">Honduras, mean of 3 towns (Comayagua, Ocotepeque, Copán)</t>
        </is>
      </c>
      <c r="B64" t="inlineStr">
        <is>
          <t xml:space="preserve">2010/11</t>
        </is>
      </c>
      <c r="C64" t="inlineStr">
        <is>
          <t xml:space="preserve">La Niña</t>
        </is>
      </c>
      <c r="D64" t="inlineStr">
        <is>
          <t xml:space="preserve">yes</t>
        </is>
      </c>
      <c r="E64" t="inlineStr">
        <is>
          <t xml:space="preserve">Sep</t>
        </is>
      </c>
      <c r="F64">
        <v>3</v>
      </c>
      <c r="G64">
        <v>2010</v>
      </c>
      <c r="H64" t="inlineStr">
        <is>
          <t xml:space="preserve">2010-09</t>
        </is>
      </c>
      <c r="I64" s="3">
        <f>INDEX(Monthly!$AF:$AF,MATCH(H64,Monthly!$A:$A,0))</f>
        <v>22.046888888888887</v>
      </c>
      <c r="J64" s="4">
        <f>INDEX(Monthly!$AE:$AE,MATCH(H64,Monthly!$A:$A,0))</f>
        <v>203.384</v>
      </c>
    </row>
    <row r="65">
      <c r="A65" t="inlineStr">
        <is>
          <t xml:space="preserve">Honduras, mean of 3 towns (Comayagua, Ocotepeque, Copán)</t>
        </is>
      </c>
      <c r="B65" t="inlineStr">
        <is>
          <t xml:space="preserve">2010/11</t>
        </is>
      </c>
      <c r="C65" t="inlineStr">
        <is>
          <t xml:space="preserve">La Niña</t>
        </is>
      </c>
      <c r="D65" t="inlineStr">
        <is>
          <t xml:space="preserve">yes</t>
        </is>
      </c>
      <c r="E65" t="inlineStr">
        <is>
          <t xml:space="preserve">Oct</t>
        </is>
      </c>
      <c r="F65">
        <v>4</v>
      </c>
      <c r="G65">
        <v>2010</v>
      </c>
      <c r="H65" t="inlineStr">
        <is>
          <t xml:space="preserve">2010-10</t>
        </is>
      </c>
      <c r="I65" s="3">
        <f>INDEX(Monthly!$AF:$AF,MATCH(H65,Monthly!$A:$A,0))</f>
        <v>20.132903225806448</v>
      </c>
      <c r="J65" s="4">
        <f>INDEX(Monthly!$AE:$AE,MATCH(H65,Monthly!$A:$A,0))</f>
        <v>24.640666666666664</v>
      </c>
    </row>
    <row r="66">
      <c r="A66" t="inlineStr">
        <is>
          <t xml:space="preserve">Honduras, mean of 3 towns (Comayagua, Ocotepeque, Copán)</t>
        </is>
      </c>
      <c r="B66" t="inlineStr">
        <is>
          <t xml:space="preserve">2010/11</t>
        </is>
      </c>
      <c r="C66" t="inlineStr">
        <is>
          <t xml:space="preserve">La Niña</t>
        </is>
      </c>
      <c r="D66" t="inlineStr">
        <is>
          <t xml:space="preserve">yes</t>
        </is>
      </c>
      <c r="E66" t="inlineStr">
        <is>
          <t xml:space="preserve">Nov</t>
        </is>
      </c>
      <c r="F66">
        <v>5</v>
      </c>
      <c r="G66">
        <v>2010</v>
      </c>
      <c r="H66" t="inlineStr">
        <is>
          <t xml:space="preserve">2010-11</t>
        </is>
      </c>
      <c r="I66" s="3">
        <f>INDEX(Monthly!$AF:$AF,MATCH(H66,Monthly!$A:$A,0))</f>
        <v>19.088111111111115</v>
      </c>
      <c r="J66" s="4">
        <f>INDEX(Monthly!$AE:$AE,MATCH(H66,Monthly!$A:$A,0))</f>
        <v>17.627</v>
      </c>
    </row>
    <row r="67">
      <c r="A67" t="inlineStr">
        <is>
          <t xml:space="preserve">Honduras, mean of 3 towns (Comayagua, Ocotepeque, Copán)</t>
        </is>
      </c>
      <c r="B67" t="inlineStr">
        <is>
          <t xml:space="preserve">2010/11</t>
        </is>
      </c>
      <c r="C67" t="inlineStr">
        <is>
          <t xml:space="preserve">La Niña</t>
        </is>
      </c>
      <c r="D67" t="inlineStr">
        <is>
          <t xml:space="preserve">yes</t>
        </is>
      </c>
      <c r="E67" t="inlineStr">
        <is>
          <t xml:space="preserve">Dec</t>
        </is>
      </c>
      <c r="F67">
        <v>6</v>
      </c>
      <c r="G67">
        <v>2010</v>
      </c>
      <c r="H67" t="inlineStr">
        <is>
          <t xml:space="preserve">2010-12</t>
        </is>
      </c>
      <c r="I67" s="3">
        <f>INDEX(Monthly!$AF:$AF,MATCH(H67,Monthly!$A:$A,0))</f>
        <v>17.203763440860214</v>
      </c>
      <c r="J67" s="4">
        <f>INDEX(Monthly!$AE:$AE,MATCH(H67,Monthly!$A:$A,0))</f>
        <v>12.834333333333333</v>
      </c>
    </row>
    <row r="68">
      <c r="A68" t="inlineStr">
        <is>
          <t xml:space="preserve">Honduras, mean of 3 towns (Comayagua, Ocotepeque, Copán)</t>
        </is>
      </c>
      <c r="B68" t="inlineStr">
        <is>
          <t xml:space="preserve">2010/11</t>
        </is>
      </c>
      <c r="C68" t="inlineStr">
        <is>
          <t xml:space="preserve">La Niña</t>
        </is>
      </c>
      <c r="D68" t="inlineStr">
        <is>
          <t xml:space="preserve">yes</t>
        </is>
      </c>
      <c r="E68" t="inlineStr">
        <is>
          <t xml:space="preserve">Jan</t>
        </is>
      </c>
      <c r="F68">
        <v>7</v>
      </c>
      <c r="G68">
        <v>2011</v>
      </c>
      <c r="H68" t="inlineStr">
        <is>
          <t xml:space="preserve">2011-01</t>
        </is>
      </c>
      <c r="I68" s="3">
        <f>INDEX(Monthly!$AF:$AF,MATCH(H68,Monthly!$A:$A,0))</f>
        <v>19.941935483870967</v>
      </c>
      <c r="J68" s="4">
        <f>INDEX(Monthly!$AE:$AE,MATCH(H68,Monthly!$A:$A,0))</f>
        <v>15.127</v>
      </c>
    </row>
    <row r="69">
      <c r="A69" t="inlineStr">
        <is>
          <t xml:space="preserve">Honduras, mean of 3 towns (Comayagua, Ocotepeque, Copán)</t>
        </is>
      </c>
      <c r="B69" t="inlineStr">
        <is>
          <t xml:space="preserve">2010/11</t>
        </is>
      </c>
      <c r="C69" t="inlineStr">
        <is>
          <t xml:space="preserve">La Niña</t>
        </is>
      </c>
      <c r="D69" t="inlineStr">
        <is>
          <t xml:space="preserve">yes</t>
        </is>
      </c>
      <c r="E69" t="inlineStr">
        <is>
          <t xml:space="preserve">Feb</t>
        </is>
      </c>
      <c r="F69">
        <v>8</v>
      </c>
      <c r="G69">
        <v>2011</v>
      </c>
      <c r="H69" t="inlineStr">
        <is>
          <t xml:space="preserve">2011-02</t>
        </is>
      </c>
      <c r="I69" s="3">
        <f>INDEX(Monthly!$AF:$AF,MATCH(H69,Monthly!$A:$A,0))</f>
        <v>21.073452380952386</v>
      </c>
      <c r="J69" s="4">
        <f>INDEX(Monthly!$AE:$AE,MATCH(H69,Monthly!$A:$A,0))</f>
        <v>25.108</v>
      </c>
    </row>
    <row r="70">
      <c r="A70" t="inlineStr">
        <is>
          <t xml:space="preserve">Honduras, mean of 3 towns (Comayagua, Ocotepeque, Copán)</t>
        </is>
      </c>
      <c r="B70" t="inlineStr">
        <is>
          <t xml:space="preserve">2010/11</t>
        </is>
      </c>
      <c r="C70" t="inlineStr">
        <is>
          <t xml:space="preserve">La Niña</t>
        </is>
      </c>
      <c r="D70" t="inlineStr">
        <is>
          <t xml:space="preserve">yes</t>
        </is>
      </c>
      <c r="E70" t="inlineStr">
        <is>
          <t xml:space="preserve">Mar</t>
        </is>
      </c>
      <c r="F70">
        <v>9</v>
      </c>
      <c r="G70">
        <v>2011</v>
      </c>
      <c r="H70" t="inlineStr">
        <is>
          <t xml:space="preserve">2011-03</t>
        </is>
      </c>
      <c r="I70" s="3">
        <f>INDEX(Monthly!$AF:$AF,MATCH(H70,Monthly!$A:$A,0))</f>
        <v>22.028709677419354</v>
      </c>
      <c r="J70" s="4">
        <f>INDEX(Monthly!$AE:$AE,MATCH(H70,Monthly!$A:$A,0))</f>
        <v>12.543666666666667</v>
      </c>
    </row>
    <row r="71">
      <c r="A71" t="inlineStr">
        <is>
          <t xml:space="preserve">Honduras, mean of 3 towns (Comayagua, Ocotepeque, Copán)</t>
        </is>
      </c>
      <c r="B71" t="inlineStr">
        <is>
          <t xml:space="preserve">2010/11</t>
        </is>
      </c>
      <c r="C71" t="inlineStr">
        <is>
          <t xml:space="preserve">La Niña</t>
        </is>
      </c>
      <c r="D71" t="inlineStr">
        <is>
          <t xml:space="preserve">yes</t>
        </is>
      </c>
      <c r="E71" t="inlineStr">
        <is>
          <t xml:space="preserve">Apr</t>
        </is>
      </c>
      <c r="F71">
        <v>10</v>
      </c>
      <c r="G71">
        <v>2011</v>
      </c>
      <c r="H71" t="inlineStr">
        <is>
          <t xml:space="preserve">2011-04</t>
        </is>
      </c>
      <c r="I71" s="3">
        <f>INDEX(Monthly!$AF:$AF,MATCH(H71,Monthly!$A:$A,0))</f>
        <v>24.566444444444443</v>
      </c>
      <c r="J71" s="4">
        <f>INDEX(Monthly!$AE:$AE,MATCH(H71,Monthly!$A:$A,0))</f>
        <v>72.389</v>
      </c>
    </row>
    <row r="72">
      <c r="A72" t="inlineStr">
        <is>
          <t xml:space="preserve">Honduras, mean of 3 towns (Comayagua, Ocotepeque, Copán)</t>
        </is>
      </c>
      <c r="B72" t="inlineStr">
        <is>
          <t xml:space="preserve">2010/11</t>
        </is>
      </c>
      <c r="C72" t="inlineStr">
        <is>
          <t xml:space="preserve">La Niña</t>
        </is>
      </c>
      <c r="D72" t="inlineStr">
        <is>
          <t xml:space="preserve">yes</t>
        </is>
      </c>
      <c r="E72" t="inlineStr">
        <is>
          <t xml:space="preserve">May</t>
        </is>
      </c>
      <c r="F72">
        <v>11</v>
      </c>
      <c r="G72">
        <v>2011</v>
      </c>
      <c r="H72" t="inlineStr">
        <is>
          <t xml:space="preserve">2011-05</t>
        </is>
      </c>
      <c r="I72" s="3">
        <f>INDEX(Monthly!$AF:$AF,MATCH(H72,Monthly!$A:$A,0))</f>
        <v>24.132580645161294</v>
      </c>
      <c r="J72" s="4">
        <f>INDEX(Monthly!$AE:$AE,MATCH(H72,Monthly!$A:$A,0))</f>
        <v>140.51166666666666</v>
      </c>
    </row>
    <row r="73">
      <c r="A73" t="inlineStr">
        <is>
          <t xml:space="preserve">Honduras, mean of 3 towns (Comayagua, Ocotepeque, Copán)</t>
        </is>
      </c>
      <c r="B73" t="inlineStr">
        <is>
          <t xml:space="preserve">2010/11</t>
        </is>
      </c>
      <c r="C73" t="inlineStr">
        <is>
          <t xml:space="preserve">La Niña</t>
        </is>
      </c>
      <c r="D73" t="inlineStr">
        <is>
          <t xml:space="preserve">yes</t>
        </is>
      </c>
      <c r="E73" t="inlineStr">
        <is>
          <t xml:space="preserve">Jun</t>
        </is>
      </c>
      <c r="F73">
        <v>12</v>
      </c>
      <c r="G73">
        <v>2011</v>
      </c>
      <c r="H73" t="inlineStr">
        <is>
          <t xml:space="preserve">2011-06</t>
        </is>
      </c>
      <c r="I73" s="3">
        <f>INDEX(Monthly!$AF:$AF,MATCH(H73,Monthly!$A:$A,0))</f>
        <v>22.86655555555556</v>
      </c>
      <c r="J73" s="4">
        <f>INDEX(Monthly!$AE:$AE,MATCH(H73,Monthly!$A:$A,0))</f>
        <v>268.40066666666667</v>
      </c>
    </row>
    <row r="74">
      <c r="A74" t="inlineStr">
        <is>
          <t xml:space="preserve">Honduras, mean of 3 towns (Comayagua, Ocotepeque, Copán)</t>
        </is>
      </c>
      <c r="B74" t="inlineStr">
        <is>
          <t xml:space="preserve">2011/12</t>
        </is>
      </c>
      <c r="C74" t="inlineStr">
        <is>
          <t xml:space="preserve">La Niña</t>
        </is>
      </c>
      <c r="D74" t="inlineStr">
        <is>
          <t xml:space="preserve">yes</t>
        </is>
      </c>
      <c r="E74" t="inlineStr">
        <is>
          <t xml:space="preserve">Jul</t>
        </is>
      </c>
      <c r="F74">
        <v>1</v>
      </c>
      <c r="G74">
        <v>2011</v>
      </c>
      <c r="H74" t="inlineStr">
        <is>
          <t xml:space="preserve">2011-07</t>
        </is>
      </c>
      <c r="I74" s="3">
        <f>INDEX(Monthly!$AF:$AF,MATCH(H74,Monthly!$A:$A,0))</f>
        <v>22.17838709677419</v>
      </c>
      <c r="J74" s="4">
        <f>INDEX(Monthly!$AE:$AE,MATCH(H74,Monthly!$A:$A,0))</f>
        <v>311.098</v>
      </c>
    </row>
    <row r="75">
      <c r="A75" t="inlineStr">
        <is>
          <t xml:space="preserve">Honduras, mean of 3 towns (Comayagua, Ocotepeque, Copán)</t>
        </is>
      </c>
      <c r="B75" t="inlineStr">
        <is>
          <t xml:space="preserve">2011/12</t>
        </is>
      </c>
      <c r="C75" t="inlineStr">
        <is>
          <t xml:space="preserve">La Niña</t>
        </is>
      </c>
      <c r="D75" t="inlineStr">
        <is>
          <t xml:space="preserve">yes</t>
        </is>
      </c>
      <c r="E75" t="inlineStr">
        <is>
          <t xml:space="preserve">Aug</t>
        </is>
      </c>
      <c r="F75">
        <v>2</v>
      </c>
      <c r="G75">
        <v>2011</v>
      </c>
      <c r="H75" t="inlineStr">
        <is>
          <t xml:space="preserve">2011-08</t>
        </is>
      </c>
      <c r="I75" s="3">
        <f>INDEX(Monthly!$AF:$AF,MATCH(H75,Monthly!$A:$A,0))</f>
        <v>22.64</v>
      </c>
      <c r="J75" s="4">
        <f>INDEX(Monthly!$AE:$AE,MATCH(H75,Monthly!$A:$A,0))</f>
        <v>207.83433333333332</v>
      </c>
    </row>
    <row r="76">
      <c r="A76" t="inlineStr">
        <is>
          <t xml:space="preserve">Honduras, mean of 3 towns (Comayagua, Ocotepeque, Copán)</t>
        </is>
      </c>
      <c r="B76" t="inlineStr">
        <is>
          <t xml:space="preserve">2011/12</t>
        </is>
      </c>
      <c r="C76" t="inlineStr">
        <is>
          <t xml:space="preserve">La Niña</t>
        </is>
      </c>
      <c r="D76" t="inlineStr">
        <is>
          <t xml:space="preserve">yes</t>
        </is>
      </c>
      <c r="E76" t="inlineStr">
        <is>
          <t xml:space="preserve">Sep</t>
        </is>
      </c>
      <c r="F76">
        <v>3</v>
      </c>
      <c r="G76">
        <v>2011</v>
      </c>
      <c r="H76" t="inlineStr">
        <is>
          <t xml:space="preserve">2011-09</t>
        </is>
      </c>
      <c r="I76" s="3">
        <f>INDEX(Monthly!$AF:$AF,MATCH(H76,Monthly!$A:$A,0))</f>
        <v>22.12355555555556</v>
      </c>
      <c r="J76" s="4">
        <f>INDEX(Monthly!$AE:$AE,MATCH(H76,Monthly!$A:$A,0))</f>
        <v>257.55266666666665</v>
      </c>
    </row>
    <row r="77">
      <c r="A77" t="inlineStr">
        <is>
          <t xml:space="preserve">Honduras, mean of 3 towns (Comayagua, Ocotepeque, Copán)</t>
        </is>
      </c>
      <c r="B77" t="inlineStr">
        <is>
          <t xml:space="preserve">2011/12</t>
        </is>
      </c>
      <c r="C77" t="inlineStr">
        <is>
          <t xml:space="preserve">La Niña</t>
        </is>
      </c>
      <c r="D77" t="inlineStr">
        <is>
          <t xml:space="preserve">yes</t>
        </is>
      </c>
      <c r="E77" t="inlineStr">
        <is>
          <t xml:space="preserve">Oct</t>
        </is>
      </c>
      <c r="F77">
        <v>4</v>
      </c>
      <c r="G77">
        <v>2011</v>
      </c>
      <c r="H77" t="inlineStr">
        <is>
          <t xml:space="preserve">2011-10</t>
        </is>
      </c>
      <c r="I77" s="3">
        <f>INDEX(Monthly!$AF:$AF,MATCH(H77,Monthly!$A:$A,0))</f>
        <v>20.310430107526884</v>
      </c>
      <c r="J77" s="4">
        <f>INDEX(Monthly!$AE:$AE,MATCH(H77,Monthly!$A:$A,0))</f>
        <v>256.1993333333333</v>
      </c>
    </row>
    <row r="78">
      <c r="A78" t="inlineStr">
        <is>
          <t xml:space="preserve">Honduras, mean of 3 towns (Comayagua, Ocotepeque, Copán)</t>
        </is>
      </c>
      <c r="B78" t="inlineStr">
        <is>
          <t xml:space="preserve">2011/12</t>
        </is>
      </c>
      <c r="C78" t="inlineStr">
        <is>
          <t xml:space="preserve">La Niña</t>
        </is>
      </c>
      <c r="D78" t="inlineStr">
        <is>
          <t xml:space="preserve">yes</t>
        </is>
      </c>
      <c r="E78" t="inlineStr">
        <is>
          <t xml:space="preserve">Nov</t>
        </is>
      </c>
      <c r="F78">
        <v>5</v>
      </c>
      <c r="G78">
        <v>2011</v>
      </c>
      <c r="H78" t="inlineStr">
        <is>
          <t xml:space="preserve">2011-11</t>
        </is>
      </c>
      <c r="I78" s="3">
        <f>INDEX(Monthly!$AF:$AF,MATCH(H78,Monthly!$A:$A,0))</f>
        <v>19.350111111111115</v>
      </c>
      <c r="J78" s="4">
        <f>INDEX(Monthly!$AE:$AE,MATCH(H78,Monthly!$A:$A,0))</f>
        <v>37.912</v>
      </c>
    </row>
    <row r="79">
      <c r="A79" t="inlineStr">
        <is>
          <t xml:space="preserve">Honduras, mean of 3 towns (Comayagua, Ocotepeque, Copán)</t>
        </is>
      </c>
      <c r="B79" t="inlineStr">
        <is>
          <t xml:space="preserve">2011/12</t>
        </is>
      </c>
      <c r="C79" t="inlineStr">
        <is>
          <t xml:space="preserve">La Niña</t>
        </is>
      </c>
      <c r="D79" t="inlineStr">
        <is>
          <t xml:space="preserve">yes</t>
        </is>
      </c>
      <c r="E79" t="inlineStr">
        <is>
          <t xml:space="preserve">Dec</t>
        </is>
      </c>
      <c r="F79">
        <v>6</v>
      </c>
      <c r="G79">
        <v>2011</v>
      </c>
      <c r="H79" t="inlineStr">
        <is>
          <t xml:space="preserve">2011-12</t>
        </is>
      </c>
      <c r="I79" s="3">
        <f>INDEX(Monthly!$AF:$AF,MATCH(H79,Monthly!$A:$A,0))</f>
        <v>18.605913978494623</v>
      </c>
      <c r="J79" s="4">
        <f>INDEX(Monthly!$AE:$AE,MATCH(H79,Monthly!$A:$A,0))</f>
        <v>36.93333333333334</v>
      </c>
    </row>
    <row r="80">
      <c r="A80" t="inlineStr">
        <is>
          <t xml:space="preserve">Honduras, mean of 3 towns (Comayagua, Ocotepeque, Copán)</t>
        </is>
      </c>
      <c r="B80" t="inlineStr">
        <is>
          <t xml:space="preserve">2011/12</t>
        </is>
      </c>
      <c r="C80" t="inlineStr">
        <is>
          <t xml:space="preserve">La Niña</t>
        </is>
      </c>
      <c r="D80" t="inlineStr">
        <is>
          <t xml:space="preserve">yes</t>
        </is>
      </c>
      <c r="E80" t="inlineStr">
        <is>
          <t xml:space="preserve">Jan</t>
        </is>
      </c>
      <c r="F80">
        <v>7</v>
      </c>
      <c r="G80">
        <v>2012</v>
      </c>
      <c r="H80" t="inlineStr">
        <is>
          <t xml:space="preserve">2012-01</t>
        </is>
      </c>
      <c r="I80" s="3">
        <f>INDEX(Monthly!$AF:$AF,MATCH(H80,Monthly!$A:$A,0))</f>
        <v>19.253763440860215</v>
      </c>
      <c r="J80" s="4">
        <f>INDEX(Monthly!$AE:$AE,MATCH(H80,Monthly!$A:$A,0))</f>
        <v>10.635</v>
      </c>
    </row>
    <row r="81">
      <c r="A81" t="inlineStr">
        <is>
          <t xml:space="preserve">Honduras, mean of 3 towns (Comayagua, Ocotepeque, Copán)</t>
        </is>
      </c>
      <c r="B81" t="inlineStr">
        <is>
          <t xml:space="preserve">2011/12</t>
        </is>
      </c>
      <c r="C81" t="inlineStr">
        <is>
          <t xml:space="preserve">La Niña</t>
        </is>
      </c>
      <c r="D81" t="inlineStr">
        <is>
          <t xml:space="preserve">yes</t>
        </is>
      </c>
      <c r="E81" t="inlineStr">
        <is>
          <t xml:space="preserve">Feb</t>
        </is>
      </c>
      <c r="F81">
        <v>8</v>
      </c>
      <c r="G81">
        <v>2012</v>
      </c>
      <c r="H81" t="inlineStr">
        <is>
          <t xml:space="preserve">2012-02</t>
        </is>
      </c>
      <c r="I81" s="3">
        <f>INDEX(Monthly!$AF:$AF,MATCH(H81,Monthly!$A:$A,0))</f>
        <v>20.762758620689652</v>
      </c>
      <c r="J81" s="4">
        <f>INDEX(Monthly!$AE:$AE,MATCH(H81,Monthly!$A:$A,0))</f>
        <v>14.716</v>
      </c>
    </row>
    <row r="82">
      <c r="A82" t="inlineStr">
        <is>
          <t xml:space="preserve">Honduras, mean of 3 towns (Comayagua, Ocotepeque, Copán)</t>
        </is>
      </c>
      <c r="B82" t="inlineStr">
        <is>
          <t xml:space="preserve">2011/12</t>
        </is>
      </c>
      <c r="C82" t="inlineStr">
        <is>
          <t xml:space="preserve">La Niña</t>
        </is>
      </c>
      <c r="D82" t="inlineStr">
        <is>
          <t xml:space="preserve">yes</t>
        </is>
      </c>
      <c r="E82" t="inlineStr">
        <is>
          <t xml:space="preserve">Mar</t>
        </is>
      </c>
      <c r="F82">
        <v>9</v>
      </c>
      <c r="G82">
        <v>2012</v>
      </c>
      <c r="H82" t="inlineStr">
        <is>
          <t xml:space="preserve">2012-03</t>
        </is>
      </c>
      <c r="I82" s="3">
        <f>INDEX(Monthly!$AF:$AF,MATCH(H82,Monthly!$A:$A,0))</f>
        <v>21.863978494623655</v>
      </c>
      <c r="J82" s="4">
        <f>INDEX(Monthly!$AE:$AE,MATCH(H82,Monthly!$A:$A,0))</f>
        <v>22.110666666666663</v>
      </c>
    </row>
    <row r="83">
      <c r="A83" t="inlineStr">
        <is>
          <t xml:space="preserve">Honduras, mean of 3 towns (Comayagua, Ocotepeque, Copán)</t>
        </is>
      </c>
      <c r="B83" t="inlineStr">
        <is>
          <t xml:space="preserve">2011/12</t>
        </is>
      </c>
      <c r="C83" t="inlineStr">
        <is>
          <t xml:space="preserve">La Niña</t>
        </is>
      </c>
      <c r="D83" t="inlineStr">
        <is>
          <t xml:space="preserve">yes</t>
        </is>
      </c>
      <c r="E83" t="inlineStr">
        <is>
          <t xml:space="preserve">Apr</t>
        </is>
      </c>
      <c r="F83">
        <v>10</v>
      </c>
      <c r="G83">
        <v>2012</v>
      </c>
      <c r="H83" t="inlineStr">
        <is>
          <t xml:space="preserve">2012-04</t>
        </is>
      </c>
      <c r="I83" s="3">
        <f>INDEX(Monthly!$AF:$AF,MATCH(H83,Monthly!$A:$A,0))</f>
        <v>23.314222222222224</v>
      </c>
      <c r="J83" s="4">
        <f>INDEX(Monthly!$AE:$AE,MATCH(H83,Monthly!$A:$A,0))</f>
        <v>65.14866666666667</v>
      </c>
    </row>
    <row r="84">
      <c r="A84" t="inlineStr">
        <is>
          <t xml:space="preserve">Honduras, mean of 3 towns (Comayagua, Ocotepeque, Copán)</t>
        </is>
      </c>
      <c r="B84" t="inlineStr">
        <is>
          <t xml:space="preserve">2011/12</t>
        </is>
      </c>
      <c r="C84" t="inlineStr">
        <is>
          <t xml:space="preserve">La Niña</t>
        </is>
      </c>
      <c r="D84" t="inlineStr">
        <is>
          <t xml:space="preserve">yes</t>
        </is>
      </c>
      <c r="E84" t="inlineStr">
        <is>
          <t xml:space="preserve">May</t>
        </is>
      </c>
      <c r="F84">
        <v>11</v>
      </c>
      <c r="G84">
        <v>2012</v>
      </c>
      <c r="H84" t="inlineStr">
        <is>
          <t xml:space="preserve">2012-05</t>
        </is>
      </c>
      <c r="I84" s="3">
        <f>INDEX(Monthly!$AF:$AF,MATCH(H84,Monthly!$A:$A,0))</f>
        <v>23.668817204301078</v>
      </c>
      <c r="J84" s="4">
        <f>INDEX(Monthly!$AE:$AE,MATCH(H84,Monthly!$A:$A,0))</f>
        <v>208.98533333333333</v>
      </c>
    </row>
    <row r="85">
      <c r="A85" t="inlineStr">
        <is>
          <t xml:space="preserve">Honduras, mean of 3 towns (Comayagua, Ocotepeque, Copán)</t>
        </is>
      </c>
      <c r="B85" t="inlineStr">
        <is>
          <t xml:space="preserve">2011/12</t>
        </is>
      </c>
      <c r="C85" t="inlineStr">
        <is>
          <t xml:space="preserve">La Niña</t>
        </is>
      </c>
      <c r="D85" t="inlineStr">
        <is>
          <t xml:space="preserve">yes</t>
        </is>
      </c>
      <c r="E85" t="inlineStr">
        <is>
          <t xml:space="preserve">Jun</t>
        </is>
      </c>
      <c r="F85">
        <v>12</v>
      </c>
      <c r="G85">
        <v>2012</v>
      </c>
      <c r="H85" t="inlineStr">
        <is>
          <t xml:space="preserve">2012-06</t>
        </is>
      </c>
      <c r="I85" s="3">
        <f>INDEX(Monthly!$AF:$AF,MATCH(H85,Monthly!$A:$A,0))</f>
        <v>22.933555555555557</v>
      </c>
      <c r="J85" s="4">
        <f>INDEX(Monthly!$AE:$AE,MATCH(H85,Monthly!$A:$A,0))</f>
        <v>121.61166666666668</v>
      </c>
    </row>
    <row r="86">
      <c r="A86" t="inlineStr">
        <is>
          <t xml:space="preserve">Honduras, mean of 3 towns (Comayagua, Ocotepeque, Copán)</t>
        </is>
      </c>
      <c r="B86" t="inlineStr">
        <is>
          <t xml:space="preserve">2012/13</t>
        </is>
      </c>
      <c r="C86" t="inlineStr">
        <is>
          <t xml:space="preserve">Neutral</t>
        </is>
      </c>
      <c r="D86" t="inlineStr">
        <is>
          <t xml:space="preserve">yes</t>
        </is>
      </c>
      <c r="E86" t="inlineStr">
        <is>
          <t xml:space="preserve">Jul</t>
        </is>
      </c>
      <c r="F86">
        <v>1</v>
      </c>
      <c r="G86">
        <v>2012</v>
      </c>
      <c r="H86" t="inlineStr">
        <is>
          <t xml:space="preserve">2012-07</t>
        </is>
      </c>
      <c r="I86" s="3">
        <f>INDEX(Monthly!$AF:$AF,MATCH(H86,Monthly!$A:$A,0))</f>
        <v>22.448494623655915</v>
      </c>
      <c r="J86" s="4">
        <f>INDEX(Monthly!$AE:$AE,MATCH(H86,Monthly!$A:$A,0))</f>
        <v>116.08633333333334</v>
      </c>
    </row>
    <row r="87">
      <c r="A87" t="inlineStr">
        <is>
          <t xml:space="preserve">Honduras, mean of 3 towns (Comayagua, Ocotepeque, Copán)</t>
        </is>
      </c>
      <c r="B87" t="inlineStr">
        <is>
          <t xml:space="preserve">2012/13</t>
        </is>
      </c>
      <c r="C87" t="inlineStr">
        <is>
          <t xml:space="preserve">Neutral</t>
        </is>
      </c>
      <c r="D87" t="inlineStr">
        <is>
          <t xml:space="preserve">yes</t>
        </is>
      </c>
      <c r="E87" t="inlineStr">
        <is>
          <t xml:space="preserve">Aug</t>
        </is>
      </c>
      <c r="F87">
        <v>2</v>
      </c>
      <c r="G87">
        <v>2012</v>
      </c>
      <c r="H87" t="inlineStr">
        <is>
          <t xml:space="preserve">2012-08</t>
        </is>
      </c>
      <c r="I87" s="3">
        <f>INDEX(Monthly!$AF:$AF,MATCH(H87,Monthly!$A:$A,0))</f>
        <v>22.613118279569893</v>
      </c>
      <c r="J87" s="4">
        <f>INDEX(Monthly!$AE:$AE,MATCH(H87,Monthly!$A:$A,0))</f>
        <v>355.4503333333334</v>
      </c>
    </row>
    <row r="88">
      <c r="A88" t="inlineStr">
        <is>
          <t xml:space="preserve">Honduras, mean of 3 towns (Comayagua, Ocotepeque, Copán)</t>
        </is>
      </c>
      <c r="B88" t="inlineStr">
        <is>
          <t xml:space="preserve">2012/13</t>
        </is>
      </c>
      <c r="C88" t="inlineStr">
        <is>
          <t xml:space="preserve">Neutral</t>
        </is>
      </c>
      <c r="D88" t="inlineStr">
        <is>
          <t xml:space="preserve">yes</t>
        </is>
      </c>
      <c r="E88" t="inlineStr">
        <is>
          <t xml:space="preserve">Sep</t>
        </is>
      </c>
      <c r="F88">
        <v>3</v>
      </c>
      <c r="G88">
        <v>2012</v>
      </c>
      <c r="H88" t="inlineStr">
        <is>
          <t xml:space="preserve">2012-09</t>
        </is>
      </c>
      <c r="I88" s="3">
        <f>INDEX(Monthly!$AF:$AF,MATCH(H88,Monthly!$A:$A,0))</f>
        <v>22.201444444444448</v>
      </c>
      <c r="J88" s="4">
        <f>INDEX(Monthly!$AE:$AE,MATCH(H88,Monthly!$A:$A,0))</f>
        <v>150.59666666666666</v>
      </c>
    </row>
    <row r="89">
      <c r="A89" t="inlineStr">
        <is>
          <t xml:space="preserve">Honduras, mean of 3 towns (Comayagua, Ocotepeque, Copán)</t>
        </is>
      </c>
      <c r="B89" t="inlineStr">
        <is>
          <t xml:space="preserve">2012/13</t>
        </is>
      </c>
      <c r="C89" t="inlineStr">
        <is>
          <t xml:space="preserve">Neutral</t>
        </is>
      </c>
      <c r="D89" t="inlineStr">
        <is>
          <t xml:space="preserve">yes</t>
        </is>
      </c>
      <c r="E89" t="inlineStr">
        <is>
          <t xml:space="preserve">Oct</t>
        </is>
      </c>
      <c r="F89">
        <v>4</v>
      </c>
      <c r="G89">
        <v>2012</v>
      </c>
      <c r="H89" t="inlineStr">
        <is>
          <t xml:space="preserve">2012-10</t>
        </is>
      </c>
      <c r="I89" s="3">
        <f>INDEX(Monthly!$AF:$AF,MATCH(H89,Monthly!$A:$A,0))</f>
        <v>21.085698924731187</v>
      </c>
      <c r="J89" s="4">
        <f>INDEX(Monthly!$AE:$AE,MATCH(H89,Monthly!$A:$A,0))</f>
        <v>169.00766666666667</v>
      </c>
    </row>
    <row r="90">
      <c r="A90" t="inlineStr">
        <is>
          <t xml:space="preserve">Honduras, mean of 3 towns (Comayagua, Ocotepeque, Copán)</t>
        </is>
      </c>
      <c r="B90" t="inlineStr">
        <is>
          <t xml:space="preserve">2012/13</t>
        </is>
      </c>
      <c r="C90" t="inlineStr">
        <is>
          <t xml:space="preserve">Neutral</t>
        </is>
      </c>
      <c r="D90" t="inlineStr">
        <is>
          <t xml:space="preserve">yes</t>
        </is>
      </c>
      <c r="E90" t="inlineStr">
        <is>
          <t xml:space="preserve">Nov</t>
        </is>
      </c>
      <c r="F90">
        <v>5</v>
      </c>
      <c r="G90">
        <v>2012</v>
      </c>
      <c r="H90" t="inlineStr">
        <is>
          <t xml:space="preserve">2012-11</t>
        </is>
      </c>
      <c r="I90" s="3">
        <f>INDEX(Monthly!$AF:$AF,MATCH(H90,Monthly!$A:$A,0))</f>
        <v>18.742555555555555</v>
      </c>
      <c r="J90" s="4">
        <f>INDEX(Monthly!$AE:$AE,MATCH(H90,Monthly!$A:$A,0))</f>
        <v>40.291666666666664</v>
      </c>
    </row>
    <row r="91">
      <c r="A91" t="inlineStr">
        <is>
          <t xml:space="preserve">Honduras, mean of 3 towns (Comayagua, Ocotepeque, Copán)</t>
        </is>
      </c>
      <c r="B91" t="inlineStr">
        <is>
          <t xml:space="preserve">2012/13</t>
        </is>
      </c>
      <c r="C91" t="inlineStr">
        <is>
          <t xml:space="preserve">Neutral</t>
        </is>
      </c>
      <c r="D91" t="inlineStr">
        <is>
          <t xml:space="preserve">yes</t>
        </is>
      </c>
      <c r="E91" t="inlineStr">
        <is>
          <t xml:space="preserve">Dec</t>
        </is>
      </c>
      <c r="F91">
        <v>6</v>
      </c>
      <c r="G91">
        <v>2012</v>
      </c>
      <c r="H91" t="inlineStr">
        <is>
          <t xml:space="preserve">2012-12</t>
        </is>
      </c>
      <c r="I91" s="3">
        <f>INDEX(Monthly!$AF:$AF,MATCH(H91,Monthly!$A:$A,0))</f>
        <v>19.581075268817205</v>
      </c>
      <c r="J91" s="4">
        <f>INDEX(Monthly!$AE:$AE,MATCH(H91,Monthly!$A:$A,0))</f>
        <v>36.13833333333333</v>
      </c>
    </row>
    <row r="92">
      <c r="A92" t="inlineStr">
        <is>
          <t xml:space="preserve">Honduras, mean of 3 towns (Comayagua, Ocotepeque, Copán)</t>
        </is>
      </c>
      <c r="B92" t="inlineStr">
        <is>
          <t xml:space="preserve">2012/13</t>
        </is>
      </c>
      <c r="C92" t="inlineStr">
        <is>
          <t xml:space="preserve">Neutral</t>
        </is>
      </c>
      <c r="D92" t="inlineStr">
        <is>
          <t xml:space="preserve">yes</t>
        </is>
      </c>
      <c r="E92" t="inlineStr">
        <is>
          <t xml:space="preserve">Jan</t>
        </is>
      </c>
      <c r="F92">
        <v>7</v>
      </c>
      <c r="G92">
        <v>2013</v>
      </c>
      <c r="H92" t="inlineStr">
        <is>
          <t xml:space="preserve">2013-01</t>
        </is>
      </c>
      <c r="I92" s="3">
        <f>INDEX(Monthly!$AF:$AF,MATCH(H92,Monthly!$A:$A,0))</f>
        <v>19.901397849462366</v>
      </c>
      <c r="J92" s="4">
        <f>INDEX(Monthly!$AE:$AE,MATCH(H92,Monthly!$A:$A,0))</f>
        <v>23.72</v>
      </c>
    </row>
    <row r="93">
      <c r="A93" t="inlineStr">
        <is>
          <t xml:space="preserve">Honduras, mean of 3 towns (Comayagua, Ocotepeque, Copán)</t>
        </is>
      </c>
      <c r="B93" t="inlineStr">
        <is>
          <t xml:space="preserve">2012/13</t>
        </is>
      </c>
      <c r="C93" t="inlineStr">
        <is>
          <t xml:space="preserve">Neutral</t>
        </is>
      </c>
      <c r="D93" t="inlineStr">
        <is>
          <t xml:space="preserve">yes</t>
        </is>
      </c>
      <c r="E93" t="inlineStr">
        <is>
          <t xml:space="preserve">Feb</t>
        </is>
      </c>
      <c r="F93">
        <v>8</v>
      </c>
      <c r="G93">
        <v>2013</v>
      </c>
      <c r="H93" t="inlineStr">
        <is>
          <t xml:space="preserve">2013-02</t>
        </is>
      </c>
      <c r="I93" s="3">
        <f>INDEX(Monthly!$AF:$AF,MATCH(H93,Monthly!$A:$A,0))</f>
        <v>21.786547619047624</v>
      </c>
      <c r="J93" s="4">
        <f>INDEX(Monthly!$AE:$AE,MATCH(H93,Monthly!$A:$A,0))</f>
        <v>10.371666666666668</v>
      </c>
    </row>
    <row r="94">
      <c r="A94" t="inlineStr">
        <is>
          <t xml:space="preserve">Honduras, mean of 3 towns (Comayagua, Ocotepeque, Copán)</t>
        </is>
      </c>
      <c r="B94" t="inlineStr">
        <is>
          <t xml:space="preserve">2012/13</t>
        </is>
      </c>
      <c r="C94" t="inlineStr">
        <is>
          <t xml:space="preserve">Neutral</t>
        </is>
      </c>
      <c r="D94" t="inlineStr">
        <is>
          <t xml:space="preserve">yes</t>
        </is>
      </c>
      <c r="E94" t="inlineStr">
        <is>
          <t xml:space="preserve">Mar</t>
        </is>
      </c>
      <c r="F94">
        <v>9</v>
      </c>
      <c r="G94">
        <v>2013</v>
      </c>
      <c r="H94" t="inlineStr">
        <is>
          <t xml:space="preserve">2013-03</t>
        </is>
      </c>
      <c r="I94" s="3">
        <f>INDEX(Monthly!$AF:$AF,MATCH(H94,Monthly!$A:$A,0))</f>
        <v>21.5452688172043</v>
      </c>
      <c r="J94" s="4">
        <f>INDEX(Monthly!$AE:$AE,MATCH(H94,Monthly!$A:$A,0))</f>
        <v>28.18166666666666</v>
      </c>
    </row>
    <row r="95">
      <c r="A95" t="inlineStr">
        <is>
          <t xml:space="preserve">Honduras, mean of 3 towns (Comayagua, Ocotepeque, Copán)</t>
        </is>
      </c>
      <c r="B95" t="inlineStr">
        <is>
          <t xml:space="preserve">2012/13</t>
        </is>
      </c>
      <c r="C95" t="inlineStr">
        <is>
          <t xml:space="preserve">Neutral</t>
        </is>
      </c>
      <c r="D95" t="inlineStr">
        <is>
          <t xml:space="preserve">yes</t>
        </is>
      </c>
      <c r="E95" t="inlineStr">
        <is>
          <t xml:space="preserve">Apr</t>
        </is>
      </c>
      <c r="F95">
        <v>10</v>
      </c>
      <c r="G95">
        <v>2013</v>
      </c>
      <c r="H95" t="inlineStr">
        <is>
          <t xml:space="preserve">2013-04</t>
        </is>
      </c>
      <c r="I95" s="3">
        <f>INDEX(Monthly!$AF:$AF,MATCH(H95,Monthly!$A:$A,0))</f>
        <v>25.417666666666666</v>
      </c>
      <c r="J95" s="4">
        <f>INDEX(Monthly!$AE:$AE,MATCH(H95,Monthly!$A:$A,0))</f>
        <v>22.558000000000003</v>
      </c>
    </row>
    <row r="96">
      <c r="A96" t="inlineStr">
        <is>
          <t xml:space="preserve">Honduras, mean of 3 towns (Comayagua, Ocotepeque, Copán)</t>
        </is>
      </c>
      <c r="B96" t="inlineStr">
        <is>
          <t xml:space="preserve">2012/13</t>
        </is>
      </c>
      <c r="C96" t="inlineStr">
        <is>
          <t xml:space="preserve">Neutral</t>
        </is>
      </c>
      <c r="D96" t="inlineStr">
        <is>
          <t xml:space="preserve">yes</t>
        </is>
      </c>
      <c r="E96" t="inlineStr">
        <is>
          <t xml:space="preserve">May</t>
        </is>
      </c>
      <c r="F96">
        <v>11</v>
      </c>
      <c r="G96">
        <v>2013</v>
      </c>
      <c r="H96" t="inlineStr">
        <is>
          <t xml:space="preserve">2013-05</t>
        </is>
      </c>
      <c r="I96" s="3">
        <f>INDEX(Monthly!$AF:$AF,MATCH(H96,Monthly!$A:$A,0))</f>
        <v>24.19548387096774</v>
      </c>
      <c r="J96" s="4">
        <f>INDEX(Monthly!$AE:$AE,MATCH(H96,Monthly!$A:$A,0))</f>
        <v>167.28266666666667</v>
      </c>
    </row>
    <row r="97">
      <c r="A97" t="inlineStr">
        <is>
          <t xml:space="preserve">Honduras, mean of 3 towns (Comayagua, Ocotepeque, Copán)</t>
        </is>
      </c>
      <c r="B97" t="inlineStr">
        <is>
          <t xml:space="preserve">2012/13</t>
        </is>
      </c>
      <c r="C97" t="inlineStr">
        <is>
          <t xml:space="preserve">Neutral</t>
        </is>
      </c>
      <c r="D97" t="inlineStr">
        <is>
          <t xml:space="preserve">yes</t>
        </is>
      </c>
      <c r="E97" t="inlineStr">
        <is>
          <t xml:space="preserve">Jun</t>
        </is>
      </c>
      <c r="F97">
        <v>12</v>
      </c>
      <c r="G97">
        <v>2013</v>
      </c>
      <c r="H97" t="inlineStr">
        <is>
          <t xml:space="preserve">2013-06</t>
        </is>
      </c>
      <c r="I97" s="3">
        <f>INDEX(Monthly!$AF:$AF,MATCH(H97,Monthly!$A:$A,0))</f>
        <v>22.89822222222222</v>
      </c>
      <c r="J97" s="4">
        <f>INDEX(Monthly!$AE:$AE,MATCH(H97,Monthly!$A:$A,0))</f>
        <v>139.201</v>
      </c>
    </row>
    <row r="98">
      <c r="A98" t="inlineStr">
        <is>
          <t xml:space="preserve">Honduras, mean of 3 towns (Comayagua, Ocotepeque, Copán)</t>
        </is>
      </c>
      <c r="B98" t="inlineStr">
        <is>
          <t xml:space="preserve">2013/14</t>
        </is>
      </c>
      <c r="C98" t="inlineStr">
        <is>
          <t xml:space="preserve">Neutral</t>
        </is>
      </c>
      <c r="D98" t="inlineStr">
        <is>
          <t xml:space="preserve">yes</t>
        </is>
      </c>
      <c r="E98" t="inlineStr">
        <is>
          <t xml:space="preserve">Jul</t>
        </is>
      </c>
      <c r="F98">
        <v>1</v>
      </c>
      <c r="G98">
        <v>2013</v>
      </c>
      <c r="H98" t="inlineStr">
        <is>
          <t xml:space="preserve">2013-07</t>
        </is>
      </c>
      <c r="I98" s="3">
        <f>INDEX(Monthly!$AF:$AF,MATCH(H98,Monthly!$A:$A,0))</f>
        <v>22.32161290322581</v>
      </c>
      <c r="J98" s="4">
        <f>INDEX(Monthly!$AE:$AE,MATCH(H98,Monthly!$A:$A,0))</f>
        <v>159.42666666666665</v>
      </c>
    </row>
    <row r="99">
      <c r="A99" t="inlineStr">
        <is>
          <t xml:space="preserve">Honduras, mean of 3 towns (Comayagua, Ocotepeque, Copán)</t>
        </is>
      </c>
      <c r="B99" t="inlineStr">
        <is>
          <t xml:space="preserve">2013/14</t>
        </is>
      </c>
      <c r="C99" t="inlineStr">
        <is>
          <t xml:space="preserve">Neutral</t>
        </is>
      </c>
      <c r="D99" t="inlineStr">
        <is>
          <t xml:space="preserve">yes</t>
        </is>
      </c>
      <c r="E99" t="inlineStr">
        <is>
          <t xml:space="preserve">Aug</t>
        </is>
      </c>
      <c r="F99">
        <v>2</v>
      </c>
      <c r="G99">
        <v>2013</v>
      </c>
      <c r="H99" t="inlineStr">
        <is>
          <t xml:space="preserve">2013-08</t>
        </is>
      </c>
      <c r="I99" s="3">
        <f>INDEX(Monthly!$AF:$AF,MATCH(H99,Monthly!$A:$A,0))</f>
        <v>22.52688172043011</v>
      </c>
      <c r="J99" s="4">
        <f>INDEX(Monthly!$AE:$AE,MATCH(H99,Monthly!$A:$A,0))</f>
        <v>179.337</v>
      </c>
    </row>
    <row r="100">
      <c r="A100" t="inlineStr">
        <is>
          <t xml:space="preserve">Honduras, mean of 3 towns (Comayagua, Ocotepeque, Copán)</t>
        </is>
      </c>
      <c r="B100" t="inlineStr">
        <is>
          <t xml:space="preserve">2013/14</t>
        </is>
      </c>
      <c r="C100" t="inlineStr">
        <is>
          <t xml:space="preserve">Neutral</t>
        </is>
      </c>
      <c r="D100" t="inlineStr">
        <is>
          <t xml:space="preserve">yes</t>
        </is>
      </c>
      <c r="E100" t="inlineStr">
        <is>
          <t xml:space="preserve">Sep</t>
        </is>
      </c>
      <c r="F100">
        <v>3</v>
      </c>
      <c r="G100">
        <v>2013</v>
      </c>
      <c r="H100" t="inlineStr">
        <is>
          <t xml:space="preserve">2013-09</t>
        </is>
      </c>
      <c r="I100" s="3">
        <f>INDEX(Monthly!$AF:$AF,MATCH(H100,Monthly!$A:$A,0))</f>
        <v>22.221222222222224</v>
      </c>
      <c r="J100" s="4">
        <f>INDEX(Monthly!$AE:$AE,MATCH(H100,Monthly!$A:$A,0))</f>
        <v>220.005</v>
      </c>
    </row>
    <row r="101">
      <c r="A101" t="inlineStr">
        <is>
          <t xml:space="preserve">Honduras, mean of 3 towns (Comayagua, Ocotepeque, Copán)</t>
        </is>
      </c>
      <c r="B101" t="inlineStr">
        <is>
          <t xml:space="preserve">2013/14</t>
        </is>
      </c>
      <c r="C101" t="inlineStr">
        <is>
          <t xml:space="preserve">Neutral</t>
        </is>
      </c>
      <c r="D101" t="inlineStr">
        <is>
          <t xml:space="preserve">yes</t>
        </is>
      </c>
      <c r="E101" t="inlineStr">
        <is>
          <t xml:space="preserve">Oct</t>
        </is>
      </c>
      <c r="F101">
        <v>4</v>
      </c>
      <c r="G101">
        <v>2013</v>
      </c>
      <c r="H101" t="inlineStr">
        <is>
          <t xml:space="preserve">2013-10</t>
        </is>
      </c>
      <c r="I101" s="3">
        <f>INDEX(Monthly!$AF:$AF,MATCH(H101,Monthly!$A:$A,0))</f>
        <v>22.005053763440856</v>
      </c>
      <c r="J101" s="4">
        <f>INDEX(Monthly!$AE:$AE,MATCH(H101,Monthly!$A:$A,0))</f>
        <v>173.9176666666667</v>
      </c>
    </row>
    <row r="102">
      <c r="A102" t="inlineStr">
        <is>
          <t xml:space="preserve">Honduras, mean of 3 towns (Comayagua, Ocotepeque, Copán)</t>
        </is>
      </c>
      <c r="B102" t="inlineStr">
        <is>
          <t xml:space="preserve">2013/14</t>
        </is>
      </c>
      <c r="C102" t="inlineStr">
        <is>
          <t xml:space="preserve">Neutral</t>
        </is>
      </c>
      <c r="D102" t="inlineStr">
        <is>
          <t xml:space="preserve">yes</t>
        </is>
      </c>
      <c r="E102" t="inlineStr">
        <is>
          <t xml:space="preserve">Nov</t>
        </is>
      </c>
      <c r="F102">
        <v>5</v>
      </c>
      <c r="G102">
        <v>2013</v>
      </c>
      <c r="H102" t="inlineStr">
        <is>
          <t xml:space="preserve">2013-11</t>
        </is>
      </c>
      <c r="I102" s="3">
        <f>INDEX(Monthly!$AF:$AF,MATCH(H102,Monthly!$A:$A,0))</f>
        <v>20.340666666666667</v>
      </c>
      <c r="J102" s="4">
        <f>INDEX(Monthly!$AE:$AE,MATCH(H102,Monthly!$A:$A,0))</f>
        <v>47.492</v>
      </c>
    </row>
    <row r="103">
      <c r="A103" t="inlineStr">
        <is>
          <t xml:space="preserve">Honduras, mean of 3 towns (Comayagua, Ocotepeque, Copán)</t>
        </is>
      </c>
      <c r="B103" t="inlineStr">
        <is>
          <t xml:space="preserve">2013/14</t>
        </is>
      </c>
      <c r="C103" t="inlineStr">
        <is>
          <t xml:space="preserve">Neutral</t>
        </is>
      </c>
      <c r="D103" t="inlineStr">
        <is>
          <t xml:space="preserve">yes</t>
        </is>
      </c>
      <c r="E103" t="inlineStr">
        <is>
          <t xml:space="preserve">Dec</t>
        </is>
      </c>
      <c r="F103">
        <v>6</v>
      </c>
      <c r="G103">
        <v>2013</v>
      </c>
      <c r="H103" t="inlineStr">
        <is>
          <t xml:space="preserve">2013-12</t>
        </is>
      </c>
      <c r="I103" s="3">
        <f>INDEX(Monthly!$AF:$AF,MATCH(H103,Monthly!$A:$A,0))</f>
        <v>19.78010752688172</v>
      </c>
      <c r="J103" s="4">
        <f>INDEX(Monthly!$AE:$AE,MATCH(H103,Monthly!$A:$A,0))</f>
        <v>22.761666666666667</v>
      </c>
    </row>
    <row r="104">
      <c r="A104" t="inlineStr">
        <is>
          <t xml:space="preserve">Honduras, mean of 3 towns (Comayagua, Ocotepeque, Copán)</t>
        </is>
      </c>
      <c r="B104" t="inlineStr">
        <is>
          <t xml:space="preserve">2013/14</t>
        </is>
      </c>
      <c r="C104" t="inlineStr">
        <is>
          <t xml:space="preserve">Neutral</t>
        </is>
      </c>
      <c r="D104" t="inlineStr">
        <is>
          <t xml:space="preserve">yes</t>
        </is>
      </c>
      <c r="E104" t="inlineStr">
        <is>
          <t xml:space="preserve">Jan</t>
        </is>
      </c>
      <c r="F104">
        <v>7</v>
      </c>
      <c r="G104">
        <v>2014</v>
      </c>
      <c r="H104" t="inlineStr">
        <is>
          <t xml:space="preserve">2014-01</t>
        </is>
      </c>
      <c r="I104" s="3">
        <f>INDEX(Monthly!$AF:$AF,MATCH(H104,Monthly!$A:$A,0))</f>
        <v>18.70204301075269</v>
      </c>
      <c r="J104" s="4">
        <f>INDEX(Monthly!$AE:$AE,MATCH(H104,Monthly!$A:$A,0))</f>
        <v>26.906000000000002</v>
      </c>
    </row>
    <row r="105">
      <c r="A105" t="inlineStr">
        <is>
          <t xml:space="preserve">Honduras, mean of 3 towns (Comayagua, Ocotepeque, Copán)</t>
        </is>
      </c>
      <c r="B105" t="inlineStr">
        <is>
          <t xml:space="preserve">2013/14</t>
        </is>
      </c>
      <c r="C105" t="inlineStr">
        <is>
          <t xml:space="preserve">Neutral</t>
        </is>
      </c>
      <c r="D105" t="inlineStr">
        <is>
          <t xml:space="preserve">yes</t>
        </is>
      </c>
      <c r="E105" t="inlineStr">
        <is>
          <t xml:space="preserve">Feb</t>
        </is>
      </c>
      <c r="F105">
        <v>8</v>
      </c>
      <c r="G105">
        <v>2014</v>
      </c>
      <c r="H105" t="inlineStr">
        <is>
          <t xml:space="preserve">2014-02</t>
        </is>
      </c>
      <c r="I105" s="3">
        <f>INDEX(Monthly!$AF:$AF,MATCH(H105,Monthly!$A:$A,0))</f>
        <v>21.371190476190478</v>
      </c>
      <c r="J105" s="4">
        <f>INDEX(Monthly!$AE:$AE,MATCH(H105,Monthly!$A:$A,0))</f>
        <v>12.295666666666667</v>
      </c>
    </row>
    <row r="106">
      <c r="A106" t="inlineStr">
        <is>
          <t xml:space="preserve">Honduras, mean of 3 towns (Comayagua, Ocotepeque, Copán)</t>
        </is>
      </c>
      <c r="B106" t="inlineStr">
        <is>
          <t xml:space="preserve">2013/14</t>
        </is>
      </c>
      <c r="C106" t="inlineStr">
        <is>
          <t xml:space="preserve">Neutral</t>
        </is>
      </c>
      <c r="D106" t="inlineStr">
        <is>
          <t xml:space="preserve">yes</t>
        </is>
      </c>
      <c r="E106" t="inlineStr">
        <is>
          <t xml:space="preserve">Mar</t>
        </is>
      </c>
      <c r="F106">
        <v>9</v>
      </c>
      <c r="G106">
        <v>2014</v>
      </c>
      <c r="H106" t="inlineStr">
        <is>
          <t xml:space="preserve">2014-03</t>
        </is>
      </c>
      <c r="I106" s="3">
        <f>INDEX(Monthly!$AF:$AF,MATCH(H106,Monthly!$A:$A,0))</f>
        <v>23.257096774193545</v>
      </c>
      <c r="J106" s="4">
        <f>INDEX(Monthly!$AE:$AE,MATCH(H106,Monthly!$A:$A,0))</f>
        <v>31.330000000000002</v>
      </c>
    </row>
    <row r="107">
      <c r="A107" t="inlineStr">
        <is>
          <t xml:space="preserve">Honduras, mean of 3 towns (Comayagua, Ocotepeque, Copán)</t>
        </is>
      </c>
      <c r="B107" t="inlineStr">
        <is>
          <t xml:space="preserve">2013/14</t>
        </is>
      </c>
      <c r="C107" t="inlineStr">
        <is>
          <t xml:space="preserve">Neutral</t>
        </is>
      </c>
      <c r="D107" t="inlineStr">
        <is>
          <t xml:space="preserve">yes</t>
        </is>
      </c>
      <c r="E107" t="inlineStr">
        <is>
          <t xml:space="preserve">Apr</t>
        </is>
      </c>
      <c r="F107">
        <v>10</v>
      </c>
      <c r="G107">
        <v>2014</v>
      </c>
      <c r="H107" t="inlineStr">
        <is>
          <t xml:space="preserve">2014-04</t>
        </is>
      </c>
      <c r="I107" s="3">
        <f>INDEX(Monthly!$AF:$AF,MATCH(H107,Monthly!$A:$A,0))</f>
        <v>24.592222222222222</v>
      </c>
      <c r="J107" s="4">
        <f>INDEX(Monthly!$AE:$AE,MATCH(H107,Monthly!$A:$A,0))</f>
        <v>8.633000000000001</v>
      </c>
    </row>
    <row r="108">
      <c r="A108" t="inlineStr">
        <is>
          <t xml:space="preserve">Honduras, mean of 3 towns (Comayagua, Ocotepeque, Copán)</t>
        </is>
      </c>
      <c r="B108" t="inlineStr">
        <is>
          <t xml:space="preserve">2013/14</t>
        </is>
      </c>
      <c r="C108" t="inlineStr">
        <is>
          <t xml:space="preserve">Neutral</t>
        </is>
      </c>
      <c r="D108" t="inlineStr">
        <is>
          <t xml:space="preserve">yes</t>
        </is>
      </c>
      <c r="E108" t="inlineStr">
        <is>
          <t xml:space="preserve">May</t>
        </is>
      </c>
      <c r="F108">
        <v>11</v>
      </c>
      <c r="G108">
        <v>2014</v>
      </c>
      <c r="H108" t="inlineStr">
        <is>
          <t xml:space="preserve">2014-05</t>
        </is>
      </c>
      <c r="I108" s="3">
        <f>INDEX(Monthly!$AF:$AF,MATCH(H108,Monthly!$A:$A,0))</f>
        <v>23.783655913978496</v>
      </c>
      <c r="J108" s="4">
        <f>INDEX(Monthly!$AE:$AE,MATCH(H108,Monthly!$A:$A,0))</f>
        <v>126.14800000000001</v>
      </c>
    </row>
    <row r="109">
      <c r="A109" t="inlineStr">
        <is>
          <t xml:space="preserve">Honduras, mean of 3 towns (Comayagua, Ocotepeque, Copán)</t>
        </is>
      </c>
      <c r="B109" t="inlineStr">
        <is>
          <t xml:space="preserve">2013/14</t>
        </is>
      </c>
      <c r="C109" t="inlineStr">
        <is>
          <t xml:space="preserve">Neutral</t>
        </is>
      </c>
      <c r="D109" t="inlineStr">
        <is>
          <t xml:space="preserve">yes</t>
        </is>
      </c>
      <c r="E109" t="inlineStr">
        <is>
          <t xml:space="preserve">Jun</t>
        </is>
      </c>
      <c r="F109">
        <v>12</v>
      </c>
      <c r="G109">
        <v>2014</v>
      </c>
      <c r="H109" t="inlineStr">
        <is>
          <t xml:space="preserve">2014-06</t>
        </is>
      </c>
      <c r="I109" s="3">
        <f>INDEX(Monthly!$AF:$AF,MATCH(H109,Monthly!$A:$A,0))</f>
        <v>23.074666666666662</v>
      </c>
      <c r="J109" s="4">
        <f>INDEX(Monthly!$AE:$AE,MATCH(H109,Monthly!$A:$A,0))</f>
        <v>191.51466666666667</v>
      </c>
    </row>
    <row r="110">
      <c r="A110" t="inlineStr">
        <is>
          <t xml:space="preserve">Honduras, mean of 3 towns (Comayagua, Ocotepeque, Copán)</t>
        </is>
      </c>
      <c r="B110" t="inlineStr">
        <is>
          <t xml:space="preserve">2014/15</t>
        </is>
      </c>
      <c r="C110" t="inlineStr">
        <is>
          <t xml:space="preserve">El Niño</t>
        </is>
      </c>
      <c r="D110" t="inlineStr">
        <is>
          <t xml:space="preserve">yes</t>
        </is>
      </c>
      <c r="E110" t="inlineStr">
        <is>
          <t xml:space="preserve">Jul</t>
        </is>
      </c>
      <c r="F110">
        <v>1</v>
      </c>
      <c r="G110">
        <v>2014</v>
      </c>
      <c r="H110" t="inlineStr">
        <is>
          <t xml:space="preserve">2014-07</t>
        </is>
      </c>
      <c r="I110" s="3">
        <f>INDEX(Monthly!$AF:$AF,MATCH(H110,Monthly!$A:$A,0))</f>
        <v>23.377204301075267</v>
      </c>
      <c r="J110" s="4">
        <f>INDEX(Monthly!$AE:$AE,MATCH(H110,Monthly!$A:$A,0))</f>
        <v>57.108000000000004</v>
      </c>
    </row>
    <row r="111">
      <c r="A111" t="inlineStr">
        <is>
          <t xml:space="preserve">Honduras, mean of 3 towns (Comayagua, Ocotepeque, Copán)</t>
        </is>
      </c>
      <c r="B111" t="inlineStr">
        <is>
          <t xml:space="preserve">2014/15</t>
        </is>
      </c>
      <c r="C111" t="inlineStr">
        <is>
          <t xml:space="preserve">El Niño</t>
        </is>
      </c>
      <c r="D111" t="inlineStr">
        <is>
          <t xml:space="preserve">yes</t>
        </is>
      </c>
      <c r="E111" t="inlineStr">
        <is>
          <t xml:space="preserve">Aug</t>
        </is>
      </c>
      <c r="F111">
        <v>2</v>
      </c>
      <c r="G111">
        <v>2014</v>
      </c>
      <c r="H111" t="inlineStr">
        <is>
          <t xml:space="preserve">2014-08</t>
        </is>
      </c>
      <c r="I111" s="3">
        <f>INDEX(Monthly!$AF:$AF,MATCH(H111,Monthly!$A:$A,0))</f>
        <v>22.998494623655915</v>
      </c>
      <c r="J111" s="4">
        <f>INDEX(Monthly!$AE:$AE,MATCH(H111,Monthly!$A:$A,0))</f>
        <v>218.994</v>
      </c>
    </row>
    <row r="112">
      <c r="A112" t="inlineStr">
        <is>
          <t xml:space="preserve">Honduras, mean of 3 towns (Comayagua, Ocotepeque, Copán)</t>
        </is>
      </c>
      <c r="B112" t="inlineStr">
        <is>
          <t xml:space="preserve">2014/15</t>
        </is>
      </c>
      <c r="C112" t="inlineStr">
        <is>
          <t xml:space="preserve">El Niño</t>
        </is>
      </c>
      <c r="D112" t="inlineStr">
        <is>
          <t xml:space="preserve">yes</t>
        </is>
      </c>
      <c r="E112" t="inlineStr">
        <is>
          <t xml:space="preserve">Sep</t>
        </is>
      </c>
      <c r="F112">
        <v>3</v>
      </c>
      <c r="G112">
        <v>2014</v>
      </c>
      <c r="H112" t="inlineStr">
        <is>
          <t xml:space="preserve">2014-09</t>
        </is>
      </c>
      <c r="I112" s="3">
        <f>INDEX(Monthly!$AF:$AF,MATCH(H112,Monthly!$A:$A,0))</f>
        <v>22.180000000000003</v>
      </c>
      <c r="J112" s="4">
        <f>INDEX(Monthly!$AE:$AE,MATCH(H112,Monthly!$A:$A,0))</f>
        <v>256.6646666666667</v>
      </c>
    </row>
    <row r="113">
      <c r="A113" t="inlineStr">
        <is>
          <t xml:space="preserve">Honduras, mean of 3 towns (Comayagua, Ocotepeque, Copán)</t>
        </is>
      </c>
      <c r="B113" t="inlineStr">
        <is>
          <t xml:space="preserve">2014/15</t>
        </is>
      </c>
      <c r="C113" t="inlineStr">
        <is>
          <t xml:space="preserve">El Niño</t>
        </is>
      </c>
      <c r="D113" t="inlineStr">
        <is>
          <t xml:space="preserve">yes</t>
        </is>
      </c>
      <c r="E113" t="inlineStr">
        <is>
          <t xml:space="preserve">Oct</t>
        </is>
      </c>
      <c r="F113">
        <v>4</v>
      </c>
      <c r="G113">
        <v>2014</v>
      </c>
      <c r="H113" t="inlineStr">
        <is>
          <t xml:space="preserve">2014-10</t>
        </is>
      </c>
      <c r="I113" s="3">
        <f>INDEX(Monthly!$AF:$AF,MATCH(H113,Monthly!$A:$A,0))</f>
        <v>21.477849462365594</v>
      </c>
      <c r="J113" s="4">
        <f>INDEX(Monthly!$AE:$AE,MATCH(H113,Monthly!$A:$A,0))</f>
        <v>224.90166666666664</v>
      </c>
    </row>
    <row r="114">
      <c r="A114" t="inlineStr">
        <is>
          <t xml:space="preserve">Honduras, mean of 3 towns (Comayagua, Ocotepeque, Copán)</t>
        </is>
      </c>
      <c r="B114" t="inlineStr">
        <is>
          <t xml:space="preserve">2014/15</t>
        </is>
      </c>
      <c r="C114" t="inlineStr">
        <is>
          <t xml:space="preserve">El Niño</t>
        </is>
      </c>
      <c r="D114" t="inlineStr">
        <is>
          <t xml:space="preserve">yes</t>
        </is>
      </c>
      <c r="E114" t="inlineStr">
        <is>
          <t xml:space="preserve">Nov</t>
        </is>
      </c>
      <c r="F114">
        <v>5</v>
      </c>
      <c r="G114">
        <v>2014</v>
      </c>
      <c r="H114" t="inlineStr">
        <is>
          <t xml:space="preserve">2014-11</t>
        </is>
      </c>
      <c r="I114" s="3">
        <f>INDEX(Monthly!$AF:$AF,MATCH(H114,Monthly!$A:$A,0))</f>
        <v>19.637777777777774</v>
      </c>
      <c r="J114" s="4">
        <f>INDEX(Monthly!$AE:$AE,MATCH(H114,Monthly!$A:$A,0))</f>
        <v>59.056333333333335</v>
      </c>
    </row>
    <row r="115">
      <c r="A115" t="inlineStr">
        <is>
          <t xml:space="preserve">Honduras, mean of 3 towns (Comayagua, Ocotepeque, Copán)</t>
        </is>
      </c>
      <c r="B115" t="inlineStr">
        <is>
          <t xml:space="preserve">2014/15</t>
        </is>
      </c>
      <c r="C115" t="inlineStr">
        <is>
          <t xml:space="preserve">El Niño</t>
        </is>
      </c>
      <c r="D115" t="inlineStr">
        <is>
          <t xml:space="preserve">yes</t>
        </is>
      </c>
      <c r="E115" t="inlineStr">
        <is>
          <t xml:space="preserve">Dec</t>
        </is>
      </c>
      <c r="F115">
        <v>6</v>
      </c>
      <c r="G115">
        <v>2014</v>
      </c>
      <c r="H115" t="inlineStr">
        <is>
          <t xml:space="preserve">2014-12</t>
        </is>
      </c>
      <c r="I115" s="3">
        <f>INDEX(Monthly!$AF:$AF,MATCH(H115,Monthly!$A:$A,0))</f>
        <v>18.826236559139787</v>
      </c>
      <c r="J115" s="4">
        <f>INDEX(Monthly!$AE:$AE,MATCH(H115,Monthly!$A:$A,0))</f>
        <v>39.896</v>
      </c>
    </row>
    <row r="116">
      <c r="A116" t="inlineStr">
        <is>
          <t xml:space="preserve">Honduras, mean of 3 towns (Comayagua, Ocotepeque, Copán)</t>
        </is>
      </c>
      <c r="B116" t="inlineStr">
        <is>
          <t xml:space="preserve">2014/15</t>
        </is>
      </c>
      <c r="C116" t="inlineStr">
        <is>
          <t xml:space="preserve">El Niño</t>
        </is>
      </c>
      <c r="D116" t="inlineStr">
        <is>
          <t xml:space="preserve">yes</t>
        </is>
      </c>
      <c r="E116" t="inlineStr">
        <is>
          <t xml:space="preserve">Jan</t>
        </is>
      </c>
      <c r="F116">
        <v>7</v>
      </c>
      <c r="G116">
        <v>2015</v>
      </c>
      <c r="H116" t="inlineStr">
        <is>
          <t xml:space="preserve">2015-01</t>
        </is>
      </c>
      <c r="I116" s="3">
        <f>INDEX(Monthly!$AF:$AF,MATCH(H116,Monthly!$A:$A,0))</f>
        <v>19.00935483870968</v>
      </c>
      <c r="J116" s="4">
        <f>INDEX(Monthly!$AE:$AE,MATCH(H116,Monthly!$A:$A,0))</f>
        <v>16.983666666666668</v>
      </c>
    </row>
    <row r="117">
      <c r="A117" t="inlineStr">
        <is>
          <t xml:space="preserve">Honduras, mean of 3 towns (Comayagua, Ocotepeque, Copán)</t>
        </is>
      </c>
      <c r="B117" t="inlineStr">
        <is>
          <t xml:space="preserve">2014/15</t>
        </is>
      </c>
      <c r="C117" t="inlineStr">
        <is>
          <t xml:space="preserve">El Niño</t>
        </is>
      </c>
      <c r="D117" t="inlineStr">
        <is>
          <t xml:space="preserve">yes</t>
        </is>
      </c>
      <c r="E117" t="inlineStr">
        <is>
          <t xml:space="preserve">Feb</t>
        </is>
      </c>
      <c r="F117">
        <v>8</v>
      </c>
      <c r="G117">
        <v>2015</v>
      </c>
      <c r="H117" t="inlineStr">
        <is>
          <t xml:space="preserve">2015-02</t>
        </is>
      </c>
      <c r="I117" s="3">
        <f>INDEX(Monthly!$AF:$AF,MATCH(H117,Monthly!$A:$A,0))</f>
        <v>19.792142857142853</v>
      </c>
      <c r="J117" s="4">
        <f>INDEX(Monthly!$AE:$AE,MATCH(H117,Monthly!$A:$A,0))</f>
        <v>15.720999999999998</v>
      </c>
    </row>
    <row r="118">
      <c r="A118" t="inlineStr">
        <is>
          <t xml:space="preserve">Honduras, mean of 3 towns (Comayagua, Ocotepeque, Copán)</t>
        </is>
      </c>
      <c r="B118" t="inlineStr">
        <is>
          <t xml:space="preserve">2014/15</t>
        </is>
      </c>
      <c r="C118" t="inlineStr">
        <is>
          <t xml:space="preserve">El Niño</t>
        </is>
      </c>
      <c r="D118" t="inlineStr">
        <is>
          <t xml:space="preserve">yes</t>
        </is>
      </c>
      <c r="E118" t="inlineStr">
        <is>
          <t xml:space="preserve">Mar</t>
        </is>
      </c>
      <c r="F118">
        <v>9</v>
      </c>
      <c r="G118">
        <v>2015</v>
      </c>
      <c r="H118" t="inlineStr">
        <is>
          <t xml:space="preserve">2015-03</t>
        </is>
      </c>
      <c r="I118" s="3">
        <f>INDEX(Monthly!$AF:$AF,MATCH(H118,Monthly!$A:$A,0))</f>
        <v>21.883870967741938</v>
      </c>
      <c r="J118" s="4">
        <f>INDEX(Monthly!$AE:$AE,MATCH(H118,Monthly!$A:$A,0))</f>
        <v>23.108</v>
      </c>
    </row>
    <row r="119">
      <c r="A119" t="inlineStr">
        <is>
          <t xml:space="preserve">Honduras, mean of 3 towns (Comayagua, Ocotepeque, Copán)</t>
        </is>
      </c>
      <c r="B119" t="inlineStr">
        <is>
          <t xml:space="preserve">2014/15</t>
        </is>
      </c>
      <c r="C119" t="inlineStr">
        <is>
          <t xml:space="preserve">El Niño</t>
        </is>
      </c>
      <c r="D119" t="inlineStr">
        <is>
          <t xml:space="preserve">yes</t>
        </is>
      </c>
      <c r="E119" t="inlineStr">
        <is>
          <t xml:space="preserve">Apr</t>
        </is>
      </c>
      <c r="F119">
        <v>10</v>
      </c>
      <c r="G119">
        <v>2015</v>
      </c>
      <c r="H119" t="inlineStr">
        <is>
          <t xml:space="preserve">2015-04</t>
        </is>
      </c>
      <c r="I119" s="3">
        <f>INDEX(Monthly!$AF:$AF,MATCH(H119,Monthly!$A:$A,0))</f>
        <v>24.867333333333335</v>
      </c>
      <c r="J119" s="4">
        <f>INDEX(Monthly!$AE:$AE,MATCH(H119,Monthly!$A:$A,0))</f>
        <v>25.75633333333333</v>
      </c>
    </row>
    <row r="120">
      <c r="A120" t="inlineStr">
        <is>
          <t xml:space="preserve">Honduras, mean of 3 towns (Comayagua, Ocotepeque, Copán)</t>
        </is>
      </c>
      <c r="B120" t="inlineStr">
        <is>
          <t xml:space="preserve">2014/15</t>
        </is>
      </c>
      <c r="C120" t="inlineStr">
        <is>
          <t xml:space="preserve">El Niño</t>
        </is>
      </c>
      <c r="D120" t="inlineStr">
        <is>
          <t xml:space="preserve">yes</t>
        </is>
      </c>
      <c r="E120" t="inlineStr">
        <is>
          <t xml:space="preserve">May</t>
        </is>
      </c>
      <c r="F120">
        <v>11</v>
      </c>
      <c r="G120">
        <v>2015</v>
      </c>
      <c r="H120" t="inlineStr">
        <is>
          <t xml:space="preserve">2015-05</t>
        </is>
      </c>
      <c r="I120" s="3">
        <f>INDEX(Monthly!$AF:$AF,MATCH(H120,Monthly!$A:$A,0))</f>
        <v>24.251827956989246</v>
      </c>
      <c r="J120" s="4">
        <f>INDEX(Monthly!$AE:$AE,MATCH(H120,Monthly!$A:$A,0))</f>
        <v>49.32500000000001</v>
      </c>
    </row>
    <row r="121">
      <c r="A121" t="inlineStr">
        <is>
          <t xml:space="preserve">Honduras, mean of 3 towns (Comayagua, Ocotepeque, Copán)</t>
        </is>
      </c>
      <c r="B121" t="inlineStr">
        <is>
          <t xml:space="preserve">2014/15</t>
        </is>
      </c>
      <c r="C121" t="inlineStr">
        <is>
          <t xml:space="preserve">El Niño</t>
        </is>
      </c>
      <c r="D121" t="inlineStr">
        <is>
          <t xml:space="preserve">yes</t>
        </is>
      </c>
      <c r="E121" t="inlineStr">
        <is>
          <t xml:space="preserve">Jun</t>
        </is>
      </c>
      <c r="F121">
        <v>12</v>
      </c>
      <c r="G121">
        <v>2015</v>
      </c>
      <c r="H121" t="inlineStr">
        <is>
          <t xml:space="preserve">2015-06</t>
        </is>
      </c>
      <c r="I121" s="3">
        <f>INDEX(Monthly!$AF:$AF,MATCH(H121,Monthly!$A:$A,0))</f>
        <v>22.788</v>
      </c>
      <c r="J121" s="4">
        <f>INDEX(Monthly!$AE:$AE,MATCH(H121,Monthly!$A:$A,0))</f>
        <v>176.20566666666664</v>
      </c>
    </row>
    <row r="122">
      <c r="A122" t="inlineStr">
        <is>
          <t xml:space="preserve">Honduras, mean of 3 towns (Comayagua, Ocotepeque, Copán)</t>
        </is>
      </c>
      <c r="B122" t="inlineStr">
        <is>
          <t xml:space="preserve">2015/16</t>
        </is>
      </c>
      <c r="C122" t="inlineStr">
        <is>
          <t xml:space="preserve">El Niño</t>
        </is>
      </c>
      <c r="D122" t="inlineStr">
        <is>
          <t xml:space="preserve">yes</t>
        </is>
      </c>
      <c r="E122" t="inlineStr">
        <is>
          <t xml:space="preserve">Jul</t>
        </is>
      </c>
      <c r="F122">
        <v>1</v>
      </c>
      <c r="G122">
        <v>2015</v>
      </c>
      <c r="H122" t="inlineStr">
        <is>
          <t xml:space="preserve">2015-07</t>
        </is>
      </c>
      <c r="I122" s="3">
        <f>INDEX(Monthly!$AF:$AF,MATCH(H122,Monthly!$A:$A,0))</f>
        <v>23.661720430107533</v>
      </c>
      <c r="J122" s="4">
        <f>INDEX(Monthly!$AE:$AE,MATCH(H122,Monthly!$A:$A,0))</f>
        <v>41.78066666666667</v>
      </c>
    </row>
    <row r="123">
      <c r="A123" t="inlineStr">
        <is>
          <t xml:space="preserve">Honduras, mean of 3 towns (Comayagua, Ocotepeque, Copán)</t>
        </is>
      </c>
      <c r="B123" t="inlineStr">
        <is>
          <t xml:space="preserve">2015/16</t>
        </is>
      </c>
      <c r="C123" t="inlineStr">
        <is>
          <t xml:space="preserve">El Niño</t>
        </is>
      </c>
      <c r="D123" t="inlineStr">
        <is>
          <t xml:space="preserve">yes</t>
        </is>
      </c>
      <c r="E123" t="inlineStr">
        <is>
          <t xml:space="preserve">Aug</t>
        </is>
      </c>
      <c r="F123">
        <v>2</v>
      </c>
      <c r="G123">
        <v>2015</v>
      </c>
      <c r="H123" t="inlineStr">
        <is>
          <t xml:space="preserve">2015-08</t>
        </is>
      </c>
      <c r="I123" s="3">
        <f>INDEX(Monthly!$AF:$AF,MATCH(H123,Monthly!$A:$A,0))</f>
        <v>24.329032258064515</v>
      </c>
      <c r="J123" s="4">
        <f>INDEX(Monthly!$AE:$AE,MATCH(H123,Monthly!$A:$A,0))</f>
        <v>91.647</v>
      </c>
    </row>
    <row r="124">
      <c r="A124" t="inlineStr">
        <is>
          <t xml:space="preserve">Honduras, mean of 3 towns (Comayagua, Ocotepeque, Copán)</t>
        </is>
      </c>
      <c r="B124" t="inlineStr">
        <is>
          <t xml:space="preserve">2015/16</t>
        </is>
      </c>
      <c r="C124" t="inlineStr">
        <is>
          <t xml:space="preserve">El Niño</t>
        </is>
      </c>
      <c r="D124" t="inlineStr">
        <is>
          <t xml:space="preserve">yes</t>
        </is>
      </c>
      <c r="E124" t="inlineStr">
        <is>
          <t xml:space="preserve">Sep</t>
        </is>
      </c>
      <c r="F124">
        <v>3</v>
      </c>
      <c r="G124">
        <v>2015</v>
      </c>
      <c r="H124" t="inlineStr">
        <is>
          <t xml:space="preserve">2015-09</t>
        </is>
      </c>
      <c r="I124" s="3">
        <f>INDEX(Monthly!$AF:$AF,MATCH(H124,Monthly!$A:$A,0))</f>
        <v>22.997666666666664</v>
      </c>
      <c r="J124" s="4">
        <f>INDEX(Monthly!$AE:$AE,MATCH(H124,Monthly!$A:$A,0))</f>
        <v>349.68100000000004</v>
      </c>
    </row>
    <row r="125">
      <c r="A125" t="inlineStr">
        <is>
          <t xml:space="preserve">Honduras, mean of 3 towns (Comayagua, Ocotepeque, Copán)</t>
        </is>
      </c>
      <c r="B125" t="inlineStr">
        <is>
          <t xml:space="preserve">2015/16</t>
        </is>
      </c>
      <c r="C125" t="inlineStr">
        <is>
          <t xml:space="preserve">El Niño</t>
        </is>
      </c>
      <c r="D125" t="inlineStr">
        <is>
          <t xml:space="preserve">yes</t>
        </is>
      </c>
      <c r="E125" t="inlineStr">
        <is>
          <t xml:space="preserve">Oct</t>
        </is>
      </c>
      <c r="F125">
        <v>4</v>
      </c>
      <c r="G125">
        <v>2015</v>
      </c>
      <c r="H125" t="inlineStr">
        <is>
          <t xml:space="preserve">2015-10</t>
        </is>
      </c>
      <c r="I125" s="3">
        <f>INDEX(Monthly!$AF:$AF,MATCH(H125,Monthly!$A:$A,0))</f>
        <v>22.336559139784942</v>
      </c>
      <c r="J125" s="4">
        <f>INDEX(Monthly!$AE:$AE,MATCH(H125,Monthly!$A:$A,0))</f>
        <v>221.28666666666666</v>
      </c>
    </row>
    <row r="126">
      <c r="A126" t="inlineStr">
        <is>
          <t xml:space="preserve">Honduras, mean of 3 towns (Comayagua, Ocotepeque, Copán)</t>
        </is>
      </c>
      <c r="B126" t="inlineStr">
        <is>
          <t xml:space="preserve">2015/16</t>
        </is>
      </c>
      <c r="C126" t="inlineStr">
        <is>
          <t xml:space="preserve">El Niño</t>
        </is>
      </c>
      <c r="D126" t="inlineStr">
        <is>
          <t xml:space="preserve">yes</t>
        </is>
      </c>
      <c r="E126" t="inlineStr">
        <is>
          <t xml:space="preserve">Nov</t>
        </is>
      </c>
      <c r="F126">
        <v>5</v>
      </c>
      <c r="G126">
        <v>2015</v>
      </c>
      <c r="H126" t="inlineStr">
        <is>
          <t xml:space="preserve">2015-11</t>
        </is>
      </c>
      <c r="I126" s="3">
        <f>INDEX(Monthly!$AF:$AF,MATCH(H126,Monthly!$A:$A,0))</f>
        <v>21.36188888888889</v>
      </c>
      <c r="J126" s="4">
        <f>INDEX(Monthly!$AE:$AE,MATCH(H126,Monthly!$A:$A,0))</f>
        <v>78.85533333333332</v>
      </c>
    </row>
    <row r="127">
      <c r="A127" t="inlineStr">
        <is>
          <t xml:space="preserve">Honduras, mean of 3 towns (Comayagua, Ocotepeque, Copán)</t>
        </is>
      </c>
      <c r="B127" t="inlineStr">
        <is>
          <t xml:space="preserve">2015/16</t>
        </is>
      </c>
      <c r="C127" t="inlineStr">
        <is>
          <t xml:space="preserve">El Niño</t>
        </is>
      </c>
      <c r="D127" t="inlineStr">
        <is>
          <t xml:space="preserve">yes</t>
        </is>
      </c>
      <c r="E127" t="inlineStr">
        <is>
          <t xml:space="preserve">Dec</t>
        </is>
      </c>
      <c r="F127">
        <v>6</v>
      </c>
      <c r="G127">
        <v>2015</v>
      </c>
      <c r="H127" t="inlineStr">
        <is>
          <t xml:space="preserve">2015-12</t>
        </is>
      </c>
      <c r="I127" s="3">
        <f>INDEX(Monthly!$AF:$AF,MATCH(H127,Monthly!$A:$A,0))</f>
        <v>21.169677419354837</v>
      </c>
      <c r="J127" s="4">
        <f>INDEX(Monthly!$AE:$AE,MATCH(H127,Monthly!$A:$A,0))</f>
        <v>29.059</v>
      </c>
    </row>
    <row r="128">
      <c r="A128" t="inlineStr">
        <is>
          <t xml:space="preserve">Honduras, mean of 3 towns (Comayagua, Ocotepeque, Copán)</t>
        </is>
      </c>
      <c r="B128" t="inlineStr">
        <is>
          <t xml:space="preserve">2015/16</t>
        </is>
      </c>
      <c r="C128" t="inlineStr">
        <is>
          <t xml:space="preserve">El Niño</t>
        </is>
      </c>
      <c r="D128" t="inlineStr">
        <is>
          <t xml:space="preserve">yes</t>
        </is>
      </c>
      <c r="E128" t="inlineStr">
        <is>
          <t xml:space="preserve">Jan</t>
        </is>
      </c>
      <c r="F128">
        <v>7</v>
      </c>
      <c r="G128">
        <v>2016</v>
      </c>
      <c r="H128" t="inlineStr">
        <is>
          <t xml:space="preserve">2016-01</t>
        </is>
      </c>
      <c r="I128" s="3">
        <f>INDEX(Monthly!$AF:$AF,MATCH(H128,Monthly!$A:$A,0))</f>
        <v>20.1594623655914</v>
      </c>
      <c r="J128" s="4">
        <f>INDEX(Monthly!$AE:$AE,MATCH(H128,Monthly!$A:$A,0))</f>
        <v>10.469666666666667</v>
      </c>
    </row>
    <row r="129">
      <c r="A129" t="inlineStr">
        <is>
          <t xml:space="preserve">Honduras, mean of 3 towns (Comayagua, Ocotepeque, Copán)</t>
        </is>
      </c>
      <c r="B129" t="inlineStr">
        <is>
          <t xml:space="preserve">2015/16</t>
        </is>
      </c>
      <c r="C129" t="inlineStr">
        <is>
          <t xml:space="preserve">El Niño</t>
        </is>
      </c>
      <c r="D129" t="inlineStr">
        <is>
          <t xml:space="preserve">yes</t>
        </is>
      </c>
      <c r="E129" t="inlineStr">
        <is>
          <t xml:space="preserve">Feb</t>
        </is>
      </c>
      <c r="F129">
        <v>8</v>
      </c>
      <c r="G129">
        <v>2016</v>
      </c>
      <c r="H129" t="inlineStr">
        <is>
          <t xml:space="preserve">2016-02</t>
        </is>
      </c>
      <c r="I129" s="3">
        <f>INDEX(Monthly!$AF:$AF,MATCH(H129,Monthly!$A:$A,0))</f>
        <v>19.899080459770115</v>
      </c>
      <c r="J129" s="4">
        <f>INDEX(Monthly!$AE:$AE,MATCH(H129,Monthly!$A:$A,0))</f>
        <v>23.033</v>
      </c>
    </row>
    <row r="130">
      <c r="A130" t="inlineStr">
        <is>
          <t xml:space="preserve">Honduras, mean of 3 towns (Comayagua, Ocotepeque, Copán)</t>
        </is>
      </c>
      <c r="B130" t="inlineStr">
        <is>
          <t xml:space="preserve">2015/16</t>
        </is>
      </c>
      <c r="C130" t="inlineStr">
        <is>
          <t xml:space="preserve">El Niño</t>
        </is>
      </c>
      <c r="D130" t="inlineStr">
        <is>
          <t xml:space="preserve">yes</t>
        </is>
      </c>
      <c r="E130" t="inlineStr">
        <is>
          <t xml:space="preserve">Mar</t>
        </is>
      </c>
      <c r="F130">
        <v>9</v>
      </c>
      <c r="G130">
        <v>2016</v>
      </c>
      <c r="H130" t="inlineStr">
        <is>
          <t xml:space="preserve">2016-03</t>
        </is>
      </c>
      <c r="I130" s="3">
        <f>INDEX(Monthly!$AF:$AF,MATCH(H130,Monthly!$A:$A,0))</f>
        <v>24.161612903225805</v>
      </c>
      <c r="J130" s="4">
        <f>INDEX(Monthly!$AE:$AE,MATCH(H130,Monthly!$A:$A,0))</f>
        <v>20.843</v>
      </c>
    </row>
    <row r="131">
      <c r="A131" t="inlineStr">
        <is>
          <t xml:space="preserve">Honduras, mean of 3 towns (Comayagua, Ocotepeque, Copán)</t>
        </is>
      </c>
      <c r="B131" t="inlineStr">
        <is>
          <t xml:space="preserve">2015/16</t>
        </is>
      </c>
      <c r="C131" t="inlineStr">
        <is>
          <t xml:space="preserve">El Niño</t>
        </is>
      </c>
      <c r="D131" t="inlineStr">
        <is>
          <t xml:space="preserve">yes</t>
        </is>
      </c>
      <c r="E131" t="inlineStr">
        <is>
          <t xml:space="preserve">Apr</t>
        </is>
      </c>
      <c r="F131">
        <v>10</v>
      </c>
      <c r="G131">
        <v>2016</v>
      </c>
      <c r="H131" t="inlineStr">
        <is>
          <t xml:space="preserve">2016-04</t>
        </is>
      </c>
      <c r="I131" s="3">
        <f>INDEX(Monthly!$AF:$AF,MATCH(H131,Monthly!$A:$A,0))</f>
        <v>24.95188888888889</v>
      </c>
      <c r="J131" s="4">
        <f>INDEX(Monthly!$AE:$AE,MATCH(H131,Monthly!$A:$A,0))</f>
        <v>25.474333333333334</v>
      </c>
    </row>
    <row r="132">
      <c r="A132" t="inlineStr">
        <is>
          <t xml:space="preserve">Honduras, mean of 3 towns (Comayagua, Ocotepeque, Copán)</t>
        </is>
      </c>
      <c r="B132" t="inlineStr">
        <is>
          <t xml:space="preserve">2015/16</t>
        </is>
      </c>
      <c r="C132" t="inlineStr">
        <is>
          <t xml:space="preserve">El Niño</t>
        </is>
      </c>
      <c r="D132" t="inlineStr">
        <is>
          <t xml:space="preserve">yes</t>
        </is>
      </c>
      <c r="E132" t="inlineStr">
        <is>
          <t xml:space="preserve">May</t>
        </is>
      </c>
      <c r="F132">
        <v>11</v>
      </c>
      <c r="G132">
        <v>2016</v>
      </c>
      <c r="H132" t="inlineStr">
        <is>
          <t xml:space="preserve">2016-05</t>
        </is>
      </c>
      <c r="I132" s="3">
        <f>INDEX(Monthly!$AF:$AF,MATCH(H132,Monthly!$A:$A,0))</f>
        <v>25.65451612903226</v>
      </c>
      <c r="J132" s="4">
        <f>INDEX(Monthly!$AE:$AE,MATCH(H132,Monthly!$A:$A,0))</f>
        <v>62.776666666666664</v>
      </c>
    </row>
    <row r="133">
      <c r="A133" t="inlineStr">
        <is>
          <t xml:space="preserve">Honduras, mean of 3 towns (Comayagua, Ocotepeque, Copán)</t>
        </is>
      </c>
      <c r="B133" t="inlineStr">
        <is>
          <t xml:space="preserve">2015/16</t>
        </is>
      </c>
      <c r="C133" t="inlineStr">
        <is>
          <t xml:space="preserve">El Niño</t>
        </is>
      </c>
      <c r="D133" t="inlineStr">
        <is>
          <t xml:space="preserve">yes</t>
        </is>
      </c>
      <c r="E133" t="inlineStr">
        <is>
          <t xml:space="preserve">Jun</t>
        </is>
      </c>
      <c r="F133">
        <v>12</v>
      </c>
      <c r="G133">
        <v>2016</v>
      </c>
      <c r="H133" t="inlineStr">
        <is>
          <t xml:space="preserve">2016-06</t>
        </is>
      </c>
      <c r="I133" s="3">
        <f>INDEX(Monthly!$AF:$AF,MATCH(H133,Monthly!$A:$A,0))</f>
        <v>23.218000000000004</v>
      </c>
      <c r="J133" s="4">
        <f>INDEX(Monthly!$AE:$AE,MATCH(H133,Monthly!$A:$A,0))</f>
        <v>224.60333333333332</v>
      </c>
    </row>
    <row r="134">
      <c r="A134" t="inlineStr">
        <is>
          <t xml:space="preserve">Honduras, mean of 3 towns (Comayagua, Ocotepeque, Copán)</t>
        </is>
      </c>
      <c r="B134" t="inlineStr">
        <is>
          <t xml:space="preserve">2016/17</t>
        </is>
      </c>
      <c r="C134" t="inlineStr">
        <is>
          <t xml:space="preserve">Neutral</t>
        </is>
      </c>
      <c r="D134" t="inlineStr">
        <is>
          <t xml:space="preserve">yes</t>
        </is>
      </c>
      <c r="E134" t="inlineStr">
        <is>
          <t xml:space="preserve">Jul</t>
        </is>
      </c>
      <c r="F134">
        <v>1</v>
      </c>
      <c r="G134">
        <v>2016</v>
      </c>
      <c r="H134" t="inlineStr">
        <is>
          <t xml:space="preserve">2016-07</t>
        </is>
      </c>
      <c r="I134" s="3">
        <f>INDEX(Monthly!$AF:$AF,MATCH(H134,Monthly!$A:$A,0))</f>
        <v>23.151290322580646</v>
      </c>
      <c r="J134" s="4">
        <f>INDEX(Monthly!$AE:$AE,MATCH(H134,Monthly!$A:$A,0))</f>
        <v>119.10633333333334</v>
      </c>
    </row>
    <row r="135">
      <c r="A135" t="inlineStr">
        <is>
          <t xml:space="preserve">Honduras, mean of 3 towns (Comayagua, Ocotepeque, Copán)</t>
        </is>
      </c>
      <c r="B135" t="inlineStr">
        <is>
          <t xml:space="preserve">2016/17</t>
        </is>
      </c>
      <c r="C135" t="inlineStr">
        <is>
          <t xml:space="preserve">Neutral</t>
        </is>
      </c>
      <c r="D135" t="inlineStr">
        <is>
          <t xml:space="preserve">yes</t>
        </is>
      </c>
      <c r="E135" t="inlineStr">
        <is>
          <t xml:space="preserve">Aug</t>
        </is>
      </c>
      <c r="F135">
        <v>2</v>
      </c>
      <c r="G135">
        <v>2016</v>
      </c>
      <c r="H135" t="inlineStr">
        <is>
          <t xml:space="preserve">2016-08</t>
        </is>
      </c>
      <c r="I135" s="3">
        <f>INDEX(Monthly!$AF:$AF,MATCH(H135,Monthly!$A:$A,0))</f>
        <v>23.013763440860217</v>
      </c>
      <c r="J135" s="4">
        <f>INDEX(Monthly!$AE:$AE,MATCH(H135,Monthly!$A:$A,0))</f>
        <v>172.99866666666665</v>
      </c>
    </row>
    <row r="136">
      <c r="A136" t="inlineStr">
        <is>
          <t xml:space="preserve">Honduras, mean of 3 towns (Comayagua, Ocotepeque, Copán)</t>
        </is>
      </c>
      <c r="B136" t="inlineStr">
        <is>
          <t xml:space="preserve">2016/17</t>
        </is>
      </c>
      <c r="C136" t="inlineStr">
        <is>
          <t xml:space="preserve">Neutral</t>
        </is>
      </c>
      <c r="D136" t="inlineStr">
        <is>
          <t xml:space="preserve">yes</t>
        </is>
      </c>
      <c r="E136" t="inlineStr">
        <is>
          <t xml:space="preserve">Sep</t>
        </is>
      </c>
      <c r="F136">
        <v>3</v>
      </c>
      <c r="G136">
        <v>2016</v>
      </c>
      <c r="H136" t="inlineStr">
        <is>
          <t xml:space="preserve">2016-09</t>
        </is>
      </c>
      <c r="I136" s="3">
        <f>INDEX(Monthly!$AF:$AF,MATCH(H136,Monthly!$A:$A,0))</f>
        <v>22.539</v>
      </c>
      <c r="J136" s="4">
        <f>INDEX(Monthly!$AE:$AE,MATCH(H136,Monthly!$A:$A,0))</f>
        <v>224.26200000000003</v>
      </c>
    </row>
    <row r="137">
      <c r="A137" t="inlineStr">
        <is>
          <t xml:space="preserve">Honduras, mean of 3 towns (Comayagua, Ocotepeque, Copán)</t>
        </is>
      </c>
      <c r="B137" t="inlineStr">
        <is>
          <t xml:space="preserve">2016/17</t>
        </is>
      </c>
      <c r="C137" t="inlineStr">
        <is>
          <t xml:space="preserve">Neutral</t>
        </is>
      </c>
      <c r="D137" t="inlineStr">
        <is>
          <t xml:space="preserve">yes</t>
        </is>
      </c>
      <c r="E137" t="inlineStr">
        <is>
          <t xml:space="preserve">Oct</t>
        </is>
      </c>
      <c r="F137">
        <v>4</v>
      </c>
      <c r="G137">
        <v>2016</v>
      </c>
      <c r="H137" t="inlineStr">
        <is>
          <t xml:space="preserve">2016-10</t>
        </is>
      </c>
      <c r="I137" s="3">
        <f>INDEX(Monthly!$AF:$AF,MATCH(H137,Monthly!$A:$A,0))</f>
        <v>21.44268817204301</v>
      </c>
      <c r="J137" s="4">
        <f>INDEX(Monthly!$AE:$AE,MATCH(H137,Monthly!$A:$A,0))</f>
        <v>84.27533333333334</v>
      </c>
    </row>
    <row r="138">
      <c r="A138" t="inlineStr">
        <is>
          <t xml:space="preserve">Honduras, mean of 3 towns (Comayagua, Ocotepeque, Copán)</t>
        </is>
      </c>
      <c r="B138" t="inlineStr">
        <is>
          <t xml:space="preserve">2016/17</t>
        </is>
      </c>
      <c r="C138" t="inlineStr">
        <is>
          <t xml:space="preserve">Neutral</t>
        </is>
      </c>
      <c r="D138" t="inlineStr">
        <is>
          <t xml:space="preserve">yes</t>
        </is>
      </c>
      <c r="E138" t="inlineStr">
        <is>
          <t xml:space="preserve">Nov</t>
        </is>
      </c>
      <c r="F138">
        <v>5</v>
      </c>
      <c r="G138">
        <v>2016</v>
      </c>
      <c r="H138" t="inlineStr">
        <is>
          <t xml:space="preserve">2016-11</t>
        </is>
      </c>
      <c r="I138" s="3">
        <f>INDEX(Monthly!$AF:$AF,MATCH(H138,Monthly!$A:$A,0))</f>
        <v>20.330444444444442</v>
      </c>
      <c r="J138" s="4">
        <f>INDEX(Monthly!$AE:$AE,MATCH(H138,Monthly!$A:$A,0))</f>
        <v>41.38833333333333</v>
      </c>
    </row>
    <row r="139">
      <c r="A139" t="inlineStr">
        <is>
          <t xml:space="preserve">Honduras, mean of 3 towns (Comayagua, Ocotepeque, Copán)</t>
        </is>
      </c>
      <c r="B139" t="inlineStr">
        <is>
          <t xml:space="preserve">2016/17</t>
        </is>
      </c>
      <c r="C139" t="inlineStr">
        <is>
          <t xml:space="preserve">Neutral</t>
        </is>
      </c>
      <c r="D139" t="inlineStr">
        <is>
          <t xml:space="preserve">yes</t>
        </is>
      </c>
      <c r="E139" t="inlineStr">
        <is>
          <t xml:space="preserve">Dec</t>
        </is>
      </c>
      <c r="F139">
        <v>6</v>
      </c>
      <c r="G139">
        <v>2016</v>
      </c>
      <c r="H139" t="inlineStr">
        <is>
          <t xml:space="preserve">2016-12</t>
        </is>
      </c>
      <c r="I139" s="3">
        <f>INDEX(Monthly!$AF:$AF,MATCH(H139,Monthly!$A:$A,0))</f>
        <v>20.915161290322583</v>
      </c>
      <c r="J139" s="4">
        <f>INDEX(Monthly!$AE:$AE,MATCH(H139,Monthly!$A:$A,0))</f>
        <v>28.385333333333335</v>
      </c>
    </row>
    <row r="140">
      <c r="A140" t="inlineStr">
        <is>
          <t xml:space="preserve">Honduras, mean of 3 towns (Comayagua, Ocotepeque, Copán)</t>
        </is>
      </c>
      <c r="B140" t="inlineStr">
        <is>
          <t xml:space="preserve">2016/17</t>
        </is>
      </c>
      <c r="C140" t="inlineStr">
        <is>
          <t xml:space="preserve">Neutral</t>
        </is>
      </c>
      <c r="D140" t="inlineStr">
        <is>
          <t xml:space="preserve">yes</t>
        </is>
      </c>
      <c r="E140" t="inlineStr">
        <is>
          <t xml:space="preserve">Jan</t>
        </is>
      </c>
      <c r="F140">
        <v>7</v>
      </c>
      <c r="G140">
        <v>2017</v>
      </c>
      <c r="H140" t="inlineStr">
        <is>
          <t xml:space="preserve">2017-01</t>
        </is>
      </c>
      <c r="I140" s="3">
        <f>INDEX(Monthly!$AF:$AF,MATCH(H140,Monthly!$A:$A,0))</f>
        <v>20.167956989247312</v>
      </c>
      <c r="J140" s="4">
        <f>INDEX(Monthly!$AE:$AE,MATCH(H140,Monthly!$A:$A,0))</f>
        <v>15.713333333333333</v>
      </c>
    </row>
    <row r="141">
      <c r="A141" t="inlineStr">
        <is>
          <t xml:space="preserve">Honduras, mean of 3 towns (Comayagua, Ocotepeque, Copán)</t>
        </is>
      </c>
      <c r="B141" t="inlineStr">
        <is>
          <t xml:space="preserve">2016/17</t>
        </is>
      </c>
      <c r="C141" t="inlineStr">
        <is>
          <t xml:space="preserve">Neutral</t>
        </is>
      </c>
      <c r="D141" t="inlineStr">
        <is>
          <t xml:space="preserve">yes</t>
        </is>
      </c>
      <c r="E141" t="inlineStr">
        <is>
          <t xml:space="preserve">Feb</t>
        </is>
      </c>
      <c r="F141">
        <v>8</v>
      </c>
      <c r="G141">
        <v>2017</v>
      </c>
      <c r="H141" t="inlineStr">
        <is>
          <t xml:space="preserve">2017-02</t>
        </is>
      </c>
      <c r="I141" s="3">
        <f>INDEX(Monthly!$AF:$AF,MATCH(H141,Monthly!$A:$A,0))</f>
        <v>22.286428571428576</v>
      </c>
      <c r="J141" s="4">
        <f>INDEX(Monthly!$AE:$AE,MATCH(H141,Monthly!$A:$A,0))</f>
        <v>3.549666666666667</v>
      </c>
    </row>
    <row r="142">
      <c r="A142" t="inlineStr">
        <is>
          <t xml:space="preserve">Honduras, mean of 3 towns (Comayagua, Ocotepeque, Copán)</t>
        </is>
      </c>
      <c r="B142" t="inlineStr">
        <is>
          <t xml:space="preserve">2016/17</t>
        </is>
      </c>
      <c r="C142" t="inlineStr">
        <is>
          <t xml:space="preserve">Neutral</t>
        </is>
      </c>
      <c r="D142" t="inlineStr">
        <is>
          <t xml:space="preserve">yes</t>
        </is>
      </c>
      <c r="E142" t="inlineStr">
        <is>
          <t xml:space="preserve">Mar</t>
        </is>
      </c>
      <c r="F142">
        <v>9</v>
      </c>
      <c r="G142">
        <v>2017</v>
      </c>
      <c r="H142" t="inlineStr">
        <is>
          <t xml:space="preserve">2017-03</t>
        </is>
      </c>
      <c r="I142" s="3">
        <f>INDEX(Monthly!$AF:$AF,MATCH(H142,Monthly!$A:$A,0))</f>
        <v>22.06537634408603</v>
      </c>
      <c r="J142" s="4">
        <f>INDEX(Monthly!$AE:$AE,MATCH(H142,Monthly!$A:$A,0))</f>
        <v>27.73866666666667</v>
      </c>
    </row>
    <row r="143">
      <c r="A143" t="inlineStr">
        <is>
          <t xml:space="preserve">Honduras, mean of 3 towns (Comayagua, Ocotepeque, Copán)</t>
        </is>
      </c>
      <c r="B143" t="inlineStr">
        <is>
          <t xml:space="preserve">2016/17</t>
        </is>
      </c>
      <c r="C143" t="inlineStr">
        <is>
          <t xml:space="preserve">Neutral</t>
        </is>
      </c>
      <c r="D143" t="inlineStr">
        <is>
          <t xml:space="preserve">yes</t>
        </is>
      </c>
      <c r="E143" t="inlineStr">
        <is>
          <t xml:space="preserve">Apr</t>
        </is>
      </c>
      <c r="F143">
        <v>10</v>
      </c>
      <c r="G143">
        <v>2017</v>
      </c>
      <c r="H143" t="inlineStr">
        <is>
          <t xml:space="preserve">2017-04</t>
        </is>
      </c>
      <c r="I143" s="3">
        <f>INDEX(Monthly!$AF:$AF,MATCH(H143,Monthly!$A:$A,0))</f>
        <v>24.88077777777778</v>
      </c>
      <c r="J143" s="4">
        <f>INDEX(Monthly!$AE:$AE,MATCH(H143,Monthly!$A:$A,0))</f>
        <v>63.19233333333333</v>
      </c>
    </row>
    <row r="144">
      <c r="A144" t="inlineStr">
        <is>
          <t xml:space="preserve">Honduras, mean of 3 towns (Comayagua, Ocotepeque, Copán)</t>
        </is>
      </c>
      <c r="B144" t="inlineStr">
        <is>
          <t xml:space="preserve">2016/17</t>
        </is>
      </c>
      <c r="C144" t="inlineStr">
        <is>
          <t xml:space="preserve">Neutral</t>
        </is>
      </c>
      <c r="D144" t="inlineStr">
        <is>
          <t xml:space="preserve">yes</t>
        </is>
      </c>
      <c r="E144" t="inlineStr">
        <is>
          <t xml:space="preserve">May</t>
        </is>
      </c>
      <c r="F144">
        <v>11</v>
      </c>
      <c r="G144">
        <v>2017</v>
      </c>
      <c r="H144" t="inlineStr">
        <is>
          <t xml:space="preserve">2017-05</t>
        </is>
      </c>
      <c r="I144" s="3">
        <f>INDEX(Monthly!$AF:$AF,MATCH(H144,Monthly!$A:$A,0))</f>
        <v>24.00483870967742</v>
      </c>
      <c r="J144" s="4">
        <f>INDEX(Monthly!$AE:$AE,MATCH(H144,Monthly!$A:$A,0))</f>
        <v>232.45033333333333</v>
      </c>
    </row>
    <row r="145">
      <c r="A145" t="inlineStr">
        <is>
          <t xml:space="preserve">Honduras, mean of 3 towns (Comayagua, Ocotepeque, Copán)</t>
        </is>
      </c>
      <c r="B145" t="inlineStr">
        <is>
          <t xml:space="preserve">2016/17</t>
        </is>
      </c>
      <c r="C145" t="inlineStr">
        <is>
          <t xml:space="preserve">Neutral</t>
        </is>
      </c>
      <c r="D145" t="inlineStr">
        <is>
          <t xml:space="preserve">yes</t>
        </is>
      </c>
      <c r="E145" t="inlineStr">
        <is>
          <t xml:space="preserve">Jun</t>
        </is>
      </c>
      <c r="F145">
        <v>12</v>
      </c>
      <c r="G145">
        <v>2017</v>
      </c>
      <c r="H145" t="inlineStr">
        <is>
          <t xml:space="preserve">2017-06</t>
        </is>
      </c>
      <c r="I145" s="3">
        <f>INDEX(Monthly!$AF:$AF,MATCH(H145,Monthly!$A:$A,0))</f>
        <v>22.894666666666666</v>
      </c>
      <c r="J145" s="4">
        <f>INDEX(Monthly!$AE:$AE,MATCH(H145,Monthly!$A:$A,0))</f>
        <v>305.73333333333335</v>
      </c>
    </row>
    <row r="146">
      <c r="A146" t="inlineStr">
        <is>
          <t xml:space="preserve">Honduras, mean of 3 towns (Comayagua, Ocotepeque, Copán)</t>
        </is>
      </c>
      <c r="B146" t="inlineStr">
        <is>
          <t xml:space="preserve">2017/18</t>
        </is>
      </c>
      <c r="C146" t="inlineStr">
        <is>
          <t xml:space="preserve">La Niña</t>
        </is>
      </c>
      <c r="D146" t="inlineStr">
        <is>
          <t xml:space="preserve">yes</t>
        </is>
      </c>
      <c r="E146" t="inlineStr">
        <is>
          <t xml:space="preserve">Jul</t>
        </is>
      </c>
      <c r="F146">
        <v>1</v>
      </c>
      <c r="G146">
        <v>2017</v>
      </c>
      <c r="H146" t="inlineStr">
        <is>
          <t xml:space="preserve">2017-07</t>
        </is>
      </c>
      <c r="I146" s="3">
        <f>INDEX(Monthly!$AF:$AF,MATCH(H146,Monthly!$A:$A,0))</f>
        <v>22.31236559139785</v>
      </c>
      <c r="J146" s="4">
        <f>INDEX(Monthly!$AE:$AE,MATCH(H146,Monthly!$A:$A,0))</f>
        <v>260.471</v>
      </c>
    </row>
    <row r="147">
      <c r="A147" t="inlineStr">
        <is>
          <t xml:space="preserve">Honduras, mean of 3 towns (Comayagua, Ocotepeque, Copán)</t>
        </is>
      </c>
      <c r="B147" t="inlineStr">
        <is>
          <t xml:space="preserve">2017/18</t>
        </is>
      </c>
      <c r="C147" t="inlineStr">
        <is>
          <t xml:space="preserve">La Niña</t>
        </is>
      </c>
      <c r="D147" t="inlineStr">
        <is>
          <t xml:space="preserve">yes</t>
        </is>
      </c>
      <c r="E147" t="inlineStr">
        <is>
          <t xml:space="preserve">Aug</t>
        </is>
      </c>
      <c r="F147">
        <v>2</v>
      </c>
      <c r="G147">
        <v>2017</v>
      </c>
      <c r="H147" t="inlineStr">
        <is>
          <t xml:space="preserve">2017-08</t>
        </is>
      </c>
      <c r="I147" s="3">
        <f>INDEX(Monthly!$AF:$AF,MATCH(H147,Monthly!$A:$A,0))</f>
        <v>22.65301075268817</v>
      </c>
      <c r="J147" s="4">
        <f>INDEX(Monthly!$AE:$AE,MATCH(H147,Monthly!$A:$A,0))</f>
        <v>166.40200000000002</v>
      </c>
    </row>
    <row r="148">
      <c r="A148" t="inlineStr">
        <is>
          <t xml:space="preserve">Honduras, mean of 3 towns (Comayagua, Ocotepeque, Copán)</t>
        </is>
      </c>
      <c r="B148" t="inlineStr">
        <is>
          <t xml:space="preserve">2017/18</t>
        </is>
      </c>
      <c r="C148" t="inlineStr">
        <is>
          <t xml:space="preserve">La Niña</t>
        </is>
      </c>
      <c r="D148" t="inlineStr">
        <is>
          <t xml:space="preserve">yes</t>
        </is>
      </c>
      <c r="E148" t="inlineStr">
        <is>
          <t xml:space="preserve">Sep</t>
        </is>
      </c>
      <c r="F148">
        <v>3</v>
      </c>
      <c r="G148">
        <v>2017</v>
      </c>
      <c r="H148" t="inlineStr">
        <is>
          <t xml:space="preserve">2017-09</t>
        </is>
      </c>
      <c r="I148" s="3">
        <f>INDEX(Monthly!$AF:$AF,MATCH(H148,Monthly!$A:$A,0))</f>
        <v>22.633999999999997</v>
      </c>
      <c r="J148" s="4">
        <f>INDEX(Monthly!$AE:$AE,MATCH(H148,Monthly!$A:$A,0))</f>
        <v>299.021</v>
      </c>
    </row>
    <row r="149">
      <c r="A149" t="inlineStr">
        <is>
          <t xml:space="preserve">Honduras, mean of 3 towns (Comayagua, Ocotepeque, Copán)</t>
        </is>
      </c>
      <c r="B149" t="inlineStr">
        <is>
          <t xml:space="preserve">2017/18</t>
        </is>
      </c>
      <c r="C149" t="inlineStr">
        <is>
          <t xml:space="preserve">La Niña</t>
        </is>
      </c>
      <c r="D149" t="inlineStr">
        <is>
          <t xml:space="preserve">yes</t>
        </is>
      </c>
      <c r="E149" t="inlineStr">
        <is>
          <t xml:space="preserve">Oct</t>
        </is>
      </c>
      <c r="F149">
        <v>4</v>
      </c>
      <c r="G149">
        <v>2017</v>
      </c>
      <c r="H149" t="inlineStr">
        <is>
          <t xml:space="preserve">2017-10</t>
        </is>
      </c>
      <c r="I149" s="3">
        <f>INDEX(Monthly!$AF:$AF,MATCH(H149,Monthly!$A:$A,0))</f>
        <v>21.371290322580645</v>
      </c>
      <c r="J149" s="4">
        <f>INDEX(Monthly!$AE:$AE,MATCH(H149,Monthly!$A:$A,0))</f>
        <v>178.93366666666665</v>
      </c>
    </row>
    <row r="150">
      <c r="A150" t="inlineStr">
        <is>
          <t xml:space="preserve">Honduras, mean of 3 towns (Comayagua, Ocotepeque, Copán)</t>
        </is>
      </c>
      <c r="B150" t="inlineStr">
        <is>
          <t xml:space="preserve">2017/18</t>
        </is>
      </c>
      <c r="C150" t="inlineStr">
        <is>
          <t xml:space="preserve">La Niña</t>
        </is>
      </c>
      <c r="D150" t="inlineStr">
        <is>
          <t xml:space="preserve">yes</t>
        </is>
      </c>
      <c r="E150" t="inlineStr">
        <is>
          <t xml:space="preserve">Nov</t>
        </is>
      </c>
      <c r="F150">
        <v>5</v>
      </c>
      <c r="G150">
        <v>2017</v>
      </c>
      <c r="H150" t="inlineStr">
        <is>
          <t xml:space="preserve">2017-11</t>
        </is>
      </c>
      <c r="I150" s="3">
        <f>INDEX(Monthly!$AF:$AF,MATCH(H150,Monthly!$A:$A,0))</f>
        <v>19.566444444444443</v>
      </c>
      <c r="J150" s="4">
        <f>INDEX(Monthly!$AE:$AE,MATCH(H150,Monthly!$A:$A,0))</f>
        <v>25.105</v>
      </c>
    </row>
    <row r="151">
      <c r="A151" t="inlineStr">
        <is>
          <t xml:space="preserve">Honduras, mean of 3 towns (Comayagua, Ocotepeque, Copán)</t>
        </is>
      </c>
      <c r="B151" t="inlineStr">
        <is>
          <t xml:space="preserve">2017/18</t>
        </is>
      </c>
      <c r="C151" t="inlineStr">
        <is>
          <t xml:space="preserve">La Niña</t>
        </is>
      </c>
      <c r="D151" t="inlineStr">
        <is>
          <t xml:space="preserve">yes</t>
        </is>
      </c>
      <c r="E151" t="inlineStr">
        <is>
          <t xml:space="preserve">Dec</t>
        </is>
      </c>
      <c r="F151">
        <v>6</v>
      </c>
      <c r="G151">
        <v>2017</v>
      </c>
      <c r="H151" t="inlineStr">
        <is>
          <t xml:space="preserve">2017-12</t>
        </is>
      </c>
      <c r="I151" s="3">
        <f>INDEX(Monthly!$AF:$AF,MATCH(H151,Monthly!$A:$A,0))</f>
        <v>18.70784946236559</v>
      </c>
      <c r="J151" s="4">
        <f>INDEX(Monthly!$AE:$AE,MATCH(H151,Monthly!$A:$A,0))</f>
        <v>22.787333333333333</v>
      </c>
    </row>
    <row r="152">
      <c r="A152" t="inlineStr">
        <is>
          <t xml:space="preserve">Honduras, mean of 3 towns (Comayagua, Ocotepeque, Copán)</t>
        </is>
      </c>
      <c r="B152" t="inlineStr">
        <is>
          <t xml:space="preserve">2017/18</t>
        </is>
      </c>
      <c r="C152" t="inlineStr">
        <is>
          <t xml:space="preserve">La Niña</t>
        </is>
      </c>
      <c r="D152" t="inlineStr">
        <is>
          <t xml:space="preserve">yes</t>
        </is>
      </c>
      <c r="E152" t="inlineStr">
        <is>
          <t xml:space="preserve">Jan</t>
        </is>
      </c>
      <c r="F152">
        <v>7</v>
      </c>
      <c r="G152">
        <v>2018</v>
      </c>
      <c r="H152" t="inlineStr">
        <is>
          <t xml:space="preserve">2018-01</t>
        </is>
      </c>
      <c r="I152" s="3">
        <f>INDEX(Monthly!$AF:$AF,MATCH(H152,Monthly!$A:$A,0))</f>
        <v>17.99333333333333</v>
      </c>
      <c r="J152" s="4">
        <f>INDEX(Monthly!$AE:$AE,MATCH(H152,Monthly!$A:$A,0))</f>
        <v>30.066</v>
      </c>
    </row>
    <row r="153">
      <c r="A153" t="inlineStr">
        <is>
          <t xml:space="preserve">Honduras, mean of 3 towns (Comayagua, Ocotepeque, Copán)</t>
        </is>
      </c>
      <c r="B153" t="inlineStr">
        <is>
          <t xml:space="preserve">2017/18</t>
        </is>
      </c>
      <c r="C153" t="inlineStr">
        <is>
          <t xml:space="preserve">La Niña</t>
        </is>
      </c>
      <c r="D153" t="inlineStr">
        <is>
          <t xml:space="preserve">yes</t>
        </is>
      </c>
      <c r="E153" t="inlineStr">
        <is>
          <t xml:space="preserve">Feb</t>
        </is>
      </c>
      <c r="F153">
        <v>8</v>
      </c>
      <c r="G153">
        <v>2018</v>
      </c>
      <c r="H153" t="inlineStr">
        <is>
          <t xml:space="preserve">2018-02</t>
        </is>
      </c>
      <c r="I153" s="3">
        <f>INDEX(Monthly!$AF:$AF,MATCH(H153,Monthly!$A:$A,0))</f>
        <v>20.537738095238094</v>
      </c>
      <c r="J153" s="4">
        <f>INDEX(Monthly!$AE:$AE,MATCH(H153,Monthly!$A:$A,0))</f>
        <v>11.934666666666667</v>
      </c>
    </row>
    <row r="154">
      <c r="A154" t="inlineStr">
        <is>
          <t xml:space="preserve">Honduras, mean of 3 towns (Comayagua, Ocotepeque, Copán)</t>
        </is>
      </c>
      <c r="B154" t="inlineStr">
        <is>
          <t xml:space="preserve">2017/18</t>
        </is>
      </c>
      <c r="C154" t="inlineStr">
        <is>
          <t xml:space="preserve">La Niña</t>
        </is>
      </c>
      <c r="D154" t="inlineStr">
        <is>
          <t xml:space="preserve">yes</t>
        </is>
      </c>
      <c r="E154" t="inlineStr">
        <is>
          <t xml:space="preserve">Mar</t>
        </is>
      </c>
      <c r="F154">
        <v>9</v>
      </c>
      <c r="G154">
        <v>2018</v>
      </c>
      <c r="H154" t="inlineStr">
        <is>
          <t xml:space="preserve">2018-03</t>
        </is>
      </c>
      <c r="I154" s="3">
        <f>INDEX(Monthly!$AF:$AF,MATCH(H154,Monthly!$A:$A,0))</f>
        <v>23.06731182795699</v>
      </c>
      <c r="J154" s="4">
        <f>INDEX(Monthly!$AE:$AE,MATCH(H154,Monthly!$A:$A,0))</f>
        <v>6.3870000000000005</v>
      </c>
    </row>
    <row r="155">
      <c r="A155" t="inlineStr">
        <is>
          <t xml:space="preserve">Honduras, mean of 3 towns (Comayagua, Ocotepeque, Copán)</t>
        </is>
      </c>
      <c r="B155" t="inlineStr">
        <is>
          <t xml:space="preserve">2017/18</t>
        </is>
      </c>
      <c r="C155" t="inlineStr">
        <is>
          <t xml:space="preserve">La Niña</t>
        </is>
      </c>
      <c r="D155" t="inlineStr">
        <is>
          <t xml:space="preserve">yes</t>
        </is>
      </c>
      <c r="E155" t="inlineStr">
        <is>
          <t xml:space="preserve">Apr</t>
        </is>
      </c>
      <c r="F155">
        <v>10</v>
      </c>
      <c r="G155">
        <v>2018</v>
      </c>
      <c r="H155" t="inlineStr">
        <is>
          <t xml:space="preserve">2018-04</t>
        </is>
      </c>
      <c r="I155" s="3">
        <f>INDEX(Monthly!$AF:$AF,MATCH(H155,Monthly!$A:$A,0))</f>
        <v>24.248333333333335</v>
      </c>
      <c r="J155" s="4">
        <f>INDEX(Monthly!$AE:$AE,MATCH(H155,Monthly!$A:$A,0))</f>
        <v>83.84933333333333</v>
      </c>
    </row>
    <row r="156">
      <c r="A156" t="inlineStr">
        <is>
          <t xml:space="preserve">Honduras, mean of 3 towns (Comayagua, Ocotepeque, Copán)</t>
        </is>
      </c>
      <c r="B156" t="inlineStr">
        <is>
          <t xml:space="preserve">2017/18</t>
        </is>
      </c>
      <c r="C156" t="inlineStr">
        <is>
          <t xml:space="preserve">La Niña</t>
        </is>
      </c>
      <c r="D156" t="inlineStr">
        <is>
          <t xml:space="preserve">yes</t>
        </is>
      </c>
      <c r="E156" t="inlineStr">
        <is>
          <t xml:space="preserve">May</t>
        </is>
      </c>
      <c r="F156">
        <v>11</v>
      </c>
      <c r="G156">
        <v>2018</v>
      </c>
      <c r="H156" t="inlineStr">
        <is>
          <t xml:space="preserve">2018-05</t>
        </is>
      </c>
      <c r="I156" s="3">
        <f>INDEX(Monthly!$AF:$AF,MATCH(H156,Monthly!$A:$A,0))</f>
        <v>24.329784946236558</v>
      </c>
      <c r="J156" s="4">
        <f>INDEX(Monthly!$AE:$AE,MATCH(H156,Monthly!$A:$A,0))</f>
        <v>179.13033333333337</v>
      </c>
    </row>
    <row r="157">
      <c r="A157" t="inlineStr">
        <is>
          <t xml:space="preserve">Honduras, mean of 3 towns (Comayagua, Ocotepeque, Copán)</t>
        </is>
      </c>
      <c r="B157" t="inlineStr">
        <is>
          <t xml:space="preserve">2017/18</t>
        </is>
      </c>
      <c r="C157" t="inlineStr">
        <is>
          <t xml:space="preserve">La Niña</t>
        </is>
      </c>
      <c r="D157" t="inlineStr">
        <is>
          <t xml:space="preserve">yes</t>
        </is>
      </c>
      <c r="E157" t="inlineStr">
        <is>
          <t xml:space="preserve">Jun</t>
        </is>
      </c>
      <c r="F157">
        <v>12</v>
      </c>
      <c r="G157">
        <v>2018</v>
      </c>
      <c r="H157" t="inlineStr">
        <is>
          <t xml:space="preserve">2018-06</t>
        </is>
      </c>
      <c r="I157" s="3">
        <f>INDEX(Monthly!$AF:$AF,MATCH(H157,Monthly!$A:$A,0))</f>
        <v>22.49155555555556</v>
      </c>
      <c r="J157" s="4">
        <f>INDEX(Monthly!$AE:$AE,MATCH(H157,Monthly!$A:$A,0))</f>
        <v>227.12533333333332</v>
      </c>
    </row>
    <row r="158">
      <c r="A158" t="inlineStr">
        <is>
          <t xml:space="preserve">Honduras, mean of 3 towns (Comayagua, Ocotepeque, Copán)</t>
        </is>
      </c>
      <c r="B158" t="inlineStr">
        <is>
          <t xml:space="preserve">2018/19</t>
        </is>
      </c>
      <c r="C158" t="inlineStr">
        <is>
          <t xml:space="preserve">El Niño</t>
        </is>
      </c>
      <c r="D158" t="inlineStr">
        <is>
          <t xml:space="preserve">yes</t>
        </is>
      </c>
      <c r="E158" t="inlineStr">
        <is>
          <t xml:space="preserve">Jul</t>
        </is>
      </c>
      <c r="F158">
        <v>1</v>
      </c>
      <c r="G158">
        <v>2018</v>
      </c>
      <c r="H158" t="inlineStr">
        <is>
          <t xml:space="preserve">2018-07</t>
        </is>
      </c>
      <c r="I158" s="3">
        <f>INDEX(Monthly!$AF:$AF,MATCH(H158,Monthly!$A:$A,0))</f>
        <v>22.74666666666667</v>
      </c>
      <c r="J158" s="4">
        <f>INDEX(Monthly!$AE:$AE,MATCH(H158,Monthly!$A:$A,0))</f>
        <v>91.26533333333333</v>
      </c>
    </row>
    <row r="159">
      <c r="A159" t="inlineStr">
        <is>
          <t xml:space="preserve">Honduras, mean of 3 towns (Comayagua, Ocotepeque, Copán)</t>
        </is>
      </c>
      <c r="B159" t="inlineStr">
        <is>
          <t xml:space="preserve">2018/19</t>
        </is>
      </c>
      <c r="C159" t="inlineStr">
        <is>
          <t xml:space="preserve">El Niño</t>
        </is>
      </c>
      <c r="D159" t="inlineStr">
        <is>
          <t xml:space="preserve">yes</t>
        </is>
      </c>
      <c r="E159" t="inlineStr">
        <is>
          <t xml:space="preserve">Aug</t>
        </is>
      </c>
      <c r="F159">
        <v>2</v>
      </c>
      <c r="G159">
        <v>2018</v>
      </c>
      <c r="H159" t="inlineStr">
        <is>
          <t xml:space="preserve">2018-08</t>
        </is>
      </c>
      <c r="I159" s="3">
        <f>INDEX(Monthly!$AF:$AF,MATCH(H159,Monthly!$A:$A,0))</f>
        <v>22.668279569892476</v>
      </c>
      <c r="J159" s="4">
        <f>INDEX(Monthly!$AE:$AE,MATCH(H159,Monthly!$A:$A,0))</f>
        <v>194.27533333333335</v>
      </c>
    </row>
    <row r="160">
      <c r="A160" t="inlineStr">
        <is>
          <t xml:space="preserve">Honduras, mean of 3 towns (Comayagua, Ocotepeque, Copán)</t>
        </is>
      </c>
      <c r="B160" t="inlineStr">
        <is>
          <t xml:space="preserve">2018/19</t>
        </is>
      </c>
      <c r="C160" t="inlineStr">
        <is>
          <t xml:space="preserve">El Niño</t>
        </is>
      </c>
      <c r="D160" t="inlineStr">
        <is>
          <t xml:space="preserve">yes</t>
        </is>
      </c>
      <c r="E160" t="inlineStr">
        <is>
          <t xml:space="preserve">Sep</t>
        </is>
      </c>
      <c r="F160">
        <v>3</v>
      </c>
      <c r="G160">
        <v>2018</v>
      </c>
      <c r="H160" t="inlineStr">
        <is>
          <t xml:space="preserve">2018-09</t>
        </is>
      </c>
      <c r="I160" s="3">
        <f>INDEX(Monthly!$AF:$AF,MATCH(H160,Monthly!$A:$A,0))</f>
        <v>22.695999999999998</v>
      </c>
      <c r="J160" s="4">
        <f>INDEX(Monthly!$AE:$AE,MATCH(H160,Monthly!$A:$A,0))</f>
        <v>180.26166666666666</v>
      </c>
    </row>
    <row r="161">
      <c r="A161" t="inlineStr">
        <is>
          <t xml:space="preserve">Honduras, mean of 3 towns (Comayagua, Ocotepeque, Copán)</t>
        </is>
      </c>
      <c r="B161" t="inlineStr">
        <is>
          <t xml:space="preserve">2018/19</t>
        </is>
      </c>
      <c r="C161" t="inlineStr">
        <is>
          <t xml:space="preserve">El Niño</t>
        </is>
      </c>
      <c r="D161" t="inlineStr">
        <is>
          <t xml:space="preserve">yes</t>
        </is>
      </c>
      <c r="E161" t="inlineStr">
        <is>
          <t xml:space="preserve">Oct</t>
        </is>
      </c>
      <c r="F161">
        <v>4</v>
      </c>
      <c r="G161">
        <v>2018</v>
      </c>
      <c r="H161" t="inlineStr">
        <is>
          <t xml:space="preserve">2018-10</t>
        </is>
      </c>
      <c r="I161" s="3">
        <f>INDEX(Monthly!$AF:$AF,MATCH(H161,Monthly!$A:$A,0))</f>
        <v>21.75279569892473</v>
      </c>
      <c r="J161" s="4">
        <f>INDEX(Monthly!$AE:$AE,MATCH(H161,Monthly!$A:$A,0))</f>
        <v>128.453</v>
      </c>
    </row>
    <row r="162">
      <c r="A162" t="inlineStr">
        <is>
          <t xml:space="preserve">Honduras, mean of 3 towns (Comayagua, Ocotepeque, Copán)</t>
        </is>
      </c>
      <c r="B162" t="inlineStr">
        <is>
          <t xml:space="preserve">2018/19</t>
        </is>
      </c>
      <c r="C162" t="inlineStr">
        <is>
          <t xml:space="preserve">El Niño</t>
        </is>
      </c>
      <c r="D162" t="inlineStr">
        <is>
          <t xml:space="preserve">yes</t>
        </is>
      </c>
      <c r="E162" t="inlineStr">
        <is>
          <t xml:space="preserve">Nov</t>
        </is>
      </c>
      <c r="F162">
        <v>5</v>
      </c>
      <c r="G162">
        <v>2018</v>
      </c>
      <c r="H162" t="inlineStr">
        <is>
          <t xml:space="preserve">2018-11</t>
        </is>
      </c>
      <c r="I162" s="3">
        <f>INDEX(Monthly!$AF:$AF,MATCH(H162,Monthly!$A:$A,0))</f>
        <v>21.82788888888889</v>
      </c>
      <c r="J162" s="4">
        <f>INDEX(Monthly!$AE:$AE,MATCH(H162,Monthly!$A:$A,0))</f>
        <v>22.420333333333332</v>
      </c>
    </row>
    <row r="163">
      <c r="A163" t="inlineStr">
        <is>
          <t xml:space="preserve">Honduras, mean of 3 towns (Comayagua, Ocotepeque, Copán)</t>
        </is>
      </c>
      <c r="B163" t="inlineStr">
        <is>
          <t xml:space="preserve">2018/19</t>
        </is>
      </c>
      <c r="C163" t="inlineStr">
        <is>
          <t xml:space="preserve">El Niño</t>
        </is>
      </c>
      <c r="D163" t="inlineStr">
        <is>
          <t xml:space="preserve">yes</t>
        </is>
      </c>
      <c r="E163" t="inlineStr">
        <is>
          <t xml:space="preserve">Dec</t>
        </is>
      </c>
      <c r="F163">
        <v>6</v>
      </c>
      <c r="G163">
        <v>2018</v>
      </c>
      <c r="H163" t="inlineStr">
        <is>
          <t xml:space="preserve">2018-12</t>
        </is>
      </c>
      <c r="I163" s="3">
        <f>INDEX(Monthly!$AF:$AF,MATCH(H163,Monthly!$A:$A,0))</f>
        <v>20.589892473118272</v>
      </c>
      <c r="J163" s="4">
        <f>INDEX(Monthly!$AE:$AE,MATCH(H163,Monthly!$A:$A,0))</f>
        <v>16.474333333333334</v>
      </c>
    </row>
    <row r="164">
      <c r="A164" t="inlineStr">
        <is>
          <t xml:space="preserve">Honduras, mean of 3 towns (Comayagua, Ocotepeque, Copán)</t>
        </is>
      </c>
      <c r="B164" t="inlineStr">
        <is>
          <t xml:space="preserve">2018/19</t>
        </is>
      </c>
      <c r="C164" t="inlineStr">
        <is>
          <t xml:space="preserve">El Niño</t>
        </is>
      </c>
      <c r="D164" t="inlineStr">
        <is>
          <t xml:space="preserve">yes</t>
        </is>
      </c>
      <c r="E164" t="inlineStr">
        <is>
          <t xml:space="preserve">Jan</t>
        </is>
      </c>
      <c r="F164">
        <v>7</v>
      </c>
      <c r="G164">
        <v>2019</v>
      </c>
      <c r="H164" t="inlineStr">
        <is>
          <t xml:space="preserve">2019-01</t>
        </is>
      </c>
      <c r="I164" s="3">
        <f>INDEX(Monthly!$AF:$AF,MATCH(H164,Monthly!$A:$A,0))</f>
        <v>20.57225806451613</v>
      </c>
      <c r="J164" s="4">
        <f>INDEX(Monthly!$AE:$AE,MATCH(H164,Monthly!$A:$A,0))</f>
        <v>20.014</v>
      </c>
    </row>
    <row r="165">
      <c r="A165" t="inlineStr">
        <is>
          <t xml:space="preserve">Honduras, mean of 3 towns (Comayagua, Ocotepeque, Copán)</t>
        </is>
      </c>
      <c r="B165" t="inlineStr">
        <is>
          <t xml:space="preserve">2018/19</t>
        </is>
      </c>
      <c r="C165" t="inlineStr">
        <is>
          <t xml:space="preserve">El Niño</t>
        </is>
      </c>
      <c r="D165" t="inlineStr">
        <is>
          <t xml:space="preserve">yes</t>
        </is>
      </c>
      <c r="E165" t="inlineStr">
        <is>
          <t xml:space="preserve">Feb</t>
        </is>
      </c>
      <c r="F165">
        <v>8</v>
      </c>
      <c r="G165">
        <v>2019</v>
      </c>
      <c r="H165" t="inlineStr">
        <is>
          <t xml:space="preserve">2019-02</t>
        </is>
      </c>
      <c r="I165" s="3">
        <f>INDEX(Monthly!$AF:$AF,MATCH(H165,Monthly!$A:$A,0))</f>
        <v>23.290119047619044</v>
      </c>
      <c r="J165" s="4">
        <f>INDEX(Monthly!$AE:$AE,MATCH(H165,Monthly!$A:$A,0))</f>
        <v>7.460333333333334</v>
      </c>
    </row>
    <row r="166">
      <c r="A166" t="inlineStr">
        <is>
          <t xml:space="preserve">Honduras, mean of 3 towns (Comayagua, Ocotepeque, Copán)</t>
        </is>
      </c>
      <c r="B166" t="inlineStr">
        <is>
          <t xml:space="preserve">2018/19</t>
        </is>
      </c>
      <c r="C166" t="inlineStr">
        <is>
          <t xml:space="preserve">El Niño</t>
        </is>
      </c>
      <c r="D166" t="inlineStr">
        <is>
          <t xml:space="preserve">yes</t>
        </is>
      </c>
      <c r="E166" t="inlineStr">
        <is>
          <t xml:space="preserve">Mar</t>
        </is>
      </c>
      <c r="F166">
        <v>9</v>
      </c>
      <c r="G166">
        <v>2019</v>
      </c>
      <c r="H166" t="inlineStr">
        <is>
          <t xml:space="preserve">2019-03</t>
        </is>
      </c>
      <c r="I166" s="3">
        <f>INDEX(Monthly!$AF:$AF,MATCH(H166,Monthly!$A:$A,0))</f>
        <v>23.558817204301075</v>
      </c>
      <c r="J166" s="4">
        <f>INDEX(Monthly!$AE:$AE,MATCH(H166,Monthly!$A:$A,0))</f>
        <v>1.3106666666666669</v>
      </c>
    </row>
    <row r="167">
      <c r="A167" t="inlineStr">
        <is>
          <t xml:space="preserve">Honduras, mean of 3 towns (Comayagua, Ocotepeque, Copán)</t>
        </is>
      </c>
      <c r="B167" t="inlineStr">
        <is>
          <t xml:space="preserve">2018/19</t>
        </is>
      </c>
      <c r="C167" t="inlineStr">
        <is>
          <t xml:space="preserve">El Niño</t>
        </is>
      </c>
      <c r="D167" t="inlineStr">
        <is>
          <t xml:space="preserve">yes</t>
        </is>
      </c>
      <c r="E167" t="inlineStr">
        <is>
          <t xml:space="preserve">Apr</t>
        </is>
      </c>
      <c r="F167">
        <v>10</v>
      </c>
      <c r="G167">
        <v>2019</v>
      </c>
      <c r="H167" t="inlineStr">
        <is>
          <t xml:space="preserve">2019-04</t>
        </is>
      </c>
      <c r="I167" s="3">
        <f>INDEX(Monthly!$AF:$AF,MATCH(H167,Monthly!$A:$A,0))</f>
        <v>25.47988888888889</v>
      </c>
      <c r="J167" s="4">
        <f>INDEX(Monthly!$AE:$AE,MATCH(H167,Monthly!$A:$A,0))</f>
        <v>20.644</v>
      </c>
    </row>
    <row r="168">
      <c r="A168" t="inlineStr">
        <is>
          <t xml:space="preserve">Honduras, mean of 3 towns (Comayagua, Ocotepeque, Copán)</t>
        </is>
      </c>
      <c r="B168" t="inlineStr">
        <is>
          <t xml:space="preserve">2018/19</t>
        </is>
      </c>
      <c r="C168" t="inlineStr">
        <is>
          <t xml:space="preserve">El Niño</t>
        </is>
      </c>
      <c r="D168" t="inlineStr">
        <is>
          <t xml:space="preserve">yes</t>
        </is>
      </c>
      <c r="E168" t="inlineStr">
        <is>
          <t xml:space="preserve">May</t>
        </is>
      </c>
      <c r="F168">
        <v>11</v>
      </c>
      <c r="G168">
        <v>2019</v>
      </c>
      <c r="H168" t="inlineStr">
        <is>
          <t xml:space="preserve">2019-05</t>
        </is>
      </c>
      <c r="I168" s="3">
        <f>INDEX(Monthly!$AF:$AF,MATCH(H168,Monthly!$A:$A,0))</f>
        <v>24.571720430107522</v>
      </c>
      <c r="J168" s="4">
        <f>INDEX(Monthly!$AE:$AE,MATCH(H168,Monthly!$A:$A,0))</f>
        <v>208.45100000000002</v>
      </c>
    </row>
    <row r="169">
      <c r="A169" t="inlineStr">
        <is>
          <t xml:space="preserve">Honduras, mean of 3 towns (Comayagua, Ocotepeque, Copán)</t>
        </is>
      </c>
      <c r="B169" t="inlineStr">
        <is>
          <t xml:space="preserve">2018/19</t>
        </is>
      </c>
      <c r="C169" t="inlineStr">
        <is>
          <t xml:space="preserve">El Niño</t>
        </is>
      </c>
      <c r="D169" t="inlineStr">
        <is>
          <t xml:space="preserve">yes</t>
        </is>
      </c>
      <c r="E169" t="inlineStr">
        <is>
          <t xml:space="preserve">Jun</t>
        </is>
      </c>
      <c r="F169">
        <v>12</v>
      </c>
      <c r="G169">
        <v>2019</v>
      </c>
      <c r="H169" t="inlineStr">
        <is>
          <t xml:space="preserve">2019-06</t>
        </is>
      </c>
      <c r="I169" s="3">
        <f>INDEX(Monthly!$AF:$AF,MATCH(H169,Monthly!$A:$A,0))</f>
        <v>24.062222222222218</v>
      </c>
      <c r="J169" s="4">
        <f>INDEX(Monthly!$AE:$AE,MATCH(H169,Monthly!$A:$A,0))</f>
        <v>150.111</v>
      </c>
    </row>
    <row r="170">
      <c r="A170" t="inlineStr">
        <is>
          <t xml:space="preserve">Honduras, mean of 3 towns (Comayagua, Ocotepeque, Copán)</t>
        </is>
      </c>
      <c r="B170" t="inlineStr">
        <is>
          <t xml:space="preserve">2019/20</t>
        </is>
      </c>
      <c r="C170" t="inlineStr">
        <is>
          <t xml:space="preserve">El Niño</t>
        </is>
      </c>
      <c r="D170" t="inlineStr">
        <is>
          <t xml:space="preserve">yes</t>
        </is>
      </c>
      <c r="E170" t="inlineStr">
        <is>
          <t xml:space="preserve">Jul</t>
        </is>
      </c>
      <c r="F170">
        <v>1</v>
      </c>
      <c r="G170">
        <v>2019</v>
      </c>
      <c r="H170" t="inlineStr">
        <is>
          <t xml:space="preserve">2019-07</t>
        </is>
      </c>
      <c r="I170" s="3">
        <f>INDEX(Monthly!$AF:$AF,MATCH(H170,Monthly!$A:$A,0))</f>
        <v>23.843978494623666</v>
      </c>
      <c r="J170" s="4">
        <f>INDEX(Monthly!$AE:$AE,MATCH(H170,Monthly!$A:$A,0))</f>
        <v>125.22566666666665</v>
      </c>
    </row>
    <row r="171">
      <c r="A171" t="inlineStr">
        <is>
          <t xml:space="preserve">Honduras, mean of 3 towns (Comayagua, Ocotepeque, Copán)</t>
        </is>
      </c>
      <c r="B171" t="inlineStr">
        <is>
          <t xml:space="preserve">2019/20</t>
        </is>
      </c>
      <c r="C171" t="inlineStr">
        <is>
          <t xml:space="preserve">El Niño</t>
        </is>
      </c>
      <c r="D171" t="inlineStr">
        <is>
          <t xml:space="preserve">yes</t>
        </is>
      </c>
      <c r="E171" t="inlineStr">
        <is>
          <t xml:space="preserve">Aug</t>
        </is>
      </c>
      <c r="F171">
        <v>2</v>
      </c>
      <c r="G171">
        <v>2019</v>
      </c>
      <c r="H171" t="inlineStr">
        <is>
          <t xml:space="preserve">2019-08</t>
        </is>
      </c>
      <c r="I171" s="3">
        <f>INDEX(Monthly!$AF:$AF,MATCH(H171,Monthly!$A:$A,0))</f>
        <v>24.16387096774194</v>
      </c>
      <c r="J171" s="4">
        <f>INDEX(Monthly!$AE:$AE,MATCH(H171,Monthly!$A:$A,0))</f>
        <v>197.68366666666665</v>
      </c>
    </row>
    <row r="172">
      <c r="A172" t="inlineStr">
        <is>
          <t xml:space="preserve">Honduras, mean of 3 towns (Comayagua, Ocotepeque, Copán)</t>
        </is>
      </c>
      <c r="B172" t="inlineStr">
        <is>
          <t xml:space="preserve">2019/20</t>
        </is>
      </c>
      <c r="C172" t="inlineStr">
        <is>
          <t xml:space="preserve">El Niño</t>
        </is>
      </c>
      <c r="D172" t="inlineStr">
        <is>
          <t xml:space="preserve">yes</t>
        </is>
      </c>
      <c r="E172" t="inlineStr">
        <is>
          <t xml:space="preserve">Sep</t>
        </is>
      </c>
      <c r="F172">
        <v>3</v>
      </c>
      <c r="G172">
        <v>2019</v>
      </c>
      <c r="H172" t="inlineStr">
        <is>
          <t xml:space="preserve">2019-09</t>
        </is>
      </c>
      <c r="I172" s="3">
        <f>INDEX(Monthly!$AF:$AF,MATCH(H172,Monthly!$A:$A,0))</f>
        <v>23.283000000000005</v>
      </c>
      <c r="J172" s="4">
        <f>INDEX(Monthly!$AE:$AE,MATCH(H172,Monthly!$A:$A,0))</f>
        <v>232.23833333333334</v>
      </c>
    </row>
    <row r="173">
      <c r="A173" t="inlineStr">
        <is>
          <t xml:space="preserve">Honduras, mean of 3 towns (Comayagua, Ocotepeque, Copán)</t>
        </is>
      </c>
      <c r="B173" t="inlineStr">
        <is>
          <t xml:space="preserve">2019/20</t>
        </is>
      </c>
      <c r="C173" t="inlineStr">
        <is>
          <t xml:space="preserve">El Niño</t>
        </is>
      </c>
      <c r="D173" t="inlineStr">
        <is>
          <t xml:space="preserve">yes</t>
        </is>
      </c>
      <c r="E173" t="inlineStr">
        <is>
          <t xml:space="preserve">Oct</t>
        </is>
      </c>
      <c r="F173">
        <v>4</v>
      </c>
      <c r="G173">
        <v>2019</v>
      </c>
      <c r="H173" t="inlineStr">
        <is>
          <t xml:space="preserve">2019-10</t>
        </is>
      </c>
      <c r="I173" s="3">
        <f>INDEX(Monthly!$AF:$AF,MATCH(H173,Monthly!$A:$A,0))</f>
        <v>22.336021505376348</v>
      </c>
      <c r="J173" s="4">
        <f>INDEX(Monthly!$AE:$AE,MATCH(H173,Monthly!$A:$A,0))</f>
        <v>284.97133333333335</v>
      </c>
    </row>
    <row r="174">
      <c r="A174" t="inlineStr">
        <is>
          <t xml:space="preserve">Honduras, mean of 3 towns (Comayagua, Ocotepeque, Copán)</t>
        </is>
      </c>
      <c r="B174" t="inlineStr">
        <is>
          <t xml:space="preserve">2019/20</t>
        </is>
      </c>
      <c r="C174" t="inlineStr">
        <is>
          <t xml:space="preserve">El Niño</t>
        </is>
      </c>
      <c r="D174" t="inlineStr">
        <is>
          <t xml:space="preserve">yes</t>
        </is>
      </c>
      <c r="E174" t="inlineStr">
        <is>
          <t xml:space="preserve">Nov</t>
        </is>
      </c>
      <c r="F174">
        <v>5</v>
      </c>
      <c r="G174">
        <v>2019</v>
      </c>
      <c r="H174" t="inlineStr">
        <is>
          <t xml:space="preserve">2019-11</t>
        </is>
      </c>
      <c r="I174" s="3">
        <f>INDEX(Monthly!$AF:$AF,MATCH(H174,Monthly!$A:$A,0))</f>
        <v>20.827333333333332</v>
      </c>
      <c r="J174" s="4">
        <f>INDEX(Monthly!$AE:$AE,MATCH(H174,Monthly!$A:$A,0))</f>
        <v>37.483000000000004</v>
      </c>
    </row>
    <row r="175">
      <c r="A175" t="inlineStr">
        <is>
          <t xml:space="preserve">Honduras, mean of 3 towns (Comayagua, Ocotepeque, Copán)</t>
        </is>
      </c>
      <c r="B175" t="inlineStr">
        <is>
          <t xml:space="preserve">2019/20</t>
        </is>
      </c>
      <c r="C175" t="inlineStr">
        <is>
          <t xml:space="preserve">El Niño</t>
        </is>
      </c>
      <c r="D175" t="inlineStr">
        <is>
          <t xml:space="preserve">yes</t>
        </is>
      </c>
      <c r="E175" t="inlineStr">
        <is>
          <t xml:space="preserve">Dec</t>
        </is>
      </c>
      <c r="F175">
        <v>6</v>
      </c>
      <c r="G175">
        <v>2019</v>
      </c>
      <c r="H175" t="inlineStr">
        <is>
          <t xml:space="preserve">2019-12</t>
        </is>
      </c>
      <c r="I175" s="3">
        <f>INDEX(Monthly!$AF:$AF,MATCH(H175,Monthly!$A:$A,0))</f>
        <v>20.352580645161293</v>
      </c>
      <c r="J175" s="4">
        <f>INDEX(Monthly!$AE:$AE,MATCH(H175,Monthly!$A:$A,0))</f>
        <v>22.194666666666667</v>
      </c>
    </row>
    <row r="176">
      <c r="A176" t="inlineStr">
        <is>
          <t xml:space="preserve">Honduras, mean of 3 towns (Comayagua, Ocotepeque, Copán)</t>
        </is>
      </c>
      <c r="B176" t="inlineStr">
        <is>
          <t xml:space="preserve">2019/20</t>
        </is>
      </c>
      <c r="C176" t="inlineStr">
        <is>
          <t xml:space="preserve">El Niño</t>
        </is>
      </c>
      <c r="D176" t="inlineStr">
        <is>
          <t xml:space="preserve">yes</t>
        </is>
      </c>
      <c r="E176" t="inlineStr">
        <is>
          <t xml:space="preserve">Jan</t>
        </is>
      </c>
      <c r="F176">
        <v>7</v>
      </c>
      <c r="G176">
        <v>2020</v>
      </c>
      <c r="H176" t="inlineStr">
        <is>
          <t xml:space="preserve">2020-01</t>
        </is>
      </c>
      <c r="I176" s="3">
        <f>INDEX(Monthly!$AF:$AF,MATCH(H176,Monthly!$A:$A,0))</f>
        <v>21.09215053763441</v>
      </c>
      <c r="J176" s="4">
        <f>INDEX(Monthly!$AE:$AE,MATCH(H176,Monthly!$A:$A,0))</f>
        <v>22.042666666666666</v>
      </c>
    </row>
    <row r="177">
      <c r="A177" t="inlineStr">
        <is>
          <t xml:space="preserve">Honduras, mean of 3 towns (Comayagua, Ocotepeque, Copán)</t>
        </is>
      </c>
      <c r="B177" t="inlineStr">
        <is>
          <t xml:space="preserve">2019/20</t>
        </is>
      </c>
      <c r="C177" t="inlineStr">
        <is>
          <t xml:space="preserve">El Niño</t>
        </is>
      </c>
      <c r="D177" t="inlineStr">
        <is>
          <t xml:space="preserve">yes</t>
        </is>
      </c>
      <c r="E177" t="inlineStr">
        <is>
          <t xml:space="preserve">Feb</t>
        </is>
      </c>
      <c r="F177">
        <v>8</v>
      </c>
      <c r="G177">
        <v>2020</v>
      </c>
      <c r="H177" t="inlineStr">
        <is>
          <t xml:space="preserve">2020-02</t>
        </is>
      </c>
      <c r="I177" s="3">
        <f>INDEX(Monthly!$AF:$AF,MATCH(H177,Monthly!$A:$A,0))</f>
        <v>22.304367816091954</v>
      </c>
      <c r="J177" s="4">
        <f>INDEX(Monthly!$AE:$AE,MATCH(H177,Monthly!$A:$A,0))</f>
        <v>15.166000000000002</v>
      </c>
    </row>
    <row r="178">
      <c r="A178" t="inlineStr">
        <is>
          <t xml:space="preserve">Honduras, mean of 3 towns (Comayagua, Ocotepeque, Copán)</t>
        </is>
      </c>
      <c r="B178" t="inlineStr">
        <is>
          <t xml:space="preserve">2019/20</t>
        </is>
      </c>
      <c r="C178" t="inlineStr">
        <is>
          <t xml:space="preserve">El Niño</t>
        </is>
      </c>
      <c r="D178" t="inlineStr">
        <is>
          <t xml:space="preserve">yes</t>
        </is>
      </c>
      <c r="E178" t="inlineStr">
        <is>
          <t xml:space="preserve">Mar</t>
        </is>
      </c>
      <c r="F178">
        <v>9</v>
      </c>
      <c r="G178">
        <v>2020</v>
      </c>
      <c r="H178" t="inlineStr">
        <is>
          <t xml:space="preserve">2020-03</t>
        </is>
      </c>
      <c r="I178" s="3">
        <f>INDEX(Monthly!$AF:$AF,MATCH(H178,Monthly!$A:$A,0))</f>
        <v>23.619354838709672</v>
      </c>
      <c r="J178" s="4">
        <f>INDEX(Monthly!$AE:$AE,MATCH(H178,Monthly!$A:$A,0))</f>
        <v>12.69</v>
      </c>
    </row>
    <row r="179">
      <c r="A179" t="inlineStr">
        <is>
          <t xml:space="preserve">Honduras, mean of 3 towns (Comayagua, Ocotepeque, Copán)</t>
        </is>
      </c>
      <c r="B179" t="inlineStr">
        <is>
          <t xml:space="preserve">2019/20</t>
        </is>
      </c>
      <c r="C179" t="inlineStr">
        <is>
          <t xml:space="preserve">El Niño</t>
        </is>
      </c>
      <c r="D179" t="inlineStr">
        <is>
          <t xml:space="preserve">yes</t>
        </is>
      </c>
      <c r="E179" t="inlineStr">
        <is>
          <t xml:space="preserve">Apr</t>
        </is>
      </c>
      <c r="F179">
        <v>10</v>
      </c>
      <c r="G179">
        <v>2020</v>
      </c>
      <c r="H179" t="inlineStr">
        <is>
          <t xml:space="preserve">2020-04</t>
        </is>
      </c>
      <c r="I179" s="3">
        <f>INDEX(Monthly!$AF:$AF,MATCH(H179,Monthly!$A:$A,0))</f>
        <v>27.046666666666667</v>
      </c>
      <c r="J179" s="4">
        <f>INDEX(Monthly!$AE:$AE,MATCH(H179,Monthly!$A:$A,0))</f>
        <v>9.882333333333333</v>
      </c>
    </row>
    <row r="180">
      <c r="A180" t="inlineStr">
        <is>
          <t xml:space="preserve">Honduras, mean of 3 towns (Comayagua, Ocotepeque, Copán)</t>
        </is>
      </c>
      <c r="B180" t="inlineStr">
        <is>
          <t xml:space="preserve">2019/20</t>
        </is>
      </c>
      <c r="C180" t="inlineStr">
        <is>
          <t xml:space="preserve">El Niño</t>
        </is>
      </c>
      <c r="D180" t="inlineStr">
        <is>
          <t xml:space="preserve">yes</t>
        </is>
      </c>
      <c r="E180" t="inlineStr">
        <is>
          <t xml:space="preserve">May</t>
        </is>
      </c>
      <c r="F180">
        <v>11</v>
      </c>
      <c r="G180">
        <v>2020</v>
      </c>
      <c r="H180" t="inlineStr">
        <is>
          <t xml:space="preserve">2020-05</t>
        </is>
      </c>
      <c r="I180" s="3">
        <f>INDEX(Monthly!$AF:$AF,MATCH(H180,Monthly!$A:$A,0))</f>
        <v>24.679677419354835</v>
      </c>
      <c r="J180" s="4">
        <f>INDEX(Monthly!$AE:$AE,MATCH(H180,Monthly!$A:$A,0))</f>
        <v>230.04999999999998</v>
      </c>
    </row>
    <row r="181">
      <c r="A181" t="inlineStr">
        <is>
          <t xml:space="preserve">Honduras, mean of 3 towns (Comayagua, Ocotepeque, Copán)</t>
        </is>
      </c>
      <c r="B181" t="inlineStr">
        <is>
          <t xml:space="preserve">2019/20</t>
        </is>
      </c>
      <c r="C181" t="inlineStr">
        <is>
          <t xml:space="preserve">El Niño</t>
        </is>
      </c>
      <c r="D181" t="inlineStr">
        <is>
          <t xml:space="preserve">yes</t>
        </is>
      </c>
      <c r="E181" t="inlineStr">
        <is>
          <t xml:space="preserve">Jun</t>
        </is>
      </c>
      <c r="F181">
        <v>12</v>
      </c>
      <c r="G181">
        <v>2020</v>
      </c>
      <c r="H181" t="inlineStr">
        <is>
          <t xml:space="preserve">2020-06</t>
        </is>
      </c>
      <c r="I181" s="3">
        <f>INDEX(Monthly!$AF:$AF,MATCH(H181,Monthly!$A:$A,0))</f>
        <v>22.924111111111113</v>
      </c>
      <c r="J181" s="4">
        <f>INDEX(Monthly!$AE:$AE,MATCH(H181,Monthly!$A:$A,0))</f>
        <v>147.45366666666666</v>
      </c>
    </row>
    <row r="182">
      <c r="A182" t="inlineStr">
        <is>
          <t xml:space="preserve">Honduras, mean of 3 towns (Comayagua, Ocotepeque, Copán)</t>
        </is>
      </c>
      <c r="B182" t="inlineStr">
        <is>
          <t xml:space="preserve">2020/21</t>
        </is>
      </c>
      <c r="C182" t="inlineStr">
        <is>
          <t xml:space="preserve">La Niña</t>
        </is>
      </c>
      <c r="D182" t="inlineStr">
        <is>
          <t xml:space="preserve">yes</t>
        </is>
      </c>
      <c r="E182" t="inlineStr">
        <is>
          <t xml:space="preserve">Jul</t>
        </is>
      </c>
      <c r="F182">
        <v>1</v>
      </c>
      <c r="G182">
        <v>2020</v>
      </c>
      <c r="H182" t="inlineStr">
        <is>
          <t xml:space="preserve">2020-07</t>
        </is>
      </c>
      <c r="I182" s="3">
        <f>INDEX(Monthly!$AF:$AF,MATCH(H182,Monthly!$A:$A,0))</f>
        <v>22.918924731182795</v>
      </c>
      <c r="J182" s="4">
        <f>INDEX(Monthly!$AE:$AE,MATCH(H182,Monthly!$A:$A,0))</f>
        <v>174.66666666666666</v>
      </c>
    </row>
    <row r="183">
      <c r="A183" t="inlineStr">
        <is>
          <t xml:space="preserve">Honduras, mean of 3 towns (Comayagua, Ocotepeque, Copán)</t>
        </is>
      </c>
      <c r="B183" t="inlineStr">
        <is>
          <t xml:space="preserve">2020/21</t>
        </is>
      </c>
      <c r="C183" t="inlineStr">
        <is>
          <t xml:space="preserve">La Niña</t>
        </is>
      </c>
      <c r="D183" t="inlineStr">
        <is>
          <t xml:space="preserve">yes</t>
        </is>
      </c>
      <c r="E183" t="inlineStr">
        <is>
          <t xml:space="preserve">Aug</t>
        </is>
      </c>
      <c r="F183">
        <v>2</v>
      </c>
      <c r="G183">
        <v>2020</v>
      </c>
      <c r="H183" t="inlineStr">
        <is>
          <t xml:space="preserve">2020-08</t>
        </is>
      </c>
      <c r="I183" s="3">
        <f>INDEX(Monthly!$AF:$AF,MATCH(H183,Monthly!$A:$A,0))</f>
        <v>22.626129032258063</v>
      </c>
      <c r="J183" s="4">
        <f>INDEX(Monthly!$AE:$AE,MATCH(H183,Monthly!$A:$A,0))</f>
        <v>236.77700000000002</v>
      </c>
    </row>
    <row r="184">
      <c r="A184" t="inlineStr">
        <is>
          <t xml:space="preserve">Honduras, mean of 3 towns (Comayagua, Ocotepeque, Copán)</t>
        </is>
      </c>
      <c r="B184" t="inlineStr">
        <is>
          <t xml:space="preserve">2020/21</t>
        </is>
      </c>
      <c r="C184" t="inlineStr">
        <is>
          <t xml:space="preserve">La Niña</t>
        </is>
      </c>
      <c r="D184" t="inlineStr">
        <is>
          <t xml:space="preserve">yes</t>
        </is>
      </c>
      <c r="E184" t="inlineStr">
        <is>
          <t xml:space="preserve">Sep</t>
        </is>
      </c>
      <c r="F184">
        <v>3</v>
      </c>
      <c r="G184">
        <v>2020</v>
      </c>
      <c r="H184" t="inlineStr">
        <is>
          <t xml:space="preserve">2020-09</t>
        </is>
      </c>
      <c r="I184" s="3">
        <f>INDEX(Monthly!$AF:$AF,MATCH(H184,Monthly!$A:$A,0))</f>
        <v>22.714111111111105</v>
      </c>
      <c r="J184" s="4">
        <f>INDEX(Monthly!$AE:$AE,MATCH(H184,Monthly!$A:$A,0))</f>
        <v>328.681</v>
      </c>
    </row>
    <row r="185">
      <c r="A185" t="inlineStr">
        <is>
          <t xml:space="preserve">Honduras, mean of 3 towns (Comayagua, Ocotepeque, Copán)</t>
        </is>
      </c>
      <c r="B185" t="inlineStr">
        <is>
          <t xml:space="preserve">2020/21</t>
        </is>
      </c>
      <c r="C185" t="inlineStr">
        <is>
          <t xml:space="preserve">La Niña</t>
        </is>
      </c>
      <c r="D185" t="inlineStr">
        <is>
          <t xml:space="preserve">yes</t>
        </is>
      </c>
      <c r="E185" t="inlineStr">
        <is>
          <t xml:space="preserve">Oct</t>
        </is>
      </c>
      <c r="F185">
        <v>4</v>
      </c>
      <c r="G185">
        <v>2020</v>
      </c>
      <c r="H185" t="inlineStr">
        <is>
          <t xml:space="preserve">2020-10</t>
        </is>
      </c>
      <c r="I185" s="3">
        <f>INDEX(Monthly!$AF:$AF,MATCH(H185,Monthly!$A:$A,0))</f>
        <v>21.8358064516129</v>
      </c>
      <c r="J185" s="4">
        <f>INDEX(Monthly!$AE:$AE,MATCH(H185,Monthly!$A:$A,0))</f>
        <v>180.56933333333336</v>
      </c>
    </row>
    <row r="186">
      <c r="A186" t="inlineStr">
        <is>
          <t xml:space="preserve">Honduras, mean of 3 towns (Comayagua, Ocotepeque, Copán)</t>
        </is>
      </c>
      <c r="B186" t="inlineStr">
        <is>
          <t xml:space="preserve">2020/21</t>
        </is>
      </c>
      <c r="C186" t="inlineStr">
        <is>
          <t xml:space="preserve">La Niña</t>
        </is>
      </c>
      <c r="D186" t="inlineStr">
        <is>
          <t xml:space="preserve">yes</t>
        </is>
      </c>
      <c r="E186" t="inlineStr">
        <is>
          <t xml:space="preserve">Nov</t>
        </is>
      </c>
      <c r="F186">
        <v>5</v>
      </c>
      <c r="G186">
        <v>2020</v>
      </c>
      <c r="H186" t="inlineStr">
        <is>
          <t xml:space="preserve">2020-11</t>
        </is>
      </c>
      <c r="I186" s="3">
        <f>INDEX(Monthly!$AF:$AF,MATCH(H186,Monthly!$A:$A,0))</f>
        <v>20.896222222222224</v>
      </c>
      <c r="J186" s="4">
        <f>INDEX(Monthly!$AE:$AE,MATCH(H186,Monthly!$A:$A,0))</f>
        <v>282.5316666666667</v>
      </c>
    </row>
    <row r="187">
      <c r="A187" t="inlineStr">
        <is>
          <t xml:space="preserve">Honduras, mean of 3 towns (Comayagua, Ocotepeque, Copán)</t>
        </is>
      </c>
      <c r="B187" t="inlineStr">
        <is>
          <t xml:space="preserve">2020/21</t>
        </is>
      </c>
      <c r="C187" t="inlineStr">
        <is>
          <t xml:space="preserve">La Niña</t>
        </is>
      </c>
      <c r="D187" t="inlineStr">
        <is>
          <t xml:space="preserve">yes</t>
        </is>
      </c>
      <c r="E187" t="inlineStr">
        <is>
          <t xml:space="preserve">Dec</t>
        </is>
      </c>
      <c r="F187">
        <v>6</v>
      </c>
      <c r="G187">
        <v>2020</v>
      </c>
      <c r="H187" t="inlineStr">
        <is>
          <t xml:space="preserve">2020-12</t>
        </is>
      </c>
      <c r="I187" s="3">
        <f>INDEX(Monthly!$AF:$AF,MATCH(H187,Monthly!$A:$A,0))</f>
        <v>19.137634408602153</v>
      </c>
      <c r="J187" s="4">
        <f>INDEX(Monthly!$AE:$AE,MATCH(H187,Monthly!$A:$A,0))</f>
        <v>12.046999999999999</v>
      </c>
    </row>
    <row r="188">
      <c r="A188" t="inlineStr">
        <is>
          <t xml:space="preserve">Honduras, mean of 3 towns (Comayagua, Ocotepeque, Copán)</t>
        </is>
      </c>
      <c r="B188" t="inlineStr">
        <is>
          <t xml:space="preserve">2020/21</t>
        </is>
      </c>
      <c r="C188" t="inlineStr">
        <is>
          <t xml:space="preserve">La Niña</t>
        </is>
      </c>
      <c r="D188" t="inlineStr">
        <is>
          <t xml:space="preserve">yes</t>
        </is>
      </c>
      <c r="E188" t="inlineStr">
        <is>
          <t xml:space="preserve">Jan</t>
        </is>
      </c>
      <c r="F188">
        <v>7</v>
      </c>
      <c r="G188">
        <v>2021</v>
      </c>
      <c r="H188" t="inlineStr">
        <is>
          <t xml:space="preserve">2021-01</t>
        </is>
      </c>
      <c r="I188" s="3">
        <f>INDEX(Monthly!$AF:$AF,MATCH(H188,Monthly!$A:$A,0))</f>
        <v>19.51731182795699</v>
      </c>
      <c r="J188" s="4">
        <f>INDEX(Monthly!$AE:$AE,MATCH(H188,Monthly!$A:$A,0))</f>
        <v>16.480333333333334</v>
      </c>
    </row>
    <row r="189">
      <c r="A189" t="inlineStr">
        <is>
          <t xml:space="preserve">Honduras, mean of 3 towns (Comayagua, Ocotepeque, Copán)</t>
        </is>
      </c>
      <c r="B189" t="inlineStr">
        <is>
          <t xml:space="preserve">2020/21</t>
        </is>
      </c>
      <c r="C189" t="inlineStr">
        <is>
          <t xml:space="preserve">La Niña</t>
        </is>
      </c>
      <c r="D189" t="inlineStr">
        <is>
          <t xml:space="preserve">yes</t>
        </is>
      </c>
      <c r="E189" t="inlineStr">
        <is>
          <t xml:space="preserve">Feb</t>
        </is>
      </c>
      <c r="F189">
        <v>8</v>
      </c>
      <c r="G189">
        <v>2021</v>
      </c>
      <c r="H189" t="inlineStr">
        <is>
          <t xml:space="preserve">2021-02</t>
        </is>
      </c>
      <c r="I189" s="3">
        <f>INDEX(Monthly!$AF:$AF,MATCH(H189,Monthly!$A:$A,0))</f>
        <v>19.90761904761905</v>
      </c>
      <c r="J189" s="4">
        <f>INDEX(Monthly!$AE:$AE,MATCH(H189,Monthly!$A:$A,0))</f>
        <v>21.201333333333334</v>
      </c>
    </row>
    <row r="190">
      <c r="A190" t="inlineStr">
        <is>
          <t xml:space="preserve">Honduras, mean of 3 towns (Comayagua, Ocotepeque, Copán)</t>
        </is>
      </c>
      <c r="B190" t="inlineStr">
        <is>
          <t xml:space="preserve">2020/21</t>
        </is>
      </c>
      <c r="C190" t="inlineStr">
        <is>
          <t xml:space="preserve">La Niña</t>
        </is>
      </c>
      <c r="D190" t="inlineStr">
        <is>
          <t xml:space="preserve">yes</t>
        </is>
      </c>
      <c r="E190" t="inlineStr">
        <is>
          <t xml:space="preserve">Mar</t>
        </is>
      </c>
      <c r="F190">
        <v>9</v>
      </c>
      <c r="G190">
        <v>2021</v>
      </c>
      <c r="H190" t="inlineStr">
        <is>
          <t xml:space="preserve">2021-03</t>
        </is>
      </c>
      <c r="I190" s="3">
        <f>INDEX(Monthly!$AF:$AF,MATCH(H190,Monthly!$A:$A,0))</f>
        <v>20.918387096774193</v>
      </c>
      <c r="J190" s="4">
        <f>INDEX(Monthly!$AE:$AE,MATCH(H190,Monthly!$A:$A,0))</f>
        <v>11.704666666666668</v>
      </c>
    </row>
    <row r="191">
      <c r="A191" t="inlineStr">
        <is>
          <t xml:space="preserve">Honduras, mean of 3 towns (Comayagua, Ocotepeque, Copán)</t>
        </is>
      </c>
      <c r="B191" t="inlineStr">
        <is>
          <t xml:space="preserve">2020/21</t>
        </is>
      </c>
      <c r="C191" t="inlineStr">
        <is>
          <t xml:space="preserve">La Niña</t>
        </is>
      </c>
      <c r="D191" t="inlineStr">
        <is>
          <t xml:space="preserve">yes</t>
        </is>
      </c>
      <c r="E191" t="inlineStr">
        <is>
          <t xml:space="preserve">Apr</t>
        </is>
      </c>
      <c r="F191">
        <v>10</v>
      </c>
      <c r="G191">
        <v>2021</v>
      </c>
      <c r="H191" t="inlineStr">
        <is>
          <t xml:space="preserve">2021-04</t>
        </is>
      </c>
      <c r="I191" s="3">
        <f>INDEX(Monthly!$AF:$AF,MATCH(H191,Monthly!$A:$A,0))</f>
        <v>22.73888888888889</v>
      </c>
      <c r="J191" s="4">
        <f>INDEX(Monthly!$AE:$AE,MATCH(H191,Monthly!$A:$A,0))</f>
        <v>113.82066666666667</v>
      </c>
    </row>
    <row r="192">
      <c r="A192" t="inlineStr">
        <is>
          <t xml:space="preserve">Honduras, mean of 3 towns (Comayagua, Ocotepeque, Copán)</t>
        </is>
      </c>
      <c r="B192" t="inlineStr">
        <is>
          <t xml:space="preserve">2020/21</t>
        </is>
      </c>
      <c r="C192" t="inlineStr">
        <is>
          <t xml:space="preserve">La Niña</t>
        </is>
      </c>
      <c r="D192" t="inlineStr">
        <is>
          <t xml:space="preserve">yes</t>
        </is>
      </c>
      <c r="E192" t="inlineStr">
        <is>
          <t xml:space="preserve">May</t>
        </is>
      </c>
      <c r="F192">
        <v>11</v>
      </c>
      <c r="G192">
        <v>2021</v>
      </c>
      <c r="H192" t="inlineStr">
        <is>
          <t xml:space="preserve">2021-05</t>
        </is>
      </c>
      <c r="I192" s="3">
        <f>INDEX(Monthly!$AF:$AF,MATCH(H192,Monthly!$A:$A,0))</f>
        <v>23.600860215053768</v>
      </c>
      <c r="J192" s="4">
        <f>INDEX(Monthly!$AE:$AE,MATCH(H192,Monthly!$A:$A,0))</f>
        <v>108.09133333333334</v>
      </c>
    </row>
    <row r="193">
      <c r="A193" t="inlineStr">
        <is>
          <t xml:space="preserve">Honduras, mean of 3 towns (Comayagua, Ocotepeque, Copán)</t>
        </is>
      </c>
      <c r="B193" t="inlineStr">
        <is>
          <t xml:space="preserve">2020/21</t>
        </is>
      </c>
      <c r="C193" t="inlineStr">
        <is>
          <t xml:space="preserve">La Niña</t>
        </is>
      </c>
      <c r="D193" t="inlineStr">
        <is>
          <t xml:space="preserve">yes</t>
        </is>
      </c>
      <c r="E193" t="inlineStr">
        <is>
          <t xml:space="preserve">Jun</t>
        </is>
      </c>
      <c r="F193">
        <v>12</v>
      </c>
      <c r="G193">
        <v>2021</v>
      </c>
      <c r="H193" t="inlineStr">
        <is>
          <t xml:space="preserve">2021-06</t>
        </is>
      </c>
      <c r="I193" s="3">
        <f>INDEX(Monthly!$AF:$AF,MATCH(H193,Monthly!$A:$A,0))</f>
        <v>22.886444444444447</v>
      </c>
      <c r="J193" s="4">
        <f>INDEX(Monthly!$AE:$AE,MATCH(H193,Monthly!$A:$A,0))</f>
        <v>328.45399999999995</v>
      </c>
    </row>
    <row r="194">
      <c r="A194" t="inlineStr">
        <is>
          <t xml:space="preserve">Honduras, mean of 3 towns (Comayagua, Ocotepeque, Copán)</t>
        </is>
      </c>
      <c r="B194" t="inlineStr">
        <is>
          <t xml:space="preserve">2021/22</t>
        </is>
      </c>
      <c r="C194" t="inlineStr">
        <is>
          <t xml:space="preserve">La Niña</t>
        </is>
      </c>
      <c r="D194" t="inlineStr">
        <is>
          <t xml:space="preserve">yes</t>
        </is>
      </c>
      <c r="E194" t="inlineStr">
        <is>
          <t xml:space="preserve">Jul</t>
        </is>
      </c>
      <c r="F194">
        <v>1</v>
      </c>
      <c r="G194">
        <v>2021</v>
      </c>
      <c r="H194" t="inlineStr">
        <is>
          <t xml:space="preserve">2021-07</t>
        </is>
      </c>
      <c r="I194" s="3">
        <f>INDEX(Monthly!$AF:$AF,MATCH(H194,Monthly!$A:$A,0))</f>
        <v>22.559892473118282</v>
      </c>
      <c r="J194" s="4">
        <f>INDEX(Monthly!$AE:$AE,MATCH(H194,Monthly!$A:$A,0))</f>
        <v>128.62266666666667</v>
      </c>
    </row>
    <row r="195">
      <c r="A195" t="inlineStr">
        <is>
          <t xml:space="preserve">Honduras, mean of 3 towns (Comayagua, Ocotepeque, Copán)</t>
        </is>
      </c>
      <c r="B195" t="inlineStr">
        <is>
          <t xml:space="preserve">2021/22</t>
        </is>
      </c>
      <c r="C195" t="inlineStr">
        <is>
          <t xml:space="preserve">La Niña</t>
        </is>
      </c>
      <c r="D195" t="inlineStr">
        <is>
          <t xml:space="preserve">yes</t>
        </is>
      </c>
      <c r="E195" t="inlineStr">
        <is>
          <t xml:space="preserve">Aug</t>
        </is>
      </c>
      <c r="F195">
        <v>2</v>
      </c>
      <c r="G195">
        <v>2021</v>
      </c>
      <c r="H195" t="inlineStr">
        <is>
          <t xml:space="preserve">2021-08</t>
        </is>
      </c>
      <c r="I195" s="3">
        <f>INDEX(Monthly!$AF:$AF,MATCH(H195,Monthly!$A:$A,0))</f>
        <v>22.572795698924732</v>
      </c>
      <c r="J195" s="4">
        <f>INDEX(Monthly!$AE:$AE,MATCH(H195,Monthly!$A:$A,0))</f>
        <v>278.53833333333336</v>
      </c>
    </row>
    <row r="196">
      <c r="A196" t="inlineStr">
        <is>
          <t xml:space="preserve">Honduras, mean of 3 towns (Comayagua, Ocotepeque, Copán)</t>
        </is>
      </c>
      <c r="B196" t="inlineStr">
        <is>
          <t xml:space="preserve">2021/22</t>
        </is>
      </c>
      <c r="C196" t="inlineStr">
        <is>
          <t xml:space="preserve">La Niña</t>
        </is>
      </c>
      <c r="D196" t="inlineStr">
        <is>
          <t xml:space="preserve">yes</t>
        </is>
      </c>
      <c r="E196" t="inlineStr">
        <is>
          <t xml:space="preserve">Sep</t>
        </is>
      </c>
      <c r="F196">
        <v>3</v>
      </c>
      <c r="G196">
        <v>2021</v>
      </c>
      <c r="H196" t="inlineStr">
        <is>
          <t xml:space="preserve">2021-09</t>
        </is>
      </c>
      <c r="I196" s="3">
        <f>INDEX(Monthly!$AF:$AF,MATCH(H196,Monthly!$A:$A,0))</f>
        <v>22.602666666666664</v>
      </c>
      <c r="J196" s="4">
        <f>INDEX(Monthly!$AE:$AE,MATCH(H196,Monthly!$A:$A,0))</f>
        <v>150.547</v>
      </c>
    </row>
    <row r="197">
      <c r="A197" t="inlineStr">
        <is>
          <t xml:space="preserve">Honduras, mean of 3 towns (Comayagua, Ocotepeque, Copán)</t>
        </is>
      </c>
      <c r="B197" t="inlineStr">
        <is>
          <t xml:space="preserve">2021/22</t>
        </is>
      </c>
      <c r="C197" t="inlineStr">
        <is>
          <t xml:space="preserve">La Niña</t>
        </is>
      </c>
      <c r="D197" t="inlineStr">
        <is>
          <t xml:space="preserve">yes</t>
        </is>
      </c>
      <c r="E197" t="inlineStr">
        <is>
          <t xml:space="preserve">Oct</t>
        </is>
      </c>
      <c r="F197">
        <v>4</v>
      </c>
      <c r="G197">
        <v>2021</v>
      </c>
      <c r="H197" t="inlineStr">
        <is>
          <t xml:space="preserve">2021-10</t>
        </is>
      </c>
      <c r="I197" s="3">
        <f>INDEX(Monthly!$AF:$AF,MATCH(H197,Monthly!$A:$A,0))</f>
        <v>22.37870967741935</v>
      </c>
      <c r="J197" s="4">
        <f>INDEX(Monthly!$AE:$AE,MATCH(H197,Monthly!$A:$A,0))</f>
        <v>182.87233333333333</v>
      </c>
    </row>
    <row r="198">
      <c r="A198" t="inlineStr">
        <is>
          <t xml:space="preserve">Honduras, mean of 3 towns (Comayagua, Ocotepeque, Copán)</t>
        </is>
      </c>
      <c r="B198" t="inlineStr">
        <is>
          <t xml:space="preserve">2021/22</t>
        </is>
      </c>
      <c r="C198" t="inlineStr">
        <is>
          <t xml:space="preserve">La Niña</t>
        </is>
      </c>
      <c r="D198" t="inlineStr">
        <is>
          <t xml:space="preserve">yes</t>
        </is>
      </c>
      <c r="E198" t="inlineStr">
        <is>
          <t xml:space="preserve">Nov</t>
        </is>
      </c>
      <c r="F198">
        <v>5</v>
      </c>
      <c r="G198">
        <v>2021</v>
      </c>
      <c r="H198" t="inlineStr">
        <is>
          <t xml:space="preserve">2021-11</t>
        </is>
      </c>
      <c r="I198" s="3">
        <f>INDEX(Monthly!$AF:$AF,MATCH(H198,Monthly!$A:$A,0))</f>
        <v>19.538777777777778</v>
      </c>
      <c r="J198" s="4">
        <f>INDEX(Monthly!$AE:$AE,MATCH(H198,Monthly!$A:$A,0))</f>
        <v>24.385</v>
      </c>
    </row>
    <row r="199">
      <c r="A199" t="inlineStr">
        <is>
          <t xml:space="preserve">Honduras, mean of 3 towns (Comayagua, Ocotepeque, Copán)</t>
        </is>
      </c>
      <c r="B199" t="inlineStr">
        <is>
          <t xml:space="preserve">2021/22</t>
        </is>
      </c>
      <c r="C199" t="inlineStr">
        <is>
          <t xml:space="preserve">La Niña</t>
        </is>
      </c>
      <c r="D199" t="inlineStr">
        <is>
          <t xml:space="preserve">yes</t>
        </is>
      </c>
      <c r="E199" t="inlineStr">
        <is>
          <t xml:space="preserve">Dec</t>
        </is>
      </c>
      <c r="F199">
        <v>6</v>
      </c>
      <c r="G199">
        <v>2021</v>
      </c>
      <c r="H199" t="inlineStr">
        <is>
          <t xml:space="preserve">2021-12</t>
        </is>
      </c>
      <c r="I199" s="3">
        <f>INDEX(Monthly!$AF:$AF,MATCH(H199,Monthly!$A:$A,0))</f>
        <v>19.87430107526882</v>
      </c>
      <c r="J199" s="4">
        <f>INDEX(Monthly!$AE:$AE,MATCH(H199,Monthly!$A:$A,0))</f>
        <v>9.783333333333333</v>
      </c>
    </row>
    <row r="200">
      <c r="A200" t="inlineStr">
        <is>
          <t xml:space="preserve">Honduras, mean of 3 towns (Comayagua, Ocotepeque, Copán)</t>
        </is>
      </c>
      <c r="B200" t="inlineStr">
        <is>
          <t xml:space="preserve">2021/22</t>
        </is>
      </c>
      <c r="C200" t="inlineStr">
        <is>
          <t xml:space="preserve">La Niña</t>
        </is>
      </c>
      <c r="D200" t="inlineStr">
        <is>
          <t xml:space="preserve">yes</t>
        </is>
      </c>
      <c r="E200" t="inlineStr">
        <is>
          <t xml:space="preserve">Jan</t>
        </is>
      </c>
      <c r="F200">
        <v>7</v>
      </c>
      <c r="G200">
        <v>2022</v>
      </c>
      <c r="H200" t="inlineStr">
        <is>
          <t xml:space="preserve">2022-01</t>
        </is>
      </c>
      <c r="I200" s="3">
        <f>INDEX(Monthly!$AF:$AF,MATCH(H200,Monthly!$A:$A,0))</f>
        <v>19.243763440860214</v>
      </c>
      <c r="J200" s="4">
        <f>INDEX(Monthly!$AE:$AE,MATCH(H200,Monthly!$A:$A,0))</f>
        <v>24.638666666666666</v>
      </c>
    </row>
    <row r="201">
      <c r="A201" t="inlineStr">
        <is>
          <t xml:space="preserve">Honduras, mean of 3 towns (Comayagua, Ocotepeque, Copán)</t>
        </is>
      </c>
      <c r="B201" t="inlineStr">
        <is>
          <t xml:space="preserve">2021/22</t>
        </is>
      </c>
      <c r="C201" t="inlineStr">
        <is>
          <t xml:space="preserve">La Niña</t>
        </is>
      </c>
      <c r="D201" t="inlineStr">
        <is>
          <t xml:space="preserve">yes</t>
        </is>
      </c>
      <c r="E201" t="inlineStr">
        <is>
          <t xml:space="preserve">Feb</t>
        </is>
      </c>
      <c r="F201">
        <v>8</v>
      </c>
      <c r="G201">
        <v>2022</v>
      </c>
      <c r="H201" t="inlineStr">
        <is>
          <t xml:space="preserve">2022-02</t>
        </is>
      </c>
      <c r="I201" s="3">
        <f>INDEX(Monthly!$AF:$AF,MATCH(H201,Monthly!$A:$A,0))</f>
        <v>19.848452380952377</v>
      </c>
      <c r="J201" s="4">
        <f>INDEX(Monthly!$AE:$AE,MATCH(H201,Monthly!$A:$A,0))</f>
        <v>27.105333333333334</v>
      </c>
    </row>
    <row r="202">
      <c r="A202" t="inlineStr">
        <is>
          <t xml:space="preserve">Honduras, mean of 3 towns (Comayagua, Ocotepeque, Copán)</t>
        </is>
      </c>
      <c r="B202" t="inlineStr">
        <is>
          <t xml:space="preserve">2021/22</t>
        </is>
      </c>
      <c r="C202" t="inlineStr">
        <is>
          <t xml:space="preserve">La Niña</t>
        </is>
      </c>
      <c r="D202" t="inlineStr">
        <is>
          <t xml:space="preserve">yes</t>
        </is>
      </c>
      <c r="E202" t="inlineStr">
        <is>
          <t xml:space="preserve">Mar</t>
        </is>
      </c>
      <c r="F202">
        <v>9</v>
      </c>
      <c r="G202">
        <v>2022</v>
      </c>
      <c r="H202" t="inlineStr">
        <is>
          <t xml:space="preserve">2022-03</t>
        </is>
      </c>
      <c r="I202" s="3">
        <f>INDEX(Monthly!$AF:$AF,MATCH(H202,Monthly!$A:$A,0))</f>
        <v>21.71720430107527</v>
      </c>
      <c r="J202" s="4">
        <f>INDEX(Monthly!$AE:$AE,MATCH(H202,Monthly!$A:$A,0))</f>
        <v>22.647000000000002</v>
      </c>
    </row>
    <row r="203">
      <c r="A203" t="inlineStr">
        <is>
          <t xml:space="preserve">Honduras, mean of 3 towns (Comayagua, Ocotepeque, Copán)</t>
        </is>
      </c>
      <c r="B203" t="inlineStr">
        <is>
          <t xml:space="preserve">2021/22</t>
        </is>
      </c>
      <c r="C203" t="inlineStr">
        <is>
          <t xml:space="preserve">La Niña</t>
        </is>
      </c>
      <c r="D203" t="inlineStr">
        <is>
          <t xml:space="preserve">yes</t>
        </is>
      </c>
      <c r="E203" t="inlineStr">
        <is>
          <t xml:space="preserve">Apr</t>
        </is>
      </c>
      <c r="F203">
        <v>10</v>
      </c>
      <c r="G203">
        <v>2022</v>
      </c>
      <c r="H203" t="inlineStr">
        <is>
          <t xml:space="preserve">2022-04</t>
        </is>
      </c>
      <c r="I203" s="3">
        <f>INDEX(Monthly!$AF:$AF,MATCH(H203,Monthly!$A:$A,0))</f>
        <v>23.67822222222222</v>
      </c>
      <c r="J203" s="4">
        <f>INDEX(Monthly!$AE:$AE,MATCH(H203,Monthly!$A:$A,0))</f>
        <v>55.151999999999994</v>
      </c>
    </row>
    <row r="204">
      <c r="A204" t="inlineStr">
        <is>
          <t xml:space="preserve">Honduras, mean of 3 towns (Comayagua, Ocotepeque, Copán)</t>
        </is>
      </c>
      <c r="B204" t="inlineStr">
        <is>
          <t xml:space="preserve">2021/22</t>
        </is>
      </c>
      <c r="C204" t="inlineStr">
        <is>
          <t xml:space="preserve">La Niña</t>
        </is>
      </c>
      <c r="D204" t="inlineStr">
        <is>
          <t xml:space="preserve">yes</t>
        </is>
      </c>
      <c r="E204" t="inlineStr">
        <is>
          <t xml:space="preserve">May</t>
        </is>
      </c>
      <c r="F204">
        <v>11</v>
      </c>
      <c r="G204">
        <v>2022</v>
      </c>
      <c r="H204" t="inlineStr">
        <is>
          <t xml:space="preserve">2022-05</t>
        </is>
      </c>
      <c r="I204" s="3">
        <f>INDEX(Monthly!$AF:$AF,MATCH(H204,Monthly!$A:$A,0))</f>
        <v>23.061290322580643</v>
      </c>
      <c r="J204" s="4">
        <f>INDEX(Monthly!$AE:$AE,MATCH(H204,Monthly!$A:$A,0))</f>
        <v>167.557</v>
      </c>
    </row>
    <row r="205">
      <c r="A205" t="inlineStr">
        <is>
          <t xml:space="preserve">Honduras, mean of 3 towns (Comayagua, Ocotepeque, Copán)</t>
        </is>
      </c>
      <c r="B205" t="inlineStr">
        <is>
          <t xml:space="preserve">2021/22</t>
        </is>
      </c>
      <c r="C205" t="inlineStr">
        <is>
          <t xml:space="preserve">La Niña</t>
        </is>
      </c>
      <c r="D205" t="inlineStr">
        <is>
          <t xml:space="preserve">yes</t>
        </is>
      </c>
      <c r="E205" t="inlineStr">
        <is>
          <t xml:space="preserve">Jun</t>
        </is>
      </c>
      <c r="F205">
        <v>12</v>
      </c>
      <c r="G205">
        <v>2022</v>
      </c>
      <c r="H205" t="inlineStr">
        <is>
          <t xml:space="preserve">2022-06</t>
        </is>
      </c>
      <c r="I205" s="3">
        <f>INDEX(Monthly!$AF:$AF,MATCH(H205,Monthly!$A:$A,0))</f>
        <v>21.936888888888888</v>
      </c>
      <c r="J205" s="4">
        <f>INDEX(Monthly!$AE:$AE,MATCH(H205,Monthly!$A:$A,0))</f>
        <v>279.325</v>
      </c>
    </row>
    <row r="206">
      <c r="A206" t="inlineStr">
        <is>
          <t xml:space="preserve">Honduras, mean of 3 towns (Comayagua, Ocotepeque, Copán)</t>
        </is>
      </c>
      <c r="B206" t="inlineStr">
        <is>
          <t xml:space="preserve">2022/23</t>
        </is>
      </c>
      <c r="C206" t="inlineStr">
        <is>
          <t xml:space="preserve">La Niña</t>
        </is>
      </c>
      <c r="D206" t="inlineStr">
        <is>
          <t xml:space="preserve">yes</t>
        </is>
      </c>
      <c r="E206" t="inlineStr">
        <is>
          <t xml:space="preserve">Jul</t>
        </is>
      </c>
      <c r="F206">
        <v>1</v>
      </c>
      <c r="G206">
        <v>2022</v>
      </c>
      <c r="H206" t="inlineStr">
        <is>
          <t xml:space="preserve">2022-07</t>
        </is>
      </c>
      <c r="I206" s="3">
        <f>INDEX(Monthly!$AF:$AF,MATCH(H206,Monthly!$A:$A,0))</f>
        <v>22.26784946236559</v>
      </c>
      <c r="J206" s="4">
        <f>INDEX(Monthly!$AE:$AE,MATCH(H206,Monthly!$A:$A,0))</f>
        <v>160.61233333333334</v>
      </c>
    </row>
    <row r="207">
      <c r="A207" t="inlineStr">
        <is>
          <t xml:space="preserve">Honduras, mean of 3 towns (Comayagua, Ocotepeque, Copán)</t>
        </is>
      </c>
      <c r="B207" t="inlineStr">
        <is>
          <t xml:space="preserve">2022/23</t>
        </is>
      </c>
      <c r="C207" t="inlineStr">
        <is>
          <t xml:space="preserve">La Niña</t>
        </is>
      </c>
      <c r="D207" t="inlineStr">
        <is>
          <t xml:space="preserve">yes</t>
        </is>
      </c>
      <c r="E207" t="inlineStr">
        <is>
          <t xml:space="preserve">Aug</t>
        </is>
      </c>
      <c r="F207">
        <v>2</v>
      </c>
      <c r="G207">
        <v>2022</v>
      </c>
      <c r="H207" t="inlineStr">
        <is>
          <t xml:space="preserve">2022-08</t>
        </is>
      </c>
      <c r="I207" s="3">
        <f>INDEX(Monthly!$AF:$AF,MATCH(H207,Monthly!$A:$A,0))</f>
        <v>22.38096774193548</v>
      </c>
      <c r="J207" s="4">
        <f>INDEX(Monthly!$AE:$AE,MATCH(H207,Monthly!$A:$A,0))</f>
        <v>320.08099999999996</v>
      </c>
    </row>
    <row r="208">
      <c r="A208" t="inlineStr">
        <is>
          <t xml:space="preserve">Honduras, mean of 3 towns (Comayagua, Ocotepeque, Copán)</t>
        </is>
      </c>
      <c r="B208" t="inlineStr">
        <is>
          <t xml:space="preserve">2022/23</t>
        </is>
      </c>
      <c r="C208" t="inlineStr">
        <is>
          <t xml:space="preserve">La Niña</t>
        </is>
      </c>
      <c r="D208" t="inlineStr">
        <is>
          <t xml:space="preserve">yes</t>
        </is>
      </c>
      <c r="E208" t="inlineStr">
        <is>
          <t xml:space="preserve">Sep</t>
        </is>
      </c>
      <c r="F208">
        <v>3</v>
      </c>
      <c r="G208">
        <v>2022</v>
      </c>
      <c r="H208" t="inlineStr">
        <is>
          <t xml:space="preserve">2022-09</t>
        </is>
      </c>
      <c r="I208" s="3">
        <f>INDEX(Monthly!$AF:$AF,MATCH(H208,Monthly!$A:$A,0))</f>
        <v>22.176444444444446</v>
      </c>
      <c r="J208" s="4">
        <f>INDEX(Monthly!$AE:$AE,MATCH(H208,Monthly!$A:$A,0))</f>
        <v>356.44599999999997</v>
      </c>
    </row>
    <row r="209">
      <c r="A209" t="inlineStr">
        <is>
          <t xml:space="preserve">Honduras, mean of 3 towns (Comayagua, Ocotepeque, Copán)</t>
        </is>
      </c>
      <c r="B209" t="inlineStr">
        <is>
          <t xml:space="preserve">2022/23</t>
        </is>
      </c>
      <c r="C209" t="inlineStr">
        <is>
          <t xml:space="preserve">La Niña</t>
        </is>
      </c>
      <c r="D209" t="inlineStr">
        <is>
          <t xml:space="preserve">yes</t>
        </is>
      </c>
      <c r="E209" t="inlineStr">
        <is>
          <t xml:space="preserve">Oct</t>
        </is>
      </c>
      <c r="F209">
        <v>4</v>
      </c>
      <c r="G209">
        <v>2022</v>
      </c>
      <c r="H209" t="inlineStr">
        <is>
          <t xml:space="preserve">2022-10</t>
        </is>
      </c>
      <c r="I209" s="3">
        <f>INDEX(Monthly!$AF:$AF,MATCH(H209,Monthly!$A:$A,0))</f>
        <v>21.657204301075268</v>
      </c>
      <c r="J209" s="4">
        <f>INDEX(Monthly!$AE:$AE,MATCH(H209,Monthly!$A:$A,0))</f>
        <v>183.625</v>
      </c>
    </row>
    <row r="210">
      <c r="A210" t="inlineStr">
        <is>
          <t xml:space="preserve">Honduras, mean of 3 towns (Comayagua, Ocotepeque, Copán)</t>
        </is>
      </c>
      <c r="B210" t="inlineStr">
        <is>
          <t xml:space="preserve">2022/23</t>
        </is>
      </c>
      <c r="C210" t="inlineStr">
        <is>
          <t xml:space="preserve">La Niña</t>
        </is>
      </c>
      <c r="D210" t="inlineStr">
        <is>
          <t xml:space="preserve">yes</t>
        </is>
      </c>
      <c r="E210" t="inlineStr">
        <is>
          <t xml:space="preserve">Nov</t>
        </is>
      </c>
      <c r="F210">
        <v>5</v>
      </c>
      <c r="G210">
        <v>2022</v>
      </c>
      <c r="H210" t="inlineStr">
        <is>
          <t xml:space="preserve">2022-11</t>
        </is>
      </c>
      <c r="I210" s="3">
        <f>INDEX(Monthly!$AF:$AF,MATCH(H210,Monthly!$A:$A,0))</f>
        <v>21.002</v>
      </c>
      <c r="J210" s="4">
        <f>INDEX(Monthly!$AE:$AE,MATCH(H210,Monthly!$A:$A,0))</f>
        <v>79.81266666666667</v>
      </c>
    </row>
    <row r="211">
      <c r="A211" t="inlineStr">
        <is>
          <t xml:space="preserve">Honduras, mean of 3 towns (Comayagua, Ocotepeque, Copán)</t>
        </is>
      </c>
      <c r="B211" t="inlineStr">
        <is>
          <t xml:space="preserve">2022/23</t>
        </is>
      </c>
      <c r="C211" t="inlineStr">
        <is>
          <t xml:space="preserve">La Niña</t>
        </is>
      </c>
      <c r="D211" t="inlineStr">
        <is>
          <t xml:space="preserve">yes</t>
        </is>
      </c>
      <c r="E211" t="inlineStr">
        <is>
          <t xml:space="preserve">Dec</t>
        </is>
      </c>
      <c r="F211">
        <v>6</v>
      </c>
      <c r="G211">
        <v>2022</v>
      </c>
      <c r="H211" t="inlineStr">
        <is>
          <t xml:space="preserve">2022-12</t>
        </is>
      </c>
      <c r="I211" s="3">
        <f>INDEX(Monthly!$AF:$AF,MATCH(H211,Monthly!$A:$A,0))</f>
        <v>19.39849462365591</v>
      </c>
      <c r="J211" s="4">
        <f>INDEX(Monthly!$AE:$AE,MATCH(H211,Monthly!$A:$A,0))</f>
        <v>6.133</v>
      </c>
    </row>
    <row r="212">
      <c r="A212" t="inlineStr">
        <is>
          <t xml:space="preserve">Honduras, mean of 3 towns (Comayagua, Ocotepeque, Copán)</t>
        </is>
      </c>
      <c r="B212" t="inlineStr">
        <is>
          <t xml:space="preserve">2022/23</t>
        </is>
      </c>
      <c r="C212" t="inlineStr">
        <is>
          <t xml:space="preserve">La Niña</t>
        </is>
      </c>
      <c r="D212" t="inlineStr">
        <is>
          <t xml:space="preserve">yes</t>
        </is>
      </c>
      <c r="E212" t="inlineStr">
        <is>
          <t xml:space="preserve">Jan</t>
        </is>
      </c>
      <c r="F212">
        <v>7</v>
      </c>
      <c r="G212">
        <v>2023</v>
      </c>
      <c r="H212" t="inlineStr">
        <is>
          <t xml:space="preserve">2023-01</t>
        </is>
      </c>
      <c r="I212" s="3">
        <f>INDEX(Monthly!$AF:$AF,MATCH(H212,Monthly!$A:$A,0))</f>
        <v>19.470537634408597</v>
      </c>
      <c r="J212" s="4">
        <f>INDEX(Monthly!$AE:$AE,MATCH(H212,Monthly!$A:$A,0))</f>
        <v>8.542666666666667</v>
      </c>
    </row>
    <row r="213">
      <c r="A213" t="inlineStr">
        <is>
          <t xml:space="preserve">Honduras, mean of 3 towns (Comayagua, Ocotepeque, Copán)</t>
        </is>
      </c>
      <c r="B213" t="inlineStr">
        <is>
          <t xml:space="preserve">2022/23</t>
        </is>
      </c>
      <c r="C213" t="inlineStr">
        <is>
          <t xml:space="preserve">La Niña</t>
        </is>
      </c>
      <c r="D213" t="inlineStr">
        <is>
          <t xml:space="preserve">yes</t>
        </is>
      </c>
      <c r="E213" t="inlineStr">
        <is>
          <t xml:space="preserve">Feb</t>
        </is>
      </c>
      <c r="F213">
        <v>8</v>
      </c>
      <c r="G213">
        <v>2023</v>
      </c>
      <c r="H213" t="inlineStr">
        <is>
          <t xml:space="preserve">2023-02</t>
        </is>
      </c>
      <c r="I213" s="3">
        <f>INDEX(Monthly!$AF:$AF,MATCH(H213,Monthly!$A:$A,0))</f>
        <v>20.256190476190476</v>
      </c>
      <c r="J213" s="4">
        <f>INDEX(Monthly!$AE:$AE,MATCH(H213,Monthly!$A:$A,0))</f>
        <v>3.2656666666666667</v>
      </c>
    </row>
    <row r="214">
      <c r="A214" t="inlineStr">
        <is>
          <t xml:space="preserve">Honduras, mean of 3 towns (Comayagua, Ocotepeque, Copán)</t>
        </is>
      </c>
      <c r="B214" t="inlineStr">
        <is>
          <t xml:space="preserve">2022/23</t>
        </is>
      </c>
      <c r="C214" t="inlineStr">
        <is>
          <t xml:space="preserve">La Niña</t>
        </is>
      </c>
      <c r="D214" t="inlineStr">
        <is>
          <t xml:space="preserve">yes</t>
        </is>
      </c>
      <c r="E214" t="inlineStr">
        <is>
          <t xml:space="preserve">Mar</t>
        </is>
      </c>
      <c r="F214">
        <v>9</v>
      </c>
      <c r="G214">
        <v>2023</v>
      </c>
      <c r="H214" t="inlineStr">
        <is>
          <t xml:space="preserve">2023-03</t>
        </is>
      </c>
      <c r="I214" s="3">
        <f>INDEX(Monthly!$AF:$AF,MATCH(H214,Monthly!$A:$A,0))</f>
        <v>22.710215053763438</v>
      </c>
      <c r="J214" s="4">
        <f>INDEX(Monthly!$AE:$AE,MATCH(H214,Monthly!$A:$A,0))</f>
        <v>26.746333333333336</v>
      </c>
    </row>
    <row r="215">
      <c r="A215" t="inlineStr">
        <is>
          <t xml:space="preserve">Honduras, mean of 3 towns (Comayagua, Ocotepeque, Copán)</t>
        </is>
      </c>
      <c r="B215" t="inlineStr">
        <is>
          <t xml:space="preserve">2022/23</t>
        </is>
      </c>
      <c r="C215" t="inlineStr">
        <is>
          <t xml:space="preserve">La Niña</t>
        </is>
      </c>
      <c r="D215" t="inlineStr">
        <is>
          <t xml:space="preserve">yes</t>
        </is>
      </c>
      <c r="E215" t="inlineStr">
        <is>
          <t xml:space="preserve">Apr</t>
        </is>
      </c>
      <c r="F215">
        <v>10</v>
      </c>
      <c r="G215">
        <v>2023</v>
      </c>
      <c r="H215" t="inlineStr">
        <is>
          <t xml:space="preserve">2023-04</t>
        </is>
      </c>
      <c r="I215" s="3">
        <f>INDEX(Monthly!$AF:$AF,MATCH(H215,Monthly!$A:$A,0))</f>
        <v>24.57077777777778</v>
      </c>
      <c r="J215" s="4">
        <f>INDEX(Monthly!$AE:$AE,MATCH(H215,Monthly!$A:$A,0))</f>
        <v>26.840666666666667</v>
      </c>
    </row>
    <row r="216">
      <c r="A216" t="inlineStr">
        <is>
          <t xml:space="preserve">Honduras, mean of 3 towns (Comayagua, Ocotepeque, Copán)</t>
        </is>
      </c>
      <c r="B216" t="inlineStr">
        <is>
          <t xml:space="preserve">2022/23</t>
        </is>
      </c>
      <c r="C216" t="inlineStr">
        <is>
          <t xml:space="preserve">La Niña</t>
        </is>
      </c>
      <c r="D216" t="inlineStr">
        <is>
          <t xml:space="preserve">yes</t>
        </is>
      </c>
      <c r="E216" t="inlineStr">
        <is>
          <t xml:space="preserve">May</t>
        </is>
      </c>
      <c r="F216">
        <v>11</v>
      </c>
      <c r="G216">
        <v>2023</v>
      </c>
      <c r="H216" t="inlineStr">
        <is>
          <t xml:space="preserve">2023-05</t>
        </is>
      </c>
      <c r="I216" s="3">
        <f>INDEX(Monthly!$AF:$AF,MATCH(H216,Monthly!$A:$A,0))</f>
        <v>25.33010752688172</v>
      </c>
      <c r="J216" s="4">
        <f>INDEX(Monthly!$AE:$AE,MATCH(H216,Monthly!$A:$A,0))</f>
        <v>113.84466666666668</v>
      </c>
    </row>
    <row r="217">
      <c r="A217" t="inlineStr">
        <is>
          <t xml:space="preserve">Honduras, mean of 3 towns (Comayagua, Ocotepeque, Copán)</t>
        </is>
      </c>
      <c r="B217" t="inlineStr">
        <is>
          <t xml:space="preserve">2022/23</t>
        </is>
      </c>
      <c r="C217" t="inlineStr">
        <is>
          <t xml:space="preserve">La Niña</t>
        </is>
      </c>
      <c r="D217" t="inlineStr">
        <is>
          <t xml:space="preserve">yes</t>
        </is>
      </c>
      <c r="E217" t="inlineStr">
        <is>
          <t xml:space="preserve">Jun</t>
        </is>
      </c>
      <c r="F217">
        <v>12</v>
      </c>
      <c r="G217">
        <v>2023</v>
      </c>
      <c r="H217" t="inlineStr">
        <is>
          <t xml:space="preserve">2023-06</t>
        </is>
      </c>
      <c r="I217" s="3">
        <f>INDEX(Monthly!$AF:$AF,MATCH(H217,Monthly!$A:$A,0))</f>
        <v>24.498333333333335</v>
      </c>
      <c r="J217" s="4">
        <f>INDEX(Monthly!$AE:$AE,MATCH(H217,Monthly!$A:$A,0))</f>
        <v>151.38833333333335</v>
      </c>
    </row>
    <row r="218">
      <c r="A218" t="inlineStr">
        <is>
          <t xml:space="preserve">Honduras, mean of 3 towns (Comayagua, Ocotepeque, Copán)</t>
        </is>
      </c>
      <c r="B218" t="inlineStr">
        <is>
          <t xml:space="preserve">2023/24</t>
        </is>
      </c>
      <c r="C218" t="inlineStr">
        <is>
          <t xml:space="preserve">El Niño</t>
        </is>
      </c>
      <c r="D218" t="inlineStr">
        <is>
          <t xml:space="preserve">yes</t>
        </is>
      </c>
      <c r="E218" t="inlineStr">
        <is>
          <t xml:space="preserve">Jul</t>
        </is>
      </c>
      <c r="F218">
        <v>1</v>
      </c>
      <c r="G218">
        <v>2023</v>
      </c>
      <c r="H218" t="inlineStr">
        <is>
          <t xml:space="preserve">2023-07</t>
        </is>
      </c>
      <c r="I218" s="3">
        <f>INDEX(Monthly!$AF:$AF,MATCH(H218,Monthly!$A:$A,0))</f>
        <v>23.477634408602153</v>
      </c>
      <c r="J218" s="4">
        <f>INDEX(Monthly!$AE:$AE,MATCH(H218,Monthly!$A:$A,0))</f>
        <v>187.293</v>
      </c>
    </row>
    <row r="219">
      <c r="A219" t="inlineStr">
        <is>
          <t xml:space="preserve">Honduras, mean of 3 towns (Comayagua, Ocotepeque, Copán)</t>
        </is>
      </c>
      <c r="B219" t="inlineStr">
        <is>
          <t xml:space="preserve">2023/24</t>
        </is>
      </c>
      <c r="C219" t="inlineStr">
        <is>
          <t xml:space="preserve">El Niño</t>
        </is>
      </c>
      <c r="D219" t="inlineStr">
        <is>
          <t xml:space="preserve">yes</t>
        </is>
      </c>
      <c r="E219" t="inlineStr">
        <is>
          <t xml:space="preserve">Aug</t>
        </is>
      </c>
      <c r="F219">
        <v>2</v>
      </c>
      <c r="G219">
        <v>2023</v>
      </c>
      <c r="H219" t="inlineStr">
        <is>
          <t xml:space="preserve">2023-08</t>
        </is>
      </c>
      <c r="I219" s="3">
        <f>INDEX(Monthly!$AF:$AF,MATCH(H219,Monthly!$A:$A,0))</f>
        <v>23.7294623655914</v>
      </c>
      <c r="J219" s="4">
        <f>INDEX(Monthly!$AE:$AE,MATCH(H219,Monthly!$A:$A,0))</f>
        <v>133.71266666666668</v>
      </c>
    </row>
    <row r="220">
      <c r="A220" t="inlineStr">
        <is>
          <t xml:space="preserve">Honduras, mean of 3 towns (Comayagua, Ocotepeque, Copán)</t>
        </is>
      </c>
      <c r="B220" t="inlineStr">
        <is>
          <t xml:space="preserve">2023/24</t>
        </is>
      </c>
      <c r="C220" t="inlineStr">
        <is>
          <t xml:space="preserve">El Niño</t>
        </is>
      </c>
      <c r="D220" t="inlineStr">
        <is>
          <t xml:space="preserve">yes</t>
        </is>
      </c>
      <c r="E220" t="inlineStr">
        <is>
          <t xml:space="preserve">Sep</t>
        </is>
      </c>
      <c r="F220">
        <v>3</v>
      </c>
      <c r="G220">
        <v>2023</v>
      </c>
      <c r="H220" t="inlineStr">
        <is>
          <t xml:space="preserve">2023-09</t>
        </is>
      </c>
      <c r="I220" s="3">
        <f>INDEX(Monthly!$AF:$AF,MATCH(H220,Monthly!$A:$A,0))</f>
        <v>23.877444444444446</v>
      </c>
      <c r="J220" s="4">
        <f>INDEX(Monthly!$AE:$AE,MATCH(H220,Monthly!$A:$A,0))</f>
        <v>181.2926666666667</v>
      </c>
    </row>
    <row r="221">
      <c r="A221" t="inlineStr">
        <is>
          <t xml:space="preserve">Honduras, mean of 3 towns (Comayagua, Ocotepeque, Copán)</t>
        </is>
      </c>
      <c r="B221" t="inlineStr">
        <is>
          <t xml:space="preserve">2023/24</t>
        </is>
      </c>
      <c r="C221" t="inlineStr">
        <is>
          <t xml:space="preserve">El Niño</t>
        </is>
      </c>
      <c r="D221" t="inlineStr">
        <is>
          <t xml:space="preserve">yes</t>
        </is>
      </c>
      <c r="E221" t="inlineStr">
        <is>
          <t xml:space="preserve">Oct</t>
        </is>
      </c>
      <c r="F221">
        <v>4</v>
      </c>
      <c r="G221">
        <v>2023</v>
      </c>
      <c r="H221" t="inlineStr">
        <is>
          <t xml:space="preserve">2023-10</t>
        </is>
      </c>
      <c r="I221" s="3">
        <f>INDEX(Monthly!$AF:$AF,MATCH(H221,Monthly!$A:$A,0))</f>
        <v>22.688172043010752</v>
      </c>
      <c r="J221" s="4">
        <f>INDEX(Monthly!$AE:$AE,MATCH(H221,Monthly!$A:$A,0))</f>
        <v>145.47166666666666</v>
      </c>
    </row>
    <row r="222">
      <c r="A222" t="inlineStr">
        <is>
          <t xml:space="preserve">Honduras, mean of 3 towns (Comayagua, Ocotepeque, Copán)</t>
        </is>
      </c>
      <c r="B222" t="inlineStr">
        <is>
          <t xml:space="preserve">2023/24</t>
        </is>
      </c>
      <c r="C222" t="inlineStr">
        <is>
          <t xml:space="preserve">El Niño</t>
        </is>
      </c>
      <c r="D222" t="inlineStr">
        <is>
          <t xml:space="preserve">yes</t>
        </is>
      </c>
      <c r="E222" t="inlineStr">
        <is>
          <t xml:space="preserve">Nov</t>
        </is>
      </c>
      <c r="F222">
        <v>5</v>
      </c>
      <c r="G222">
        <v>2023</v>
      </c>
      <c r="H222" t="inlineStr">
        <is>
          <t xml:space="preserve">2023-11</t>
        </is>
      </c>
      <c r="I222" s="3">
        <f>INDEX(Monthly!$AF:$AF,MATCH(H222,Monthly!$A:$A,0))</f>
        <v>21.42544444444444</v>
      </c>
      <c r="J222" s="4">
        <f>INDEX(Monthly!$AE:$AE,MATCH(H222,Monthly!$A:$A,0))</f>
        <v>76.02866666666667</v>
      </c>
    </row>
    <row r="223">
      <c r="A223" t="inlineStr">
        <is>
          <t xml:space="preserve">Honduras, mean of 3 towns (Comayagua, Ocotepeque, Copán)</t>
        </is>
      </c>
      <c r="B223" t="inlineStr">
        <is>
          <t xml:space="preserve">2023/24</t>
        </is>
      </c>
      <c r="C223" t="inlineStr">
        <is>
          <t xml:space="preserve">El Niño</t>
        </is>
      </c>
      <c r="D223" t="inlineStr">
        <is>
          <t xml:space="preserve">yes</t>
        </is>
      </c>
      <c r="E223" t="inlineStr">
        <is>
          <t xml:space="preserve">Dec</t>
        </is>
      </c>
      <c r="F223">
        <v>6</v>
      </c>
      <c r="G223">
        <v>2023</v>
      </c>
      <c r="H223" t="inlineStr">
        <is>
          <t xml:space="preserve">2023-12</t>
        </is>
      </c>
      <c r="I223" s="3">
        <f>INDEX(Monthly!$AF:$AF,MATCH(H223,Monthly!$A:$A,0))</f>
        <v>20.27795698924731</v>
      </c>
      <c r="J223" s="4">
        <f>INDEX(Monthly!$AE:$AE,MATCH(H223,Monthly!$A:$A,0))</f>
        <v>27.362</v>
      </c>
    </row>
    <row r="224">
      <c r="A224" t="inlineStr">
        <is>
          <t xml:space="preserve">Honduras, mean of 3 towns (Comayagua, Ocotepeque, Copán)</t>
        </is>
      </c>
      <c r="B224" t="inlineStr">
        <is>
          <t xml:space="preserve">2023/24</t>
        </is>
      </c>
      <c r="C224" t="inlineStr">
        <is>
          <t xml:space="preserve">El Niño</t>
        </is>
      </c>
      <c r="D224" t="inlineStr">
        <is>
          <t xml:space="preserve">yes</t>
        </is>
      </c>
      <c r="E224" t="inlineStr">
        <is>
          <t xml:space="preserve">Jan</t>
        </is>
      </c>
      <c r="F224">
        <v>7</v>
      </c>
      <c r="G224">
        <v>2024</v>
      </c>
      <c r="H224" t="inlineStr">
        <is>
          <t xml:space="preserve">2024-01</t>
        </is>
      </c>
      <c r="I224" s="3">
        <f>INDEX(Monthly!$AF:$AF,MATCH(H224,Monthly!$A:$A,0))</f>
        <v>21.044408602150536</v>
      </c>
      <c r="J224" s="4">
        <f>INDEX(Monthly!$AE:$AE,MATCH(H224,Monthly!$A:$A,0))</f>
        <v>5.627108600644454</v>
      </c>
    </row>
    <row r="225">
      <c r="A225" t="inlineStr">
        <is>
          <t xml:space="preserve">Honduras, mean of 3 towns (Comayagua, Ocotepeque, Copán)</t>
        </is>
      </c>
      <c r="B225" t="inlineStr">
        <is>
          <t xml:space="preserve">2023/24</t>
        </is>
      </c>
      <c r="C225" t="inlineStr">
        <is>
          <t xml:space="preserve">El Niño</t>
        </is>
      </c>
      <c r="D225" t="inlineStr">
        <is>
          <t xml:space="preserve">yes</t>
        </is>
      </c>
      <c r="E225" t="inlineStr">
        <is>
          <t xml:space="preserve">Feb</t>
        </is>
      </c>
      <c r="F225">
        <v>8</v>
      </c>
      <c r="G225">
        <v>2024</v>
      </c>
      <c r="H225" t="inlineStr">
        <is>
          <t xml:space="preserve">2024-02</t>
        </is>
      </c>
      <c r="I225" s="3">
        <f>INDEX(Monthly!$AF:$AF,MATCH(H225,Monthly!$A:$A,0))</f>
        <v>21.133448275862076</v>
      </c>
      <c r="J225" s="4">
        <f>INDEX(Monthly!$AE:$AE,MATCH(H225,Monthly!$A:$A,0))</f>
        <v>5.706661942156675</v>
      </c>
    </row>
    <row r="226">
      <c r="A226" t="inlineStr">
        <is>
          <t xml:space="preserve">Honduras, mean of 3 towns (Comayagua, Ocotepeque, Copán)</t>
        </is>
      </c>
      <c r="B226" t="inlineStr">
        <is>
          <t xml:space="preserve">2023/24</t>
        </is>
      </c>
      <c r="C226" t="inlineStr">
        <is>
          <t xml:space="preserve">El Niño</t>
        </is>
      </c>
      <c r="D226" t="inlineStr">
        <is>
          <t xml:space="preserve">yes</t>
        </is>
      </c>
      <c r="E226" t="inlineStr">
        <is>
          <t xml:space="preserve">Mar</t>
        </is>
      </c>
      <c r="F226">
        <v>9</v>
      </c>
      <c r="G226">
        <v>2024</v>
      </c>
      <c r="H226" t="inlineStr">
        <is>
          <t xml:space="preserve">2024-03</t>
        </is>
      </c>
      <c r="I226" s="3">
        <f>INDEX(Monthly!$AF:$AF,MATCH(H226,Monthly!$A:$A,0))</f>
        <v>25.110860215053762</v>
      </c>
      <c r="J226" s="4">
        <f>INDEX(Monthly!$AE:$AE,MATCH(H226,Monthly!$A:$A,0))</f>
        <v>1.7983397832817338</v>
      </c>
    </row>
    <row r="227">
      <c r="A227" t="inlineStr">
        <is>
          <t xml:space="preserve">Honduras, mean of 3 towns (Comayagua, Ocotepeque, Copán)</t>
        </is>
      </c>
      <c r="B227" t="inlineStr">
        <is>
          <t xml:space="preserve">2023/24</t>
        </is>
      </c>
      <c r="C227" t="inlineStr">
        <is>
          <t xml:space="preserve">El Niño</t>
        </is>
      </c>
      <c r="D227" t="inlineStr">
        <is>
          <t xml:space="preserve">yes</t>
        </is>
      </c>
      <c r="E227" t="inlineStr">
        <is>
          <t xml:space="preserve">Apr</t>
        </is>
      </c>
      <c r="F227">
        <v>10</v>
      </c>
      <c r="G227">
        <v>2024</v>
      </c>
      <c r="H227" t="inlineStr">
        <is>
          <t xml:space="preserve">2024-04</t>
        </is>
      </c>
      <c r="I227" s="3">
        <f>INDEX(Monthly!$AF:$AF,MATCH(H227,Monthly!$A:$A,0))</f>
        <v>25.641222222222222</v>
      </c>
      <c r="J227" s="4">
        <f>INDEX(Monthly!$AE:$AE,MATCH(H227,Monthly!$A:$A,0))</f>
        <v>33.59362224190381</v>
      </c>
    </row>
    <row r="228">
      <c r="A228" t="inlineStr">
        <is>
          <t xml:space="preserve">Honduras, mean of 3 towns (Comayagua, Ocotepeque, Copán)</t>
        </is>
      </c>
      <c r="B228" t="inlineStr">
        <is>
          <t xml:space="preserve">2023/24</t>
        </is>
      </c>
      <c r="C228" t="inlineStr">
        <is>
          <t xml:space="preserve">El Niño</t>
        </is>
      </c>
      <c r="D228" t="inlineStr">
        <is>
          <t xml:space="preserve">yes</t>
        </is>
      </c>
      <c r="E228" t="inlineStr">
        <is>
          <t xml:space="preserve">May</t>
        </is>
      </c>
      <c r="F228">
        <v>11</v>
      </c>
      <c r="G228">
        <v>2024</v>
      </c>
      <c r="H228" t="inlineStr">
        <is>
          <t xml:space="preserve">2024-05</t>
        </is>
      </c>
      <c r="I228" s="3">
        <f>INDEX(Monthly!$AF:$AF,MATCH(H228,Monthly!$A:$A,0))</f>
        <v>27.531935483870967</v>
      </c>
      <c r="J228" s="4">
        <f>INDEX(Monthly!$AE:$AE,MATCH(H228,Monthly!$A:$A,0))</f>
        <v>48.70125887401995</v>
      </c>
    </row>
    <row r="229">
      <c r="A229" t="inlineStr">
        <is>
          <t xml:space="preserve">Honduras, mean of 3 towns (Comayagua, Ocotepeque, Copán)</t>
        </is>
      </c>
      <c r="B229" t="inlineStr">
        <is>
          <t xml:space="preserve">2023/24</t>
        </is>
      </c>
      <c r="C229" t="inlineStr">
        <is>
          <t xml:space="preserve">El Niño</t>
        </is>
      </c>
      <c r="D229" t="inlineStr">
        <is>
          <t xml:space="preserve">yes</t>
        </is>
      </c>
      <c r="E229" t="inlineStr">
        <is>
          <t xml:space="preserve">Jun</t>
        </is>
      </c>
      <c r="F229">
        <v>12</v>
      </c>
      <c r="G229">
        <v>2024</v>
      </c>
      <c r="H229" t="inlineStr">
        <is>
          <t xml:space="preserve">2024-06</t>
        </is>
      </c>
      <c r="I229" s="3">
        <f>INDEX(Monthly!$AF:$AF,MATCH(H229,Monthly!$A:$A,0))</f>
        <v>24.01155555555556</v>
      </c>
      <c r="J229" s="4">
        <f>INDEX(Monthly!$AE:$AE,MATCH(H229,Monthly!$A:$A,0))</f>
        <v>297.8662860937505</v>
      </c>
    </row>
    <row r="230">
      <c r="A230" t="inlineStr">
        <is>
          <t xml:space="preserve">Honduras, mean of 3 towns (Comayagua, Ocotepeque, Copán)</t>
        </is>
      </c>
      <c r="B230" t="inlineStr">
        <is>
          <t xml:space="preserve">2024/25</t>
        </is>
      </c>
      <c r="C230" t="inlineStr">
        <is>
          <t xml:space="preserve">Neutral</t>
        </is>
      </c>
      <c r="D230" t="inlineStr">
        <is>
          <t xml:space="preserve">yes</t>
        </is>
      </c>
      <c r="E230" t="inlineStr">
        <is>
          <t xml:space="preserve">Jul</t>
        </is>
      </c>
      <c r="F230">
        <v>1</v>
      </c>
      <c r="G230">
        <v>2024</v>
      </c>
      <c r="H230" t="inlineStr">
        <is>
          <t xml:space="preserve">2024-07</t>
        </is>
      </c>
      <c r="I230" s="3">
        <f>INDEX(Monthly!$AF:$AF,MATCH(H230,Monthly!$A:$A,0))</f>
        <v>23.087526881720432</v>
      </c>
      <c r="J230" s="4">
        <f>INDEX(Monthly!$AE:$AE,MATCH(H230,Monthly!$A:$A,0))</f>
        <v>204.91029134193104</v>
      </c>
    </row>
    <row r="231">
      <c r="A231" t="inlineStr">
        <is>
          <t xml:space="preserve">Honduras, mean of 3 towns (Comayagua, Ocotepeque, Copán)</t>
        </is>
      </c>
      <c r="B231" t="inlineStr">
        <is>
          <t xml:space="preserve">2024/25</t>
        </is>
      </c>
      <c r="C231" t="inlineStr">
        <is>
          <t xml:space="preserve">Neutral</t>
        </is>
      </c>
      <c r="D231" t="inlineStr">
        <is>
          <t xml:space="preserve">yes</t>
        </is>
      </c>
      <c r="E231" t="inlineStr">
        <is>
          <t xml:space="preserve">Aug</t>
        </is>
      </c>
      <c r="F231">
        <v>2</v>
      </c>
      <c r="G231">
        <v>2024</v>
      </c>
      <c r="H231" t="inlineStr">
        <is>
          <t xml:space="preserve">2024-08</t>
        </is>
      </c>
      <c r="I231" s="3">
        <f>INDEX(Monthly!$AF:$AF,MATCH(H231,Monthly!$A:$A,0))</f>
        <v>23.200860215053762</v>
      </c>
      <c r="J231" s="4">
        <f>INDEX(Monthly!$AE:$AE,MATCH(H231,Monthly!$A:$A,0))</f>
        <v>178.56664171213947</v>
      </c>
    </row>
    <row r="232">
      <c r="A232" t="inlineStr">
        <is>
          <t xml:space="preserve">Honduras, mean of 3 towns (Comayagua, Ocotepeque, Copán)</t>
        </is>
      </c>
      <c r="B232" t="inlineStr">
        <is>
          <t xml:space="preserve">2024/25</t>
        </is>
      </c>
      <c r="C232" t="inlineStr">
        <is>
          <t xml:space="preserve">Neutral</t>
        </is>
      </c>
      <c r="D232" t="inlineStr">
        <is>
          <t xml:space="preserve">yes</t>
        </is>
      </c>
      <c r="E232" t="inlineStr">
        <is>
          <t xml:space="preserve">Sep</t>
        </is>
      </c>
      <c r="F232">
        <v>3</v>
      </c>
      <c r="G232">
        <v>2024</v>
      </c>
      <c r="H232" t="inlineStr">
        <is>
          <t xml:space="preserve">2024-09</t>
        </is>
      </c>
      <c r="I232" s="3">
        <f>INDEX(Monthly!$AF:$AF,MATCH(H232,Monthly!$A:$A,0))</f>
        <v>23.51711111111111</v>
      </c>
      <c r="J232" s="4">
        <f>INDEX(Monthly!$AE:$AE,MATCH(H232,Monthly!$A:$A,0))</f>
        <v>227.15386862763216</v>
      </c>
    </row>
    <row r="233">
      <c r="A233" t="inlineStr">
        <is>
          <t xml:space="preserve">Honduras, mean of 3 towns (Comayagua, Ocotepeque, Copán)</t>
        </is>
      </c>
      <c r="B233" t="inlineStr">
        <is>
          <t xml:space="preserve">2024/25</t>
        </is>
      </c>
      <c r="C233" t="inlineStr">
        <is>
          <t xml:space="preserve">Neutral</t>
        </is>
      </c>
      <c r="D233" t="inlineStr">
        <is>
          <t xml:space="preserve">yes</t>
        </is>
      </c>
      <c r="E233" t="inlineStr">
        <is>
          <t xml:space="preserve">Oct</t>
        </is>
      </c>
      <c r="F233">
        <v>4</v>
      </c>
      <c r="G233">
        <v>2024</v>
      </c>
      <c r="H233" t="inlineStr">
        <is>
          <t xml:space="preserve">2024-10</t>
        </is>
      </c>
      <c r="I233" s="3">
        <f>INDEX(Monthly!$AF:$AF,MATCH(H233,Monthly!$A:$A,0))</f>
        <v>22.048387096774192</v>
      </c>
      <c r="J233" s="4">
        <f>INDEX(Monthly!$AE:$AE,MATCH(H233,Monthly!$A:$A,0))</f>
        <v>61.695146091001995</v>
      </c>
    </row>
    <row r="234">
      <c r="A234" t="inlineStr">
        <is>
          <t xml:space="preserve">Honduras, mean of 3 towns (Comayagua, Ocotepeque, Copán)</t>
        </is>
      </c>
      <c r="B234" t="inlineStr">
        <is>
          <t xml:space="preserve">2024/25</t>
        </is>
      </c>
      <c r="C234" t="inlineStr">
        <is>
          <t xml:space="preserve">Neutral</t>
        </is>
      </c>
      <c r="D234" t="inlineStr">
        <is>
          <t xml:space="preserve">yes</t>
        </is>
      </c>
      <c r="E234" t="inlineStr">
        <is>
          <t xml:space="preserve">Nov</t>
        </is>
      </c>
      <c r="F234">
        <v>5</v>
      </c>
      <c r="G234">
        <v>2024</v>
      </c>
      <c r="H234" t="inlineStr">
        <is>
          <t xml:space="preserve">2024-11</t>
        </is>
      </c>
      <c r="I234" s="3">
        <f>INDEX(Monthly!$AF:$AF,MATCH(H234,Monthly!$A:$A,0))</f>
        <v>21.084666666666667</v>
      </c>
      <c r="J234" s="4">
        <f>INDEX(Monthly!$AE:$AE,MATCH(H234,Monthly!$A:$A,0))</f>
        <v>113.95052269606911</v>
      </c>
    </row>
    <row r="235">
      <c r="A235" t="inlineStr">
        <is>
          <t xml:space="preserve">Honduras, mean of 3 towns (Comayagua, Ocotepeque, Copán)</t>
        </is>
      </c>
      <c r="B235" t="inlineStr">
        <is>
          <t xml:space="preserve">2024/25</t>
        </is>
      </c>
      <c r="C235" t="inlineStr">
        <is>
          <t xml:space="preserve">Neutral</t>
        </is>
      </c>
      <c r="D235" t="inlineStr">
        <is>
          <t xml:space="preserve">yes</t>
        </is>
      </c>
      <c r="E235" t="inlineStr">
        <is>
          <t xml:space="preserve">Dec</t>
        </is>
      </c>
      <c r="F235">
        <v>6</v>
      </c>
      <c r="G235">
        <v>2024</v>
      </c>
      <c r="H235" t="inlineStr">
        <is>
          <t xml:space="preserve">2024-12</t>
        </is>
      </c>
      <c r="I235" s="3">
        <f>INDEX(Monthly!$AF:$AF,MATCH(H235,Monthly!$A:$A,0))</f>
        <v>20.00333333333333</v>
      </c>
      <c r="J235" s="4">
        <f>INDEX(Monthly!$AE:$AE,MATCH(H235,Monthly!$A:$A,0))</f>
        <v>27.794915360087547</v>
      </c>
    </row>
    <row r="236">
      <c r="A236" t="inlineStr">
        <is>
          <t xml:space="preserve">Honduras, mean of 3 towns (Comayagua, Ocotepeque, Copán)</t>
        </is>
      </c>
      <c r="B236" t="inlineStr">
        <is>
          <t xml:space="preserve">2024/25</t>
        </is>
      </c>
      <c r="C236" t="inlineStr">
        <is>
          <t xml:space="preserve">Neutral</t>
        </is>
      </c>
      <c r="D236" t="inlineStr">
        <is>
          <t xml:space="preserve">yes</t>
        </is>
      </c>
      <c r="E236" t="inlineStr">
        <is>
          <t xml:space="preserve">Jan</t>
        </is>
      </c>
      <c r="F236">
        <v>7</v>
      </c>
      <c r="G236">
        <v>2025</v>
      </c>
      <c r="H236" t="inlineStr">
        <is>
          <t xml:space="preserve">2025-01</t>
        </is>
      </c>
      <c r="I236" s="3">
        <f>INDEX(Monthly!$AF:$AF,MATCH(H236,Monthly!$A:$A,0))</f>
        <v>20.06602150537634</v>
      </c>
      <c r="J236" s="4">
        <f>INDEX(Monthly!$AE:$AE,MATCH(H236,Monthly!$A:$A,0))</f>
        <v>18.451534897782675</v>
      </c>
    </row>
    <row r="237">
      <c r="A237" t="inlineStr">
        <is>
          <t xml:space="preserve">Honduras, mean of 3 towns (Comayagua, Ocotepeque, Copán)</t>
        </is>
      </c>
      <c r="B237" t="inlineStr">
        <is>
          <t xml:space="preserve">2024/25</t>
        </is>
      </c>
      <c r="C237" t="inlineStr">
        <is>
          <t xml:space="preserve">Neutral</t>
        </is>
      </c>
      <c r="D237" t="inlineStr">
        <is>
          <t xml:space="preserve">yes</t>
        </is>
      </c>
      <c r="E237" t="inlineStr">
        <is>
          <t xml:space="preserve">Feb</t>
        </is>
      </c>
      <c r="F237">
        <v>8</v>
      </c>
      <c r="G237">
        <v>2025</v>
      </c>
      <c r="H237" t="inlineStr">
        <is>
          <t xml:space="preserve">2025-02</t>
        </is>
      </c>
      <c r="I237" s="3">
        <f>INDEX(Monthly!$AF:$AF,MATCH(H237,Monthly!$A:$A,0))</f>
        <v>21.454285714285714</v>
      </c>
      <c r="J237" s="4">
        <f>INDEX(Monthly!$AE:$AE,MATCH(H237,Monthly!$A:$A,0))</f>
        <v>10.385123326736045</v>
      </c>
    </row>
    <row r="238">
      <c r="A238" t="inlineStr">
        <is>
          <t xml:space="preserve">Honduras, mean of 3 towns (Comayagua, Ocotepeque, Copán)</t>
        </is>
      </c>
      <c r="B238" t="inlineStr">
        <is>
          <t xml:space="preserve">2024/25</t>
        </is>
      </c>
      <c r="C238" t="inlineStr">
        <is>
          <t xml:space="preserve">Neutral</t>
        </is>
      </c>
      <c r="D238" t="inlineStr">
        <is>
          <t xml:space="preserve">yes</t>
        </is>
      </c>
      <c r="E238" t="inlineStr">
        <is>
          <t xml:space="preserve">Mar</t>
        </is>
      </c>
      <c r="F238">
        <v>9</v>
      </c>
      <c r="G238">
        <v>2025</v>
      </c>
      <c r="H238" t="inlineStr">
        <is>
          <t xml:space="preserve">2025-03</t>
        </is>
      </c>
      <c r="I238" s="3">
        <f>INDEX(Monthly!$AF:$AF,MATCH(H238,Monthly!$A:$A,0))</f>
        <v>23.17752688172043</v>
      </c>
      <c r="J238" s="4">
        <f>INDEX(Monthly!$AE:$AE,MATCH(H238,Monthly!$A:$A,0))</f>
        <v>8.846495098039215</v>
      </c>
    </row>
    <row r="239">
      <c r="A239" t="inlineStr">
        <is>
          <t xml:space="preserve">Honduras, mean of 3 towns (Comayagua, Ocotepeque, Copán)</t>
        </is>
      </c>
      <c r="B239" t="inlineStr">
        <is>
          <t xml:space="preserve">2024/25</t>
        </is>
      </c>
      <c r="C239" t="inlineStr">
        <is>
          <t xml:space="preserve">Neutral</t>
        </is>
      </c>
      <c r="D239" t="inlineStr">
        <is>
          <t xml:space="preserve">yes</t>
        </is>
      </c>
      <c r="E239" t="inlineStr">
        <is>
          <t xml:space="preserve">Apr</t>
        </is>
      </c>
      <c r="F239">
        <v>10</v>
      </c>
      <c r="G239">
        <v>2025</v>
      </c>
      <c r="H239" t="inlineStr">
        <is>
          <t xml:space="preserve">2025-04</t>
        </is>
      </c>
      <c r="I239" s="3">
        <f>INDEX(Monthly!$AF:$AF,MATCH(H239,Monthly!$A:$A,0))</f>
        <v>23.27799999999999</v>
      </c>
      <c r="J239" s="4">
        <f>INDEX(Monthly!$AE:$AE,MATCH(H239,Monthly!$A:$A,0))</f>
        <v>37.92037055720282</v>
      </c>
    </row>
    <row r="240">
      <c r="A240" t="inlineStr">
        <is>
          <t xml:space="preserve">Honduras, mean of 3 towns (Comayagua, Ocotepeque, Copán)</t>
        </is>
      </c>
      <c r="B240" t="inlineStr">
        <is>
          <t xml:space="preserve">2024/25</t>
        </is>
      </c>
      <c r="C240" t="inlineStr">
        <is>
          <t xml:space="preserve">Neutral</t>
        </is>
      </c>
      <c r="D240" t="inlineStr">
        <is>
          <t xml:space="preserve">yes</t>
        </is>
      </c>
      <c r="E240" t="inlineStr">
        <is>
          <t xml:space="preserve">May</t>
        </is>
      </c>
      <c r="F240">
        <v>11</v>
      </c>
      <c r="G240">
        <v>2025</v>
      </c>
      <c r="H240" t="inlineStr">
        <is>
          <t xml:space="preserve">2025-05</t>
        </is>
      </c>
      <c r="I240" s="3">
        <f>INDEX(Monthly!$AF:$AF,MATCH(H240,Monthly!$A:$A,0))</f>
        <v>25.948602150537628</v>
      </c>
      <c r="J240" s="4">
        <f>INDEX(Monthly!$AE:$AE,MATCH(H240,Monthly!$A:$A,0))</f>
        <v>85.2875524603681</v>
      </c>
    </row>
    <row r="241">
      <c r="A241" t="inlineStr">
        <is>
          <t xml:space="preserve">Honduras, mean of 3 towns (Comayagua, Ocotepeque, Copán)</t>
        </is>
      </c>
      <c r="B241" t="inlineStr">
        <is>
          <t xml:space="preserve">2024/25</t>
        </is>
      </c>
      <c r="C241" t="inlineStr">
        <is>
          <t xml:space="preserve">Neutral</t>
        </is>
      </c>
      <c r="D241" t="inlineStr">
        <is>
          <t xml:space="preserve">yes</t>
        </is>
      </c>
      <c r="E241" t="inlineStr">
        <is>
          <t xml:space="preserve">Jun</t>
        </is>
      </c>
      <c r="F241">
        <v>12</v>
      </c>
      <c r="G241">
        <v>2025</v>
      </c>
      <c r="H241" t="inlineStr">
        <is>
          <t xml:space="preserve">2025-06</t>
        </is>
      </c>
      <c r="I241" s="3">
        <f>INDEX(Monthly!$AF:$AF,MATCH(H241,Monthly!$A:$A,0))</f>
        <v>23.15422222222222</v>
      </c>
      <c r="J241" s="4">
        <f>INDEX(Monthly!$AE:$AE,MATCH(H241,Monthly!$A:$A,0))</f>
        <v>362.09082247766133</v>
      </c>
    </row>
    <row r="242">
      <c r="A242" t="inlineStr">
        <is>
          <t xml:space="preserve">Honduras, mean of 3 towns (Comayagua, Ocotepeque, Copán)</t>
        </is>
      </c>
      <c r="B242" t="inlineStr">
        <is>
          <t xml:space="preserve">2025/26</t>
        </is>
      </c>
      <c r="C242" t="inlineStr">
        <is>
          <t xml:space="preserve">Neutral</t>
        </is>
      </c>
      <c r="D242" t="inlineStr">
        <is>
          <t xml:space="preserve">no</t>
        </is>
      </c>
      <c r="E242" t="inlineStr">
        <is>
          <t xml:space="preserve">Jul</t>
        </is>
      </c>
      <c r="F242">
        <v>1</v>
      </c>
      <c r="G242">
        <v>2025</v>
      </c>
      <c r="H242" t="inlineStr">
        <is>
          <t xml:space="preserve">2025-07</t>
        </is>
      </c>
      <c r="I242" s="3">
        <f>INDEX(Monthly!$AF:$AF,MATCH(H242,Monthly!$A:$A,0))</f>
        <v>22.93806451612903</v>
      </c>
      <c r="J242" s="4">
        <f>INDEX(Monthly!$AE:$AE,MATCH(H242,Monthly!$A:$A,0))</f>
        <v>169.1946421648329</v>
      </c>
    </row>
    <row r="243">
      <c r="A243" t="inlineStr">
        <is>
          <t xml:space="preserve">Honduras, mean of 3 towns (Comayagua, Ocotepeque, Copán)</t>
        </is>
      </c>
      <c r="B243" t="inlineStr">
        <is>
          <t xml:space="preserve">2025/26</t>
        </is>
      </c>
      <c r="C243" t="inlineStr">
        <is>
          <t xml:space="preserve">Neutral</t>
        </is>
      </c>
      <c r="D243" t="inlineStr">
        <is>
          <t xml:space="preserve">no</t>
        </is>
      </c>
      <c r="E243" t="inlineStr">
        <is>
          <t xml:space="preserve">Aug</t>
        </is>
      </c>
      <c r="F243">
        <v>2</v>
      </c>
      <c r="G243">
        <v>2025</v>
      </c>
      <c r="H243" t="inlineStr">
        <is>
          <t xml:space="preserve">2025-08</t>
        </is>
      </c>
      <c r="I243" s="3">
        <f>INDEX(Monthly!$AF:$AF,MATCH(H243,Monthly!$A:$A,0))</f>
        <v>23.591827956989253</v>
      </c>
      <c r="J243" s="4">
        <f>INDEX(Monthly!$AE:$AE,MATCH(H243,Monthly!$A:$A,0))</f>
        <v>167.86056878953238</v>
      </c>
    </row>
    <row r="244">
      <c r="A244" t="inlineStr">
        <is>
          <t xml:space="preserve">Honduras, mean of 3 towns (Comayagua, Ocotepeque, Copán)</t>
        </is>
      </c>
      <c r="B244" t="inlineStr">
        <is>
          <t xml:space="preserve">2025/26</t>
        </is>
      </c>
      <c r="C244" t="inlineStr">
        <is>
          <t xml:space="preserve">Neutral</t>
        </is>
      </c>
      <c r="D244" t="inlineStr">
        <is>
          <t xml:space="preserve">no</t>
        </is>
      </c>
      <c r="E244" t="inlineStr">
        <is>
          <t xml:space="preserve">Sep</t>
        </is>
      </c>
      <c r="F244">
        <v>3</v>
      </c>
      <c r="G244">
        <v>2025</v>
      </c>
      <c r="H244" t="inlineStr">
        <is>
          <t xml:space="preserve">2025-09</t>
        </is>
      </c>
      <c r="I244" s="3">
        <f>INDEX(Monthly!$AF:$AF,MATCH(H244,Monthly!$A:$A,0))</f>
        <v>23.348000000000003</v>
      </c>
      <c r="J244" s="4">
        <f>INDEX(Monthly!$AE:$AE,MATCH(H244,Monthly!$A:$A,0))</f>
        <v>252.1827680924345</v>
      </c>
    </row>
    <row r="245">
      <c r="A245" t="inlineStr">
        <is>
          <t xml:space="preserve">Honduras, mean of 3 towns (Comayagua, Ocotepeque, Copán)</t>
        </is>
      </c>
      <c r="B245" t="inlineStr">
        <is>
          <t xml:space="preserve">2025/26</t>
        </is>
      </c>
      <c r="C245" t="inlineStr">
        <is>
          <t xml:space="preserve">Neutral</t>
        </is>
      </c>
      <c r="D245" t="inlineStr">
        <is>
          <t xml:space="preserve">no</t>
        </is>
      </c>
      <c r="E245" t="inlineStr">
        <is>
          <t xml:space="preserve">Oct</t>
        </is>
      </c>
      <c r="F245">
        <v>4</v>
      </c>
      <c r="G245">
        <v>2025</v>
      </c>
      <c r="H245" t="inlineStr">
        <is>
          <t xml:space="preserve">2025-10</t>
        </is>
      </c>
      <c r="I245" s="3">
        <f>INDEX(Monthly!$AF:$AF,MATCH(H245,Monthly!$A:$A,0))</f>
        <v>22.022043010752686</v>
      </c>
      <c r="J245" s="4">
        <f>INDEX(Monthly!$AE:$AE,MATCH(H245,Monthly!$A:$A,0))</f>
        <v>190.42559592629823</v>
      </c>
    </row>
    <row r="246">
      <c r="A246" t="inlineStr">
        <is>
          <t xml:space="preserve">Honduras, mean of 3 towns (Comayagua, Ocotepeque, Copán)</t>
        </is>
      </c>
      <c r="B246" t="inlineStr">
        <is>
          <t xml:space="preserve">2025/26</t>
        </is>
      </c>
      <c r="C246" t="inlineStr">
        <is>
          <t xml:space="preserve">Neutral</t>
        </is>
      </c>
      <c r="D246" t="inlineStr">
        <is>
          <t xml:space="preserve">no</t>
        </is>
      </c>
      <c r="E246" t="inlineStr">
        <is>
          <t xml:space="preserve">Nov</t>
        </is>
      </c>
      <c r="F246">
        <v>5</v>
      </c>
      <c r="G246">
        <v>2025</v>
      </c>
      <c r="H246" t="inlineStr">
        <is>
          <t xml:space="preserve">2025-11</t>
        </is>
      </c>
      <c r="I246" s="3">
        <f>INDEX(Monthly!$AF:$AF,MATCH(H246,Monthly!$A:$A,0))</f>
        <v>20.872111111111114</v>
      </c>
      <c r="J246" s="4">
        <f>INDEX(Monthly!$AE:$AE,MATCH(H246,Monthly!$A:$A,0))</f>
        <v>27.328422392609962</v>
      </c>
    </row>
    <row r="247">
      <c r="A247" t="inlineStr">
        <is>
          <t xml:space="preserve">Honduras, mean of 3 towns (Comayagua, Ocotepeque, Copán)</t>
        </is>
      </c>
      <c r="B247" t="inlineStr">
        <is>
          <t xml:space="preserve">2025/26</t>
        </is>
      </c>
      <c r="C247" t="inlineStr">
        <is>
          <t xml:space="preserve">Neutral</t>
        </is>
      </c>
      <c r="D247" t="inlineStr">
        <is>
          <t xml:space="preserve">no</t>
        </is>
      </c>
      <c r="E247" t="inlineStr">
        <is>
          <t xml:space="preserve">Dec</t>
        </is>
      </c>
      <c r="F247">
        <v>6</v>
      </c>
      <c r="G247">
        <v>2025</v>
      </c>
      <c r="H247" t="inlineStr">
        <is>
          <t xml:space="preserve">2025-12</t>
        </is>
      </c>
      <c r="I247" s="3">
        <f>INDEX(Monthly!$AF:$AF,MATCH(H247,Monthly!$A:$A,0))</f>
        <v>20.927956989247306</v>
      </c>
      <c r="J247" s="4">
        <f>INDEX(Monthly!$AE:$AE,MATCH(H247,Monthly!$A:$A,0))</f>
        <v>35.47083417294014</v>
      </c>
    </row>
    <row r="248">
      <c r="A248" t="inlineStr">
        <is>
          <t xml:space="preserve">Honduras, mean of 3 towns (Comayagua, Ocotepeque, Copán)</t>
        </is>
      </c>
      <c r="B248" t="inlineStr">
        <is>
          <t xml:space="preserve">2025/26</t>
        </is>
      </c>
      <c r="C248" t="inlineStr">
        <is>
          <t xml:space="preserve">Neutral</t>
        </is>
      </c>
      <c r="D248" t="inlineStr">
        <is>
          <t xml:space="preserve">no</t>
        </is>
      </c>
      <c r="E248" t="inlineStr">
        <is>
          <t xml:space="preserve">Jan</t>
        </is>
      </c>
      <c r="F248">
        <v>7</v>
      </c>
      <c r="G248">
        <v>2026</v>
      </c>
      <c r="H248" t="inlineStr">
        <is>
          <t xml:space="preserve">2026-01</t>
        </is>
      </c>
      <c r="I248" s="3">
        <f>INDEX(Monthly!$AF:$AF,MATCH(H248,Monthly!$A:$A,0))</f>
        <v>19.643440860215055</v>
      </c>
      <c r="J248" s="4">
        <f>INDEX(Monthly!$AE:$AE,MATCH(H248,Monthly!$A:$A,0))</f>
        <v>23.463553397166535</v>
      </c>
    </row>
    <row r="249">
      <c r="A249" t="inlineStr">
        <is>
          <t xml:space="preserve">Honduras, mean of 3 towns (Comayagua, Ocotepeque, Copán)</t>
        </is>
      </c>
      <c r="B249" t="inlineStr">
        <is>
          <t xml:space="preserve">2025/26</t>
        </is>
      </c>
      <c r="C249" t="inlineStr">
        <is>
          <t xml:space="preserve">Neutral</t>
        </is>
      </c>
      <c r="D249" t="inlineStr">
        <is>
          <t xml:space="preserve">no</t>
        </is>
      </c>
      <c r="E249" t="inlineStr">
        <is>
          <t xml:space="preserve">Feb</t>
        </is>
      </c>
      <c r="F249">
        <v>8</v>
      </c>
      <c r="G249">
        <v>2026</v>
      </c>
      <c r="H249" t="inlineStr">
        <is>
          <t xml:space="preserve">2026-02</t>
        </is>
      </c>
      <c r="I249" s="3">
        <f>INDEX(Monthly!$AF:$AF,MATCH(H249,Monthly!$A:$A,0))</f>
        <v>19.40821428571429</v>
      </c>
      <c r="J249" s="4">
        <f>INDEX(Monthly!$AE:$AE,MATCH(H249,Monthly!$A:$A,0))</f>
        <v>10.07463312690204</v>
      </c>
    </row>
    <row r="250">
      <c r="A250" t="inlineStr">
        <is>
          <t xml:space="preserve">Honduras, mean of 3 towns (Comayagua, Ocotepeque, Copán)</t>
        </is>
      </c>
      <c r="B250" t="inlineStr">
        <is>
          <t xml:space="preserve">2025/26</t>
        </is>
      </c>
      <c r="C250" t="inlineStr">
        <is>
          <t xml:space="preserve">Neutral</t>
        </is>
      </c>
      <c r="D250" t="inlineStr">
        <is>
          <t xml:space="preserve">no</t>
        </is>
      </c>
      <c r="E250" t="inlineStr">
        <is>
          <t xml:space="preserve">Mar</t>
        </is>
      </c>
      <c r="F250">
        <v>9</v>
      </c>
      <c r="G250">
        <v>2026</v>
      </c>
      <c r="H250" t="inlineStr">
        <is>
          <t xml:space="preserve">2026-03</t>
        </is>
      </c>
      <c r="I250" s="3">
        <f>INDEX(Monthly!$AF:$AF,MATCH(H250,Monthly!$A:$A,0))</f>
        <v>22.118279569892476</v>
      </c>
      <c r="J250" s="4">
        <f>INDEX(Monthly!$AE:$AE,MATCH(H250,Monthly!$A:$A,0))</f>
        <v>37.450123323013415</v>
      </c>
    </row>
    <row r="251">
      <c r="A251" t="inlineStr">
        <is>
          <t xml:space="preserve">Honduras, mean of 3 towns (Comayagua, Ocotepeque, Copán)</t>
        </is>
      </c>
      <c r="B251" t="inlineStr">
        <is>
          <t xml:space="preserve">2025/26</t>
        </is>
      </c>
      <c r="C251" t="inlineStr">
        <is>
          <t xml:space="preserve">Neutral</t>
        </is>
      </c>
      <c r="D251" t="inlineStr">
        <is>
          <t xml:space="preserve">no</t>
        </is>
      </c>
      <c r="E251" t="inlineStr">
        <is>
          <t xml:space="preserve">Apr</t>
        </is>
      </c>
      <c r="F251">
        <v>10</v>
      </c>
      <c r="G251">
        <v>2026</v>
      </c>
      <c r="H251" t="inlineStr">
        <is>
          <t xml:space="preserve">2026-04</t>
        </is>
      </c>
      <c r="I251" s="3">
        <f>INDEX(Monthly!$AF:$AF,MATCH(H251,Monthly!$A:$A,0))</f>
        <v>23.14588888888889</v>
      </c>
      <c r="J251" s="4">
        <f>INDEX(Monthly!$AE:$AE,MATCH(H251,Monthly!$A:$A,0))</f>
        <v>223.47924878808496</v>
      </c>
    </row>
    <row r="252">
      <c r="A252" t="inlineStr">
        <is>
          <t xml:space="preserve">Honduras, mean of 3 towns (Comayagua, Ocotepeque, Copán)</t>
        </is>
      </c>
      <c r="B252" t="inlineStr">
        <is>
          <t xml:space="preserve">2025/26</t>
        </is>
      </c>
      <c r="C252" t="inlineStr">
        <is>
          <t xml:space="preserve">Neutral</t>
        </is>
      </c>
      <c r="D252" t="inlineStr">
        <is>
          <t xml:space="preserve">no</t>
        </is>
      </c>
      <c r="E252" t="inlineStr">
        <is>
          <t xml:space="preserve">May</t>
        </is>
      </c>
      <c r="F252">
        <v>11</v>
      </c>
      <c r="G252">
        <v>2026</v>
      </c>
      <c r="H252" t="inlineStr">
        <is>
          <t xml:space="preserve">2026-05</t>
        </is>
      </c>
      <c r="I252" s="3">
        <f>INDEX(Monthly!$AF:$AF,MATCH(H252,Monthly!$A:$A,0))</f>
        <v>25.724301075268816</v>
      </c>
      <c r="J252" s="4">
        <f>INDEX(Monthly!$AE:$AE,MATCH(H252,Monthly!$A:$A,0))</f>
        <v>96.0505980986012</v>
      </c>
    </row>
    <row r="253">
      <c r="A253" t="inlineStr">
        <is>
          <t xml:space="preserve">Honduras, mean of 3 towns (Comayagua, Ocotepeque, Copán)</t>
        </is>
      </c>
      <c r="B253" t="inlineStr">
        <is>
          <t xml:space="preserve">2025/26</t>
        </is>
      </c>
      <c r="C253" t="inlineStr">
        <is>
          <t xml:space="preserve">Neutral</t>
        </is>
      </c>
      <c r="D253" t="inlineStr">
        <is>
          <t xml:space="preserve">no</t>
        </is>
      </c>
      <c r="E253" t="inlineStr">
        <is>
          <t xml:space="preserve">Jun</t>
        </is>
      </c>
      <c r="F253">
        <v>12</v>
      </c>
      <c r="G253">
        <v>2026</v>
      </c>
      <c r="H253" t="inlineStr">
        <is>
          <t xml:space="preserve">2026-06</t>
        </is>
      </c>
      <c r="I253" s="3">
        <f>INDEX(Monthly!$AF:$AF,MATCH(H253,Monthly!$A:$A,0))</f>
        <v>24.292</v>
      </c>
      <c r="J253" s="4">
        <f>INDEX(Monthly!$AE:$AE,MATCH(H253,Monthly!$A:$A,0))</f>
        <v>148.79176081869798</v>
      </c>
    </row>
    <row r="254">
      <c r="A254" t="inlineStr">
        <is>
          <t xml:space="preserve">Honduras, mean of 3 towns (Comayagua, Ocotepeque, Copán)</t>
        </is>
      </c>
      <c r="B254" t="inlineStr">
        <is>
          <t xml:space="preserve">2026/27</t>
        </is>
      </c>
      <c r="C254" t="inlineStr">
        <is>
          <t xml:space="preserve">El Niño (in progress)</t>
        </is>
      </c>
      <c r="D254" t="inlineStr">
        <is>
          <t xml:space="preserve">no</t>
        </is>
      </c>
      <c r="E254" t="inlineStr">
        <is>
          <t xml:space="preserve">Jul</t>
        </is>
      </c>
      <c r="F254">
        <v>1</v>
      </c>
      <c r="G254">
        <v>2026</v>
      </c>
      <c r="H254" t="inlineStr">
        <is>
          <t xml:space="preserve">2026-07</t>
        </is>
      </c>
      <c r="I254" s="3">
        <f>INDEX(Monthly!$AF:$AF,MATCH(H254,Monthly!$A:$A,0))</f>
        <v>24.61043010752688</v>
      </c>
      <c r="J254" s="4">
        <f>INDEX(Monthly!$AE:$AE,MATCH(H254,Monthly!$A:$A,0))</f>
        <v>82.44726530709481</v>
      </c>
    </row>
    <row r="255">
      <c r="A255" t="inlineStr">
        <is>
          <t xml:space="preserve">Honduras, mean of 3 towns (Comayagua, Ocotepeque, Copán)</t>
        </is>
      </c>
      <c r="B255" t="inlineStr">
        <is>
          <t xml:space="preserve">2026/27</t>
        </is>
      </c>
      <c r="C255" t="inlineStr">
        <is>
          <t xml:space="preserve">El Niño (in progress)</t>
        </is>
      </c>
      <c r="D255" t="inlineStr">
        <is>
          <t xml:space="preserve">no</t>
        </is>
      </c>
      <c r="E255" t="inlineStr">
        <is>
          <t xml:space="preserve">Aug</t>
        </is>
      </c>
      <c r="F255">
        <v>2</v>
      </c>
      <c r="G255">
        <v>2026</v>
      </c>
      <c r="H255" t="inlineStr">
        <is>
          <t xml:space="preserve">2026-08</t>
        </is>
      </c>
      <c r="I255" s="3">
        <f>INDEX(Monthly!$AF:$AF,MATCH(H255,Monthly!$A:$A,0))</f>
        <v>24.86956989247312</v>
      </c>
      <c r="J255" s="4">
        <f>INDEX(Monthly!$AE:$AE,MATCH(H255,Monthly!$A:$A,0))</f>
        <v>34.968759245141065</v>
      </c>
    </row>
    <row r="256">
      <c r="A256" t="inlineStr">
        <is>
          <t xml:space="preserve">Comayagua — Comayagua department, town of Comayagua</t>
        </is>
      </c>
      <c r="B256" t="inlineStr">
        <is>
          <t xml:space="preserve">2005/06</t>
        </is>
      </c>
      <c r="C256" t="inlineStr">
        <is>
          <t xml:space="preserve">La Niña</t>
        </is>
      </c>
      <c r="D256" t="inlineStr">
        <is>
          <t xml:space="preserve">yes</t>
        </is>
      </c>
      <c r="E256" t="inlineStr">
        <is>
          <t xml:space="preserve">Jul</t>
        </is>
      </c>
      <c r="F256">
        <v>1</v>
      </c>
      <c r="G256">
        <v>2005</v>
      </c>
      <c r="H256" t="inlineStr">
        <is>
          <t xml:space="preserve">2005-07</t>
        </is>
      </c>
      <c r="I256" s="3">
        <f>INDEX(Monthly!$Q:$Q,MATCH(H256,Monthly!$A:$A,0))</f>
        <v>22.002258064516123</v>
      </c>
      <c r="J256" s="4">
        <f>INDEX(Monthly!$P:$P,MATCH(H256,Monthly!$A:$A,0))</f>
        <v>151.869</v>
      </c>
    </row>
    <row r="257">
      <c r="A257" t="inlineStr">
        <is>
          <t xml:space="preserve">Comayagua — Comayagua department, town of Comayagua</t>
        </is>
      </c>
      <c r="B257" t="inlineStr">
        <is>
          <t xml:space="preserve">2005/06</t>
        </is>
      </c>
      <c r="C257" t="inlineStr">
        <is>
          <t xml:space="preserve">La Niña</t>
        </is>
      </c>
      <c r="D257" t="inlineStr">
        <is>
          <t xml:space="preserve">yes</t>
        </is>
      </c>
      <c r="E257" t="inlineStr">
        <is>
          <t xml:space="preserve">Aug</t>
        </is>
      </c>
      <c r="F257">
        <v>2</v>
      </c>
      <c r="G257">
        <v>2005</v>
      </c>
      <c r="H257" t="inlineStr">
        <is>
          <t xml:space="preserve">2005-08</t>
        </is>
      </c>
      <c r="I257" s="3">
        <f>INDEX(Monthly!$Q:$Q,MATCH(H257,Monthly!$A:$A,0))</f>
        <v>22.35387096774194</v>
      </c>
      <c r="J257" s="4">
        <f>INDEX(Monthly!$P:$P,MATCH(H257,Monthly!$A:$A,0))</f>
        <v>170.789</v>
      </c>
    </row>
    <row r="258">
      <c r="A258" t="inlineStr">
        <is>
          <t xml:space="preserve">Comayagua — Comayagua department, town of Comayagua</t>
        </is>
      </c>
      <c r="B258" t="inlineStr">
        <is>
          <t xml:space="preserve">2005/06</t>
        </is>
      </c>
      <c r="C258" t="inlineStr">
        <is>
          <t xml:space="preserve">La Niña</t>
        </is>
      </c>
      <c r="D258" t="inlineStr">
        <is>
          <t xml:space="preserve">yes</t>
        </is>
      </c>
      <c r="E258" t="inlineStr">
        <is>
          <t xml:space="preserve">Sep</t>
        </is>
      </c>
      <c r="F258">
        <v>3</v>
      </c>
      <c r="G258">
        <v>2005</v>
      </c>
      <c r="H258" t="inlineStr">
        <is>
          <t xml:space="preserve">2005-09</t>
        </is>
      </c>
      <c r="I258" s="3">
        <f>INDEX(Monthly!$Q:$Q,MATCH(H258,Monthly!$A:$A,0))</f>
        <v>22.000000000000004</v>
      </c>
      <c r="J258" s="4">
        <f>INDEX(Monthly!$P:$P,MATCH(H258,Monthly!$A:$A,0))</f>
        <v>165.032</v>
      </c>
    </row>
    <row r="259">
      <c r="A259" t="inlineStr">
        <is>
          <t xml:space="preserve">Comayagua — Comayagua department, town of Comayagua</t>
        </is>
      </c>
      <c r="B259" t="inlineStr">
        <is>
          <t xml:space="preserve">2005/06</t>
        </is>
      </c>
      <c r="C259" t="inlineStr">
        <is>
          <t xml:space="preserve">La Niña</t>
        </is>
      </c>
      <c r="D259" t="inlineStr">
        <is>
          <t xml:space="preserve">yes</t>
        </is>
      </c>
      <c r="E259" t="inlineStr">
        <is>
          <t xml:space="preserve">Oct</t>
        </is>
      </c>
      <c r="F259">
        <v>4</v>
      </c>
      <c r="G259">
        <v>2005</v>
      </c>
      <c r="H259" t="inlineStr">
        <is>
          <t xml:space="preserve">2005-10</t>
        </is>
      </c>
      <c r="I259" s="3">
        <f>INDEX(Monthly!$Q:$Q,MATCH(H259,Monthly!$A:$A,0))</f>
        <v>20.72870967741936</v>
      </c>
      <c r="J259" s="4">
        <f>INDEX(Monthly!$P:$P,MATCH(H259,Monthly!$A:$A,0))</f>
        <v>106.964</v>
      </c>
    </row>
    <row r="260">
      <c r="A260" t="inlineStr">
        <is>
          <t xml:space="preserve">Comayagua — Comayagua department, town of Comayagua</t>
        </is>
      </c>
      <c r="B260" t="inlineStr">
        <is>
          <t xml:space="preserve">2005/06</t>
        </is>
      </c>
      <c r="C260" t="inlineStr">
        <is>
          <t xml:space="preserve">La Niña</t>
        </is>
      </c>
      <c r="D260" t="inlineStr">
        <is>
          <t xml:space="preserve">yes</t>
        </is>
      </c>
      <c r="E260" t="inlineStr">
        <is>
          <t xml:space="preserve">Nov</t>
        </is>
      </c>
      <c r="F260">
        <v>5</v>
      </c>
      <c r="G260">
        <v>2005</v>
      </c>
      <c r="H260" t="inlineStr">
        <is>
          <t xml:space="preserve">2005-11</t>
        </is>
      </c>
      <c r="I260" s="3">
        <f>INDEX(Monthly!$Q:$Q,MATCH(H260,Monthly!$A:$A,0))</f>
        <v>19.75133333333333</v>
      </c>
      <c r="J260" s="4">
        <f>INDEX(Monthly!$P:$P,MATCH(H260,Monthly!$A:$A,0))</f>
        <v>10.746</v>
      </c>
    </row>
    <row r="261">
      <c r="A261" t="inlineStr">
        <is>
          <t xml:space="preserve">Comayagua — Comayagua department, town of Comayagua</t>
        </is>
      </c>
      <c r="B261" t="inlineStr">
        <is>
          <t xml:space="preserve">2005/06</t>
        </is>
      </c>
      <c r="C261" t="inlineStr">
        <is>
          <t xml:space="preserve">La Niña</t>
        </is>
      </c>
      <c r="D261" t="inlineStr">
        <is>
          <t xml:space="preserve">yes</t>
        </is>
      </c>
      <c r="E261" t="inlineStr">
        <is>
          <t xml:space="preserve">Dec</t>
        </is>
      </c>
      <c r="F261">
        <v>6</v>
      </c>
      <c r="G261">
        <v>2005</v>
      </c>
      <c r="H261" t="inlineStr">
        <is>
          <t xml:space="preserve">2005-12</t>
        </is>
      </c>
      <c r="I261" s="3">
        <f>INDEX(Monthly!$Q:$Q,MATCH(H261,Monthly!$A:$A,0))</f>
        <v>20.613225806451617</v>
      </c>
      <c r="J261" s="4">
        <f>INDEX(Monthly!$P:$P,MATCH(H261,Monthly!$A:$A,0))</f>
        <v>5.216</v>
      </c>
    </row>
    <row r="262">
      <c r="A262" t="inlineStr">
        <is>
          <t xml:space="preserve">Comayagua — Comayagua department, town of Comayagua</t>
        </is>
      </c>
      <c r="B262" t="inlineStr">
        <is>
          <t xml:space="preserve">2005/06</t>
        </is>
      </c>
      <c r="C262" t="inlineStr">
        <is>
          <t xml:space="preserve">La Niña</t>
        </is>
      </c>
      <c r="D262" t="inlineStr">
        <is>
          <t xml:space="preserve">yes</t>
        </is>
      </c>
      <c r="E262" t="inlineStr">
        <is>
          <t xml:space="preserve">Jan</t>
        </is>
      </c>
      <c r="F262">
        <v>7</v>
      </c>
      <c r="G262">
        <v>2006</v>
      </c>
      <c r="H262" t="inlineStr">
        <is>
          <t xml:space="preserve">2006-01</t>
        </is>
      </c>
      <c r="I262" s="3">
        <f>INDEX(Monthly!$Q:$Q,MATCH(H262,Monthly!$A:$A,0))</f>
        <v>20.27</v>
      </c>
      <c r="J262" s="4">
        <f>INDEX(Monthly!$P:$P,MATCH(H262,Monthly!$A:$A,0))</f>
        <v>4.962</v>
      </c>
    </row>
    <row r="263">
      <c r="A263" t="inlineStr">
        <is>
          <t xml:space="preserve">Comayagua — Comayagua department, town of Comayagua</t>
        </is>
      </c>
      <c r="B263" t="inlineStr">
        <is>
          <t xml:space="preserve">2005/06</t>
        </is>
      </c>
      <c r="C263" t="inlineStr">
        <is>
          <t xml:space="preserve">La Niña</t>
        </is>
      </c>
      <c r="D263" t="inlineStr">
        <is>
          <t xml:space="preserve">yes</t>
        </is>
      </c>
      <c r="E263" t="inlineStr">
        <is>
          <t xml:space="preserve">Feb</t>
        </is>
      </c>
      <c r="F263">
        <v>8</v>
      </c>
      <c r="G263">
        <v>2006</v>
      </c>
      <c r="H263" t="inlineStr">
        <is>
          <t xml:space="preserve">2006-02</t>
        </is>
      </c>
      <c r="I263" s="3">
        <f>INDEX(Monthly!$Q:$Q,MATCH(H263,Monthly!$A:$A,0))</f>
        <v>20.67892857142857</v>
      </c>
      <c r="J263" s="4">
        <f>INDEX(Monthly!$P:$P,MATCH(H263,Monthly!$A:$A,0))</f>
        <v>0.79</v>
      </c>
    </row>
    <row r="264">
      <c r="A264" t="inlineStr">
        <is>
          <t xml:space="preserve">Comayagua — Comayagua department, town of Comayagua</t>
        </is>
      </c>
      <c r="B264" t="inlineStr">
        <is>
          <t xml:space="preserve">2005/06</t>
        </is>
      </c>
      <c r="C264" t="inlineStr">
        <is>
          <t xml:space="preserve">La Niña</t>
        </is>
      </c>
      <c r="D264" t="inlineStr">
        <is>
          <t xml:space="preserve">yes</t>
        </is>
      </c>
      <c r="E264" t="inlineStr">
        <is>
          <t xml:space="preserve">Mar</t>
        </is>
      </c>
      <c r="F264">
        <v>9</v>
      </c>
      <c r="G264">
        <v>2006</v>
      </c>
      <c r="H264" t="inlineStr">
        <is>
          <t xml:space="preserve">2006-03</t>
        </is>
      </c>
      <c r="I264" s="3">
        <f>INDEX(Monthly!$Q:$Q,MATCH(H264,Monthly!$A:$A,0))</f>
        <v>23.187096774193545</v>
      </c>
      <c r="J264" s="4">
        <f>INDEX(Monthly!$P:$P,MATCH(H264,Monthly!$A:$A,0))</f>
        <v>0.797</v>
      </c>
    </row>
    <row r="265">
      <c r="A265" t="inlineStr">
        <is>
          <t xml:space="preserve">Comayagua — Comayagua department, town of Comayagua</t>
        </is>
      </c>
      <c r="B265" t="inlineStr">
        <is>
          <t xml:space="preserve">2005/06</t>
        </is>
      </c>
      <c r="C265" t="inlineStr">
        <is>
          <t xml:space="preserve">La Niña</t>
        </is>
      </c>
      <c r="D265" t="inlineStr">
        <is>
          <t xml:space="preserve">yes</t>
        </is>
      </c>
      <c r="E265" t="inlineStr">
        <is>
          <t xml:space="preserve">Apr</t>
        </is>
      </c>
      <c r="F265">
        <v>10</v>
      </c>
      <c r="G265">
        <v>2006</v>
      </c>
      <c r="H265" t="inlineStr">
        <is>
          <t xml:space="preserve">2006-04</t>
        </is>
      </c>
      <c r="I265" s="3">
        <f>INDEX(Monthly!$Q:$Q,MATCH(H265,Monthly!$A:$A,0))</f>
        <v>24.347</v>
      </c>
      <c r="J265" s="4">
        <f>INDEX(Monthly!$P:$P,MATCH(H265,Monthly!$A:$A,0))</f>
        <v>25.603</v>
      </c>
    </row>
    <row r="266">
      <c r="A266" t="inlineStr">
        <is>
          <t xml:space="preserve">Comayagua — Comayagua department, town of Comayagua</t>
        </is>
      </c>
      <c r="B266" t="inlineStr">
        <is>
          <t xml:space="preserve">2005/06</t>
        </is>
      </c>
      <c r="C266" t="inlineStr">
        <is>
          <t xml:space="preserve">La Niña</t>
        </is>
      </c>
      <c r="D266" t="inlineStr">
        <is>
          <t xml:space="preserve">yes</t>
        </is>
      </c>
      <c r="E266" t="inlineStr">
        <is>
          <t xml:space="preserve">May</t>
        </is>
      </c>
      <c r="F266">
        <v>11</v>
      </c>
      <c r="G266">
        <v>2006</v>
      </c>
      <c r="H266" t="inlineStr">
        <is>
          <t xml:space="preserve">2006-05</t>
        </is>
      </c>
      <c r="I266" s="3">
        <f>INDEX(Monthly!$Q:$Q,MATCH(H266,Monthly!$A:$A,0))</f>
        <v>24.822580645161295</v>
      </c>
      <c r="J266" s="4">
        <f>INDEX(Monthly!$P:$P,MATCH(H266,Monthly!$A:$A,0))</f>
        <v>71.343</v>
      </c>
    </row>
    <row r="267">
      <c r="A267" t="inlineStr">
        <is>
          <t xml:space="preserve">Comayagua — Comayagua department, town of Comayagua</t>
        </is>
      </c>
      <c r="B267" t="inlineStr">
        <is>
          <t xml:space="preserve">2005/06</t>
        </is>
      </c>
      <c r="C267" t="inlineStr">
        <is>
          <t xml:space="preserve">La Niña</t>
        </is>
      </c>
      <c r="D267" t="inlineStr">
        <is>
          <t xml:space="preserve">yes</t>
        </is>
      </c>
      <c r="E267" t="inlineStr">
        <is>
          <t xml:space="preserve">Jun</t>
        </is>
      </c>
      <c r="F267">
        <v>12</v>
      </c>
      <c r="G267">
        <v>2006</v>
      </c>
      <c r="H267" t="inlineStr">
        <is>
          <t xml:space="preserve">2006-06</t>
        </is>
      </c>
      <c r="I267" s="3">
        <f>INDEX(Monthly!$Q:$Q,MATCH(H267,Monthly!$A:$A,0))</f>
        <v>22.343666666666675</v>
      </c>
      <c r="J267" s="4">
        <f>INDEX(Monthly!$P:$P,MATCH(H267,Monthly!$A:$A,0))</f>
        <v>213.956</v>
      </c>
    </row>
    <row r="268">
      <c r="A268" t="inlineStr">
        <is>
          <t xml:space="preserve">Comayagua — Comayagua department, town of Comayagua</t>
        </is>
      </c>
      <c r="B268" t="inlineStr">
        <is>
          <t xml:space="preserve">2006/07</t>
        </is>
      </c>
      <c r="C268" t="inlineStr">
        <is>
          <t xml:space="preserve">El Niño</t>
        </is>
      </c>
      <c r="D268" t="inlineStr">
        <is>
          <t xml:space="preserve">yes</t>
        </is>
      </c>
      <c r="E268" t="inlineStr">
        <is>
          <t xml:space="preserve">Jul</t>
        </is>
      </c>
      <c r="F268">
        <v>1</v>
      </c>
      <c r="G268">
        <v>2006</v>
      </c>
      <c r="H268" t="inlineStr">
        <is>
          <t xml:space="preserve">2006-07</t>
        </is>
      </c>
      <c r="I268" s="3">
        <f>INDEX(Monthly!$Q:$Q,MATCH(H268,Monthly!$A:$A,0))</f>
        <v>22.17677419354839</v>
      </c>
      <c r="J268" s="4">
        <f>INDEX(Monthly!$P:$P,MATCH(H268,Monthly!$A:$A,0))</f>
        <v>140.11</v>
      </c>
    </row>
    <row r="269">
      <c r="A269" t="inlineStr">
        <is>
          <t xml:space="preserve">Comayagua — Comayagua department, town of Comayagua</t>
        </is>
      </c>
      <c r="B269" t="inlineStr">
        <is>
          <t xml:space="preserve">2006/07</t>
        </is>
      </c>
      <c r="C269" t="inlineStr">
        <is>
          <t xml:space="preserve">El Niño</t>
        </is>
      </c>
      <c r="D269" t="inlineStr">
        <is>
          <t xml:space="preserve">yes</t>
        </is>
      </c>
      <c r="E269" t="inlineStr">
        <is>
          <t xml:space="preserve">Aug</t>
        </is>
      </c>
      <c r="F269">
        <v>2</v>
      </c>
      <c r="G269">
        <v>2006</v>
      </c>
      <c r="H269" t="inlineStr">
        <is>
          <t xml:space="preserve">2006-08</t>
        </is>
      </c>
      <c r="I269" s="3">
        <f>INDEX(Monthly!$Q:$Q,MATCH(H269,Monthly!$A:$A,0))</f>
        <v>23.211290322580652</v>
      </c>
      <c r="J269" s="4">
        <f>INDEX(Monthly!$P:$P,MATCH(H269,Monthly!$A:$A,0))</f>
        <v>54.827</v>
      </c>
    </row>
    <row r="270">
      <c r="A270" t="inlineStr">
        <is>
          <t xml:space="preserve">Comayagua — Comayagua department, town of Comayagua</t>
        </is>
      </c>
      <c r="B270" t="inlineStr">
        <is>
          <t xml:space="preserve">2006/07</t>
        </is>
      </c>
      <c r="C270" t="inlineStr">
        <is>
          <t xml:space="preserve">El Niño</t>
        </is>
      </c>
      <c r="D270" t="inlineStr">
        <is>
          <t xml:space="preserve">yes</t>
        </is>
      </c>
      <c r="E270" t="inlineStr">
        <is>
          <t xml:space="preserve">Sep</t>
        </is>
      </c>
      <c r="F270">
        <v>3</v>
      </c>
      <c r="G270">
        <v>2006</v>
      </c>
      <c r="H270" t="inlineStr">
        <is>
          <t xml:space="preserve">2006-09</t>
        </is>
      </c>
      <c r="I270" s="3">
        <f>INDEX(Monthly!$Q:$Q,MATCH(H270,Monthly!$A:$A,0))</f>
        <v>22.943333333333335</v>
      </c>
      <c r="J270" s="4">
        <f>INDEX(Monthly!$P:$P,MATCH(H270,Monthly!$A:$A,0))</f>
        <v>183.784</v>
      </c>
    </row>
    <row r="271">
      <c r="A271" t="inlineStr">
        <is>
          <t xml:space="preserve">Comayagua — Comayagua department, town of Comayagua</t>
        </is>
      </c>
      <c r="B271" t="inlineStr">
        <is>
          <t xml:space="preserve">2006/07</t>
        </is>
      </c>
      <c r="C271" t="inlineStr">
        <is>
          <t xml:space="preserve">El Niño</t>
        </is>
      </c>
      <c r="D271" t="inlineStr">
        <is>
          <t xml:space="preserve">yes</t>
        </is>
      </c>
      <c r="E271" t="inlineStr">
        <is>
          <t xml:space="preserve">Oct</t>
        </is>
      </c>
      <c r="F271">
        <v>4</v>
      </c>
      <c r="G271">
        <v>2006</v>
      </c>
      <c r="H271" t="inlineStr">
        <is>
          <t xml:space="preserve">2006-10</t>
        </is>
      </c>
      <c r="I271" s="3">
        <f>INDEX(Monthly!$Q:$Q,MATCH(H271,Monthly!$A:$A,0))</f>
        <v>22.402580645161287</v>
      </c>
      <c r="J271" s="4">
        <f>INDEX(Monthly!$P:$P,MATCH(H271,Monthly!$A:$A,0))</f>
        <v>172.228</v>
      </c>
    </row>
    <row r="272">
      <c r="A272" t="inlineStr">
        <is>
          <t xml:space="preserve">Comayagua — Comayagua department, town of Comayagua</t>
        </is>
      </c>
      <c r="B272" t="inlineStr">
        <is>
          <t xml:space="preserve">2006/07</t>
        </is>
      </c>
      <c r="C272" t="inlineStr">
        <is>
          <t xml:space="preserve">El Niño</t>
        </is>
      </c>
      <c r="D272" t="inlineStr">
        <is>
          <t xml:space="preserve">yes</t>
        </is>
      </c>
      <c r="E272" t="inlineStr">
        <is>
          <t xml:space="preserve">Nov</t>
        </is>
      </c>
      <c r="F272">
        <v>5</v>
      </c>
      <c r="G272">
        <v>2006</v>
      </c>
      <c r="H272" t="inlineStr">
        <is>
          <t xml:space="preserve">2006-11</t>
        </is>
      </c>
      <c r="I272" s="3">
        <f>INDEX(Monthly!$Q:$Q,MATCH(H272,Monthly!$A:$A,0))</f>
        <v>19.812</v>
      </c>
      <c r="J272" s="4">
        <f>INDEX(Monthly!$P:$P,MATCH(H272,Monthly!$A:$A,0))</f>
        <v>55.998</v>
      </c>
    </row>
    <row r="273">
      <c r="A273" t="inlineStr">
        <is>
          <t xml:space="preserve">Comayagua — Comayagua department, town of Comayagua</t>
        </is>
      </c>
      <c r="B273" t="inlineStr">
        <is>
          <t xml:space="preserve">2006/07</t>
        </is>
      </c>
      <c r="C273" t="inlineStr">
        <is>
          <t xml:space="preserve">El Niño</t>
        </is>
      </c>
      <c r="D273" t="inlineStr">
        <is>
          <t xml:space="preserve">yes</t>
        </is>
      </c>
      <c r="E273" t="inlineStr">
        <is>
          <t xml:space="preserve">Dec</t>
        </is>
      </c>
      <c r="F273">
        <v>6</v>
      </c>
      <c r="G273">
        <v>2006</v>
      </c>
      <c r="H273" t="inlineStr">
        <is>
          <t xml:space="preserve">2006-12</t>
        </is>
      </c>
      <c r="I273" s="3">
        <f>INDEX(Monthly!$Q:$Q,MATCH(H273,Monthly!$A:$A,0))</f>
        <v>20.261290322580646</v>
      </c>
      <c r="J273" s="4">
        <f>INDEX(Monthly!$P:$P,MATCH(H273,Monthly!$A:$A,0))</f>
        <v>32.25</v>
      </c>
    </row>
    <row r="274">
      <c r="A274" t="inlineStr">
        <is>
          <t xml:space="preserve">Comayagua — Comayagua department, town of Comayagua</t>
        </is>
      </c>
      <c r="B274" t="inlineStr">
        <is>
          <t xml:space="preserve">2006/07</t>
        </is>
      </c>
      <c r="C274" t="inlineStr">
        <is>
          <t xml:space="preserve">El Niño</t>
        </is>
      </c>
      <c r="D274" t="inlineStr">
        <is>
          <t xml:space="preserve">yes</t>
        </is>
      </c>
      <c r="E274" t="inlineStr">
        <is>
          <t xml:space="preserve">Jan</t>
        </is>
      </c>
      <c r="F274">
        <v>7</v>
      </c>
      <c r="G274">
        <v>2007</v>
      </c>
      <c r="H274" t="inlineStr">
        <is>
          <t xml:space="preserve">2007-01</t>
        </is>
      </c>
      <c r="I274" s="3">
        <f>INDEX(Monthly!$Q:$Q,MATCH(H274,Monthly!$A:$A,0))</f>
        <v>20.432903225806452</v>
      </c>
      <c r="J274" s="4">
        <f>INDEX(Monthly!$P:$P,MATCH(H274,Monthly!$A:$A,0))</f>
        <v>2.74</v>
      </c>
    </row>
    <row r="275">
      <c r="A275" t="inlineStr">
        <is>
          <t xml:space="preserve">Comayagua — Comayagua department, town of Comayagua</t>
        </is>
      </c>
      <c r="B275" t="inlineStr">
        <is>
          <t xml:space="preserve">2006/07</t>
        </is>
      </c>
      <c r="C275" t="inlineStr">
        <is>
          <t xml:space="preserve">El Niño</t>
        </is>
      </c>
      <c r="D275" t="inlineStr">
        <is>
          <t xml:space="preserve">yes</t>
        </is>
      </c>
      <c r="E275" t="inlineStr">
        <is>
          <t xml:space="preserve">Feb</t>
        </is>
      </c>
      <c r="F275">
        <v>8</v>
      </c>
      <c r="G275">
        <v>2007</v>
      </c>
      <c r="H275" t="inlineStr">
        <is>
          <t xml:space="preserve">2007-02</t>
        </is>
      </c>
      <c r="I275" s="3">
        <f>INDEX(Monthly!$Q:$Q,MATCH(H275,Monthly!$A:$A,0))</f>
        <v>22.0625</v>
      </c>
      <c r="J275" s="4">
        <f>INDEX(Monthly!$P:$P,MATCH(H275,Monthly!$A:$A,0))</f>
        <v>2.085</v>
      </c>
    </row>
    <row r="276">
      <c r="A276" t="inlineStr">
        <is>
          <t xml:space="preserve">Comayagua — Comayagua department, town of Comayagua</t>
        </is>
      </c>
      <c r="B276" t="inlineStr">
        <is>
          <t xml:space="preserve">2006/07</t>
        </is>
      </c>
      <c r="C276" t="inlineStr">
        <is>
          <t xml:space="preserve">El Niño</t>
        </is>
      </c>
      <c r="D276" t="inlineStr">
        <is>
          <t xml:space="preserve">yes</t>
        </is>
      </c>
      <c r="E276" t="inlineStr">
        <is>
          <t xml:space="preserve">Mar</t>
        </is>
      </c>
      <c r="F276">
        <v>9</v>
      </c>
      <c r="G276">
        <v>2007</v>
      </c>
      <c r="H276" t="inlineStr">
        <is>
          <t xml:space="preserve">2007-03</t>
        </is>
      </c>
      <c r="I276" s="3">
        <f>INDEX(Monthly!$Q:$Q,MATCH(H276,Monthly!$A:$A,0))</f>
        <v>22.59709677419355</v>
      </c>
      <c r="J276" s="4">
        <f>INDEX(Monthly!$P:$P,MATCH(H276,Monthly!$A:$A,0))</f>
        <v>5.48</v>
      </c>
    </row>
    <row r="277">
      <c r="A277" t="inlineStr">
        <is>
          <t xml:space="preserve">Comayagua — Comayagua department, town of Comayagua</t>
        </is>
      </c>
      <c r="B277" t="inlineStr">
        <is>
          <t xml:space="preserve">2006/07</t>
        </is>
      </c>
      <c r="C277" t="inlineStr">
        <is>
          <t xml:space="preserve">El Niño</t>
        </is>
      </c>
      <c r="D277" t="inlineStr">
        <is>
          <t xml:space="preserve">yes</t>
        </is>
      </c>
      <c r="E277" t="inlineStr">
        <is>
          <t xml:space="preserve">Apr</t>
        </is>
      </c>
      <c r="F277">
        <v>10</v>
      </c>
      <c r="G277">
        <v>2007</v>
      </c>
      <c r="H277" t="inlineStr">
        <is>
          <t xml:space="preserve">2007-04</t>
        </is>
      </c>
      <c r="I277" s="3">
        <f>INDEX(Monthly!$Q:$Q,MATCH(H277,Monthly!$A:$A,0))</f>
        <v>24.424333333333333</v>
      </c>
      <c r="J277" s="4">
        <f>INDEX(Monthly!$P:$P,MATCH(H277,Monthly!$A:$A,0))</f>
        <v>58.081</v>
      </c>
    </row>
    <row r="278">
      <c r="A278" t="inlineStr">
        <is>
          <t xml:space="preserve">Comayagua — Comayagua department, town of Comayagua</t>
        </is>
      </c>
      <c r="B278" t="inlineStr">
        <is>
          <t xml:space="preserve">2006/07</t>
        </is>
      </c>
      <c r="C278" t="inlineStr">
        <is>
          <t xml:space="preserve">El Niño</t>
        </is>
      </c>
      <c r="D278" t="inlineStr">
        <is>
          <t xml:space="preserve">yes</t>
        </is>
      </c>
      <c r="E278" t="inlineStr">
        <is>
          <t xml:space="preserve">May</t>
        </is>
      </c>
      <c r="F278">
        <v>11</v>
      </c>
      <c r="G278">
        <v>2007</v>
      </c>
      <c r="H278" t="inlineStr">
        <is>
          <t xml:space="preserve">2007-05</t>
        </is>
      </c>
      <c r="I278" s="3">
        <f>INDEX(Monthly!$Q:$Q,MATCH(H278,Monthly!$A:$A,0))</f>
        <v>24.415806451612905</v>
      </c>
      <c r="J278" s="4">
        <f>INDEX(Monthly!$P:$P,MATCH(H278,Monthly!$A:$A,0))</f>
        <v>77.63</v>
      </c>
    </row>
    <row r="279">
      <c r="A279" t="inlineStr">
        <is>
          <t xml:space="preserve">Comayagua — Comayagua department, town of Comayagua</t>
        </is>
      </c>
      <c r="B279" t="inlineStr">
        <is>
          <t xml:space="preserve">2006/07</t>
        </is>
      </c>
      <c r="C279" t="inlineStr">
        <is>
          <t xml:space="preserve">El Niño</t>
        </is>
      </c>
      <c r="D279" t="inlineStr">
        <is>
          <t xml:space="preserve">yes</t>
        </is>
      </c>
      <c r="E279" t="inlineStr">
        <is>
          <t xml:space="preserve">Jun</t>
        </is>
      </c>
      <c r="F279">
        <v>12</v>
      </c>
      <c r="G279">
        <v>2007</v>
      </c>
      <c r="H279" t="inlineStr">
        <is>
          <t xml:space="preserve">2007-06</t>
        </is>
      </c>
      <c r="I279" s="3">
        <f>INDEX(Monthly!$Q:$Q,MATCH(H279,Monthly!$A:$A,0))</f>
        <v>22.939666666666664</v>
      </c>
      <c r="J279" s="4">
        <f>INDEX(Monthly!$P:$P,MATCH(H279,Monthly!$A:$A,0))</f>
        <v>191.058</v>
      </c>
    </row>
    <row r="280">
      <c r="A280" t="inlineStr">
        <is>
          <t xml:space="preserve">Comayagua — Comayagua department, town of Comayagua</t>
        </is>
      </c>
      <c r="B280" t="inlineStr">
        <is>
          <t xml:space="preserve">2007/08</t>
        </is>
      </c>
      <c r="C280" t="inlineStr">
        <is>
          <t xml:space="preserve">La Niña</t>
        </is>
      </c>
      <c r="D280" t="inlineStr">
        <is>
          <t xml:space="preserve">yes</t>
        </is>
      </c>
      <c r="E280" t="inlineStr">
        <is>
          <t xml:space="preserve">Jul</t>
        </is>
      </c>
      <c r="F280">
        <v>1</v>
      </c>
      <c r="G280">
        <v>2007</v>
      </c>
      <c r="H280" t="inlineStr">
        <is>
          <t xml:space="preserve">2007-07</t>
        </is>
      </c>
      <c r="I280" s="3">
        <f>INDEX(Monthly!$Q:$Q,MATCH(H280,Monthly!$A:$A,0))</f>
        <v>22.554838709677423</v>
      </c>
      <c r="J280" s="4">
        <f>INDEX(Monthly!$P:$P,MATCH(H280,Monthly!$A:$A,0))</f>
        <v>146.112</v>
      </c>
    </row>
    <row r="281">
      <c r="A281" t="inlineStr">
        <is>
          <t xml:space="preserve">Comayagua — Comayagua department, town of Comayagua</t>
        </is>
      </c>
      <c r="B281" t="inlineStr">
        <is>
          <t xml:space="preserve">2007/08</t>
        </is>
      </c>
      <c r="C281" t="inlineStr">
        <is>
          <t xml:space="preserve">La Niña</t>
        </is>
      </c>
      <c r="D281" t="inlineStr">
        <is>
          <t xml:space="preserve">yes</t>
        </is>
      </c>
      <c r="E281" t="inlineStr">
        <is>
          <t xml:space="preserve">Aug</t>
        </is>
      </c>
      <c r="F281">
        <v>2</v>
      </c>
      <c r="G281">
        <v>2007</v>
      </c>
      <c r="H281" t="inlineStr">
        <is>
          <t xml:space="preserve">2007-08</t>
        </is>
      </c>
      <c r="I281" s="3">
        <f>INDEX(Monthly!$Q:$Q,MATCH(H281,Monthly!$A:$A,0))</f>
        <v>22.38612903225807</v>
      </c>
      <c r="J281" s="4">
        <f>INDEX(Monthly!$P:$P,MATCH(H281,Monthly!$A:$A,0))</f>
        <v>196.552</v>
      </c>
    </row>
    <row r="282">
      <c r="A282" t="inlineStr">
        <is>
          <t xml:space="preserve">Comayagua — Comayagua department, town of Comayagua</t>
        </is>
      </c>
      <c r="B282" t="inlineStr">
        <is>
          <t xml:space="preserve">2007/08</t>
        </is>
      </c>
      <c r="C282" t="inlineStr">
        <is>
          <t xml:space="preserve">La Niña</t>
        </is>
      </c>
      <c r="D282" t="inlineStr">
        <is>
          <t xml:space="preserve">yes</t>
        </is>
      </c>
      <c r="E282" t="inlineStr">
        <is>
          <t xml:space="preserve">Sep</t>
        </is>
      </c>
      <c r="F282">
        <v>3</v>
      </c>
      <c r="G282">
        <v>2007</v>
      </c>
      <c r="H282" t="inlineStr">
        <is>
          <t xml:space="preserve">2007-09</t>
        </is>
      </c>
      <c r="I282" s="3">
        <f>INDEX(Monthly!$Q:$Q,MATCH(H282,Monthly!$A:$A,0))</f>
        <v>21.390000000000004</v>
      </c>
      <c r="J282" s="4">
        <f>INDEX(Monthly!$P:$P,MATCH(H282,Monthly!$A:$A,0))</f>
        <v>269.679</v>
      </c>
    </row>
    <row r="283">
      <c r="A283" t="inlineStr">
        <is>
          <t xml:space="preserve">Comayagua — Comayagua department, town of Comayagua</t>
        </is>
      </c>
      <c r="B283" t="inlineStr">
        <is>
          <t xml:space="preserve">2007/08</t>
        </is>
      </c>
      <c r="C283" t="inlineStr">
        <is>
          <t xml:space="preserve">La Niña</t>
        </is>
      </c>
      <c r="D283" t="inlineStr">
        <is>
          <t xml:space="preserve">yes</t>
        </is>
      </c>
      <c r="E283" t="inlineStr">
        <is>
          <t xml:space="preserve">Oct</t>
        </is>
      </c>
      <c r="F283">
        <v>4</v>
      </c>
      <c r="G283">
        <v>2007</v>
      </c>
      <c r="H283" t="inlineStr">
        <is>
          <t xml:space="preserve">2007-10</t>
        </is>
      </c>
      <c r="I283" s="3">
        <f>INDEX(Monthly!$Q:$Q,MATCH(H283,Monthly!$A:$A,0))</f>
        <v>20.509032258064508</v>
      </c>
      <c r="J283" s="4">
        <f>INDEX(Monthly!$P:$P,MATCH(H283,Monthly!$A:$A,0))</f>
        <v>197.275</v>
      </c>
    </row>
    <row r="284">
      <c r="A284" t="inlineStr">
        <is>
          <t xml:space="preserve">Comayagua — Comayagua department, town of Comayagua</t>
        </is>
      </c>
      <c r="B284" t="inlineStr">
        <is>
          <t xml:space="preserve">2007/08</t>
        </is>
      </c>
      <c r="C284" t="inlineStr">
        <is>
          <t xml:space="preserve">La Niña</t>
        </is>
      </c>
      <c r="D284" t="inlineStr">
        <is>
          <t xml:space="preserve">yes</t>
        </is>
      </c>
      <c r="E284" t="inlineStr">
        <is>
          <t xml:space="preserve">Nov</t>
        </is>
      </c>
      <c r="F284">
        <v>5</v>
      </c>
      <c r="G284">
        <v>2007</v>
      </c>
      <c r="H284" t="inlineStr">
        <is>
          <t xml:space="preserve">2007-11</t>
        </is>
      </c>
      <c r="I284" s="3">
        <f>INDEX(Monthly!$Q:$Q,MATCH(H284,Monthly!$A:$A,0))</f>
        <v>19.098666666666666</v>
      </c>
      <c r="J284" s="4">
        <f>INDEX(Monthly!$P:$P,MATCH(H284,Monthly!$A:$A,0))</f>
        <v>9.777</v>
      </c>
    </row>
    <row r="285">
      <c r="A285" t="inlineStr">
        <is>
          <t xml:space="preserve">Comayagua — Comayagua department, town of Comayagua</t>
        </is>
      </c>
      <c r="B285" t="inlineStr">
        <is>
          <t xml:space="preserve">2007/08</t>
        </is>
      </c>
      <c r="C285" t="inlineStr">
        <is>
          <t xml:space="preserve">La Niña</t>
        </is>
      </c>
      <c r="D285" t="inlineStr">
        <is>
          <t xml:space="preserve">yes</t>
        </is>
      </c>
      <c r="E285" t="inlineStr">
        <is>
          <t xml:space="preserve">Dec</t>
        </is>
      </c>
      <c r="F285">
        <v>6</v>
      </c>
      <c r="G285">
        <v>2007</v>
      </c>
      <c r="H285" t="inlineStr">
        <is>
          <t xml:space="preserve">2007-12</t>
        </is>
      </c>
      <c r="I285" s="3">
        <f>INDEX(Monthly!$Q:$Q,MATCH(H285,Monthly!$A:$A,0))</f>
        <v>18.827419354838714</v>
      </c>
      <c r="J285" s="4">
        <f>INDEX(Monthly!$P:$P,MATCH(H285,Monthly!$A:$A,0))</f>
        <v>3.293</v>
      </c>
    </row>
    <row r="286">
      <c r="A286" t="inlineStr">
        <is>
          <t xml:space="preserve">Comayagua — Comayagua department, town of Comayagua</t>
        </is>
      </c>
      <c r="B286" t="inlineStr">
        <is>
          <t xml:space="preserve">2007/08</t>
        </is>
      </c>
      <c r="C286" t="inlineStr">
        <is>
          <t xml:space="preserve">La Niña</t>
        </is>
      </c>
      <c r="D286" t="inlineStr">
        <is>
          <t xml:space="preserve">yes</t>
        </is>
      </c>
      <c r="E286" t="inlineStr">
        <is>
          <t xml:space="preserve">Jan</t>
        </is>
      </c>
      <c r="F286">
        <v>7</v>
      </c>
      <c r="G286">
        <v>2008</v>
      </c>
      <c r="H286" t="inlineStr">
        <is>
          <t xml:space="preserve">2008-01</t>
        </is>
      </c>
      <c r="I286" s="3">
        <f>INDEX(Monthly!$Q:$Q,MATCH(H286,Monthly!$A:$A,0))</f>
        <v>19.47677419354839</v>
      </c>
      <c r="J286" s="4">
        <f>INDEX(Monthly!$P:$P,MATCH(H286,Monthly!$A:$A,0))</f>
        <v>5.726</v>
      </c>
    </row>
    <row r="287">
      <c r="A287" t="inlineStr">
        <is>
          <t xml:space="preserve">Comayagua — Comayagua department, town of Comayagua</t>
        </is>
      </c>
      <c r="B287" t="inlineStr">
        <is>
          <t xml:space="preserve">2007/08</t>
        </is>
      </c>
      <c r="C287" t="inlineStr">
        <is>
          <t xml:space="preserve">La Niña</t>
        </is>
      </c>
      <c r="D287" t="inlineStr">
        <is>
          <t xml:space="preserve">yes</t>
        </is>
      </c>
      <c r="E287" t="inlineStr">
        <is>
          <t xml:space="preserve">Feb</t>
        </is>
      </c>
      <c r="F287">
        <v>8</v>
      </c>
      <c r="G287">
        <v>2008</v>
      </c>
      <c r="H287" t="inlineStr">
        <is>
          <t xml:space="preserve">2008-02</t>
        </is>
      </c>
      <c r="I287" s="3">
        <f>INDEX(Monthly!$Q:$Q,MATCH(H287,Monthly!$A:$A,0))</f>
        <v>21.523448275862073</v>
      </c>
      <c r="J287" s="4">
        <f>INDEX(Monthly!$P:$P,MATCH(H287,Monthly!$A:$A,0))</f>
        <v>6.983</v>
      </c>
    </row>
    <row r="288">
      <c r="A288" t="inlineStr">
        <is>
          <t xml:space="preserve">Comayagua — Comayagua department, town of Comayagua</t>
        </is>
      </c>
      <c r="B288" t="inlineStr">
        <is>
          <t xml:space="preserve">2007/08</t>
        </is>
      </c>
      <c r="C288" t="inlineStr">
        <is>
          <t xml:space="preserve">La Niña</t>
        </is>
      </c>
      <c r="D288" t="inlineStr">
        <is>
          <t xml:space="preserve">yes</t>
        </is>
      </c>
      <c r="E288" t="inlineStr">
        <is>
          <t xml:space="preserve">Mar</t>
        </is>
      </c>
      <c r="F288">
        <v>9</v>
      </c>
      <c r="G288">
        <v>2008</v>
      </c>
      <c r="H288" t="inlineStr">
        <is>
          <t xml:space="preserve">2008-03</t>
        </is>
      </c>
      <c r="I288" s="3">
        <f>INDEX(Monthly!$Q:$Q,MATCH(H288,Monthly!$A:$A,0))</f>
        <v>22.901935483870968</v>
      </c>
      <c r="J288" s="4">
        <f>INDEX(Monthly!$P:$P,MATCH(H288,Monthly!$A:$A,0))</f>
        <v>4.322</v>
      </c>
    </row>
    <row r="289">
      <c r="A289" t="inlineStr">
        <is>
          <t xml:space="preserve">Comayagua — Comayagua department, town of Comayagua</t>
        </is>
      </c>
      <c r="B289" t="inlineStr">
        <is>
          <t xml:space="preserve">2007/08</t>
        </is>
      </c>
      <c r="C289" t="inlineStr">
        <is>
          <t xml:space="preserve">La Niña</t>
        </is>
      </c>
      <c r="D289" t="inlineStr">
        <is>
          <t xml:space="preserve">yes</t>
        </is>
      </c>
      <c r="E289" t="inlineStr">
        <is>
          <t xml:space="preserve">Apr</t>
        </is>
      </c>
      <c r="F289">
        <v>10</v>
      </c>
      <c r="G289">
        <v>2008</v>
      </c>
      <c r="H289" t="inlineStr">
        <is>
          <t xml:space="preserve">2008-04</t>
        </is>
      </c>
      <c r="I289" s="3">
        <f>INDEX(Monthly!$Q:$Q,MATCH(H289,Monthly!$A:$A,0))</f>
        <v>24.436666666666664</v>
      </c>
      <c r="J289" s="4">
        <f>INDEX(Monthly!$P:$P,MATCH(H289,Monthly!$A:$A,0))</f>
        <v>32.516</v>
      </c>
    </row>
    <row r="290">
      <c r="A290" t="inlineStr">
        <is>
          <t xml:space="preserve">Comayagua — Comayagua department, town of Comayagua</t>
        </is>
      </c>
      <c r="B290" t="inlineStr">
        <is>
          <t xml:space="preserve">2007/08</t>
        </is>
      </c>
      <c r="C290" t="inlineStr">
        <is>
          <t xml:space="preserve">La Niña</t>
        </is>
      </c>
      <c r="D290" t="inlineStr">
        <is>
          <t xml:space="preserve">yes</t>
        </is>
      </c>
      <c r="E290" t="inlineStr">
        <is>
          <t xml:space="preserve">May</t>
        </is>
      </c>
      <c r="F290">
        <v>11</v>
      </c>
      <c r="G290">
        <v>2008</v>
      </c>
      <c r="H290" t="inlineStr">
        <is>
          <t xml:space="preserve">2008-05</t>
        </is>
      </c>
      <c r="I290" s="3">
        <f>INDEX(Monthly!$Q:$Q,MATCH(H290,Monthly!$A:$A,0))</f>
        <v>25.06612903225807</v>
      </c>
      <c r="J290" s="4">
        <f>INDEX(Monthly!$P:$P,MATCH(H290,Monthly!$A:$A,0))</f>
        <v>139.098</v>
      </c>
    </row>
    <row r="291">
      <c r="A291" t="inlineStr">
        <is>
          <t xml:space="preserve">Comayagua — Comayagua department, town of Comayagua</t>
        </is>
      </c>
      <c r="B291" t="inlineStr">
        <is>
          <t xml:space="preserve">2007/08</t>
        </is>
      </c>
      <c r="C291" t="inlineStr">
        <is>
          <t xml:space="preserve">La Niña</t>
        </is>
      </c>
      <c r="D291" t="inlineStr">
        <is>
          <t xml:space="preserve">yes</t>
        </is>
      </c>
      <c r="E291" t="inlineStr">
        <is>
          <t xml:space="preserve">Jun</t>
        </is>
      </c>
      <c r="F291">
        <v>12</v>
      </c>
      <c r="G291">
        <v>2008</v>
      </c>
      <c r="H291" t="inlineStr">
        <is>
          <t xml:space="preserve">2008-06</t>
        </is>
      </c>
      <c r="I291" s="3">
        <f>INDEX(Monthly!$Q:$Q,MATCH(H291,Monthly!$A:$A,0))</f>
        <v>22.063</v>
      </c>
      <c r="J291" s="4">
        <f>INDEX(Monthly!$P:$P,MATCH(H291,Monthly!$A:$A,0))</f>
        <v>172.321</v>
      </c>
    </row>
    <row r="292">
      <c r="A292" t="inlineStr">
        <is>
          <t xml:space="preserve">Comayagua — Comayagua department, town of Comayagua</t>
        </is>
      </c>
      <c r="B292" t="inlineStr">
        <is>
          <t xml:space="preserve">2008/09</t>
        </is>
      </c>
      <c r="C292" t="inlineStr">
        <is>
          <t xml:space="preserve">La Niña</t>
        </is>
      </c>
      <c r="D292" t="inlineStr">
        <is>
          <t xml:space="preserve">yes</t>
        </is>
      </c>
      <c r="E292" t="inlineStr">
        <is>
          <t xml:space="preserve">Jul</t>
        </is>
      </c>
      <c r="F292">
        <v>1</v>
      </c>
      <c r="G292">
        <v>2008</v>
      </c>
      <c r="H292" t="inlineStr">
        <is>
          <t xml:space="preserve">2008-07</t>
        </is>
      </c>
      <c r="I292" s="3">
        <f>INDEX(Monthly!$Q:$Q,MATCH(H292,Monthly!$A:$A,0))</f>
        <v>20.92032258064516</v>
      </c>
      <c r="J292" s="4">
        <f>INDEX(Monthly!$P:$P,MATCH(H292,Monthly!$A:$A,0))</f>
        <v>298.911</v>
      </c>
    </row>
    <row r="293">
      <c r="A293" t="inlineStr">
        <is>
          <t xml:space="preserve">Comayagua — Comayagua department, town of Comayagua</t>
        </is>
      </c>
      <c r="B293" t="inlineStr">
        <is>
          <t xml:space="preserve">2008/09</t>
        </is>
      </c>
      <c r="C293" t="inlineStr">
        <is>
          <t xml:space="preserve">La Niña</t>
        </is>
      </c>
      <c r="D293" t="inlineStr">
        <is>
          <t xml:space="preserve">yes</t>
        </is>
      </c>
      <c r="E293" t="inlineStr">
        <is>
          <t xml:space="preserve">Aug</t>
        </is>
      </c>
      <c r="F293">
        <v>2</v>
      </c>
      <c r="G293">
        <v>2008</v>
      </c>
      <c r="H293" t="inlineStr">
        <is>
          <t xml:space="preserve">2008-08</t>
        </is>
      </c>
      <c r="I293" s="3">
        <f>INDEX(Monthly!$Q:$Q,MATCH(H293,Monthly!$A:$A,0))</f>
        <v>21.499354838709678</v>
      </c>
      <c r="J293" s="4">
        <f>INDEX(Monthly!$P:$P,MATCH(H293,Monthly!$A:$A,0))</f>
        <v>261.903</v>
      </c>
    </row>
    <row r="294">
      <c r="A294" t="inlineStr">
        <is>
          <t xml:space="preserve">Comayagua — Comayagua department, town of Comayagua</t>
        </is>
      </c>
      <c r="B294" t="inlineStr">
        <is>
          <t xml:space="preserve">2008/09</t>
        </is>
      </c>
      <c r="C294" t="inlineStr">
        <is>
          <t xml:space="preserve">La Niña</t>
        </is>
      </c>
      <c r="D294" t="inlineStr">
        <is>
          <t xml:space="preserve">yes</t>
        </is>
      </c>
      <c r="E294" t="inlineStr">
        <is>
          <t xml:space="preserve">Sep</t>
        </is>
      </c>
      <c r="F294">
        <v>3</v>
      </c>
      <c r="G294">
        <v>2008</v>
      </c>
      <c r="H294" t="inlineStr">
        <is>
          <t xml:space="preserve">2008-09</t>
        </is>
      </c>
      <c r="I294" s="3">
        <f>INDEX(Monthly!$Q:$Q,MATCH(H294,Monthly!$A:$A,0))</f>
        <v>21.823666666666668</v>
      </c>
      <c r="J294" s="4">
        <f>INDEX(Monthly!$P:$P,MATCH(H294,Monthly!$A:$A,0))</f>
        <v>298.214</v>
      </c>
    </row>
    <row r="295">
      <c r="A295" t="inlineStr">
        <is>
          <t xml:space="preserve">Comayagua — Comayagua department, town of Comayagua</t>
        </is>
      </c>
      <c r="B295" t="inlineStr">
        <is>
          <t xml:space="preserve">2008/09</t>
        </is>
      </c>
      <c r="C295" t="inlineStr">
        <is>
          <t xml:space="preserve">La Niña</t>
        </is>
      </c>
      <c r="D295" t="inlineStr">
        <is>
          <t xml:space="preserve">yes</t>
        </is>
      </c>
      <c r="E295" t="inlineStr">
        <is>
          <t xml:space="preserve">Oct</t>
        </is>
      </c>
      <c r="F295">
        <v>4</v>
      </c>
      <c r="G295">
        <v>2008</v>
      </c>
      <c r="H295" t="inlineStr">
        <is>
          <t xml:space="preserve">2008-10</t>
        </is>
      </c>
      <c r="I295" s="3">
        <f>INDEX(Monthly!$Q:$Q,MATCH(H295,Monthly!$A:$A,0))</f>
        <v>20.55548387096774</v>
      </c>
      <c r="J295" s="4">
        <f>INDEX(Monthly!$P:$P,MATCH(H295,Monthly!$A:$A,0))</f>
        <v>207.098</v>
      </c>
    </row>
    <row r="296">
      <c r="A296" t="inlineStr">
        <is>
          <t xml:space="preserve">Comayagua — Comayagua department, town of Comayagua</t>
        </is>
      </c>
      <c r="B296" t="inlineStr">
        <is>
          <t xml:space="preserve">2008/09</t>
        </is>
      </c>
      <c r="C296" t="inlineStr">
        <is>
          <t xml:space="preserve">La Niña</t>
        </is>
      </c>
      <c r="D296" t="inlineStr">
        <is>
          <t xml:space="preserve">yes</t>
        </is>
      </c>
      <c r="E296" t="inlineStr">
        <is>
          <t xml:space="preserve">Nov</t>
        </is>
      </c>
      <c r="F296">
        <v>5</v>
      </c>
      <c r="G296">
        <v>2008</v>
      </c>
      <c r="H296" t="inlineStr">
        <is>
          <t xml:space="preserve">2008-11</t>
        </is>
      </c>
      <c r="I296" s="3">
        <f>INDEX(Monthly!$Q:$Q,MATCH(H296,Monthly!$A:$A,0))</f>
        <v>18.329333333333334</v>
      </c>
      <c r="J296" s="4">
        <f>INDEX(Monthly!$P:$P,MATCH(H296,Monthly!$A:$A,0))</f>
        <v>3.902</v>
      </c>
    </row>
    <row r="297">
      <c r="A297" t="inlineStr">
        <is>
          <t xml:space="preserve">Comayagua — Comayagua department, town of Comayagua</t>
        </is>
      </c>
      <c r="B297" t="inlineStr">
        <is>
          <t xml:space="preserve">2008/09</t>
        </is>
      </c>
      <c r="C297" t="inlineStr">
        <is>
          <t xml:space="preserve">La Niña</t>
        </is>
      </c>
      <c r="D297" t="inlineStr">
        <is>
          <t xml:space="preserve">yes</t>
        </is>
      </c>
      <c r="E297" t="inlineStr">
        <is>
          <t xml:space="preserve">Dec</t>
        </is>
      </c>
      <c r="F297">
        <v>6</v>
      </c>
      <c r="G297">
        <v>2008</v>
      </c>
      <c r="H297" t="inlineStr">
        <is>
          <t xml:space="preserve">2008-12</t>
        </is>
      </c>
      <c r="I297" s="3">
        <f>INDEX(Monthly!$Q:$Q,MATCH(H297,Monthly!$A:$A,0))</f>
        <v>18.084193548387102</v>
      </c>
      <c r="J297" s="4">
        <f>INDEX(Monthly!$P:$P,MATCH(H297,Monthly!$A:$A,0))</f>
        <v>6.58</v>
      </c>
    </row>
    <row r="298">
      <c r="A298" t="inlineStr">
        <is>
          <t xml:space="preserve">Comayagua — Comayagua department, town of Comayagua</t>
        </is>
      </c>
      <c r="B298" t="inlineStr">
        <is>
          <t xml:space="preserve">2008/09</t>
        </is>
      </c>
      <c r="C298" t="inlineStr">
        <is>
          <t xml:space="preserve">La Niña</t>
        </is>
      </c>
      <c r="D298" t="inlineStr">
        <is>
          <t xml:space="preserve">yes</t>
        </is>
      </c>
      <c r="E298" t="inlineStr">
        <is>
          <t xml:space="preserve">Jan</t>
        </is>
      </c>
      <c r="F298">
        <v>7</v>
      </c>
      <c r="G298">
        <v>2009</v>
      </c>
      <c r="H298" t="inlineStr">
        <is>
          <t xml:space="preserve">2009-01</t>
        </is>
      </c>
      <c r="I298" s="3">
        <f>INDEX(Monthly!$Q:$Q,MATCH(H298,Monthly!$A:$A,0))</f>
        <v>18.124838709677416</v>
      </c>
      <c r="J298" s="4">
        <f>INDEX(Monthly!$P:$P,MATCH(H298,Monthly!$A:$A,0))</f>
        <v>4.084</v>
      </c>
    </row>
    <row r="299">
      <c r="A299" t="inlineStr">
        <is>
          <t xml:space="preserve">Comayagua — Comayagua department, town of Comayagua</t>
        </is>
      </c>
      <c r="B299" t="inlineStr">
        <is>
          <t xml:space="preserve">2008/09</t>
        </is>
      </c>
      <c r="C299" t="inlineStr">
        <is>
          <t xml:space="preserve">La Niña</t>
        </is>
      </c>
      <c r="D299" t="inlineStr">
        <is>
          <t xml:space="preserve">yes</t>
        </is>
      </c>
      <c r="E299" t="inlineStr">
        <is>
          <t xml:space="preserve">Feb</t>
        </is>
      </c>
      <c r="F299">
        <v>8</v>
      </c>
      <c r="G299">
        <v>2009</v>
      </c>
      <c r="H299" t="inlineStr">
        <is>
          <t xml:space="preserve">2009-02</t>
        </is>
      </c>
      <c r="I299" s="3">
        <f>INDEX(Monthly!$Q:$Q,MATCH(H299,Monthly!$A:$A,0))</f>
        <v>19.190714285714286</v>
      </c>
      <c r="J299" s="4">
        <f>INDEX(Monthly!$P:$P,MATCH(H299,Monthly!$A:$A,0))</f>
        <v>4.438</v>
      </c>
    </row>
    <row r="300">
      <c r="A300" t="inlineStr">
        <is>
          <t xml:space="preserve">Comayagua — Comayagua department, town of Comayagua</t>
        </is>
      </c>
      <c r="B300" t="inlineStr">
        <is>
          <t xml:space="preserve">2008/09</t>
        </is>
      </c>
      <c r="C300" t="inlineStr">
        <is>
          <t xml:space="preserve">La Niña</t>
        </is>
      </c>
      <c r="D300" t="inlineStr">
        <is>
          <t xml:space="preserve">yes</t>
        </is>
      </c>
      <c r="E300" t="inlineStr">
        <is>
          <t xml:space="preserve">Mar</t>
        </is>
      </c>
      <c r="F300">
        <v>9</v>
      </c>
      <c r="G300">
        <v>2009</v>
      </c>
      <c r="H300" t="inlineStr">
        <is>
          <t xml:space="preserve">2009-03</t>
        </is>
      </c>
      <c r="I300" s="3">
        <f>INDEX(Monthly!$Q:$Q,MATCH(H300,Monthly!$A:$A,0))</f>
        <v>20.811612903225804</v>
      </c>
      <c r="J300" s="4">
        <f>INDEX(Monthly!$P:$P,MATCH(H300,Monthly!$A:$A,0))</f>
        <v>1.058</v>
      </c>
    </row>
    <row r="301">
      <c r="A301" t="inlineStr">
        <is>
          <t xml:space="preserve">Comayagua — Comayagua department, town of Comayagua</t>
        </is>
      </c>
      <c r="B301" t="inlineStr">
        <is>
          <t xml:space="preserve">2008/09</t>
        </is>
      </c>
      <c r="C301" t="inlineStr">
        <is>
          <t xml:space="preserve">La Niña</t>
        </is>
      </c>
      <c r="D301" t="inlineStr">
        <is>
          <t xml:space="preserve">yes</t>
        </is>
      </c>
      <c r="E301" t="inlineStr">
        <is>
          <t xml:space="preserve">Apr</t>
        </is>
      </c>
      <c r="F301">
        <v>10</v>
      </c>
      <c r="G301">
        <v>2009</v>
      </c>
      <c r="H301" t="inlineStr">
        <is>
          <t xml:space="preserve">2009-04</t>
        </is>
      </c>
      <c r="I301" s="3">
        <f>INDEX(Monthly!$Q:$Q,MATCH(H301,Monthly!$A:$A,0))</f>
        <v>24.516000000000002</v>
      </c>
      <c r="J301" s="4">
        <f>INDEX(Monthly!$P:$P,MATCH(H301,Monthly!$A:$A,0))</f>
        <v>9.363</v>
      </c>
    </row>
    <row r="302">
      <c r="A302" t="inlineStr">
        <is>
          <t xml:space="preserve">Comayagua — Comayagua department, town of Comayagua</t>
        </is>
      </c>
      <c r="B302" t="inlineStr">
        <is>
          <t xml:space="preserve">2008/09</t>
        </is>
      </c>
      <c r="C302" t="inlineStr">
        <is>
          <t xml:space="preserve">La Niña</t>
        </is>
      </c>
      <c r="D302" t="inlineStr">
        <is>
          <t xml:space="preserve">yes</t>
        </is>
      </c>
      <c r="E302" t="inlineStr">
        <is>
          <t xml:space="preserve">May</t>
        </is>
      </c>
      <c r="F302">
        <v>11</v>
      </c>
      <c r="G302">
        <v>2009</v>
      </c>
      <c r="H302" t="inlineStr">
        <is>
          <t xml:space="preserve">2009-05</t>
        </is>
      </c>
      <c r="I302" s="3">
        <f>INDEX(Monthly!$Q:$Q,MATCH(H302,Monthly!$A:$A,0))</f>
        <v>23.329032258064515</v>
      </c>
      <c r="J302" s="4">
        <f>INDEX(Monthly!$P:$P,MATCH(H302,Monthly!$A:$A,0))</f>
        <v>247.94</v>
      </c>
    </row>
    <row r="303">
      <c r="A303" t="inlineStr">
        <is>
          <t xml:space="preserve">Comayagua — Comayagua department, town of Comayagua</t>
        </is>
      </c>
      <c r="B303" t="inlineStr">
        <is>
          <t xml:space="preserve">2008/09</t>
        </is>
      </c>
      <c r="C303" t="inlineStr">
        <is>
          <t xml:space="preserve">La Niña</t>
        </is>
      </c>
      <c r="D303" t="inlineStr">
        <is>
          <t xml:space="preserve">yes</t>
        </is>
      </c>
      <c r="E303" t="inlineStr">
        <is>
          <t xml:space="preserve">Jun</t>
        </is>
      </c>
      <c r="F303">
        <v>12</v>
      </c>
      <c r="G303">
        <v>2009</v>
      </c>
      <c r="H303" t="inlineStr">
        <is>
          <t xml:space="preserve">2009-06</t>
        </is>
      </c>
      <c r="I303" s="3">
        <f>INDEX(Monthly!$Q:$Q,MATCH(H303,Monthly!$A:$A,0))</f>
        <v>22.43133333333333</v>
      </c>
      <c r="J303" s="4">
        <f>INDEX(Monthly!$P:$P,MATCH(H303,Monthly!$A:$A,0))</f>
        <v>351.166</v>
      </c>
    </row>
    <row r="304">
      <c r="A304" t="inlineStr">
        <is>
          <t xml:space="preserve">Comayagua — Comayagua department, town of Comayagua</t>
        </is>
      </c>
      <c r="B304" t="inlineStr">
        <is>
          <t xml:space="preserve">2009/10</t>
        </is>
      </c>
      <c r="C304" t="inlineStr">
        <is>
          <t xml:space="preserve">El Niño</t>
        </is>
      </c>
      <c r="D304" t="inlineStr">
        <is>
          <t xml:space="preserve">yes</t>
        </is>
      </c>
      <c r="E304" t="inlineStr">
        <is>
          <t xml:space="preserve">Jul</t>
        </is>
      </c>
      <c r="F304">
        <v>1</v>
      </c>
      <c r="G304">
        <v>2009</v>
      </c>
      <c r="H304" t="inlineStr">
        <is>
          <t xml:space="preserve">2009-07</t>
        </is>
      </c>
      <c r="I304" s="3">
        <f>INDEX(Monthly!$Q:$Q,MATCH(H304,Monthly!$A:$A,0))</f>
        <v>21.751612903225805</v>
      </c>
      <c r="J304" s="4">
        <f>INDEX(Monthly!$P:$P,MATCH(H304,Monthly!$A:$A,0))</f>
        <v>154.351</v>
      </c>
    </row>
    <row r="305">
      <c r="A305" t="inlineStr">
        <is>
          <t xml:space="preserve">Comayagua — Comayagua department, town of Comayagua</t>
        </is>
      </c>
      <c r="B305" t="inlineStr">
        <is>
          <t xml:space="preserve">2009/10</t>
        </is>
      </c>
      <c r="C305" t="inlineStr">
        <is>
          <t xml:space="preserve">El Niño</t>
        </is>
      </c>
      <c r="D305" t="inlineStr">
        <is>
          <t xml:space="preserve">yes</t>
        </is>
      </c>
      <c r="E305" t="inlineStr">
        <is>
          <t xml:space="preserve">Aug</t>
        </is>
      </c>
      <c r="F305">
        <v>2</v>
      </c>
      <c r="G305">
        <v>2009</v>
      </c>
      <c r="H305" t="inlineStr">
        <is>
          <t xml:space="preserve">2009-08</t>
        </is>
      </c>
      <c r="I305" s="3">
        <f>INDEX(Monthly!$Q:$Q,MATCH(H305,Monthly!$A:$A,0))</f>
        <v>21.994516129032263</v>
      </c>
      <c r="J305" s="4">
        <f>INDEX(Monthly!$P:$P,MATCH(H305,Monthly!$A:$A,0))</f>
        <v>159.515</v>
      </c>
    </row>
    <row r="306">
      <c r="A306" t="inlineStr">
        <is>
          <t xml:space="preserve">Comayagua — Comayagua department, town of Comayagua</t>
        </is>
      </c>
      <c r="B306" t="inlineStr">
        <is>
          <t xml:space="preserve">2009/10</t>
        </is>
      </c>
      <c r="C306" t="inlineStr">
        <is>
          <t xml:space="preserve">El Niño</t>
        </is>
      </c>
      <c r="D306" t="inlineStr">
        <is>
          <t xml:space="preserve">yes</t>
        </is>
      </c>
      <c r="E306" t="inlineStr">
        <is>
          <t xml:space="preserve">Sep</t>
        </is>
      </c>
      <c r="F306">
        <v>3</v>
      </c>
      <c r="G306">
        <v>2009</v>
      </c>
      <c r="H306" t="inlineStr">
        <is>
          <t xml:space="preserve">2009-09</t>
        </is>
      </c>
      <c r="I306" s="3">
        <f>INDEX(Monthly!$Q:$Q,MATCH(H306,Monthly!$A:$A,0))</f>
        <v>22.47833333333333</v>
      </c>
      <c r="J306" s="4">
        <f>INDEX(Monthly!$P:$P,MATCH(H306,Monthly!$A:$A,0))</f>
        <v>157.755</v>
      </c>
    </row>
    <row r="307">
      <c r="A307" t="inlineStr">
        <is>
          <t xml:space="preserve">Comayagua — Comayagua department, town of Comayagua</t>
        </is>
      </c>
      <c r="B307" t="inlineStr">
        <is>
          <t xml:space="preserve">2009/10</t>
        </is>
      </c>
      <c r="C307" t="inlineStr">
        <is>
          <t xml:space="preserve">El Niño</t>
        </is>
      </c>
      <c r="D307" t="inlineStr">
        <is>
          <t xml:space="preserve">yes</t>
        </is>
      </c>
      <c r="E307" t="inlineStr">
        <is>
          <t xml:space="preserve">Oct</t>
        </is>
      </c>
      <c r="F307">
        <v>4</v>
      </c>
      <c r="G307">
        <v>2009</v>
      </c>
      <c r="H307" t="inlineStr">
        <is>
          <t xml:space="preserve">2009-10</t>
        </is>
      </c>
      <c r="I307" s="3">
        <f>INDEX(Monthly!$Q:$Q,MATCH(H307,Monthly!$A:$A,0))</f>
        <v>22.28548387096774</v>
      </c>
      <c r="J307" s="4">
        <f>INDEX(Monthly!$P:$P,MATCH(H307,Monthly!$A:$A,0))</f>
        <v>88.816</v>
      </c>
    </row>
    <row r="308">
      <c r="A308" t="inlineStr">
        <is>
          <t xml:space="preserve">Comayagua — Comayagua department, town of Comayagua</t>
        </is>
      </c>
      <c r="B308" t="inlineStr">
        <is>
          <t xml:space="preserve">2009/10</t>
        </is>
      </c>
      <c r="C308" t="inlineStr">
        <is>
          <t xml:space="preserve">El Niño</t>
        </is>
      </c>
      <c r="D308" t="inlineStr">
        <is>
          <t xml:space="preserve">yes</t>
        </is>
      </c>
      <c r="E308" t="inlineStr">
        <is>
          <t xml:space="preserve">Nov</t>
        </is>
      </c>
      <c r="F308">
        <v>5</v>
      </c>
      <c r="G308">
        <v>2009</v>
      </c>
      <c r="H308" t="inlineStr">
        <is>
          <t xml:space="preserve">2009-11</t>
        </is>
      </c>
      <c r="I308" s="3">
        <f>INDEX(Monthly!$Q:$Q,MATCH(H308,Monthly!$A:$A,0))</f>
        <v>20.468333333333337</v>
      </c>
      <c r="J308" s="4">
        <f>INDEX(Monthly!$P:$P,MATCH(H308,Monthly!$A:$A,0))</f>
        <v>101.03</v>
      </c>
    </row>
    <row r="309">
      <c r="A309" t="inlineStr">
        <is>
          <t xml:space="preserve">Comayagua — Comayagua department, town of Comayagua</t>
        </is>
      </c>
      <c r="B309" t="inlineStr">
        <is>
          <t xml:space="preserve">2009/10</t>
        </is>
      </c>
      <c r="C309" t="inlineStr">
        <is>
          <t xml:space="preserve">El Niño</t>
        </is>
      </c>
      <c r="D309" t="inlineStr">
        <is>
          <t xml:space="preserve">yes</t>
        </is>
      </c>
      <c r="E309" t="inlineStr">
        <is>
          <t xml:space="preserve">Dec</t>
        </is>
      </c>
      <c r="F309">
        <v>6</v>
      </c>
      <c r="G309">
        <v>2009</v>
      </c>
      <c r="H309" t="inlineStr">
        <is>
          <t xml:space="preserve">2009-12</t>
        </is>
      </c>
      <c r="I309" s="3">
        <f>INDEX(Monthly!$Q:$Q,MATCH(H309,Monthly!$A:$A,0))</f>
        <v>20.500645161290326</v>
      </c>
      <c r="J309" s="4">
        <f>INDEX(Monthly!$P:$P,MATCH(H309,Monthly!$A:$A,0))</f>
        <v>34.142</v>
      </c>
    </row>
    <row r="310">
      <c r="A310" t="inlineStr">
        <is>
          <t xml:space="preserve">Comayagua — Comayagua department, town of Comayagua</t>
        </is>
      </c>
      <c r="B310" t="inlineStr">
        <is>
          <t xml:space="preserve">2009/10</t>
        </is>
      </c>
      <c r="C310" t="inlineStr">
        <is>
          <t xml:space="preserve">El Niño</t>
        </is>
      </c>
      <c r="D310" t="inlineStr">
        <is>
          <t xml:space="preserve">yes</t>
        </is>
      </c>
      <c r="E310" t="inlineStr">
        <is>
          <t xml:space="preserve">Jan</t>
        </is>
      </c>
      <c r="F310">
        <v>7</v>
      </c>
      <c r="G310">
        <v>2010</v>
      </c>
      <c r="H310" t="inlineStr">
        <is>
          <t xml:space="preserve">2010-01</t>
        </is>
      </c>
      <c r="I310" s="3">
        <f>INDEX(Monthly!$Q:$Q,MATCH(H310,Monthly!$A:$A,0))</f>
        <v>19.63096774193548</v>
      </c>
      <c r="J310" s="4">
        <f>INDEX(Monthly!$P:$P,MATCH(H310,Monthly!$A:$A,0))</f>
        <v>1.428</v>
      </c>
    </row>
    <row r="311">
      <c r="A311" t="inlineStr">
        <is>
          <t xml:space="preserve">Comayagua — Comayagua department, town of Comayagua</t>
        </is>
      </c>
      <c r="B311" t="inlineStr">
        <is>
          <t xml:space="preserve">2009/10</t>
        </is>
      </c>
      <c r="C311" t="inlineStr">
        <is>
          <t xml:space="preserve">El Niño</t>
        </is>
      </c>
      <c r="D311" t="inlineStr">
        <is>
          <t xml:space="preserve">yes</t>
        </is>
      </c>
      <c r="E311" t="inlineStr">
        <is>
          <t xml:space="preserve">Feb</t>
        </is>
      </c>
      <c r="F311">
        <v>8</v>
      </c>
      <c r="G311">
        <v>2010</v>
      </c>
      <c r="H311" t="inlineStr">
        <is>
          <t xml:space="preserve">2010-02</t>
        </is>
      </c>
      <c r="I311" s="3">
        <f>INDEX(Monthly!$Q:$Q,MATCH(H311,Monthly!$A:$A,0))</f>
        <v>21.976428571428578</v>
      </c>
      <c r="J311" s="4">
        <f>INDEX(Monthly!$P:$P,MATCH(H311,Monthly!$A:$A,0))</f>
        <v>1.67</v>
      </c>
    </row>
    <row r="312">
      <c r="A312" t="inlineStr">
        <is>
          <t xml:space="preserve">Comayagua — Comayagua department, town of Comayagua</t>
        </is>
      </c>
      <c r="B312" t="inlineStr">
        <is>
          <t xml:space="preserve">2009/10</t>
        </is>
      </c>
      <c r="C312" t="inlineStr">
        <is>
          <t xml:space="preserve">El Niño</t>
        </is>
      </c>
      <c r="D312" t="inlineStr">
        <is>
          <t xml:space="preserve">yes</t>
        </is>
      </c>
      <c r="E312" t="inlineStr">
        <is>
          <t xml:space="preserve">Mar</t>
        </is>
      </c>
      <c r="F312">
        <v>9</v>
      </c>
      <c r="G312">
        <v>2010</v>
      </c>
      <c r="H312" t="inlineStr">
        <is>
          <t xml:space="preserve">2010-03</t>
        </is>
      </c>
      <c r="I312" s="3">
        <f>INDEX(Monthly!$Q:$Q,MATCH(H312,Monthly!$A:$A,0))</f>
        <v>23.02967741935484</v>
      </c>
      <c r="J312" s="4">
        <f>INDEX(Monthly!$P:$P,MATCH(H312,Monthly!$A:$A,0))</f>
        <v>0.995</v>
      </c>
    </row>
    <row r="313">
      <c r="A313" t="inlineStr">
        <is>
          <t xml:space="preserve">Comayagua — Comayagua department, town of Comayagua</t>
        </is>
      </c>
      <c r="B313" t="inlineStr">
        <is>
          <t xml:space="preserve">2009/10</t>
        </is>
      </c>
      <c r="C313" t="inlineStr">
        <is>
          <t xml:space="preserve">El Niño</t>
        </is>
      </c>
      <c r="D313" t="inlineStr">
        <is>
          <t xml:space="preserve">yes</t>
        </is>
      </c>
      <c r="E313" t="inlineStr">
        <is>
          <t xml:space="preserve">Apr</t>
        </is>
      </c>
      <c r="F313">
        <v>10</v>
      </c>
      <c r="G313">
        <v>2010</v>
      </c>
      <c r="H313" t="inlineStr">
        <is>
          <t xml:space="preserve">2010-04</t>
        </is>
      </c>
      <c r="I313" s="3">
        <f>INDEX(Monthly!$Q:$Q,MATCH(H313,Monthly!$A:$A,0))</f>
        <v>24.21766666666667</v>
      </c>
      <c r="J313" s="4">
        <f>INDEX(Monthly!$P:$P,MATCH(H313,Monthly!$A:$A,0))</f>
        <v>111.742</v>
      </c>
    </row>
    <row r="314">
      <c r="A314" t="inlineStr">
        <is>
          <t xml:space="preserve">Comayagua — Comayagua department, town of Comayagua</t>
        </is>
      </c>
      <c r="B314" t="inlineStr">
        <is>
          <t xml:space="preserve">2009/10</t>
        </is>
      </c>
      <c r="C314" t="inlineStr">
        <is>
          <t xml:space="preserve">El Niño</t>
        </is>
      </c>
      <c r="D314" t="inlineStr">
        <is>
          <t xml:space="preserve">yes</t>
        </is>
      </c>
      <c r="E314" t="inlineStr">
        <is>
          <t xml:space="preserve">May</t>
        </is>
      </c>
      <c r="F314">
        <v>11</v>
      </c>
      <c r="G314">
        <v>2010</v>
      </c>
      <c r="H314" t="inlineStr">
        <is>
          <t xml:space="preserve">2010-05</t>
        </is>
      </c>
      <c r="I314" s="3">
        <f>INDEX(Monthly!$Q:$Q,MATCH(H314,Monthly!$A:$A,0))</f>
        <v>24.053548387096768</v>
      </c>
      <c r="J314" s="4">
        <f>INDEX(Monthly!$P:$P,MATCH(H314,Monthly!$A:$A,0))</f>
        <v>320.1</v>
      </c>
    </row>
    <row r="315">
      <c r="A315" t="inlineStr">
        <is>
          <t xml:space="preserve">Comayagua — Comayagua department, town of Comayagua</t>
        </is>
      </c>
      <c r="B315" t="inlineStr">
        <is>
          <t xml:space="preserve">2009/10</t>
        </is>
      </c>
      <c r="C315" t="inlineStr">
        <is>
          <t xml:space="preserve">El Niño</t>
        </is>
      </c>
      <c r="D315" t="inlineStr">
        <is>
          <t xml:space="preserve">yes</t>
        </is>
      </c>
      <c r="E315" t="inlineStr">
        <is>
          <t xml:space="preserve">Jun</t>
        </is>
      </c>
      <c r="F315">
        <v>12</v>
      </c>
      <c r="G315">
        <v>2010</v>
      </c>
      <c r="H315" t="inlineStr">
        <is>
          <t xml:space="preserve">2010-06</t>
        </is>
      </c>
      <c r="I315" s="3">
        <f>INDEX(Monthly!$Q:$Q,MATCH(H315,Monthly!$A:$A,0))</f>
        <v>22.292000000000005</v>
      </c>
      <c r="J315" s="4">
        <f>INDEX(Monthly!$P:$P,MATCH(H315,Monthly!$A:$A,0))</f>
        <v>250.838</v>
      </c>
    </row>
    <row r="316">
      <c r="A316" t="inlineStr">
        <is>
          <t xml:space="preserve">Comayagua — Comayagua department, town of Comayagua</t>
        </is>
      </c>
      <c r="B316" t="inlineStr">
        <is>
          <t xml:space="preserve">2010/11</t>
        </is>
      </c>
      <c r="C316" t="inlineStr">
        <is>
          <t xml:space="preserve">La Niña</t>
        </is>
      </c>
      <c r="D316" t="inlineStr">
        <is>
          <t xml:space="preserve">yes</t>
        </is>
      </c>
      <c r="E316" t="inlineStr">
        <is>
          <t xml:space="preserve">Jul</t>
        </is>
      </c>
      <c r="F316">
        <v>1</v>
      </c>
      <c r="G316">
        <v>2010</v>
      </c>
      <c r="H316" t="inlineStr">
        <is>
          <t xml:space="preserve">2010-07</t>
        </is>
      </c>
      <c r="I316" s="3">
        <f>INDEX(Monthly!$Q:$Q,MATCH(H316,Monthly!$A:$A,0))</f>
        <v>21.72290322580646</v>
      </c>
      <c r="J316" s="4">
        <f>INDEX(Monthly!$P:$P,MATCH(H316,Monthly!$A:$A,0))</f>
        <v>280.249</v>
      </c>
    </row>
    <row r="317">
      <c r="A317" t="inlineStr">
        <is>
          <t xml:space="preserve">Comayagua — Comayagua department, town of Comayagua</t>
        </is>
      </c>
      <c r="B317" t="inlineStr">
        <is>
          <t xml:space="preserve">2010/11</t>
        </is>
      </c>
      <c r="C317" t="inlineStr">
        <is>
          <t xml:space="preserve">La Niña</t>
        </is>
      </c>
      <c r="D317" t="inlineStr">
        <is>
          <t xml:space="preserve">yes</t>
        </is>
      </c>
      <c r="E317" t="inlineStr">
        <is>
          <t xml:space="preserve">Aug</t>
        </is>
      </c>
      <c r="F317">
        <v>2</v>
      </c>
      <c r="G317">
        <v>2010</v>
      </c>
      <c r="H317" t="inlineStr">
        <is>
          <t xml:space="preserve">2010-08</t>
        </is>
      </c>
      <c r="I317" s="3">
        <f>INDEX(Monthly!$Q:$Q,MATCH(H317,Monthly!$A:$A,0))</f>
        <v>21.82709677419355</v>
      </c>
      <c r="J317" s="4">
        <f>INDEX(Monthly!$P:$P,MATCH(H317,Monthly!$A:$A,0))</f>
        <v>274.56</v>
      </c>
    </row>
    <row r="318">
      <c r="A318" t="inlineStr">
        <is>
          <t xml:space="preserve">Comayagua — Comayagua department, town of Comayagua</t>
        </is>
      </c>
      <c r="B318" t="inlineStr">
        <is>
          <t xml:space="preserve">2010/11</t>
        </is>
      </c>
      <c r="C318" t="inlineStr">
        <is>
          <t xml:space="preserve">La Niña</t>
        </is>
      </c>
      <c r="D318" t="inlineStr">
        <is>
          <t xml:space="preserve">yes</t>
        </is>
      </c>
      <c r="E318" t="inlineStr">
        <is>
          <t xml:space="preserve">Sep</t>
        </is>
      </c>
      <c r="F318">
        <v>3</v>
      </c>
      <c r="G318">
        <v>2010</v>
      </c>
      <c r="H318" t="inlineStr">
        <is>
          <t xml:space="preserve">2010-09</t>
        </is>
      </c>
      <c r="I318" s="3">
        <f>INDEX(Monthly!$Q:$Q,MATCH(H318,Monthly!$A:$A,0))</f>
        <v>21.644999999999996</v>
      </c>
      <c r="J318" s="4">
        <f>INDEX(Monthly!$P:$P,MATCH(H318,Monthly!$A:$A,0))</f>
        <v>232.771</v>
      </c>
    </row>
    <row r="319">
      <c r="A319" t="inlineStr">
        <is>
          <t xml:space="preserve">Comayagua — Comayagua department, town of Comayagua</t>
        </is>
      </c>
      <c r="B319" t="inlineStr">
        <is>
          <t xml:space="preserve">2010/11</t>
        </is>
      </c>
      <c r="C319" t="inlineStr">
        <is>
          <t xml:space="preserve">La Niña</t>
        </is>
      </c>
      <c r="D319" t="inlineStr">
        <is>
          <t xml:space="preserve">yes</t>
        </is>
      </c>
      <c r="E319" t="inlineStr">
        <is>
          <t xml:space="preserve">Oct</t>
        </is>
      </c>
      <c r="F319">
        <v>4</v>
      </c>
      <c r="G319">
        <v>2010</v>
      </c>
      <c r="H319" t="inlineStr">
        <is>
          <t xml:space="preserve">2010-10</t>
        </is>
      </c>
      <c r="I319" s="3">
        <f>INDEX(Monthly!$Q:$Q,MATCH(H319,Monthly!$A:$A,0))</f>
        <v>19.763548387096776</v>
      </c>
      <c r="J319" s="4">
        <f>INDEX(Monthly!$P:$P,MATCH(H319,Monthly!$A:$A,0))</f>
        <v>19.304</v>
      </c>
    </row>
    <row r="320">
      <c r="A320" t="inlineStr">
        <is>
          <t xml:space="preserve">Comayagua — Comayagua department, town of Comayagua</t>
        </is>
      </c>
      <c r="B320" t="inlineStr">
        <is>
          <t xml:space="preserve">2010/11</t>
        </is>
      </c>
      <c r="C320" t="inlineStr">
        <is>
          <t xml:space="preserve">La Niña</t>
        </is>
      </c>
      <c r="D320" t="inlineStr">
        <is>
          <t xml:space="preserve">yes</t>
        </is>
      </c>
      <c r="E320" t="inlineStr">
        <is>
          <t xml:space="preserve">Nov</t>
        </is>
      </c>
      <c r="F320">
        <v>5</v>
      </c>
      <c r="G320">
        <v>2010</v>
      </c>
      <c r="H320" t="inlineStr">
        <is>
          <t xml:space="preserve">2010-11</t>
        </is>
      </c>
      <c r="I320" s="3">
        <f>INDEX(Monthly!$Q:$Q,MATCH(H320,Monthly!$A:$A,0))</f>
        <v>18.627666666666666</v>
      </c>
      <c r="J320" s="4">
        <f>INDEX(Monthly!$P:$P,MATCH(H320,Monthly!$A:$A,0))</f>
        <v>7.254</v>
      </c>
    </row>
    <row r="321">
      <c r="A321" t="inlineStr">
        <is>
          <t xml:space="preserve">Comayagua — Comayagua department, town of Comayagua</t>
        </is>
      </c>
      <c r="B321" t="inlineStr">
        <is>
          <t xml:space="preserve">2010/11</t>
        </is>
      </c>
      <c r="C321" t="inlineStr">
        <is>
          <t xml:space="preserve">La Niña</t>
        </is>
      </c>
      <c r="D321" t="inlineStr">
        <is>
          <t xml:space="preserve">yes</t>
        </is>
      </c>
      <c r="E321" t="inlineStr">
        <is>
          <t xml:space="preserve">Dec</t>
        </is>
      </c>
      <c r="F321">
        <v>6</v>
      </c>
      <c r="G321">
        <v>2010</v>
      </c>
      <c r="H321" t="inlineStr">
        <is>
          <t xml:space="preserve">2010-12</t>
        </is>
      </c>
      <c r="I321" s="3">
        <f>INDEX(Monthly!$Q:$Q,MATCH(H321,Monthly!$A:$A,0))</f>
        <v>17.037096774193547</v>
      </c>
      <c r="J321" s="4">
        <f>INDEX(Monthly!$P:$P,MATCH(H321,Monthly!$A:$A,0))</f>
        <v>0.626</v>
      </c>
    </row>
    <row r="322">
      <c r="A322" t="inlineStr">
        <is>
          <t xml:space="preserve">Comayagua — Comayagua department, town of Comayagua</t>
        </is>
      </c>
      <c r="B322" t="inlineStr">
        <is>
          <t xml:space="preserve">2010/11</t>
        </is>
      </c>
      <c r="C322" t="inlineStr">
        <is>
          <t xml:space="preserve">La Niña</t>
        </is>
      </c>
      <c r="D322" t="inlineStr">
        <is>
          <t xml:space="preserve">yes</t>
        </is>
      </c>
      <c r="E322" t="inlineStr">
        <is>
          <t xml:space="preserve">Jan</t>
        </is>
      </c>
      <c r="F322">
        <v>7</v>
      </c>
      <c r="G322">
        <v>2011</v>
      </c>
      <c r="H322" t="inlineStr">
        <is>
          <t xml:space="preserve">2011-01</t>
        </is>
      </c>
      <c r="I322" s="3">
        <f>INDEX(Monthly!$Q:$Q,MATCH(H322,Monthly!$A:$A,0))</f>
        <v>19.704516129032257</v>
      </c>
      <c r="J322" s="4">
        <f>INDEX(Monthly!$P:$P,MATCH(H322,Monthly!$A:$A,0))</f>
        <v>7.491</v>
      </c>
    </row>
    <row r="323">
      <c r="A323" t="inlineStr">
        <is>
          <t xml:space="preserve">Comayagua — Comayagua department, town of Comayagua</t>
        </is>
      </c>
      <c r="B323" t="inlineStr">
        <is>
          <t xml:space="preserve">2010/11</t>
        </is>
      </c>
      <c r="C323" t="inlineStr">
        <is>
          <t xml:space="preserve">La Niña</t>
        </is>
      </c>
      <c r="D323" t="inlineStr">
        <is>
          <t xml:space="preserve">yes</t>
        </is>
      </c>
      <c r="E323" t="inlineStr">
        <is>
          <t xml:space="preserve">Feb</t>
        </is>
      </c>
      <c r="F323">
        <v>8</v>
      </c>
      <c r="G323">
        <v>2011</v>
      </c>
      <c r="H323" t="inlineStr">
        <is>
          <t xml:space="preserve">2011-02</t>
        </is>
      </c>
      <c r="I323" s="3">
        <f>INDEX(Monthly!$Q:$Q,MATCH(H323,Monthly!$A:$A,0))</f>
        <v>20.911071428571432</v>
      </c>
      <c r="J323" s="4">
        <f>INDEX(Monthly!$P:$P,MATCH(H323,Monthly!$A:$A,0))</f>
        <v>31.816</v>
      </c>
    </row>
    <row r="324">
      <c r="A324" t="inlineStr">
        <is>
          <t xml:space="preserve">Comayagua — Comayagua department, town of Comayagua</t>
        </is>
      </c>
      <c r="B324" t="inlineStr">
        <is>
          <t xml:space="preserve">2010/11</t>
        </is>
      </c>
      <c r="C324" t="inlineStr">
        <is>
          <t xml:space="preserve">La Niña</t>
        </is>
      </c>
      <c r="D324" t="inlineStr">
        <is>
          <t xml:space="preserve">yes</t>
        </is>
      </c>
      <c r="E324" t="inlineStr">
        <is>
          <t xml:space="preserve">Mar</t>
        </is>
      </c>
      <c r="F324">
        <v>9</v>
      </c>
      <c r="G324">
        <v>2011</v>
      </c>
      <c r="H324" t="inlineStr">
        <is>
          <t xml:space="preserve">2011-03</t>
        </is>
      </c>
      <c r="I324" s="3">
        <f>INDEX(Monthly!$Q:$Q,MATCH(H324,Monthly!$A:$A,0))</f>
        <v>21.889354838709675</v>
      </c>
      <c r="J324" s="4">
        <f>INDEX(Monthly!$P:$P,MATCH(H324,Monthly!$A:$A,0))</f>
        <v>17.813</v>
      </c>
    </row>
    <row r="325">
      <c r="A325" t="inlineStr">
        <is>
          <t xml:space="preserve">Comayagua — Comayagua department, town of Comayagua</t>
        </is>
      </c>
      <c r="B325" t="inlineStr">
        <is>
          <t xml:space="preserve">2010/11</t>
        </is>
      </c>
      <c r="C325" t="inlineStr">
        <is>
          <t xml:space="preserve">La Niña</t>
        </is>
      </c>
      <c r="D325" t="inlineStr">
        <is>
          <t xml:space="preserve">yes</t>
        </is>
      </c>
      <c r="E325" t="inlineStr">
        <is>
          <t xml:space="preserve">Apr</t>
        </is>
      </c>
      <c r="F325">
        <v>10</v>
      </c>
      <c r="G325">
        <v>2011</v>
      </c>
      <c r="H325" t="inlineStr">
        <is>
          <t xml:space="preserve">2011-04</t>
        </is>
      </c>
      <c r="I325" s="3">
        <f>INDEX(Monthly!$Q:$Q,MATCH(H325,Monthly!$A:$A,0))</f>
        <v>24.286333333333324</v>
      </c>
      <c r="J325" s="4">
        <f>INDEX(Monthly!$P:$P,MATCH(H325,Monthly!$A:$A,0))</f>
        <v>62.379</v>
      </c>
    </row>
    <row r="326">
      <c r="A326" t="inlineStr">
        <is>
          <t xml:space="preserve">Comayagua — Comayagua department, town of Comayagua</t>
        </is>
      </c>
      <c r="B326" t="inlineStr">
        <is>
          <t xml:space="preserve">2010/11</t>
        </is>
      </c>
      <c r="C326" t="inlineStr">
        <is>
          <t xml:space="preserve">La Niña</t>
        </is>
      </c>
      <c r="D326" t="inlineStr">
        <is>
          <t xml:space="preserve">yes</t>
        </is>
      </c>
      <c r="E326" t="inlineStr">
        <is>
          <t xml:space="preserve">May</t>
        </is>
      </c>
      <c r="F326">
        <v>11</v>
      </c>
      <c r="G326">
        <v>2011</v>
      </c>
      <c r="H326" t="inlineStr">
        <is>
          <t xml:space="preserve">2011-05</t>
        </is>
      </c>
      <c r="I326" s="3">
        <f>INDEX(Monthly!$Q:$Q,MATCH(H326,Monthly!$A:$A,0))</f>
        <v>24.112580645161295</v>
      </c>
      <c r="J326" s="4">
        <f>INDEX(Monthly!$P:$P,MATCH(H326,Monthly!$A:$A,0))</f>
        <v>114.301</v>
      </c>
    </row>
    <row r="327">
      <c r="A327" t="inlineStr">
        <is>
          <t xml:space="preserve">Comayagua — Comayagua department, town of Comayagua</t>
        </is>
      </c>
      <c r="B327" t="inlineStr">
        <is>
          <t xml:space="preserve">2010/11</t>
        </is>
      </c>
      <c r="C327" t="inlineStr">
        <is>
          <t xml:space="preserve">La Niña</t>
        </is>
      </c>
      <c r="D327" t="inlineStr">
        <is>
          <t xml:space="preserve">yes</t>
        </is>
      </c>
      <c r="E327" t="inlineStr">
        <is>
          <t xml:space="preserve">Jun</t>
        </is>
      </c>
      <c r="F327">
        <v>12</v>
      </c>
      <c r="G327">
        <v>2011</v>
      </c>
      <c r="H327" t="inlineStr">
        <is>
          <t xml:space="preserve">2011-06</t>
        </is>
      </c>
      <c r="I327" s="3">
        <f>INDEX(Monthly!$Q:$Q,MATCH(H327,Monthly!$A:$A,0))</f>
        <v>22.604</v>
      </c>
      <c r="J327" s="4">
        <f>INDEX(Monthly!$P:$P,MATCH(H327,Monthly!$A:$A,0))</f>
        <v>257.146</v>
      </c>
    </row>
    <row r="328">
      <c r="A328" t="inlineStr">
        <is>
          <t xml:space="preserve">Comayagua — Comayagua department, town of Comayagua</t>
        </is>
      </c>
      <c r="B328" t="inlineStr">
        <is>
          <t xml:space="preserve">2011/12</t>
        </is>
      </c>
      <c r="C328" t="inlineStr">
        <is>
          <t xml:space="preserve">La Niña</t>
        </is>
      </c>
      <c r="D328" t="inlineStr">
        <is>
          <t xml:space="preserve">yes</t>
        </is>
      </c>
      <c r="E328" t="inlineStr">
        <is>
          <t xml:space="preserve">Jul</t>
        </is>
      </c>
      <c r="F328">
        <v>1</v>
      </c>
      <c r="G328">
        <v>2011</v>
      </c>
      <c r="H328" t="inlineStr">
        <is>
          <t xml:space="preserve">2011-07</t>
        </is>
      </c>
      <c r="I328" s="3">
        <f>INDEX(Monthly!$Q:$Q,MATCH(H328,Monthly!$A:$A,0))</f>
        <v>21.600967741935484</v>
      </c>
      <c r="J328" s="4">
        <f>INDEX(Monthly!$P:$P,MATCH(H328,Monthly!$A:$A,0))</f>
        <v>287.013</v>
      </c>
    </row>
    <row r="329">
      <c r="A329" t="inlineStr">
        <is>
          <t xml:space="preserve">Comayagua — Comayagua department, town of Comayagua</t>
        </is>
      </c>
      <c r="B329" t="inlineStr">
        <is>
          <t xml:space="preserve">2011/12</t>
        </is>
      </c>
      <c r="C329" t="inlineStr">
        <is>
          <t xml:space="preserve">La Niña</t>
        </is>
      </c>
      <c r="D329" t="inlineStr">
        <is>
          <t xml:space="preserve">yes</t>
        </is>
      </c>
      <c r="E329" t="inlineStr">
        <is>
          <t xml:space="preserve">Aug</t>
        </is>
      </c>
      <c r="F329">
        <v>2</v>
      </c>
      <c r="G329">
        <v>2011</v>
      </c>
      <c r="H329" t="inlineStr">
        <is>
          <t xml:space="preserve">2011-08</t>
        </is>
      </c>
      <c r="I329" s="3">
        <f>INDEX(Monthly!$Q:$Q,MATCH(H329,Monthly!$A:$A,0))</f>
        <v>22.11935483870968</v>
      </c>
      <c r="J329" s="4">
        <f>INDEX(Monthly!$P:$P,MATCH(H329,Monthly!$A:$A,0))</f>
        <v>196.656</v>
      </c>
    </row>
    <row r="330">
      <c r="A330" t="inlineStr">
        <is>
          <t xml:space="preserve">Comayagua — Comayagua department, town of Comayagua</t>
        </is>
      </c>
      <c r="B330" t="inlineStr">
        <is>
          <t xml:space="preserve">2011/12</t>
        </is>
      </c>
      <c r="C330" t="inlineStr">
        <is>
          <t xml:space="preserve">La Niña</t>
        </is>
      </c>
      <c r="D330" t="inlineStr">
        <is>
          <t xml:space="preserve">yes</t>
        </is>
      </c>
      <c r="E330" t="inlineStr">
        <is>
          <t xml:space="preserve">Sep</t>
        </is>
      </c>
      <c r="F330">
        <v>3</v>
      </c>
      <c r="G330">
        <v>2011</v>
      </c>
      <c r="H330" t="inlineStr">
        <is>
          <t xml:space="preserve">2011-09</t>
        </is>
      </c>
      <c r="I330" s="3">
        <f>INDEX(Monthly!$Q:$Q,MATCH(H330,Monthly!$A:$A,0))</f>
        <v>21.697999999999993</v>
      </c>
      <c r="J330" s="4">
        <f>INDEX(Monthly!$P:$P,MATCH(H330,Monthly!$A:$A,0))</f>
        <v>260.758</v>
      </c>
    </row>
    <row r="331">
      <c r="A331" t="inlineStr">
        <is>
          <t xml:space="preserve">Comayagua — Comayagua department, town of Comayagua</t>
        </is>
      </c>
      <c r="B331" t="inlineStr">
        <is>
          <t xml:space="preserve">2011/12</t>
        </is>
      </c>
      <c r="C331" t="inlineStr">
        <is>
          <t xml:space="preserve">La Niña</t>
        </is>
      </c>
      <c r="D331" t="inlineStr">
        <is>
          <t xml:space="preserve">yes</t>
        </is>
      </c>
      <c r="E331" t="inlineStr">
        <is>
          <t xml:space="preserve">Oct</t>
        </is>
      </c>
      <c r="F331">
        <v>4</v>
      </c>
      <c r="G331">
        <v>2011</v>
      </c>
      <c r="H331" t="inlineStr">
        <is>
          <t xml:space="preserve">2011-10</t>
        </is>
      </c>
      <c r="I331" s="3">
        <f>INDEX(Monthly!$Q:$Q,MATCH(H331,Monthly!$A:$A,0))</f>
        <v>19.907096774193548</v>
      </c>
      <c r="J331" s="4">
        <f>INDEX(Monthly!$P:$P,MATCH(H331,Monthly!$A:$A,0))</f>
        <v>206.703</v>
      </c>
    </row>
    <row r="332">
      <c r="A332" t="inlineStr">
        <is>
          <t xml:space="preserve">Comayagua — Comayagua department, town of Comayagua</t>
        </is>
      </c>
      <c r="B332" t="inlineStr">
        <is>
          <t xml:space="preserve">2011/12</t>
        </is>
      </c>
      <c r="C332" t="inlineStr">
        <is>
          <t xml:space="preserve">La Niña</t>
        </is>
      </c>
      <c r="D332" t="inlineStr">
        <is>
          <t xml:space="preserve">yes</t>
        </is>
      </c>
      <c r="E332" t="inlineStr">
        <is>
          <t xml:space="preserve">Nov</t>
        </is>
      </c>
      <c r="F332">
        <v>5</v>
      </c>
      <c r="G332">
        <v>2011</v>
      </c>
      <c r="H332" t="inlineStr">
        <is>
          <t xml:space="preserve">2011-11</t>
        </is>
      </c>
      <c r="I332" s="3">
        <f>INDEX(Monthly!$Q:$Q,MATCH(H332,Monthly!$A:$A,0))</f>
        <v>18.920333333333335</v>
      </c>
      <c r="J332" s="4">
        <f>INDEX(Monthly!$P:$P,MATCH(H332,Monthly!$A:$A,0))</f>
        <v>39.889</v>
      </c>
    </row>
    <row r="333">
      <c r="A333" t="inlineStr">
        <is>
          <t xml:space="preserve">Comayagua — Comayagua department, town of Comayagua</t>
        </is>
      </c>
      <c r="B333" t="inlineStr">
        <is>
          <t xml:space="preserve">2011/12</t>
        </is>
      </c>
      <c r="C333" t="inlineStr">
        <is>
          <t xml:space="preserve">La Niña</t>
        </is>
      </c>
      <c r="D333" t="inlineStr">
        <is>
          <t xml:space="preserve">yes</t>
        </is>
      </c>
      <c r="E333" t="inlineStr">
        <is>
          <t xml:space="preserve">Dec</t>
        </is>
      </c>
      <c r="F333">
        <v>6</v>
      </c>
      <c r="G333">
        <v>2011</v>
      </c>
      <c r="H333" t="inlineStr">
        <is>
          <t xml:space="preserve">2011-12</t>
        </is>
      </c>
      <c r="I333" s="3">
        <f>INDEX(Monthly!$Q:$Q,MATCH(H333,Monthly!$A:$A,0))</f>
        <v>18.1658064516129</v>
      </c>
      <c r="J333" s="4">
        <f>INDEX(Monthly!$P:$P,MATCH(H333,Monthly!$A:$A,0))</f>
        <v>1.438</v>
      </c>
    </row>
    <row r="334">
      <c r="A334" t="inlineStr">
        <is>
          <t xml:space="preserve">Comayagua — Comayagua department, town of Comayagua</t>
        </is>
      </c>
      <c r="B334" t="inlineStr">
        <is>
          <t xml:space="preserve">2011/12</t>
        </is>
      </c>
      <c r="C334" t="inlineStr">
        <is>
          <t xml:space="preserve">La Niña</t>
        </is>
      </c>
      <c r="D334" t="inlineStr">
        <is>
          <t xml:space="preserve">yes</t>
        </is>
      </c>
      <c r="E334" t="inlineStr">
        <is>
          <t xml:space="preserve">Jan</t>
        </is>
      </c>
      <c r="F334">
        <v>7</v>
      </c>
      <c r="G334">
        <v>2012</v>
      </c>
      <c r="H334" t="inlineStr">
        <is>
          <t xml:space="preserve">2012-01</t>
        </is>
      </c>
      <c r="I334" s="3">
        <f>INDEX(Monthly!$Q:$Q,MATCH(H334,Monthly!$A:$A,0))</f>
        <v>18.992258064516125</v>
      </c>
      <c r="J334" s="4">
        <f>INDEX(Monthly!$P:$P,MATCH(H334,Monthly!$A:$A,0))</f>
        <v>0.812</v>
      </c>
    </row>
    <row r="335">
      <c r="A335" t="inlineStr">
        <is>
          <t xml:space="preserve">Comayagua — Comayagua department, town of Comayagua</t>
        </is>
      </c>
      <c r="B335" t="inlineStr">
        <is>
          <t xml:space="preserve">2011/12</t>
        </is>
      </c>
      <c r="C335" t="inlineStr">
        <is>
          <t xml:space="preserve">La Niña</t>
        </is>
      </c>
      <c r="D335" t="inlineStr">
        <is>
          <t xml:space="preserve">yes</t>
        </is>
      </c>
      <c r="E335" t="inlineStr">
        <is>
          <t xml:space="preserve">Feb</t>
        </is>
      </c>
      <c r="F335">
        <v>8</v>
      </c>
      <c r="G335">
        <v>2012</v>
      </c>
      <c r="H335" t="inlineStr">
        <is>
          <t xml:space="preserve">2012-02</t>
        </is>
      </c>
      <c r="I335" s="3">
        <f>INDEX(Monthly!$Q:$Q,MATCH(H335,Monthly!$A:$A,0))</f>
        <v>21.104482758620687</v>
      </c>
      <c r="J335" s="4">
        <f>INDEX(Monthly!$P:$P,MATCH(H335,Monthly!$A:$A,0))</f>
        <v>1.852</v>
      </c>
    </row>
    <row r="336">
      <c r="A336" t="inlineStr">
        <is>
          <t xml:space="preserve">Comayagua — Comayagua department, town of Comayagua</t>
        </is>
      </c>
      <c r="B336" t="inlineStr">
        <is>
          <t xml:space="preserve">2011/12</t>
        </is>
      </c>
      <c r="C336" t="inlineStr">
        <is>
          <t xml:space="preserve">La Niña</t>
        </is>
      </c>
      <c r="D336" t="inlineStr">
        <is>
          <t xml:space="preserve">yes</t>
        </is>
      </c>
      <c r="E336" t="inlineStr">
        <is>
          <t xml:space="preserve">Mar</t>
        </is>
      </c>
      <c r="F336">
        <v>9</v>
      </c>
      <c r="G336">
        <v>2012</v>
      </c>
      <c r="H336" t="inlineStr">
        <is>
          <t xml:space="preserve">2012-03</t>
        </is>
      </c>
      <c r="I336" s="3">
        <f>INDEX(Monthly!$Q:$Q,MATCH(H336,Monthly!$A:$A,0))</f>
        <v>22.529677419354837</v>
      </c>
      <c r="J336" s="4">
        <f>INDEX(Monthly!$P:$P,MATCH(H336,Monthly!$A:$A,0))</f>
        <v>8.166</v>
      </c>
    </row>
    <row r="337">
      <c r="A337" t="inlineStr">
        <is>
          <t xml:space="preserve">Comayagua — Comayagua department, town of Comayagua</t>
        </is>
      </c>
      <c r="B337" t="inlineStr">
        <is>
          <t xml:space="preserve">2011/12</t>
        </is>
      </c>
      <c r="C337" t="inlineStr">
        <is>
          <t xml:space="preserve">La Niña</t>
        </is>
      </c>
      <c r="D337" t="inlineStr">
        <is>
          <t xml:space="preserve">yes</t>
        </is>
      </c>
      <c r="E337" t="inlineStr">
        <is>
          <t xml:space="preserve">Apr</t>
        </is>
      </c>
      <c r="F337">
        <v>10</v>
      </c>
      <c r="G337">
        <v>2012</v>
      </c>
      <c r="H337" t="inlineStr">
        <is>
          <t xml:space="preserve">2012-04</t>
        </is>
      </c>
      <c r="I337" s="3">
        <f>INDEX(Monthly!$Q:$Q,MATCH(H337,Monthly!$A:$A,0))</f>
        <v>23.510666666666662</v>
      </c>
      <c r="J337" s="4">
        <f>INDEX(Monthly!$P:$P,MATCH(H337,Monthly!$A:$A,0))</f>
        <v>92.497</v>
      </c>
    </row>
    <row r="338">
      <c r="A338" t="inlineStr">
        <is>
          <t xml:space="preserve">Comayagua — Comayagua department, town of Comayagua</t>
        </is>
      </c>
      <c r="B338" t="inlineStr">
        <is>
          <t xml:space="preserve">2011/12</t>
        </is>
      </c>
      <c r="C338" t="inlineStr">
        <is>
          <t xml:space="preserve">La Niña</t>
        </is>
      </c>
      <c r="D338" t="inlineStr">
        <is>
          <t xml:space="preserve">yes</t>
        </is>
      </c>
      <c r="E338" t="inlineStr">
        <is>
          <t xml:space="preserve">May</t>
        </is>
      </c>
      <c r="F338">
        <v>11</v>
      </c>
      <c r="G338">
        <v>2012</v>
      </c>
      <c r="H338" t="inlineStr">
        <is>
          <t xml:space="preserve">2012-05</t>
        </is>
      </c>
      <c r="I338" s="3">
        <f>INDEX(Monthly!$Q:$Q,MATCH(H338,Monthly!$A:$A,0))</f>
        <v>23.38677419354839</v>
      </c>
      <c r="J338" s="4">
        <f>INDEX(Monthly!$P:$P,MATCH(H338,Monthly!$A:$A,0))</f>
        <v>221.187</v>
      </c>
    </row>
    <row r="339">
      <c r="A339" t="inlineStr">
        <is>
          <t xml:space="preserve">Comayagua — Comayagua department, town of Comayagua</t>
        </is>
      </c>
      <c r="B339" t="inlineStr">
        <is>
          <t xml:space="preserve">2011/12</t>
        </is>
      </c>
      <c r="C339" t="inlineStr">
        <is>
          <t xml:space="preserve">La Niña</t>
        </is>
      </c>
      <c r="D339" t="inlineStr">
        <is>
          <t xml:space="preserve">yes</t>
        </is>
      </c>
      <c r="E339" t="inlineStr">
        <is>
          <t xml:space="preserve">Jun</t>
        </is>
      </c>
      <c r="F339">
        <v>12</v>
      </c>
      <c r="G339">
        <v>2012</v>
      </c>
      <c r="H339" t="inlineStr">
        <is>
          <t xml:space="preserve">2012-06</t>
        </is>
      </c>
      <c r="I339" s="3">
        <f>INDEX(Monthly!$Q:$Q,MATCH(H339,Monthly!$A:$A,0))</f>
        <v>22.377000000000002</v>
      </c>
      <c r="J339" s="4">
        <f>INDEX(Monthly!$P:$P,MATCH(H339,Monthly!$A:$A,0))</f>
        <v>114.424</v>
      </c>
    </row>
    <row r="340">
      <c r="A340" t="inlineStr">
        <is>
          <t xml:space="preserve">Comayagua — Comayagua department, town of Comayagua</t>
        </is>
      </c>
      <c r="B340" t="inlineStr">
        <is>
          <t xml:space="preserve">2012/13</t>
        </is>
      </c>
      <c r="C340" t="inlineStr">
        <is>
          <t xml:space="preserve">Neutral</t>
        </is>
      </c>
      <c r="D340" t="inlineStr">
        <is>
          <t xml:space="preserve">yes</t>
        </is>
      </c>
      <c r="E340" t="inlineStr">
        <is>
          <t xml:space="preserve">Jul</t>
        </is>
      </c>
      <c r="F340">
        <v>1</v>
      </c>
      <c r="G340">
        <v>2012</v>
      </c>
      <c r="H340" t="inlineStr">
        <is>
          <t xml:space="preserve">2012-07</t>
        </is>
      </c>
      <c r="I340" s="3">
        <f>INDEX(Monthly!$Q:$Q,MATCH(H340,Monthly!$A:$A,0))</f>
        <v>22.291612903225808</v>
      </c>
      <c r="J340" s="4">
        <f>INDEX(Monthly!$P:$P,MATCH(H340,Monthly!$A:$A,0))</f>
        <v>57.525</v>
      </c>
    </row>
    <row r="341">
      <c r="A341" t="inlineStr">
        <is>
          <t xml:space="preserve">Comayagua — Comayagua department, town of Comayagua</t>
        </is>
      </c>
      <c r="B341" t="inlineStr">
        <is>
          <t xml:space="preserve">2012/13</t>
        </is>
      </c>
      <c r="C341" t="inlineStr">
        <is>
          <t xml:space="preserve">Neutral</t>
        </is>
      </c>
      <c r="D341" t="inlineStr">
        <is>
          <t xml:space="preserve">yes</t>
        </is>
      </c>
      <c r="E341" t="inlineStr">
        <is>
          <t xml:space="preserve">Aug</t>
        </is>
      </c>
      <c r="F341">
        <v>2</v>
      </c>
      <c r="G341">
        <v>2012</v>
      </c>
      <c r="H341" t="inlineStr">
        <is>
          <t xml:space="preserve">2012-08</t>
        </is>
      </c>
      <c r="I341" s="3">
        <f>INDEX(Monthly!$Q:$Q,MATCH(H341,Monthly!$A:$A,0))</f>
        <v>22.382903225806455</v>
      </c>
      <c r="J341" s="4">
        <f>INDEX(Monthly!$P:$P,MATCH(H341,Monthly!$A:$A,0))</f>
        <v>260.43</v>
      </c>
    </row>
    <row r="342">
      <c r="A342" t="inlineStr">
        <is>
          <t xml:space="preserve">Comayagua — Comayagua department, town of Comayagua</t>
        </is>
      </c>
      <c r="B342" t="inlineStr">
        <is>
          <t xml:space="preserve">2012/13</t>
        </is>
      </c>
      <c r="C342" t="inlineStr">
        <is>
          <t xml:space="preserve">Neutral</t>
        </is>
      </c>
      <c r="D342" t="inlineStr">
        <is>
          <t xml:space="preserve">yes</t>
        </is>
      </c>
      <c r="E342" t="inlineStr">
        <is>
          <t xml:space="preserve">Sep</t>
        </is>
      </c>
      <c r="F342">
        <v>3</v>
      </c>
      <c r="G342">
        <v>2012</v>
      </c>
      <c r="H342" t="inlineStr">
        <is>
          <t xml:space="preserve">2012-09</t>
        </is>
      </c>
      <c r="I342" s="3">
        <f>INDEX(Monthly!$Q:$Q,MATCH(H342,Monthly!$A:$A,0))</f>
        <v>21.88033333333334</v>
      </c>
      <c r="J342" s="4">
        <f>INDEX(Monthly!$P:$P,MATCH(H342,Monthly!$A:$A,0))</f>
        <v>129.681</v>
      </c>
    </row>
    <row r="343">
      <c r="A343" t="inlineStr">
        <is>
          <t xml:space="preserve">Comayagua — Comayagua department, town of Comayagua</t>
        </is>
      </c>
      <c r="B343" t="inlineStr">
        <is>
          <t xml:space="preserve">2012/13</t>
        </is>
      </c>
      <c r="C343" t="inlineStr">
        <is>
          <t xml:space="preserve">Neutral</t>
        </is>
      </c>
      <c r="D343" t="inlineStr">
        <is>
          <t xml:space="preserve">yes</t>
        </is>
      </c>
      <c r="E343" t="inlineStr">
        <is>
          <t xml:space="preserve">Oct</t>
        </is>
      </c>
      <c r="F343">
        <v>4</v>
      </c>
      <c r="G343">
        <v>2012</v>
      </c>
      <c r="H343" t="inlineStr">
        <is>
          <t xml:space="preserve">2012-10</t>
        </is>
      </c>
      <c r="I343" s="3">
        <f>INDEX(Monthly!$Q:$Q,MATCH(H343,Monthly!$A:$A,0))</f>
        <v>20.748709677419356</v>
      </c>
      <c r="J343" s="4">
        <f>INDEX(Monthly!$P:$P,MATCH(H343,Monthly!$A:$A,0))</f>
        <v>204.47</v>
      </c>
    </row>
    <row r="344">
      <c r="A344" t="inlineStr">
        <is>
          <t xml:space="preserve">Comayagua — Comayagua department, town of Comayagua</t>
        </is>
      </c>
      <c r="B344" t="inlineStr">
        <is>
          <t xml:space="preserve">2012/13</t>
        </is>
      </c>
      <c r="C344" t="inlineStr">
        <is>
          <t xml:space="preserve">Neutral</t>
        </is>
      </c>
      <c r="D344" t="inlineStr">
        <is>
          <t xml:space="preserve">yes</t>
        </is>
      </c>
      <c r="E344" t="inlineStr">
        <is>
          <t xml:space="preserve">Nov</t>
        </is>
      </c>
      <c r="F344">
        <v>5</v>
      </c>
      <c r="G344">
        <v>2012</v>
      </c>
      <c r="H344" t="inlineStr">
        <is>
          <t xml:space="preserve">2012-11</t>
        </is>
      </c>
      <c r="I344" s="3">
        <f>INDEX(Monthly!$Q:$Q,MATCH(H344,Monthly!$A:$A,0))</f>
        <v>18.62366666666666</v>
      </c>
      <c r="J344" s="4">
        <f>INDEX(Monthly!$P:$P,MATCH(H344,Monthly!$A:$A,0))</f>
        <v>12.4</v>
      </c>
    </row>
    <row r="345">
      <c r="A345" t="inlineStr">
        <is>
          <t xml:space="preserve">Comayagua — Comayagua department, town of Comayagua</t>
        </is>
      </c>
      <c r="B345" t="inlineStr">
        <is>
          <t xml:space="preserve">2012/13</t>
        </is>
      </c>
      <c r="C345" t="inlineStr">
        <is>
          <t xml:space="preserve">Neutral</t>
        </is>
      </c>
      <c r="D345" t="inlineStr">
        <is>
          <t xml:space="preserve">yes</t>
        </is>
      </c>
      <c r="E345" t="inlineStr">
        <is>
          <t xml:space="preserve">Dec</t>
        </is>
      </c>
      <c r="F345">
        <v>6</v>
      </c>
      <c r="G345">
        <v>2012</v>
      </c>
      <c r="H345" t="inlineStr">
        <is>
          <t xml:space="preserve">2012-12</t>
        </is>
      </c>
      <c r="I345" s="3">
        <f>INDEX(Monthly!$Q:$Q,MATCH(H345,Monthly!$A:$A,0))</f>
        <v>19.63516129032258</v>
      </c>
      <c r="J345" s="4">
        <f>INDEX(Monthly!$P:$P,MATCH(H345,Monthly!$A:$A,0))</f>
        <v>33.902</v>
      </c>
    </row>
    <row r="346">
      <c r="A346" t="inlineStr">
        <is>
          <t xml:space="preserve">Comayagua — Comayagua department, town of Comayagua</t>
        </is>
      </c>
      <c r="B346" t="inlineStr">
        <is>
          <t xml:space="preserve">2012/13</t>
        </is>
      </c>
      <c r="C346" t="inlineStr">
        <is>
          <t xml:space="preserve">Neutral</t>
        </is>
      </c>
      <c r="D346" t="inlineStr">
        <is>
          <t xml:space="preserve">yes</t>
        </is>
      </c>
      <c r="E346" t="inlineStr">
        <is>
          <t xml:space="preserve">Jan</t>
        </is>
      </c>
      <c r="F346">
        <v>7</v>
      </c>
      <c r="G346">
        <v>2013</v>
      </c>
      <c r="H346" t="inlineStr">
        <is>
          <t xml:space="preserve">2013-01</t>
        </is>
      </c>
      <c r="I346" s="3">
        <f>INDEX(Monthly!$Q:$Q,MATCH(H346,Monthly!$A:$A,0))</f>
        <v>20.003870967741932</v>
      </c>
      <c r="J346" s="4">
        <f>INDEX(Monthly!$P:$P,MATCH(H346,Monthly!$A:$A,0))</f>
        <v>7.226</v>
      </c>
    </row>
    <row r="347">
      <c r="A347" t="inlineStr">
        <is>
          <t xml:space="preserve">Comayagua — Comayagua department, town of Comayagua</t>
        </is>
      </c>
      <c r="B347" t="inlineStr">
        <is>
          <t xml:space="preserve">2012/13</t>
        </is>
      </c>
      <c r="C347" t="inlineStr">
        <is>
          <t xml:space="preserve">Neutral</t>
        </is>
      </c>
      <c r="D347" t="inlineStr">
        <is>
          <t xml:space="preserve">yes</t>
        </is>
      </c>
      <c r="E347" t="inlineStr">
        <is>
          <t xml:space="preserve">Feb</t>
        </is>
      </c>
      <c r="F347">
        <v>8</v>
      </c>
      <c r="G347">
        <v>2013</v>
      </c>
      <c r="H347" t="inlineStr">
        <is>
          <t xml:space="preserve">2013-02</t>
        </is>
      </c>
      <c r="I347" s="3">
        <f>INDEX(Monthly!$Q:$Q,MATCH(H347,Monthly!$A:$A,0))</f>
        <v>21.887142857142855</v>
      </c>
      <c r="J347" s="4">
        <f>INDEX(Monthly!$P:$P,MATCH(H347,Monthly!$A:$A,0))</f>
        <v>3.569</v>
      </c>
    </row>
    <row r="348">
      <c r="A348" t="inlineStr">
        <is>
          <t xml:space="preserve">Comayagua — Comayagua department, town of Comayagua</t>
        </is>
      </c>
      <c r="B348" t="inlineStr">
        <is>
          <t xml:space="preserve">2012/13</t>
        </is>
      </c>
      <c r="C348" t="inlineStr">
        <is>
          <t xml:space="preserve">Neutral</t>
        </is>
      </c>
      <c r="D348" t="inlineStr">
        <is>
          <t xml:space="preserve">yes</t>
        </is>
      </c>
      <c r="E348" t="inlineStr">
        <is>
          <t xml:space="preserve">Mar</t>
        </is>
      </c>
      <c r="F348">
        <v>9</v>
      </c>
      <c r="G348">
        <v>2013</v>
      </c>
      <c r="H348" t="inlineStr">
        <is>
          <t xml:space="preserve">2013-03</t>
        </is>
      </c>
      <c r="I348" s="3">
        <f>INDEX(Monthly!$Q:$Q,MATCH(H348,Monthly!$A:$A,0))</f>
        <v>21.816774193548376</v>
      </c>
      <c r="J348" s="4">
        <f>INDEX(Monthly!$P:$P,MATCH(H348,Monthly!$A:$A,0))</f>
        <v>23.84</v>
      </c>
    </row>
    <row r="349">
      <c r="A349" t="inlineStr">
        <is>
          <t xml:space="preserve">Comayagua — Comayagua department, town of Comayagua</t>
        </is>
      </c>
      <c r="B349" t="inlineStr">
        <is>
          <t xml:space="preserve">2012/13</t>
        </is>
      </c>
      <c r="C349" t="inlineStr">
        <is>
          <t xml:space="preserve">Neutral</t>
        </is>
      </c>
      <c r="D349" t="inlineStr">
        <is>
          <t xml:space="preserve">yes</t>
        </is>
      </c>
      <c r="E349" t="inlineStr">
        <is>
          <t xml:space="preserve">Apr</t>
        </is>
      </c>
      <c r="F349">
        <v>10</v>
      </c>
      <c r="G349">
        <v>2013</v>
      </c>
      <c r="H349" t="inlineStr">
        <is>
          <t xml:space="preserve">2013-04</t>
        </is>
      </c>
      <c r="I349" s="3">
        <f>INDEX(Monthly!$Q:$Q,MATCH(H349,Monthly!$A:$A,0))</f>
        <v>25.029666666666667</v>
      </c>
      <c r="J349" s="4">
        <f>INDEX(Monthly!$P:$P,MATCH(H349,Monthly!$A:$A,0))</f>
        <v>23.036</v>
      </c>
    </row>
    <row r="350">
      <c r="A350" t="inlineStr">
        <is>
          <t xml:space="preserve">Comayagua — Comayagua department, town of Comayagua</t>
        </is>
      </c>
      <c r="B350" t="inlineStr">
        <is>
          <t xml:space="preserve">2012/13</t>
        </is>
      </c>
      <c r="C350" t="inlineStr">
        <is>
          <t xml:space="preserve">Neutral</t>
        </is>
      </c>
      <c r="D350" t="inlineStr">
        <is>
          <t xml:space="preserve">yes</t>
        </is>
      </c>
      <c r="E350" t="inlineStr">
        <is>
          <t xml:space="preserve">May</t>
        </is>
      </c>
      <c r="F350">
        <v>11</v>
      </c>
      <c r="G350">
        <v>2013</v>
      </c>
      <c r="H350" t="inlineStr">
        <is>
          <t xml:space="preserve">2013-05</t>
        </is>
      </c>
      <c r="I350" s="3">
        <f>INDEX(Monthly!$Q:$Q,MATCH(H350,Monthly!$A:$A,0))</f>
        <v>23.851612903225803</v>
      </c>
      <c r="J350" s="4">
        <f>INDEX(Monthly!$P:$P,MATCH(H350,Monthly!$A:$A,0))</f>
        <v>215.504</v>
      </c>
    </row>
    <row r="351">
      <c r="A351" t="inlineStr">
        <is>
          <t xml:space="preserve">Comayagua — Comayagua department, town of Comayagua</t>
        </is>
      </c>
      <c r="B351" t="inlineStr">
        <is>
          <t xml:space="preserve">2012/13</t>
        </is>
      </c>
      <c r="C351" t="inlineStr">
        <is>
          <t xml:space="preserve">Neutral</t>
        </is>
      </c>
      <c r="D351" t="inlineStr">
        <is>
          <t xml:space="preserve">yes</t>
        </is>
      </c>
      <c r="E351" t="inlineStr">
        <is>
          <t xml:space="preserve">Jun</t>
        </is>
      </c>
      <c r="F351">
        <v>12</v>
      </c>
      <c r="G351">
        <v>2013</v>
      </c>
      <c r="H351" t="inlineStr">
        <is>
          <t xml:space="preserve">2013-06</t>
        </is>
      </c>
      <c r="I351" s="3">
        <f>INDEX(Monthly!$Q:$Q,MATCH(H351,Monthly!$A:$A,0))</f>
        <v>22.17833333333333</v>
      </c>
      <c r="J351" s="4">
        <f>INDEX(Monthly!$P:$P,MATCH(H351,Monthly!$A:$A,0))</f>
        <v>128.901</v>
      </c>
    </row>
    <row r="352">
      <c r="A352" t="inlineStr">
        <is>
          <t xml:space="preserve">Comayagua — Comayagua department, town of Comayagua</t>
        </is>
      </c>
      <c r="B352" t="inlineStr">
        <is>
          <t xml:space="preserve">2013/14</t>
        </is>
      </c>
      <c r="C352" t="inlineStr">
        <is>
          <t xml:space="preserve">Neutral</t>
        </is>
      </c>
      <c r="D352" t="inlineStr">
        <is>
          <t xml:space="preserve">yes</t>
        </is>
      </c>
      <c r="E352" t="inlineStr">
        <is>
          <t xml:space="preserve">Jul</t>
        </is>
      </c>
      <c r="F352">
        <v>1</v>
      </c>
      <c r="G352">
        <v>2013</v>
      </c>
      <c r="H352" t="inlineStr">
        <is>
          <t xml:space="preserve">2013-07</t>
        </is>
      </c>
      <c r="I352" s="3">
        <f>INDEX(Monthly!$Q:$Q,MATCH(H352,Monthly!$A:$A,0))</f>
        <v>22.00193548387097</v>
      </c>
      <c r="J352" s="4">
        <f>INDEX(Monthly!$P:$P,MATCH(H352,Monthly!$A:$A,0))</f>
        <v>81.626</v>
      </c>
    </row>
    <row r="353">
      <c r="A353" t="inlineStr">
        <is>
          <t xml:space="preserve">Comayagua — Comayagua department, town of Comayagua</t>
        </is>
      </c>
      <c r="B353" t="inlineStr">
        <is>
          <t xml:space="preserve">2013/14</t>
        </is>
      </c>
      <c r="C353" t="inlineStr">
        <is>
          <t xml:space="preserve">Neutral</t>
        </is>
      </c>
      <c r="D353" t="inlineStr">
        <is>
          <t xml:space="preserve">yes</t>
        </is>
      </c>
      <c r="E353" t="inlineStr">
        <is>
          <t xml:space="preserve">Aug</t>
        </is>
      </c>
      <c r="F353">
        <v>2</v>
      </c>
      <c r="G353">
        <v>2013</v>
      </c>
      <c r="H353" t="inlineStr">
        <is>
          <t xml:space="preserve">2013-08</t>
        </is>
      </c>
      <c r="I353" s="3">
        <f>INDEX(Monthly!$Q:$Q,MATCH(H353,Monthly!$A:$A,0))</f>
        <v>22.588064516129034</v>
      </c>
      <c r="J353" s="4">
        <f>INDEX(Monthly!$P:$P,MATCH(H353,Monthly!$A:$A,0))</f>
        <v>173.755</v>
      </c>
    </row>
    <row r="354">
      <c r="A354" t="inlineStr">
        <is>
          <t xml:space="preserve">Comayagua — Comayagua department, town of Comayagua</t>
        </is>
      </c>
      <c r="B354" t="inlineStr">
        <is>
          <t xml:space="preserve">2013/14</t>
        </is>
      </c>
      <c r="C354" t="inlineStr">
        <is>
          <t xml:space="preserve">Neutral</t>
        </is>
      </c>
      <c r="D354" t="inlineStr">
        <is>
          <t xml:space="preserve">yes</t>
        </is>
      </c>
      <c r="E354" t="inlineStr">
        <is>
          <t xml:space="preserve">Sep</t>
        </is>
      </c>
      <c r="F354">
        <v>3</v>
      </c>
      <c r="G354">
        <v>2013</v>
      </c>
      <c r="H354" t="inlineStr">
        <is>
          <t xml:space="preserve">2013-09</t>
        </is>
      </c>
      <c r="I354" s="3">
        <f>INDEX(Monthly!$Q:$Q,MATCH(H354,Monthly!$A:$A,0))</f>
        <v>21.831333333333337</v>
      </c>
      <c r="J354" s="4">
        <f>INDEX(Monthly!$P:$P,MATCH(H354,Monthly!$A:$A,0))</f>
        <v>311.456</v>
      </c>
    </row>
    <row r="355">
      <c r="A355" t="inlineStr">
        <is>
          <t xml:space="preserve">Comayagua — Comayagua department, town of Comayagua</t>
        </is>
      </c>
      <c r="B355" t="inlineStr">
        <is>
          <t xml:space="preserve">2013/14</t>
        </is>
      </c>
      <c r="C355" t="inlineStr">
        <is>
          <t xml:space="preserve">Neutral</t>
        </is>
      </c>
      <c r="D355" t="inlineStr">
        <is>
          <t xml:space="preserve">yes</t>
        </is>
      </c>
      <c r="E355" t="inlineStr">
        <is>
          <t xml:space="preserve">Oct</t>
        </is>
      </c>
      <c r="F355">
        <v>4</v>
      </c>
      <c r="G355">
        <v>2013</v>
      </c>
      <c r="H355" t="inlineStr">
        <is>
          <t xml:space="preserve">2013-10</t>
        </is>
      </c>
      <c r="I355" s="3">
        <f>INDEX(Monthly!$Q:$Q,MATCH(H355,Monthly!$A:$A,0))</f>
        <v>21.30774193548387</v>
      </c>
      <c r="J355" s="4">
        <f>INDEX(Monthly!$P:$P,MATCH(H355,Monthly!$A:$A,0))</f>
        <v>151.359</v>
      </c>
    </row>
    <row r="356">
      <c r="A356" t="inlineStr">
        <is>
          <t xml:space="preserve">Comayagua — Comayagua department, town of Comayagua</t>
        </is>
      </c>
      <c r="B356" t="inlineStr">
        <is>
          <t xml:space="preserve">2013/14</t>
        </is>
      </c>
      <c r="C356" t="inlineStr">
        <is>
          <t xml:space="preserve">Neutral</t>
        </is>
      </c>
      <c r="D356" t="inlineStr">
        <is>
          <t xml:space="preserve">yes</t>
        </is>
      </c>
      <c r="E356" t="inlineStr">
        <is>
          <t xml:space="preserve">Nov</t>
        </is>
      </c>
      <c r="F356">
        <v>5</v>
      </c>
      <c r="G356">
        <v>2013</v>
      </c>
      <c r="H356" t="inlineStr">
        <is>
          <t xml:space="preserve">2013-11</t>
        </is>
      </c>
      <c r="I356" s="3">
        <f>INDEX(Monthly!$Q:$Q,MATCH(H356,Monthly!$A:$A,0))</f>
        <v>19.931333333333335</v>
      </c>
      <c r="J356" s="4">
        <f>INDEX(Monthly!$P:$P,MATCH(H356,Monthly!$A:$A,0))</f>
        <v>30.635</v>
      </c>
    </row>
    <row r="357">
      <c r="A357" t="inlineStr">
        <is>
          <t xml:space="preserve">Comayagua — Comayagua department, town of Comayagua</t>
        </is>
      </c>
      <c r="B357" t="inlineStr">
        <is>
          <t xml:space="preserve">2013/14</t>
        </is>
      </c>
      <c r="C357" t="inlineStr">
        <is>
          <t xml:space="preserve">Neutral</t>
        </is>
      </c>
      <c r="D357" t="inlineStr">
        <is>
          <t xml:space="preserve">yes</t>
        </is>
      </c>
      <c r="E357" t="inlineStr">
        <is>
          <t xml:space="preserve">Dec</t>
        </is>
      </c>
      <c r="F357">
        <v>6</v>
      </c>
      <c r="G357">
        <v>2013</v>
      </c>
      <c r="H357" t="inlineStr">
        <is>
          <t xml:space="preserve">2013-12</t>
        </is>
      </c>
      <c r="I357" s="3">
        <f>INDEX(Monthly!$Q:$Q,MATCH(H357,Monthly!$A:$A,0))</f>
        <v>19.253548387096775</v>
      </c>
      <c r="J357" s="4">
        <f>INDEX(Monthly!$P:$P,MATCH(H357,Monthly!$A:$A,0))</f>
        <v>12.221</v>
      </c>
    </row>
    <row r="358">
      <c r="A358" t="inlineStr">
        <is>
          <t xml:space="preserve">Comayagua — Comayagua department, town of Comayagua</t>
        </is>
      </c>
      <c r="B358" t="inlineStr">
        <is>
          <t xml:space="preserve">2013/14</t>
        </is>
      </c>
      <c r="C358" t="inlineStr">
        <is>
          <t xml:space="preserve">Neutral</t>
        </is>
      </c>
      <c r="D358" t="inlineStr">
        <is>
          <t xml:space="preserve">yes</t>
        </is>
      </c>
      <c r="E358" t="inlineStr">
        <is>
          <t xml:space="preserve">Jan</t>
        </is>
      </c>
      <c r="F358">
        <v>7</v>
      </c>
      <c r="G358">
        <v>2014</v>
      </c>
      <c r="H358" t="inlineStr">
        <is>
          <t xml:space="preserve">2014-01</t>
        </is>
      </c>
      <c r="I358" s="3">
        <f>INDEX(Monthly!$Q:$Q,MATCH(H358,Monthly!$A:$A,0))</f>
        <v>18.579354838709683</v>
      </c>
      <c r="J358" s="4">
        <f>INDEX(Monthly!$P:$P,MATCH(H358,Monthly!$A:$A,0))</f>
        <v>13.41</v>
      </c>
    </row>
    <row r="359">
      <c r="A359" t="inlineStr">
        <is>
          <t xml:space="preserve">Comayagua — Comayagua department, town of Comayagua</t>
        </is>
      </c>
      <c r="B359" t="inlineStr">
        <is>
          <t xml:space="preserve">2013/14</t>
        </is>
      </c>
      <c r="C359" t="inlineStr">
        <is>
          <t xml:space="preserve">Neutral</t>
        </is>
      </c>
      <c r="D359" t="inlineStr">
        <is>
          <t xml:space="preserve">yes</t>
        </is>
      </c>
      <c r="E359" t="inlineStr">
        <is>
          <t xml:space="preserve">Feb</t>
        </is>
      </c>
      <c r="F359">
        <v>8</v>
      </c>
      <c r="G359">
        <v>2014</v>
      </c>
      <c r="H359" t="inlineStr">
        <is>
          <t xml:space="preserve">2014-02</t>
        </is>
      </c>
      <c r="I359" s="3">
        <f>INDEX(Monthly!$Q:$Q,MATCH(H359,Monthly!$A:$A,0))</f>
        <v>21.285</v>
      </c>
      <c r="J359" s="4">
        <f>INDEX(Monthly!$P:$P,MATCH(H359,Monthly!$A:$A,0))</f>
        <v>9.612</v>
      </c>
    </row>
    <row r="360">
      <c r="A360" t="inlineStr">
        <is>
          <t xml:space="preserve">Comayagua — Comayagua department, town of Comayagua</t>
        </is>
      </c>
      <c r="B360" t="inlineStr">
        <is>
          <t xml:space="preserve">2013/14</t>
        </is>
      </c>
      <c r="C360" t="inlineStr">
        <is>
          <t xml:space="preserve">Neutral</t>
        </is>
      </c>
      <c r="D360" t="inlineStr">
        <is>
          <t xml:space="preserve">yes</t>
        </is>
      </c>
      <c r="E360" t="inlineStr">
        <is>
          <t xml:space="preserve">Mar</t>
        </is>
      </c>
      <c r="F360">
        <v>9</v>
      </c>
      <c r="G360">
        <v>2014</v>
      </c>
      <c r="H360" t="inlineStr">
        <is>
          <t xml:space="preserve">2014-03</t>
        </is>
      </c>
      <c r="I360" s="3">
        <f>INDEX(Monthly!$Q:$Q,MATCH(H360,Monthly!$A:$A,0))</f>
        <v>23.762258064516125</v>
      </c>
      <c r="J360" s="4">
        <f>INDEX(Monthly!$P:$P,MATCH(H360,Monthly!$A:$A,0))</f>
        <v>3.138</v>
      </c>
    </row>
    <row r="361">
      <c r="A361" t="inlineStr">
        <is>
          <t xml:space="preserve">Comayagua — Comayagua department, town of Comayagua</t>
        </is>
      </c>
      <c r="B361" t="inlineStr">
        <is>
          <t xml:space="preserve">2013/14</t>
        </is>
      </c>
      <c r="C361" t="inlineStr">
        <is>
          <t xml:space="preserve">Neutral</t>
        </is>
      </c>
      <c r="D361" t="inlineStr">
        <is>
          <t xml:space="preserve">yes</t>
        </is>
      </c>
      <c r="E361" t="inlineStr">
        <is>
          <t xml:space="preserve">Apr</t>
        </is>
      </c>
      <c r="F361">
        <v>10</v>
      </c>
      <c r="G361">
        <v>2014</v>
      </c>
      <c r="H361" t="inlineStr">
        <is>
          <t xml:space="preserve">2014-04</t>
        </is>
      </c>
      <c r="I361" s="3">
        <f>INDEX(Monthly!$Q:$Q,MATCH(H361,Monthly!$A:$A,0))</f>
        <v>25.248</v>
      </c>
      <c r="J361" s="4">
        <f>INDEX(Monthly!$P:$P,MATCH(H361,Monthly!$A:$A,0))</f>
        <v>5.382</v>
      </c>
    </row>
    <row r="362">
      <c r="A362" t="inlineStr">
        <is>
          <t xml:space="preserve">Comayagua — Comayagua department, town of Comayagua</t>
        </is>
      </c>
      <c r="B362" t="inlineStr">
        <is>
          <t xml:space="preserve">2013/14</t>
        </is>
      </c>
      <c r="C362" t="inlineStr">
        <is>
          <t xml:space="preserve">Neutral</t>
        </is>
      </c>
      <c r="D362" t="inlineStr">
        <is>
          <t xml:space="preserve">yes</t>
        </is>
      </c>
      <c r="E362" t="inlineStr">
        <is>
          <t xml:space="preserve">May</t>
        </is>
      </c>
      <c r="F362">
        <v>11</v>
      </c>
      <c r="G362">
        <v>2014</v>
      </c>
      <c r="H362" t="inlineStr">
        <is>
          <t xml:space="preserve">2014-05</t>
        </is>
      </c>
      <c r="I362" s="3">
        <f>INDEX(Monthly!$Q:$Q,MATCH(H362,Monthly!$A:$A,0))</f>
        <v>24.043870967741938</v>
      </c>
      <c r="J362" s="4">
        <f>INDEX(Monthly!$P:$P,MATCH(H362,Monthly!$A:$A,0))</f>
        <v>92.647</v>
      </c>
    </row>
    <row r="363">
      <c r="A363" t="inlineStr">
        <is>
          <t xml:space="preserve">Comayagua — Comayagua department, town of Comayagua</t>
        </is>
      </c>
      <c r="B363" t="inlineStr">
        <is>
          <t xml:space="preserve">2013/14</t>
        </is>
      </c>
      <c r="C363" t="inlineStr">
        <is>
          <t xml:space="preserve">Neutral</t>
        </is>
      </c>
      <c r="D363" t="inlineStr">
        <is>
          <t xml:space="preserve">yes</t>
        </is>
      </c>
      <c r="E363" t="inlineStr">
        <is>
          <t xml:space="preserve">Jun</t>
        </is>
      </c>
      <c r="F363">
        <v>12</v>
      </c>
      <c r="G363">
        <v>2014</v>
      </c>
      <c r="H363" t="inlineStr">
        <is>
          <t xml:space="preserve">2014-06</t>
        </is>
      </c>
      <c r="I363" s="3">
        <f>INDEX(Monthly!$Q:$Q,MATCH(H363,Monthly!$A:$A,0))</f>
        <v>23.156999999999996</v>
      </c>
      <c r="J363" s="4">
        <f>INDEX(Monthly!$P:$P,MATCH(H363,Monthly!$A:$A,0))</f>
        <v>128.357</v>
      </c>
    </row>
    <row r="364">
      <c r="A364" t="inlineStr">
        <is>
          <t xml:space="preserve">Comayagua — Comayagua department, town of Comayagua</t>
        </is>
      </c>
      <c r="B364" t="inlineStr">
        <is>
          <t xml:space="preserve">2014/15</t>
        </is>
      </c>
      <c r="C364" t="inlineStr">
        <is>
          <t xml:space="preserve">El Niño</t>
        </is>
      </c>
      <c r="D364" t="inlineStr">
        <is>
          <t xml:space="preserve">yes</t>
        </is>
      </c>
      <c r="E364" t="inlineStr">
        <is>
          <t xml:space="preserve">Jul</t>
        </is>
      </c>
      <c r="F364">
        <v>1</v>
      </c>
      <c r="G364">
        <v>2014</v>
      </c>
      <c r="H364" t="inlineStr">
        <is>
          <t xml:space="preserve">2014-07</t>
        </is>
      </c>
      <c r="I364" s="3">
        <f>INDEX(Monthly!$Q:$Q,MATCH(H364,Monthly!$A:$A,0))</f>
        <v>23.79967741935484</v>
      </c>
      <c r="J364" s="4">
        <f>INDEX(Monthly!$P:$P,MATCH(H364,Monthly!$A:$A,0))</f>
        <v>29.379</v>
      </c>
    </row>
    <row r="365">
      <c r="A365" t="inlineStr">
        <is>
          <t xml:space="preserve">Comayagua — Comayagua department, town of Comayagua</t>
        </is>
      </c>
      <c r="B365" t="inlineStr">
        <is>
          <t xml:space="preserve">2014/15</t>
        </is>
      </c>
      <c r="C365" t="inlineStr">
        <is>
          <t xml:space="preserve">El Niño</t>
        </is>
      </c>
      <c r="D365" t="inlineStr">
        <is>
          <t xml:space="preserve">yes</t>
        </is>
      </c>
      <c r="E365" t="inlineStr">
        <is>
          <t xml:space="preserve">Aug</t>
        </is>
      </c>
      <c r="F365">
        <v>2</v>
      </c>
      <c r="G365">
        <v>2014</v>
      </c>
      <c r="H365" t="inlineStr">
        <is>
          <t xml:space="preserve">2014-08</t>
        </is>
      </c>
      <c r="I365" s="3">
        <f>INDEX(Monthly!$Q:$Q,MATCH(H365,Monthly!$A:$A,0))</f>
        <v>23.637419354838713</v>
      </c>
      <c r="J365" s="4">
        <f>INDEX(Monthly!$P:$P,MATCH(H365,Monthly!$A:$A,0))</f>
        <v>164.523</v>
      </c>
    </row>
    <row r="366">
      <c r="A366" t="inlineStr">
        <is>
          <t xml:space="preserve">Comayagua — Comayagua department, town of Comayagua</t>
        </is>
      </c>
      <c r="B366" t="inlineStr">
        <is>
          <t xml:space="preserve">2014/15</t>
        </is>
      </c>
      <c r="C366" t="inlineStr">
        <is>
          <t xml:space="preserve">El Niño</t>
        </is>
      </c>
      <c r="D366" t="inlineStr">
        <is>
          <t xml:space="preserve">yes</t>
        </is>
      </c>
      <c r="E366" t="inlineStr">
        <is>
          <t xml:space="preserve">Sep</t>
        </is>
      </c>
      <c r="F366">
        <v>3</v>
      </c>
      <c r="G366">
        <v>2014</v>
      </c>
      <c r="H366" t="inlineStr">
        <is>
          <t xml:space="preserve">2014-09</t>
        </is>
      </c>
      <c r="I366" s="3">
        <f>INDEX(Monthly!$Q:$Q,MATCH(H366,Monthly!$A:$A,0))</f>
        <v>21.930000000000007</v>
      </c>
      <c r="J366" s="4">
        <f>INDEX(Monthly!$P:$P,MATCH(H366,Monthly!$A:$A,0))</f>
        <v>210.235</v>
      </c>
    </row>
    <row r="367">
      <c r="A367" t="inlineStr">
        <is>
          <t xml:space="preserve">Comayagua — Comayagua department, town of Comayagua</t>
        </is>
      </c>
      <c r="B367" t="inlineStr">
        <is>
          <t xml:space="preserve">2014/15</t>
        </is>
      </c>
      <c r="C367" t="inlineStr">
        <is>
          <t xml:space="preserve">El Niño</t>
        </is>
      </c>
      <c r="D367" t="inlineStr">
        <is>
          <t xml:space="preserve">yes</t>
        </is>
      </c>
      <c r="E367" t="inlineStr">
        <is>
          <t xml:space="preserve">Oct</t>
        </is>
      </c>
      <c r="F367">
        <v>4</v>
      </c>
      <c r="G367">
        <v>2014</v>
      </c>
      <c r="H367" t="inlineStr">
        <is>
          <t xml:space="preserve">2014-10</t>
        </is>
      </c>
      <c r="I367" s="3">
        <f>INDEX(Monthly!$Q:$Q,MATCH(H367,Monthly!$A:$A,0))</f>
        <v>21.115161290322582</v>
      </c>
      <c r="J367" s="4">
        <f>INDEX(Monthly!$P:$P,MATCH(H367,Monthly!$A:$A,0))</f>
        <v>153.326</v>
      </c>
    </row>
    <row r="368">
      <c r="A368" t="inlineStr">
        <is>
          <t xml:space="preserve">Comayagua — Comayagua department, town of Comayagua</t>
        </is>
      </c>
      <c r="B368" t="inlineStr">
        <is>
          <t xml:space="preserve">2014/15</t>
        </is>
      </c>
      <c r="C368" t="inlineStr">
        <is>
          <t xml:space="preserve">El Niño</t>
        </is>
      </c>
      <c r="D368" t="inlineStr">
        <is>
          <t xml:space="preserve">yes</t>
        </is>
      </c>
      <c r="E368" t="inlineStr">
        <is>
          <t xml:space="preserve">Nov</t>
        </is>
      </c>
      <c r="F368">
        <v>5</v>
      </c>
      <c r="G368">
        <v>2014</v>
      </c>
      <c r="H368" t="inlineStr">
        <is>
          <t xml:space="preserve">2014-11</t>
        </is>
      </c>
      <c r="I368" s="3">
        <f>INDEX(Monthly!$Q:$Q,MATCH(H368,Monthly!$A:$A,0))</f>
        <v>19.473999999999993</v>
      </c>
      <c r="J368" s="4">
        <f>INDEX(Monthly!$P:$P,MATCH(H368,Monthly!$A:$A,0))</f>
        <v>33.889</v>
      </c>
    </row>
    <row r="369">
      <c r="A369" t="inlineStr">
        <is>
          <t xml:space="preserve">Comayagua — Comayagua department, town of Comayagua</t>
        </is>
      </c>
      <c r="B369" t="inlineStr">
        <is>
          <t xml:space="preserve">2014/15</t>
        </is>
      </c>
      <c r="C369" t="inlineStr">
        <is>
          <t xml:space="preserve">El Niño</t>
        </is>
      </c>
      <c r="D369" t="inlineStr">
        <is>
          <t xml:space="preserve">yes</t>
        </is>
      </c>
      <c r="E369" t="inlineStr">
        <is>
          <t xml:space="preserve">Dec</t>
        </is>
      </c>
      <c r="F369">
        <v>6</v>
      </c>
      <c r="G369">
        <v>2014</v>
      </c>
      <c r="H369" t="inlineStr">
        <is>
          <t xml:space="preserve">2014-12</t>
        </is>
      </c>
      <c r="I369" s="3">
        <f>INDEX(Monthly!$Q:$Q,MATCH(H369,Monthly!$A:$A,0))</f>
        <v>18.653225806451616</v>
      </c>
      <c r="J369" s="4">
        <f>INDEX(Monthly!$P:$P,MATCH(H369,Monthly!$A:$A,0))</f>
        <v>2.653</v>
      </c>
    </row>
    <row r="370">
      <c r="A370" t="inlineStr">
        <is>
          <t xml:space="preserve">Comayagua — Comayagua department, town of Comayagua</t>
        </is>
      </c>
      <c r="B370" t="inlineStr">
        <is>
          <t xml:space="preserve">2014/15</t>
        </is>
      </c>
      <c r="C370" t="inlineStr">
        <is>
          <t xml:space="preserve">El Niño</t>
        </is>
      </c>
      <c r="D370" t="inlineStr">
        <is>
          <t xml:space="preserve">yes</t>
        </is>
      </c>
      <c r="E370" t="inlineStr">
        <is>
          <t xml:space="preserve">Jan</t>
        </is>
      </c>
      <c r="F370">
        <v>7</v>
      </c>
      <c r="G370">
        <v>2015</v>
      </c>
      <c r="H370" t="inlineStr">
        <is>
          <t xml:space="preserve">2015-01</t>
        </is>
      </c>
      <c r="I370" s="3">
        <f>INDEX(Monthly!$Q:$Q,MATCH(H370,Monthly!$A:$A,0))</f>
        <v>19.01290322580645</v>
      </c>
      <c r="J370" s="4">
        <f>INDEX(Monthly!$P:$P,MATCH(H370,Monthly!$A:$A,0))</f>
        <v>5.953</v>
      </c>
    </row>
    <row r="371">
      <c r="A371" t="inlineStr">
        <is>
          <t xml:space="preserve">Comayagua — Comayagua department, town of Comayagua</t>
        </is>
      </c>
      <c r="B371" t="inlineStr">
        <is>
          <t xml:space="preserve">2014/15</t>
        </is>
      </c>
      <c r="C371" t="inlineStr">
        <is>
          <t xml:space="preserve">El Niño</t>
        </is>
      </c>
      <c r="D371" t="inlineStr">
        <is>
          <t xml:space="preserve">yes</t>
        </is>
      </c>
      <c r="E371" t="inlineStr">
        <is>
          <t xml:space="preserve">Feb</t>
        </is>
      </c>
      <c r="F371">
        <v>8</v>
      </c>
      <c r="G371">
        <v>2015</v>
      </c>
      <c r="H371" t="inlineStr">
        <is>
          <t xml:space="preserve">2015-02</t>
        </is>
      </c>
      <c r="I371" s="3">
        <f>INDEX(Monthly!$Q:$Q,MATCH(H371,Monthly!$A:$A,0))</f>
        <v>20.400714285714283</v>
      </c>
      <c r="J371" s="4">
        <f>INDEX(Monthly!$P:$P,MATCH(H371,Monthly!$A:$A,0))</f>
        <v>3.411</v>
      </c>
    </row>
    <row r="372">
      <c r="A372" t="inlineStr">
        <is>
          <t xml:space="preserve">Comayagua — Comayagua department, town of Comayagua</t>
        </is>
      </c>
      <c r="B372" t="inlineStr">
        <is>
          <t xml:space="preserve">2014/15</t>
        </is>
      </c>
      <c r="C372" t="inlineStr">
        <is>
          <t xml:space="preserve">El Niño</t>
        </is>
      </c>
      <c r="D372" t="inlineStr">
        <is>
          <t xml:space="preserve">yes</t>
        </is>
      </c>
      <c r="E372" t="inlineStr">
        <is>
          <t xml:space="preserve">Mar</t>
        </is>
      </c>
      <c r="F372">
        <v>9</v>
      </c>
      <c r="G372">
        <v>2015</v>
      </c>
      <c r="H372" t="inlineStr">
        <is>
          <t xml:space="preserve">2015-03</t>
        </is>
      </c>
      <c r="I372" s="3">
        <f>INDEX(Monthly!$Q:$Q,MATCH(H372,Monthly!$A:$A,0))</f>
        <v>22.55516129032258</v>
      </c>
      <c r="J372" s="4">
        <f>INDEX(Monthly!$P:$P,MATCH(H372,Monthly!$A:$A,0))</f>
        <v>12.708</v>
      </c>
    </row>
    <row r="373">
      <c r="A373" t="inlineStr">
        <is>
          <t xml:space="preserve">Comayagua — Comayagua department, town of Comayagua</t>
        </is>
      </c>
      <c r="B373" t="inlineStr">
        <is>
          <t xml:space="preserve">2014/15</t>
        </is>
      </c>
      <c r="C373" t="inlineStr">
        <is>
          <t xml:space="preserve">El Niño</t>
        </is>
      </c>
      <c r="D373" t="inlineStr">
        <is>
          <t xml:space="preserve">yes</t>
        </is>
      </c>
      <c r="E373" t="inlineStr">
        <is>
          <t xml:space="preserve">Apr</t>
        </is>
      </c>
      <c r="F373">
        <v>10</v>
      </c>
      <c r="G373">
        <v>2015</v>
      </c>
      <c r="H373" t="inlineStr">
        <is>
          <t xml:space="preserve">2015-04</t>
        </is>
      </c>
      <c r="I373" s="3">
        <f>INDEX(Monthly!$Q:$Q,MATCH(H373,Monthly!$A:$A,0))</f>
        <v>25.50066666666667</v>
      </c>
      <c r="J373" s="4">
        <f>INDEX(Monthly!$P:$P,MATCH(H373,Monthly!$A:$A,0))</f>
        <v>27.371</v>
      </c>
    </row>
    <row r="374">
      <c r="A374" t="inlineStr">
        <is>
          <t xml:space="preserve">Comayagua — Comayagua department, town of Comayagua</t>
        </is>
      </c>
      <c r="B374" t="inlineStr">
        <is>
          <t xml:space="preserve">2014/15</t>
        </is>
      </c>
      <c r="C374" t="inlineStr">
        <is>
          <t xml:space="preserve">El Niño</t>
        </is>
      </c>
      <c r="D374" t="inlineStr">
        <is>
          <t xml:space="preserve">yes</t>
        </is>
      </c>
      <c r="E374" t="inlineStr">
        <is>
          <t xml:space="preserve">May</t>
        </is>
      </c>
      <c r="F374">
        <v>11</v>
      </c>
      <c r="G374">
        <v>2015</v>
      </c>
      <c r="H374" t="inlineStr">
        <is>
          <t xml:space="preserve">2015-05</t>
        </is>
      </c>
      <c r="I374" s="3">
        <f>INDEX(Monthly!$Q:$Q,MATCH(H374,Monthly!$A:$A,0))</f>
        <v>24.357741935483865</v>
      </c>
      <c r="J374" s="4">
        <f>INDEX(Monthly!$P:$P,MATCH(H374,Monthly!$A:$A,0))</f>
        <v>37.529</v>
      </c>
    </row>
    <row r="375">
      <c r="A375" t="inlineStr">
        <is>
          <t xml:space="preserve">Comayagua — Comayagua department, town of Comayagua</t>
        </is>
      </c>
      <c r="B375" t="inlineStr">
        <is>
          <t xml:space="preserve">2014/15</t>
        </is>
      </c>
      <c r="C375" t="inlineStr">
        <is>
          <t xml:space="preserve">El Niño</t>
        </is>
      </c>
      <c r="D375" t="inlineStr">
        <is>
          <t xml:space="preserve">yes</t>
        </is>
      </c>
      <c r="E375" t="inlineStr">
        <is>
          <t xml:space="preserve">Jun</t>
        </is>
      </c>
      <c r="F375">
        <v>12</v>
      </c>
      <c r="G375">
        <v>2015</v>
      </c>
      <c r="H375" t="inlineStr">
        <is>
          <t xml:space="preserve">2015-06</t>
        </is>
      </c>
      <c r="I375" s="3">
        <f>INDEX(Monthly!$Q:$Q,MATCH(H375,Monthly!$A:$A,0))</f>
        <v>22.341999999999995</v>
      </c>
      <c r="J375" s="4">
        <f>INDEX(Monthly!$P:$P,MATCH(H375,Monthly!$A:$A,0))</f>
        <v>189.803</v>
      </c>
    </row>
    <row r="376">
      <c r="A376" t="inlineStr">
        <is>
          <t xml:space="preserve">Comayagua — Comayagua department, town of Comayagua</t>
        </is>
      </c>
      <c r="B376" t="inlineStr">
        <is>
          <t xml:space="preserve">2015/16</t>
        </is>
      </c>
      <c r="C376" t="inlineStr">
        <is>
          <t xml:space="preserve">El Niño</t>
        </is>
      </c>
      <c r="D376" t="inlineStr">
        <is>
          <t xml:space="preserve">yes</t>
        </is>
      </c>
      <c r="E376" t="inlineStr">
        <is>
          <t xml:space="preserve">Jul</t>
        </is>
      </c>
      <c r="F376">
        <v>1</v>
      </c>
      <c r="G376">
        <v>2015</v>
      </c>
      <c r="H376" t="inlineStr">
        <is>
          <t xml:space="preserve">2015-07</t>
        </is>
      </c>
      <c r="I376" s="3">
        <f>INDEX(Monthly!$Q:$Q,MATCH(H376,Monthly!$A:$A,0))</f>
        <v>23.425806451612907</v>
      </c>
      <c r="J376" s="4">
        <f>INDEX(Monthly!$P:$P,MATCH(H376,Monthly!$A:$A,0))</f>
        <v>22.655</v>
      </c>
    </row>
    <row r="377">
      <c r="A377" t="inlineStr">
        <is>
          <t xml:space="preserve">Comayagua — Comayagua department, town of Comayagua</t>
        </is>
      </c>
      <c r="B377" t="inlineStr">
        <is>
          <t xml:space="preserve">2015/16</t>
        </is>
      </c>
      <c r="C377" t="inlineStr">
        <is>
          <t xml:space="preserve">El Niño</t>
        </is>
      </c>
      <c r="D377" t="inlineStr">
        <is>
          <t xml:space="preserve">yes</t>
        </is>
      </c>
      <c r="E377" t="inlineStr">
        <is>
          <t xml:space="preserve">Aug</t>
        </is>
      </c>
      <c r="F377">
        <v>2</v>
      </c>
      <c r="G377">
        <v>2015</v>
      </c>
      <c r="H377" t="inlineStr">
        <is>
          <t xml:space="preserve">2015-08</t>
        </is>
      </c>
      <c r="I377" s="3">
        <f>INDEX(Monthly!$Q:$Q,MATCH(H377,Monthly!$A:$A,0))</f>
        <v>24.618064516129028</v>
      </c>
      <c r="J377" s="4">
        <f>INDEX(Monthly!$P:$P,MATCH(H377,Monthly!$A:$A,0))</f>
        <v>49.157</v>
      </c>
    </row>
    <row r="378">
      <c r="A378" t="inlineStr">
        <is>
          <t xml:space="preserve">Comayagua — Comayagua department, town of Comayagua</t>
        </is>
      </c>
      <c r="B378" t="inlineStr">
        <is>
          <t xml:space="preserve">2015/16</t>
        </is>
      </c>
      <c r="C378" t="inlineStr">
        <is>
          <t xml:space="preserve">El Niño</t>
        </is>
      </c>
      <c r="D378" t="inlineStr">
        <is>
          <t xml:space="preserve">yes</t>
        </is>
      </c>
      <c r="E378" t="inlineStr">
        <is>
          <t xml:space="preserve">Sep</t>
        </is>
      </c>
      <c r="F378">
        <v>3</v>
      </c>
      <c r="G378">
        <v>2015</v>
      </c>
      <c r="H378" t="inlineStr">
        <is>
          <t xml:space="preserve">2015-09</t>
        </is>
      </c>
      <c r="I378" s="3">
        <f>INDEX(Monthly!$Q:$Q,MATCH(H378,Monthly!$A:$A,0))</f>
        <v>23.13533333333333</v>
      </c>
      <c r="J378" s="4">
        <f>INDEX(Monthly!$P:$P,MATCH(H378,Monthly!$A:$A,0))</f>
        <v>217.192</v>
      </c>
    </row>
    <row r="379">
      <c r="A379" t="inlineStr">
        <is>
          <t xml:space="preserve">Comayagua — Comayagua department, town of Comayagua</t>
        </is>
      </c>
      <c r="B379" t="inlineStr">
        <is>
          <t xml:space="preserve">2015/16</t>
        </is>
      </c>
      <c r="C379" t="inlineStr">
        <is>
          <t xml:space="preserve">El Niño</t>
        </is>
      </c>
      <c r="D379" t="inlineStr">
        <is>
          <t xml:space="preserve">yes</t>
        </is>
      </c>
      <c r="E379" t="inlineStr">
        <is>
          <t xml:space="preserve">Oct</t>
        </is>
      </c>
      <c r="F379">
        <v>4</v>
      </c>
      <c r="G379">
        <v>2015</v>
      </c>
      <c r="H379" t="inlineStr">
        <is>
          <t xml:space="preserve">2015-10</t>
        </is>
      </c>
      <c r="I379" s="3">
        <f>INDEX(Monthly!$Q:$Q,MATCH(H379,Monthly!$A:$A,0))</f>
        <v>21.960967741935487</v>
      </c>
      <c r="J379" s="4">
        <f>INDEX(Monthly!$P:$P,MATCH(H379,Monthly!$A:$A,0))</f>
        <v>217.079</v>
      </c>
    </row>
    <row r="380">
      <c r="A380" t="inlineStr">
        <is>
          <t xml:space="preserve">Comayagua — Comayagua department, town of Comayagua</t>
        </is>
      </c>
      <c r="B380" t="inlineStr">
        <is>
          <t xml:space="preserve">2015/16</t>
        </is>
      </c>
      <c r="C380" t="inlineStr">
        <is>
          <t xml:space="preserve">El Niño</t>
        </is>
      </c>
      <c r="D380" t="inlineStr">
        <is>
          <t xml:space="preserve">yes</t>
        </is>
      </c>
      <c r="E380" t="inlineStr">
        <is>
          <t xml:space="preserve">Nov</t>
        </is>
      </c>
      <c r="F380">
        <v>5</v>
      </c>
      <c r="G380">
        <v>2015</v>
      </c>
      <c r="H380" t="inlineStr">
        <is>
          <t xml:space="preserve">2015-11</t>
        </is>
      </c>
      <c r="I380" s="3">
        <f>INDEX(Monthly!$Q:$Q,MATCH(H380,Monthly!$A:$A,0))</f>
        <v>20.871</v>
      </c>
      <c r="J380" s="4">
        <f>INDEX(Monthly!$P:$P,MATCH(H380,Monthly!$A:$A,0))</f>
        <v>69.095</v>
      </c>
    </row>
    <row r="381">
      <c r="A381" t="inlineStr">
        <is>
          <t xml:space="preserve">Comayagua — Comayagua department, town of Comayagua</t>
        </is>
      </c>
      <c r="B381" t="inlineStr">
        <is>
          <t xml:space="preserve">2015/16</t>
        </is>
      </c>
      <c r="C381" t="inlineStr">
        <is>
          <t xml:space="preserve">El Niño</t>
        </is>
      </c>
      <c r="D381" t="inlineStr">
        <is>
          <t xml:space="preserve">yes</t>
        </is>
      </c>
      <c r="E381" t="inlineStr">
        <is>
          <t xml:space="preserve">Dec</t>
        </is>
      </c>
      <c r="F381">
        <v>6</v>
      </c>
      <c r="G381">
        <v>2015</v>
      </c>
      <c r="H381" t="inlineStr">
        <is>
          <t xml:space="preserve">2015-12</t>
        </is>
      </c>
      <c r="I381" s="3">
        <f>INDEX(Monthly!$Q:$Q,MATCH(H381,Monthly!$A:$A,0))</f>
        <v>20.899032258064516</v>
      </c>
      <c r="J381" s="4">
        <f>INDEX(Monthly!$P:$P,MATCH(H381,Monthly!$A:$A,0))</f>
        <v>33.277</v>
      </c>
    </row>
    <row r="382">
      <c r="A382" t="inlineStr">
        <is>
          <t xml:space="preserve">Comayagua — Comayagua department, town of Comayagua</t>
        </is>
      </c>
      <c r="B382" t="inlineStr">
        <is>
          <t xml:space="preserve">2015/16</t>
        </is>
      </c>
      <c r="C382" t="inlineStr">
        <is>
          <t xml:space="preserve">El Niño</t>
        </is>
      </c>
      <c r="D382" t="inlineStr">
        <is>
          <t xml:space="preserve">yes</t>
        </is>
      </c>
      <c r="E382" t="inlineStr">
        <is>
          <t xml:space="preserve">Jan</t>
        </is>
      </c>
      <c r="F382">
        <v>7</v>
      </c>
      <c r="G382">
        <v>2016</v>
      </c>
      <c r="H382" t="inlineStr">
        <is>
          <t xml:space="preserve">2016-01</t>
        </is>
      </c>
      <c r="I382" s="3">
        <f>INDEX(Monthly!$Q:$Q,MATCH(H382,Monthly!$A:$A,0))</f>
        <v>20.618709677419357</v>
      </c>
      <c r="J382" s="4">
        <f>INDEX(Monthly!$P:$P,MATCH(H382,Monthly!$A:$A,0))</f>
        <v>1.265</v>
      </c>
    </row>
    <row r="383">
      <c r="A383" t="inlineStr">
        <is>
          <t xml:space="preserve">Comayagua — Comayagua department, town of Comayagua</t>
        </is>
      </c>
      <c r="B383" t="inlineStr">
        <is>
          <t xml:space="preserve">2015/16</t>
        </is>
      </c>
      <c r="C383" t="inlineStr">
        <is>
          <t xml:space="preserve">El Niño</t>
        </is>
      </c>
      <c r="D383" t="inlineStr">
        <is>
          <t xml:space="preserve">yes</t>
        </is>
      </c>
      <c r="E383" t="inlineStr">
        <is>
          <t xml:space="preserve">Feb</t>
        </is>
      </c>
      <c r="F383">
        <v>8</v>
      </c>
      <c r="G383">
        <v>2016</v>
      </c>
      <c r="H383" t="inlineStr">
        <is>
          <t xml:space="preserve">2016-02</t>
        </is>
      </c>
      <c r="I383" s="3">
        <f>INDEX(Monthly!$Q:$Q,MATCH(H383,Monthly!$A:$A,0))</f>
        <v>20.448620689655172</v>
      </c>
      <c r="J383" s="4">
        <f>INDEX(Monthly!$P:$P,MATCH(H383,Monthly!$A:$A,0))</f>
        <v>7.57</v>
      </c>
    </row>
    <row r="384">
      <c r="A384" t="inlineStr">
        <is>
          <t xml:space="preserve">Comayagua — Comayagua department, town of Comayagua</t>
        </is>
      </c>
      <c r="B384" t="inlineStr">
        <is>
          <t xml:space="preserve">2015/16</t>
        </is>
      </c>
      <c r="C384" t="inlineStr">
        <is>
          <t xml:space="preserve">El Niño</t>
        </is>
      </c>
      <c r="D384" t="inlineStr">
        <is>
          <t xml:space="preserve">yes</t>
        </is>
      </c>
      <c r="E384" t="inlineStr">
        <is>
          <t xml:space="preserve">Mar</t>
        </is>
      </c>
      <c r="F384">
        <v>9</v>
      </c>
      <c r="G384">
        <v>2016</v>
      </c>
      <c r="H384" t="inlineStr">
        <is>
          <t xml:space="preserve">2016-03</t>
        </is>
      </c>
      <c r="I384" s="3">
        <f>INDEX(Monthly!$Q:$Q,MATCH(H384,Monthly!$A:$A,0))</f>
        <v>24.167741935483875</v>
      </c>
      <c r="J384" s="4">
        <f>INDEX(Monthly!$P:$P,MATCH(H384,Monthly!$A:$A,0))</f>
        <v>29.937</v>
      </c>
    </row>
    <row r="385">
      <c r="A385" t="inlineStr">
        <is>
          <t xml:space="preserve">Comayagua — Comayagua department, town of Comayagua</t>
        </is>
      </c>
      <c r="B385" t="inlineStr">
        <is>
          <t xml:space="preserve">2015/16</t>
        </is>
      </c>
      <c r="C385" t="inlineStr">
        <is>
          <t xml:space="preserve">El Niño</t>
        </is>
      </c>
      <c r="D385" t="inlineStr">
        <is>
          <t xml:space="preserve">yes</t>
        </is>
      </c>
      <c r="E385" t="inlineStr">
        <is>
          <t xml:space="preserve">Apr</t>
        </is>
      </c>
      <c r="F385">
        <v>10</v>
      </c>
      <c r="G385">
        <v>2016</v>
      </c>
      <c r="H385" t="inlineStr">
        <is>
          <t xml:space="preserve">2016-04</t>
        </is>
      </c>
      <c r="I385" s="3">
        <f>INDEX(Monthly!$Q:$Q,MATCH(H385,Monthly!$A:$A,0))</f>
        <v>24.81433333333334</v>
      </c>
      <c r="J385" s="4">
        <f>INDEX(Monthly!$P:$P,MATCH(H385,Monthly!$A:$A,0))</f>
        <v>38.327</v>
      </c>
    </row>
    <row r="386">
      <c r="A386" t="inlineStr">
        <is>
          <t xml:space="preserve">Comayagua — Comayagua department, town of Comayagua</t>
        </is>
      </c>
      <c r="B386" t="inlineStr">
        <is>
          <t xml:space="preserve">2015/16</t>
        </is>
      </c>
      <c r="C386" t="inlineStr">
        <is>
          <t xml:space="preserve">El Niño</t>
        </is>
      </c>
      <c r="D386" t="inlineStr">
        <is>
          <t xml:space="preserve">yes</t>
        </is>
      </c>
      <c r="E386" t="inlineStr">
        <is>
          <t xml:space="preserve">May</t>
        </is>
      </c>
      <c r="F386">
        <v>11</v>
      </c>
      <c r="G386">
        <v>2016</v>
      </c>
      <c r="H386" t="inlineStr">
        <is>
          <t xml:space="preserve">2016-05</t>
        </is>
      </c>
      <c r="I386" s="3">
        <f>INDEX(Monthly!$Q:$Q,MATCH(H386,Monthly!$A:$A,0))</f>
        <v>25.44096774193549</v>
      </c>
      <c r="J386" s="4">
        <f>INDEX(Monthly!$P:$P,MATCH(H386,Monthly!$A:$A,0))</f>
        <v>94.403</v>
      </c>
    </row>
    <row r="387">
      <c r="A387" t="inlineStr">
        <is>
          <t xml:space="preserve">Comayagua — Comayagua department, town of Comayagua</t>
        </is>
      </c>
      <c r="B387" t="inlineStr">
        <is>
          <t xml:space="preserve">2015/16</t>
        </is>
      </c>
      <c r="C387" t="inlineStr">
        <is>
          <t xml:space="preserve">El Niño</t>
        </is>
      </c>
      <c r="D387" t="inlineStr">
        <is>
          <t xml:space="preserve">yes</t>
        </is>
      </c>
      <c r="E387" t="inlineStr">
        <is>
          <t xml:space="preserve">Jun</t>
        </is>
      </c>
      <c r="F387">
        <v>12</v>
      </c>
      <c r="G387">
        <v>2016</v>
      </c>
      <c r="H387" t="inlineStr">
        <is>
          <t xml:space="preserve">2016-06</t>
        </is>
      </c>
      <c r="I387" s="3">
        <f>INDEX(Monthly!$Q:$Q,MATCH(H387,Monthly!$A:$A,0))</f>
        <v>22.514666666666674</v>
      </c>
      <c r="J387" s="4">
        <f>INDEX(Monthly!$P:$P,MATCH(H387,Monthly!$A:$A,0))</f>
        <v>165.26</v>
      </c>
    </row>
    <row r="388">
      <c r="A388" t="inlineStr">
        <is>
          <t xml:space="preserve">Comayagua — Comayagua department, town of Comayagua</t>
        </is>
      </c>
      <c r="B388" t="inlineStr">
        <is>
          <t xml:space="preserve">2016/17</t>
        </is>
      </c>
      <c r="C388" t="inlineStr">
        <is>
          <t xml:space="preserve">Neutral</t>
        </is>
      </c>
      <c r="D388" t="inlineStr">
        <is>
          <t xml:space="preserve">yes</t>
        </is>
      </c>
      <c r="E388" t="inlineStr">
        <is>
          <t xml:space="preserve">Jul</t>
        </is>
      </c>
      <c r="F388">
        <v>1</v>
      </c>
      <c r="G388">
        <v>2016</v>
      </c>
      <c r="H388" t="inlineStr">
        <is>
          <t xml:space="preserve">2016-07</t>
        </is>
      </c>
      <c r="I388" s="3">
        <f>INDEX(Monthly!$Q:$Q,MATCH(H388,Monthly!$A:$A,0))</f>
        <v>22.888709677419353</v>
      </c>
      <c r="J388" s="4">
        <f>INDEX(Monthly!$P:$P,MATCH(H388,Monthly!$A:$A,0))</f>
        <v>71.837</v>
      </c>
    </row>
    <row r="389">
      <c r="A389" t="inlineStr">
        <is>
          <t xml:space="preserve">Comayagua — Comayagua department, town of Comayagua</t>
        </is>
      </c>
      <c r="B389" t="inlineStr">
        <is>
          <t xml:space="preserve">2016/17</t>
        </is>
      </c>
      <c r="C389" t="inlineStr">
        <is>
          <t xml:space="preserve">Neutral</t>
        </is>
      </c>
      <c r="D389" t="inlineStr">
        <is>
          <t xml:space="preserve">yes</t>
        </is>
      </c>
      <c r="E389" t="inlineStr">
        <is>
          <t xml:space="preserve">Aug</t>
        </is>
      </c>
      <c r="F389">
        <v>2</v>
      </c>
      <c r="G389">
        <v>2016</v>
      </c>
      <c r="H389" t="inlineStr">
        <is>
          <t xml:space="preserve">2016-08</t>
        </is>
      </c>
      <c r="I389" s="3">
        <f>INDEX(Monthly!$Q:$Q,MATCH(H389,Monthly!$A:$A,0))</f>
        <v>22.986129032258063</v>
      </c>
      <c r="J389" s="4">
        <f>INDEX(Monthly!$P:$P,MATCH(H389,Monthly!$A:$A,0))</f>
        <v>154.676</v>
      </c>
    </row>
    <row r="390">
      <c r="A390" t="inlineStr">
        <is>
          <t xml:space="preserve">Comayagua — Comayagua department, town of Comayagua</t>
        </is>
      </c>
      <c r="B390" t="inlineStr">
        <is>
          <t xml:space="preserve">2016/17</t>
        </is>
      </c>
      <c r="C390" t="inlineStr">
        <is>
          <t xml:space="preserve">Neutral</t>
        </is>
      </c>
      <c r="D390" t="inlineStr">
        <is>
          <t xml:space="preserve">yes</t>
        </is>
      </c>
      <c r="E390" t="inlineStr">
        <is>
          <t xml:space="preserve">Sep</t>
        </is>
      </c>
      <c r="F390">
        <v>3</v>
      </c>
      <c r="G390">
        <v>2016</v>
      </c>
      <c r="H390" t="inlineStr">
        <is>
          <t xml:space="preserve">2016-09</t>
        </is>
      </c>
      <c r="I390" s="3">
        <f>INDEX(Monthly!$Q:$Q,MATCH(H390,Monthly!$A:$A,0))</f>
        <v>22.424666666666667</v>
      </c>
      <c r="J390" s="4">
        <f>INDEX(Monthly!$P:$P,MATCH(H390,Monthly!$A:$A,0))</f>
        <v>93.253</v>
      </c>
    </row>
    <row r="391">
      <c r="A391" t="inlineStr">
        <is>
          <t xml:space="preserve">Comayagua — Comayagua department, town of Comayagua</t>
        </is>
      </c>
      <c r="B391" t="inlineStr">
        <is>
          <t xml:space="preserve">2016/17</t>
        </is>
      </c>
      <c r="C391" t="inlineStr">
        <is>
          <t xml:space="preserve">Neutral</t>
        </is>
      </c>
      <c r="D391" t="inlineStr">
        <is>
          <t xml:space="preserve">yes</t>
        </is>
      </c>
      <c r="E391" t="inlineStr">
        <is>
          <t xml:space="preserve">Oct</t>
        </is>
      </c>
      <c r="F391">
        <v>4</v>
      </c>
      <c r="G391">
        <v>2016</v>
      </c>
      <c r="H391" t="inlineStr">
        <is>
          <t xml:space="preserve">2016-10</t>
        </is>
      </c>
      <c r="I391" s="3">
        <f>INDEX(Monthly!$Q:$Q,MATCH(H391,Monthly!$A:$A,0))</f>
        <v>21.35516129032258</v>
      </c>
      <c r="J391" s="4">
        <f>INDEX(Monthly!$P:$P,MATCH(H391,Monthly!$A:$A,0))</f>
        <v>124.823</v>
      </c>
    </row>
    <row r="392">
      <c r="A392" t="inlineStr">
        <is>
          <t xml:space="preserve">Comayagua — Comayagua department, town of Comayagua</t>
        </is>
      </c>
      <c r="B392" t="inlineStr">
        <is>
          <t xml:space="preserve">2016/17</t>
        </is>
      </c>
      <c r="C392" t="inlineStr">
        <is>
          <t xml:space="preserve">Neutral</t>
        </is>
      </c>
      <c r="D392" t="inlineStr">
        <is>
          <t xml:space="preserve">yes</t>
        </is>
      </c>
      <c r="E392" t="inlineStr">
        <is>
          <t xml:space="preserve">Nov</t>
        </is>
      </c>
      <c r="F392">
        <v>5</v>
      </c>
      <c r="G392">
        <v>2016</v>
      </c>
      <c r="H392" t="inlineStr">
        <is>
          <t xml:space="preserve">2016-11</t>
        </is>
      </c>
      <c r="I392" s="3">
        <f>INDEX(Monthly!$Q:$Q,MATCH(H392,Monthly!$A:$A,0))</f>
        <v>20.351</v>
      </c>
      <c r="J392" s="4">
        <f>INDEX(Monthly!$P:$P,MATCH(H392,Monthly!$A:$A,0))</f>
        <v>19.88</v>
      </c>
    </row>
    <row r="393">
      <c r="A393" t="inlineStr">
        <is>
          <t xml:space="preserve">Comayagua — Comayagua department, town of Comayagua</t>
        </is>
      </c>
      <c r="B393" t="inlineStr">
        <is>
          <t xml:space="preserve">2016/17</t>
        </is>
      </c>
      <c r="C393" t="inlineStr">
        <is>
          <t xml:space="preserve">Neutral</t>
        </is>
      </c>
      <c r="D393" t="inlineStr">
        <is>
          <t xml:space="preserve">yes</t>
        </is>
      </c>
      <c r="E393" t="inlineStr">
        <is>
          <t xml:space="preserve">Dec</t>
        </is>
      </c>
      <c r="F393">
        <v>6</v>
      </c>
      <c r="G393">
        <v>2016</v>
      </c>
      <c r="H393" t="inlineStr">
        <is>
          <t xml:space="preserve">2016-12</t>
        </is>
      </c>
      <c r="I393" s="3">
        <f>INDEX(Monthly!$Q:$Q,MATCH(H393,Monthly!$A:$A,0))</f>
        <v>20.567419354838712</v>
      </c>
      <c r="J393" s="4">
        <f>INDEX(Monthly!$P:$P,MATCH(H393,Monthly!$A:$A,0))</f>
        <v>17.905</v>
      </c>
    </row>
    <row r="394">
      <c r="A394" t="inlineStr">
        <is>
          <t xml:space="preserve">Comayagua — Comayagua department, town of Comayagua</t>
        </is>
      </c>
      <c r="B394" t="inlineStr">
        <is>
          <t xml:space="preserve">2016/17</t>
        </is>
      </c>
      <c r="C394" t="inlineStr">
        <is>
          <t xml:space="preserve">Neutral</t>
        </is>
      </c>
      <c r="D394" t="inlineStr">
        <is>
          <t xml:space="preserve">yes</t>
        </is>
      </c>
      <c r="E394" t="inlineStr">
        <is>
          <t xml:space="preserve">Jan</t>
        </is>
      </c>
      <c r="F394">
        <v>7</v>
      </c>
      <c r="G394">
        <v>2017</v>
      </c>
      <c r="H394" t="inlineStr">
        <is>
          <t xml:space="preserve">2017-01</t>
        </is>
      </c>
      <c r="I394" s="3">
        <f>INDEX(Monthly!$Q:$Q,MATCH(H394,Monthly!$A:$A,0))</f>
        <v>20.069032258064517</v>
      </c>
      <c r="J394" s="4">
        <f>INDEX(Monthly!$P:$P,MATCH(H394,Monthly!$A:$A,0))</f>
        <v>5.523</v>
      </c>
    </row>
    <row r="395">
      <c r="A395" t="inlineStr">
        <is>
          <t xml:space="preserve">Comayagua — Comayagua department, town of Comayagua</t>
        </is>
      </c>
      <c r="B395" t="inlineStr">
        <is>
          <t xml:space="preserve">2016/17</t>
        </is>
      </c>
      <c r="C395" t="inlineStr">
        <is>
          <t xml:space="preserve">Neutral</t>
        </is>
      </c>
      <c r="D395" t="inlineStr">
        <is>
          <t xml:space="preserve">yes</t>
        </is>
      </c>
      <c r="E395" t="inlineStr">
        <is>
          <t xml:space="preserve">Feb</t>
        </is>
      </c>
      <c r="F395">
        <v>8</v>
      </c>
      <c r="G395">
        <v>2017</v>
      </c>
      <c r="H395" t="inlineStr">
        <is>
          <t xml:space="preserve">2017-02</t>
        </is>
      </c>
      <c r="I395" s="3">
        <f>INDEX(Monthly!$Q:$Q,MATCH(H395,Monthly!$A:$A,0))</f>
        <v>22.255357142857143</v>
      </c>
      <c r="J395" s="4">
        <f>INDEX(Monthly!$P:$P,MATCH(H395,Monthly!$A:$A,0))</f>
        <v>0.866</v>
      </c>
    </row>
    <row r="396">
      <c r="A396" t="inlineStr">
        <is>
          <t xml:space="preserve">Comayagua — Comayagua department, town of Comayagua</t>
        </is>
      </c>
      <c r="B396" t="inlineStr">
        <is>
          <t xml:space="preserve">2016/17</t>
        </is>
      </c>
      <c r="C396" t="inlineStr">
        <is>
          <t xml:space="preserve">Neutral</t>
        </is>
      </c>
      <c r="D396" t="inlineStr">
        <is>
          <t xml:space="preserve">yes</t>
        </is>
      </c>
      <c r="E396" t="inlineStr">
        <is>
          <t xml:space="preserve">Mar</t>
        </is>
      </c>
      <c r="F396">
        <v>9</v>
      </c>
      <c r="G396">
        <v>2017</v>
      </c>
      <c r="H396" t="inlineStr">
        <is>
          <t xml:space="preserve">2017-03</t>
        </is>
      </c>
      <c r="I396" s="3">
        <f>INDEX(Monthly!$Q:$Q,MATCH(H396,Monthly!$A:$A,0))</f>
        <v>22.44</v>
      </c>
      <c r="J396" s="4">
        <f>INDEX(Monthly!$P:$P,MATCH(H396,Monthly!$A:$A,0))</f>
        <v>4.565</v>
      </c>
    </row>
    <row r="397">
      <c r="A397" t="inlineStr">
        <is>
          <t xml:space="preserve">Comayagua — Comayagua department, town of Comayagua</t>
        </is>
      </c>
      <c r="B397" t="inlineStr">
        <is>
          <t xml:space="preserve">2016/17</t>
        </is>
      </c>
      <c r="C397" t="inlineStr">
        <is>
          <t xml:space="preserve">Neutral</t>
        </is>
      </c>
      <c r="D397" t="inlineStr">
        <is>
          <t xml:space="preserve">yes</t>
        </is>
      </c>
      <c r="E397" t="inlineStr">
        <is>
          <t xml:space="preserve">Apr</t>
        </is>
      </c>
      <c r="F397">
        <v>10</v>
      </c>
      <c r="G397">
        <v>2017</v>
      </c>
      <c r="H397" t="inlineStr">
        <is>
          <t xml:space="preserve">2017-04</t>
        </is>
      </c>
      <c r="I397" s="3">
        <f>INDEX(Monthly!$Q:$Q,MATCH(H397,Monthly!$A:$A,0))</f>
        <v>24.981333333333332</v>
      </c>
      <c r="J397" s="4">
        <f>INDEX(Monthly!$P:$P,MATCH(H397,Monthly!$A:$A,0))</f>
        <v>86.835</v>
      </c>
    </row>
    <row r="398">
      <c r="A398" t="inlineStr">
        <is>
          <t xml:space="preserve">Comayagua — Comayagua department, town of Comayagua</t>
        </is>
      </c>
      <c r="B398" t="inlineStr">
        <is>
          <t xml:space="preserve">2016/17</t>
        </is>
      </c>
      <c r="C398" t="inlineStr">
        <is>
          <t xml:space="preserve">Neutral</t>
        </is>
      </c>
      <c r="D398" t="inlineStr">
        <is>
          <t xml:space="preserve">yes</t>
        </is>
      </c>
      <c r="E398" t="inlineStr">
        <is>
          <t xml:space="preserve">May</t>
        </is>
      </c>
      <c r="F398">
        <v>11</v>
      </c>
      <c r="G398">
        <v>2017</v>
      </c>
      <c r="H398" t="inlineStr">
        <is>
          <t xml:space="preserve">2017-05</t>
        </is>
      </c>
      <c r="I398" s="3">
        <f>INDEX(Monthly!$Q:$Q,MATCH(H398,Monthly!$A:$A,0))</f>
        <v>23.623548387096776</v>
      </c>
      <c r="J398" s="4">
        <f>INDEX(Monthly!$P:$P,MATCH(H398,Monthly!$A:$A,0))</f>
        <v>227.82</v>
      </c>
    </row>
    <row r="399">
      <c r="A399" t="inlineStr">
        <is>
          <t xml:space="preserve">Comayagua — Comayagua department, town of Comayagua</t>
        </is>
      </c>
      <c r="B399" t="inlineStr">
        <is>
          <t xml:space="preserve">2016/17</t>
        </is>
      </c>
      <c r="C399" t="inlineStr">
        <is>
          <t xml:space="preserve">Neutral</t>
        </is>
      </c>
      <c r="D399" t="inlineStr">
        <is>
          <t xml:space="preserve">yes</t>
        </is>
      </c>
      <c r="E399" t="inlineStr">
        <is>
          <t xml:space="preserve">Jun</t>
        </is>
      </c>
      <c r="F399">
        <v>12</v>
      </c>
      <c r="G399">
        <v>2017</v>
      </c>
      <c r="H399" t="inlineStr">
        <is>
          <t xml:space="preserve">2017-06</t>
        </is>
      </c>
      <c r="I399" s="3">
        <f>INDEX(Monthly!$Q:$Q,MATCH(H399,Monthly!$A:$A,0))</f>
        <v>22.416999999999998</v>
      </c>
      <c r="J399" s="4">
        <f>INDEX(Monthly!$P:$P,MATCH(H399,Monthly!$A:$A,0))</f>
        <v>254.474</v>
      </c>
    </row>
    <row r="400">
      <c r="A400" t="inlineStr">
        <is>
          <t xml:space="preserve">Comayagua — Comayagua department, town of Comayagua</t>
        </is>
      </c>
      <c r="B400" t="inlineStr">
        <is>
          <t xml:space="preserve">2017/18</t>
        </is>
      </c>
      <c r="C400" t="inlineStr">
        <is>
          <t xml:space="preserve">La Niña</t>
        </is>
      </c>
      <c r="D400" t="inlineStr">
        <is>
          <t xml:space="preserve">yes</t>
        </is>
      </c>
      <c r="E400" t="inlineStr">
        <is>
          <t xml:space="preserve">Jul</t>
        </is>
      </c>
      <c r="F400">
        <v>1</v>
      </c>
      <c r="G400">
        <v>2017</v>
      </c>
      <c r="H400" t="inlineStr">
        <is>
          <t xml:space="preserve">2017-07</t>
        </is>
      </c>
      <c r="I400" s="3">
        <f>INDEX(Monthly!$Q:$Q,MATCH(H400,Monthly!$A:$A,0))</f>
        <v>21.60548387096775</v>
      </c>
      <c r="J400" s="4">
        <f>INDEX(Monthly!$P:$P,MATCH(H400,Monthly!$A:$A,0))</f>
        <v>171.605</v>
      </c>
    </row>
    <row r="401">
      <c r="A401" t="inlineStr">
        <is>
          <t xml:space="preserve">Comayagua — Comayagua department, town of Comayagua</t>
        </is>
      </c>
      <c r="B401" t="inlineStr">
        <is>
          <t xml:space="preserve">2017/18</t>
        </is>
      </c>
      <c r="C401" t="inlineStr">
        <is>
          <t xml:space="preserve">La Niña</t>
        </is>
      </c>
      <c r="D401" t="inlineStr">
        <is>
          <t xml:space="preserve">yes</t>
        </is>
      </c>
      <c r="E401" t="inlineStr">
        <is>
          <t xml:space="preserve">Aug</t>
        </is>
      </c>
      <c r="F401">
        <v>2</v>
      </c>
      <c r="G401">
        <v>2017</v>
      </c>
      <c r="H401" t="inlineStr">
        <is>
          <t xml:space="preserve">2017-08</t>
        </is>
      </c>
      <c r="I401" s="3">
        <f>INDEX(Monthly!$Q:$Q,MATCH(H401,Monthly!$A:$A,0))</f>
        <v>21.97032258064516</v>
      </c>
      <c r="J401" s="4">
        <f>INDEX(Monthly!$P:$P,MATCH(H401,Monthly!$A:$A,0))</f>
        <v>122.604</v>
      </c>
    </row>
    <row r="402">
      <c r="A402" t="inlineStr">
        <is>
          <t xml:space="preserve">Comayagua — Comayagua department, town of Comayagua</t>
        </is>
      </c>
      <c r="B402" t="inlineStr">
        <is>
          <t xml:space="preserve">2017/18</t>
        </is>
      </c>
      <c r="C402" t="inlineStr">
        <is>
          <t xml:space="preserve">La Niña</t>
        </is>
      </c>
      <c r="D402" t="inlineStr">
        <is>
          <t xml:space="preserve">yes</t>
        </is>
      </c>
      <c r="E402" t="inlineStr">
        <is>
          <t xml:space="preserve">Sep</t>
        </is>
      </c>
      <c r="F402">
        <v>3</v>
      </c>
      <c r="G402">
        <v>2017</v>
      </c>
      <c r="H402" t="inlineStr">
        <is>
          <t xml:space="preserve">2017-09</t>
        </is>
      </c>
      <c r="I402" s="3">
        <f>INDEX(Monthly!$Q:$Q,MATCH(H402,Monthly!$A:$A,0))</f>
        <v>21.968999999999998</v>
      </c>
      <c r="J402" s="4">
        <f>INDEX(Monthly!$P:$P,MATCH(H402,Monthly!$A:$A,0))</f>
        <v>351.863</v>
      </c>
    </row>
    <row r="403">
      <c r="A403" t="inlineStr">
        <is>
          <t xml:space="preserve">Comayagua — Comayagua department, town of Comayagua</t>
        </is>
      </c>
      <c r="B403" t="inlineStr">
        <is>
          <t xml:space="preserve">2017/18</t>
        </is>
      </c>
      <c r="C403" t="inlineStr">
        <is>
          <t xml:space="preserve">La Niña</t>
        </is>
      </c>
      <c r="D403" t="inlineStr">
        <is>
          <t xml:space="preserve">yes</t>
        </is>
      </c>
      <c r="E403" t="inlineStr">
        <is>
          <t xml:space="preserve">Oct</t>
        </is>
      </c>
      <c r="F403">
        <v>4</v>
      </c>
      <c r="G403">
        <v>2017</v>
      </c>
      <c r="H403" t="inlineStr">
        <is>
          <t xml:space="preserve">2017-10</t>
        </is>
      </c>
      <c r="I403" s="3">
        <f>INDEX(Monthly!$Q:$Q,MATCH(H403,Monthly!$A:$A,0))</f>
        <v>21.00064516129032</v>
      </c>
      <c r="J403" s="4">
        <f>INDEX(Monthly!$P:$P,MATCH(H403,Monthly!$A:$A,0))</f>
        <v>135.644</v>
      </c>
    </row>
    <row r="404">
      <c r="A404" t="inlineStr">
        <is>
          <t xml:space="preserve">Comayagua — Comayagua department, town of Comayagua</t>
        </is>
      </c>
      <c r="B404" t="inlineStr">
        <is>
          <t xml:space="preserve">2017/18</t>
        </is>
      </c>
      <c r="C404" t="inlineStr">
        <is>
          <t xml:space="preserve">La Niña</t>
        </is>
      </c>
      <c r="D404" t="inlineStr">
        <is>
          <t xml:space="preserve">yes</t>
        </is>
      </c>
      <c r="E404" t="inlineStr">
        <is>
          <t xml:space="preserve">Nov</t>
        </is>
      </c>
      <c r="F404">
        <v>5</v>
      </c>
      <c r="G404">
        <v>2017</v>
      </c>
      <c r="H404" t="inlineStr">
        <is>
          <t xml:space="preserve">2017-11</t>
        </is>
      </c>
      <c r="I404" s="3">
        <f>INDEX(Monthly!$Q:$Q,MATCH(H404,Monthly!$A:$A,0))</f>
        <v>19.25966666666666</v>
      </c>
      <c r="J404" s="4">
        <f>INDEX(Monthly!$P:$P,MATCH(H404,Monthly!$A:$A,0))</f>
        <v>3.673</v>
      </c>
    </row>
    <row r="405">
      <c r="A405" t="inlineStr">
        <is>
          <t xml:space="preserve">Comayagua — Comayagua department, town of Comayagua</t>
        </is>
      </c>
      <c r="B405" t="inlineStr">
        <is>
          <t xml:space="preserve">2017/18</t>
        </is>
      </c>
      <c r="C405" t="inlineStr">
        <is>
          <t xml:space="preserve">La Niña</t>
        </is>
      </c>
      <c r="D405" t="inlineStr">
        <is>
          <t xml:space="preserve">yes</t>
        </is>
      </c>
      <c r="E405" t="inlineStr">
        <is>
          <t xml:space="preserve">Dec</t>
        </is>
      </c>
      <c r="F405">
        <v>6</v>
      </c>
      <c r="G405">
        <v>2017</v>
      </c>
      <c r="H405" t="inlineStr">
        <is>
          <t xml:space="preserve">2017-12</t>
        </is>
      </c>
      <c r="I405" s="3">
        <f>INDEX(Monthly!$Q:$Q,MATCH(H405,Monthly!$A:$A,0))</f>
        <v>18.38451612903226</v>
      </c>
      <c r="J405" s="4">
        <f>INDEX(Monthly!$P:$P,MATCH(H405,Monthly!$A:$A,0))</f>
        <v>17.946</v>
      </c>
    </row>
    <row r="406">
      <c r="A406" t="inlineStr">
        <is>
          <t xml:space="preserve">Comayagua — Comayagua department, town of Comayagua</t>
        </is>
      </c>
      <c r="B406" t="inlineStr">
        <is>
          <t xml:space="preserve">2017/18</t>
        </is>
      </c>
      <c r="C406" t="inlineStr">
        <is>
          <t xml:space="preserve">La Niña</t>
        </is>
      </c>
      <c r="D406" t="inlineStr">
        <is>
          <t xml:space="preserve">yes</t>
        </is>
      </c>
      <c r="E406" t="inlineStr">
        <is>
          <t xml:space="preserve">Jan</t>
        </is>
      </c>
      <c r="F406">
        <v>7</v>
      </c>
      <c r="G406">
        <v>2018</v>
      </c>
      <c r="H406" t="inlineStr">
        <is>
          <t xml:space="preserve">2018-01</t>
        </is>
      </c>
      <c r="I406" s="3">
        <f>INDEX(Monthly!$Q:$Q,MATCH(H406,Monthly!$A:$A,0))</f>
        <v>17.995161290322578</v>
      </c>
      <c r="J406" s="4">
        <f>INDEX(Monthly!$P:$P,MATCH(H406,Monthly!$A:$A,0))</f>
        <v>0.812</v>
      </c>
    </row>
    <row r="407">
      <c r="A407" t="inlineStr">
        <is>
          <t xml:space="preserve">Comayagua — Comayagua department, town of Comayagua</t>
        </is>
      </c>
      <c r="B407" t="inlineStr">
        <is>
          <t xml:space="preserve">2017/18</t>
        </is>
      </c>
      <c r="C407" t="inlineStr">
        <is>
          <t xml:space="preserve">La Niña</t>
        </is>
      </c>
      <c r="D407" t="inlineStr">
        <is>
          <t xml:space="preserve">yes</t>
        </is>
      </c>
      <c r="E407" t="inlineStr">
        <is>
          <t xml:space="preserve">Feb</t>
        </is>
      </c>
      <c r="F407">
        <v>8</v>
      </c>
      <c r="G407">
        <v>2018</v>
      </c>
      <c r="H407" t="inlineStr">
        <is>
          <t xml:space="preserve">2018-02</t>
        </is>
      </c>
      <c r="I407" s="3">
        <f>INDEX(Monthly!$Q:$Q,MATCH(H407,Monthly!$A:$A,0))</f>
        <v>20.155</v>
      </c>
      <c r="J407" s="4">
        <f>INDEX(Monthly!$P:$P,MATCH(H407,Monthly!$A:$A,0))</f>
        <v>2.899</v>
      </c>
    </row>
    <row r="408">
      <c r="A408" t="inlineStr">
        <is>
          <t xml:space="preserve">Comayagua — Comayagua department, town of Comayagua</t>
        </is>
      </c>
      <c r="B408" t="inlineStr">
        <is>
          <t xml:space="preserve">2017/18</t>
        </is>
      </c>
      <c r="C408" t="inlineStr">
        <is>
          <t xml:space="preserve">La Niña</t>
        </is>
      </c>
      <c r="D408" t="inlineStr">
        <is>
          <t xml:space="preserve">yes</t>
        </is>
      </c>
      <c r="E408" t="inlineStr">
        <is>
          <t xml:space="preserve">Mar</t>
        </is>
      </c>
      <c r="F408">
        <v>9</v>
      </c>
      <c r="G408">
        <v>2018</v>
      </c>
      <c r="H408" t="inlineStr">
        <is>
          <t xml:space="preserve">2018-03</t>
        </is>
      </c>
      <c r="I408" s="3">
        <f>INDEX(Monthly!$Q:$Q,MATCH(H408,Monthly!$A:$A,0))</f>
        <v>22.891612903225802</v>
      </c>
      <c r="J408" s="4">
        <f>INDEX(Monthly!$P:$P,MATCH(H408,Monthly!$A:$A,0))</f>
        <v>0.497</v>
      </c>
    </row>
    <row r="409">
      <c r="A409" t="inlineStr">
        <is>
          <t xml:space="preserve">Comayagua — Comayagua department, town of Comayagua</t>
        </is>
      </c>
      <c r="B409" t="inlineStr">
        <is>
          <t xml:space="preserve">2017/18</t>
        </is>
      </c>
      <c r="C409" t="inlineStr">
        <is>
          <t xml:space="preserve">La Niña</t>
        </is>
      </c>
      <c r="D409" t="inlineStr">
        <is>
          <t xml:space="preserve">yes</t>
        </is>
      </c>
      <c r="E409" t="inlineStr">
        <is>
          <t xml:space="preserve">Apr</t>
        </is>
      </c>
      <c r="F409">
        <v>10</v>
      </c>
      <c r="G409">
        <v>2018</v>
      </c>
      <c r="H409" t="inlineStr">
        <is>
          <t xml:space="preserve">2018-04</t>
        </is>
      </c>
      <c r="I409" s="3">
        <f>INDEX(Monthly!$Q:$Q,MATCH(H409,Monthly!$A:$A,0))</f>
        <v>24.055333333333337</v>
      </c>
      <c r="J409" s="4">
        <f>INDEX(Monthly!$P:$P,MATCH(H409,Monthly!$A:$A,0))</f>
        <v>81.822</v>
      </c>
    </row>
    <row r="410">
      <c r="A410" t="inlineStr">
        <is>
          <t xml:space="preserve">Comayagua — Comayagua department, town of Comayagua</t>
        </is>
      </c>
      <c r="B410" t="inlineStr">
        <is>
          <t xml:space="preserve">2017/18</t>
        </is>
      </c>
      <c r="C410" t="inlineStr">
        <is>
          <t xml:space="preserve">La Niña</t>
        </is>
      </c>
      <c r="D410" t="inlineStr">
        <is>
          <t xml:space="preserve">yes</t>
        </is>
      </c>
      <c r="E410" t="inlineStr">
        <is>
          <t xml:space="preserve">May</t>
        </is>
      </c>
      <c r="F410">
        <v>11</v>
      </c>
      <c r="G410">
        <v>2018</v>
      </c>
      <c r="H410" t="inlineStr">
        <is>
          <t xml:space="preserve">2018-05</t>
        </is>
      </c>
      <c r="I410" s="3">
        <f>INDEX(Monthly!$Q:$Q,MATCH(H410,Monthly!$A:$A,0))</f>
        <v>23.823225806451614</v>
      </c>
      <c r="J410" s="4">
        <f>INDEX(Monthly!$P:$P,MATCH(H410,Monthly!$A:$A,0))</f>
        <v>206.764</v>
      </c>
    </row>
    <row r="411">
      <c r="A411" t="inlineStr">
        <is>
          <t xml:space="preserve">Comayagua — Comayagua department, town of Comayagua</t>
        </is>
      </c>
      <c r="B411" t="inlineStr">
        <is>
          <t xml:space="preserve">2017/18</t>
        </is>
      </c>
      <c r="C411" t="inlineStr">
        <is>
          <t xml:space="preserve">La Niña</t>
        </is>
      </c>
      <c r="D411" t="inlineStr">
        <is>
          <t xml:space="preserve">yes</t>
        </is>
      </c>
      <c r="E411" t="inlineStr">
        <is>
          <t xml:space="preserve">Jun</t>
        </is>
      </c>
      <c r="F411">
        <v>12</v>
      </c>
      <c r="G411">
        <v>2018</v>
      </c>
      <c r="H411" t="inlineStr">
        <is>
          <t xml:space="preserve">2018-06</t>
        </is>
      </c>
      <c r="I411" s="3">
        <f>INDEX(Monthly!$Q:$Q,MATCH(H411,Monthly!$A:$A,0))</f>
        <v>21.63766666666667</v>
      </c>
      <c r="J411" s="4">
        <f>INDEX(Monthly!$P:$P,MATCH(H411,Monthly!$A:$A,0))</f>
        <v>193.913</v>
      </c>
    </row>
    <row r="412">
      <c r="A412" t="inlineStr">
        <is>
          <t xml:space="preserve">Comayagua — Comayagua department, town of Comayagua</t>
        </is>
      </c>
      <c r="B412" t="inlineStr">
        <is>
          <t xml:space="preserve">2018/19</t>
        </is>
      </c>
      <c r="C412" t="inlineStr">
        <is>
          <t xml:space="preserve">El Niño</t>
        </is>
      </c>
      <c r="D412" t="inlineStr">
        <is>
          <t xml:space="preserve">yes</t>
        </is>
      </c>
      <c r="E412" t="inlineStr">
        <is>
          <t xml:space="preserve">Jul</t>
        </is>
      </c>
      <c r="F412">
        <v>1</v>
      </c>
      <c r="G412">
        <v>2018</v>
      </c>
      <c r="H412" t="inlineStr">
        <is>
          <t xml:space="preserve">2018-07</t>
        </is>
      </c>
      <c r="I412" s="3">
        <f>INDEX(Monthly!$Q:$Q,MATCH(H412,Monthly!$A:$A,0))</f>
        <v>22.12096774193549</v>
      </c>
      <c r="J412" s="4">
        <f>INDEX(Monthly!$P:$P,MATCH(H412,Monthly!$A:$A,0))</f>
        <v>67.395</v>
      </c>
    </row>
    <row r="413">
      <c r="A413" t="inlineStr">
        <is>
          <t xml:space="preserve">Comayagua — Comayagua department, town of Comayagua</t>
        </is>
      </c>
      <c r="B413" t="inlineStr">
        <is>
          <t xml:space="preserve">2018/19</t>
        </is>
      </c>
      <c r="C413" t="inlineStr">
        <is>
          <t xml:space="preserve">El Niño</t>
        </is>
      </c>
      <c r="D413" t="inlineStr">
        <is>
          <t xml:space="preserve">yes</t>
        </is>
      </c>
      <c r="E413" t="inlineStr">
        <is>
          <t xml:space="preserve">Aug</t>
        </is>
      </c>
      <c r="F413">
        <v>2</v>
      </c>
      <c r="G413">
        <v>2018</v>
      </c>
      <c r="H413" t="inlineStr">
        <is>
          <t xml:space="preserve">2018-08</t>
        </is>
      </c>
      <c r="I413" s="3">
        <f>INDEX(Monthly!$Q:$Q,MATCH(H413,Monthly!$A:$A,0))</f>
        <v>22.31870967741936</v>
      </c>
      <c r="J413" s="4">
        <f>INDEX(Monthly!$P:$P,MATCH(H413,Monthly!$A:$A,0))</f>
        <v>136.17</v>
      </c>
    </row>
    <row r="414">
      <c r="A414" t="inlineStr">
        <is>
          <t xml:space="preserve">Comayagua — Comayagua department, town of Comayagua</t>
        </is>
      </c>
      <c r="B414" t="inlineStr">
        <is>
          <t xml:space="preserve">2018/19</t>
        </is>
      </c>
      <c r="C414" t="inlineStr">
        <is>
          <t xml:space="preserve">El Niño</t>
        </is>
      </c>
      <c r="D414" t="inlineStr">
        <is>
          <t xml:space="preserve">yes</t>
        </is>
      </c>
      <c r="E414" t="inlineStr">
        <is>
          <t xml:space="preserve">Sep</t>
        </is>
      </c>
      <c r="F414">
        <v>3</v>
      </c>
      <c r="G414">
        <v>2018</v>
      </c>
      <c r="H414" t="inlineStr">
        <is>
          <t xml:space="preserve">2018-09</t>
        </is>
      </c>
      <c r="I414" s="3">
        <f>INDEX(Monthly!$Q:$Q,MATCH(H414,Monthly!$A:$A,0))</f>
        <v>22.388</v>
      </c>
      <c r="J414" s="4">
        <f>INDEX(Monthly!$P:$P,MATCH(H414,Monthly!$A:$A,0))</f>
        <v>134.23</v>
      </c>
    </row>
    <row r="415">
      <c r="A415" t="inlineStr">
        <is>
          <t xml:space="preserve">Comayagua — Comayagua department, town of Comayagua</t>
        </is>
      </c>
      <c r="B415" t="inlineStr">
        <is>
          <t xml:space="preserve">2018/19</t>
        </is>
      </c>
      <c r="C415" t="inlineStr">
        <is>
          <t xml:space="preserve">El Niño</t>
        </is>
      </c>
      <c r="D415" t="inlineStr">
        <is>
          <t xml:space="preserve">yes</t>
        </is>
      </c>
      <c r="E415" t="inlineStr">
        <is>
          <t xml:space="preserve">Oct</t>
        </is>
      </c>
      <c r="F415">
        <v>4</v>
      </c>
      <c r="G415">
        <v>2018</v>
      </c>
      <c r="H415" t="inlineStr">
        <is>
          <t xml:space="preserve">2018-10</t>
        </is>
      </c>
      <c r="I415" s="3">
        <f>INDEX(Monthly!$Q:$Q,MATCH(H415,Monthly!$A:$A,0))</f>
        <v>21.297741935483867</v>
      </c>
      <c r="J415" s="4">
        <f>INDEX(Monthly!$P:$P,MATCH(H415,Monthly!$A:$A,0))</f>
        <v>158.318</v>
      </c>
    </row>
    <row r="416">
      <c r="A416" t="inlineStr">
        <is>
          <t xml:space="preserve">Comayagua — Comayagua department, town of Comayagua</t>
        </is>
      </c>
      <c r="B416" t="inlineStr">
        <is>
          <t xml:space="preserve">2018/19</t>
        </is>
      </c>
      <c r="C416" t="inlineStr">
        <is>
          <t xml:space="preserve">El Niño</t>
        </is>
      </c>
      <c r="D416" t="inlineStr">
        <is>
          <t xml:space="preserve">yes</t>
        </is>
      </c>
      <c r="E416" t="inlineStr">
        <is>
          <t xml:space="preserve">Nov</t>
        </is>
      </c>
      <c r="F416">
        <v>5</v>
      </c>
      <c r="G416">
        <v>2018</v>
      </c>
      <c r="H416" t="inlineStr">
        <is>
          <t xml:space="preserve">2018-11</t>
        </is>
      </c>
      <c r="I416" s="3">
        <f>INDEX(Monthly!$Q:$Q,MATCH(H416,Monthly!$A:$A,0))</f>
        <v>21.593</v>
      </c>
      <c r="J416" s="4">
        <f>INDEX(Monthly!$P:$P,MATCH(H416,Monthly!$A:$A,0))</f>
        <v>9.031</v>
      </c>
    </row>
    <row r="417">
      <c r="A417" t="inlineStr">
        <is>
          <t xml:space="preserve">Comayagua — Comayagua department, town of Comayagua</t>
        </is>
      </c>
      <c r="B417" t="inlineStr">
        <is>
          <t xml:space="preserve">2018/19</t>
        </is>
      </c>
      <c r="C417" t="inlineStr">
        <is>
          <t xml:space="preserve">El Niño</t>
        </is>
      </c>
      <c r="D417" t="inlineStr">
        <is>
          <t xml:space="preserve">yes</t>
        </is>
      </c>
      <c r="E417" t="inlineStr">
        <is>
          <t xml:space="preserve">Dec</t>
        </is>
      </c>
      <c r="F417">
        <v>6</v>
      </c>
      <c r="G417">
        <v>2018</v>
      </c>
      <c r="H417" t="inlineStr">
        <is>
          <t xml:space="preserve">2018-12</t>
        </is>
      </c>
      <c r="I417" s="3">
        <f>INDEX(Monthly!$Q:$Q,MATCH(H417,Monthly!$A:$A,0))</f>
        <v>20.3058064516129</v>
      </c>
      <c r="J417" s="4">
        <f>INDEX(Monthly!$P:$P,MATCH(H417,Monthly!$A:$A,0))</f>
        <v>1.151</v>
      </c>
    </row>
    <row r="418">
      <c r="A418" t="inlineStr">
        <is>
          <t xml:space="preserve">Comayagua — Comayagua department, town of Comayagua</t>
        </is>
      </c>
      <c r="B418" t="inlineStr">
        <is>
          <t xml:space="preserve">2018/19</t>
        </is>
      </c>
      <c r="C418" t="inlineStr">
        <is>
          <t xml:space="preserve">El Niño</t>
        </is>
      </c>
      <c r="D418" t="inlineStr">
        <is>
          <t xml:space="preserve">yes</t>
        </is>
      </c>
      <c r="E418" t="inlineStr">
        <is>
          <t xml:space="preserve">Jan</t>
        </is>
      </c>
      <c r="F418">
        <v>7</v>
      </c>
      <c r="G418">
        <v>2019</v>
      </c>
      <c r="H418" t="inlineStr">
        <is>
          <t xml:space="preserve">2019-01</t>
        </is>
      </c>
      <c r="I418" s="3">
        <f>INDEX(Monthly!$Q:$Q,MATCH(H418,Monthly!$A:$A,0))</f>
        <v>20.50161290322581</v>
      </c>
      <c r="J418" s="4">
        <f>INDEX(Monthly!$P:$P,MATCH(H418,Monthly!$A:$A,0))</f>
        <v>6.217</v>
      </c>
    </row>
    <row r="419">
      <c r="A419" t="inlineStr">
        <is>
          <t xml:space="preserve">Comayagua — Comayagua department, town of Comayagua</t>
        </is>
      </c>
      <c r="B419" t="inlineStr">
        <is>
          <t xml:space="preserve">2018/19</t>
        </is>
      </c>
      <c r="C419" t="inlineStr">
        <is>
          <t xml:space="preserve">El Niño</t>
        </is>
      </c>
      <c r="D419" t="inlineStr">
        <is>
          <t xml:space="preserve">yes</t>
        </is>
      </c>
      <c r="E419" t="inlineStr">
        <is>
          <t xml:space="preserve">Feb</t>
        </is>
      </c>
      <c r="F419">
        <v>8</v>
      </c>
      <c r="G419">
        <v>2019</v>
      </c>
      <c r="H419" t="inlineStr">
        <is>
          <t xml:space="preserve">2019-02</t>
        </is>
      </c>
      <c r="I419" s="3">
        <f>INDEX(Monthly!$Q:$Q,MATCH(H419,Monthly!$A:$A,0))</f>
        <v>22.977499999999996</v>
      </c>
      <c r="J419" s="4">
        <f>INDEX(Monthly!$P:$P,MATCH(H419,Monthly!$A:$A,0))</f>
        <v>4.738</v>
      </c>
    </row>
    <row r="420">
      <c r="A420" t="inlineStr">
        <is>
          <t xml:space="preserve">Comayagua — Comayagua department, town of Comayagua</t>
        </is>
      </c>
      <c r="B420" t="inlineStr">
        <is>
          <t xml:space="preserve">2018/19</t>
        </is>
      </c>
      <c r="C420" t="inlineStr">
        <is>
          <t xml:space="preserve">El Niño</t>
        </is>
      </c>
      <c r="D420" t="inlineStr">
        <is>
          <t xml:space="preserve">yes</t>
        </is>
      </c>
      <c r="E420" t="inlineStr">
        <is>
          <t xml:space="preserve">Mar</t>
        </is>
      </c>
      <c r="F420">
        <v>9</v>
      </c>
      <c r="G420">
        <v>2019</v>
      </c>
      <c r="H420" t="inlineStr">
        <is>
          <t xml:space="preserve">2019-03</t>
        </is>
      </c>
      <c r="I420" s="3">
        <f>INDEX(Monthly!$Q:$Q,MATCH(H420,Monthly!$A:$A,0))</f>
        <v>23.505161290322576</v>
      </c>
      <c r="J420" s="4">
        <f>INDEX(Monthly!$P:$P,MATCH(H420,Monthly!$A:$A,0))</f>
        <v>0.058</v>
      </c>
    </row>
    <row r="421">
      <c r="A421" t="inlineStr">
        <is>
          <t xml:space="preserve">Comayagua — Comayagua department, town of Comayagua</t>
        </is>
      </c>
      <c r="B421" t="inlineStr">
        <is>
          <t xml:space="preserve">2018/19</t>
        </is>
      </c>
      <c r="C421" t="inlineStr">
        <is>
          <t xml:space="preserve">El Niño</t>
        </is>
      </c>
      <c r="D421" t="inlineStr">
        <is>
          <t xml:space="preserve">yes</t>
        </is>
      </c>
      <c r="E421" t="inlineStr">
        <is>
          <t xml:space="preserve">Apr</t>
        </is>
      </c>
      <c r="F421">
        <v>10</v>
      </c>
      <c r="G421">
        <v>2019</v>
      </c>
      <c r="H421" t="inlineStr">
        <is>
          <t xml:space="preserve">2019-04</t>
        </is>
      </c>
      <c r="I421" s="3">
        <f>INDEX(Monthly!$Q:$Q,MATCH(H421,Monthly!$A:$A,0))</f>
        <v>25.215999999999998</v>
      </c>
      <c r="J421" s="4">
        <f>INDEX(Monthly!$P:$P,MATCH(H421,Monthly!$A:$A,0))</f>
        <v>24.923</v>
      </c>
    </row>
    <row r="422">
      <c r="A422" t="inlineStr">
        <is>
          <t xml:space="preserve">Comayagua — Comayagua department, town of Comayagua</t>
        </is>
      </c>
      <c r="B422" t="inlineStr">
        <is>
          <t xml:space="preserve">2018/19</t>
        </is>
      </c>
      <c r="C422" t="inlineStr">
        <is>
          <t xml:space="preserve">El Niño</t>
        </is>
      </c>
      <c r="D422" t="inlineStr">
        <is>
          <t xml:space="preserve">yes</t>
        </is>
      </c>
      <c r="E422" t="inlineStr">
        <is>
          <t xml:space="preserve">May</t>
        </is>
      </c>
      <c r="F422">
        <v>11</v>
      </c>
      <c r="G422">
        <v>2019</v>
      </c>
      <c r="H422" t="inlineStr">
        <is>
          <t xml:space="preserve">2019-05</t>
        </is>
      </c>
      <c r="I422" s="3">
        <f>INDEX(Monthly!$Q:$Q,MATCH(H422,Monthly!$A:$A,0))</f>
        <v>24.20999999999999</v>
      </c>
      <c r="J422" s="4">
        <f>INDEX(Monthly!$P:$P,MATCH(H422,Monthly!$A:$A,0))</f>
        <v>135.363</v>
      </c>
    </row>
    <row r="423">
      <c r="A423" t="inlineStr">
        <is>
          <t xml:space="preserve">Comayagua — Comayagua department, town of Comayagua</t>
        </is>
      </c>
      <c r="B423" t="inlineStr">
        <is>
          <t xml:space="preserve">2018/19</t>
        </is>
      </c>
      <c r="C423" t="inlineStr">
        <is>
          <t xml:space="preserve">El Niño</t>
        </is>
      </c>
      <c r="D423" t="inlineStr">
        <is>
          <t xml:space="preserve">yes</t>
        </is>
      </c>
      <c r="E423" t="inlineStr">
        <is>
          <t xml:space="preserve">Jun</t>
        </is>
      </c>
      <c r="F423">
        <v>12</v>
      </c>
      <c r="G423">
        <v>2019</v>
      </c>
      <c r="H423" t="inlineStr">
        <is>
          <t xml:space="preserve">2019-06</t>
        </is>
      </c>
      <c r="I423" s="3">
        <f>INDEX(Monthly!$Q:$Q,MATCH(H423,Monthly!$A:$A,0))</f>
        <v>23.975333333333328</v>
      </c>
      <c r="J423" s="4">
        <f>INDEX(Monthly!$P:$P,MATCH(H423,Monthly!$A:$A,0))</f>
        <v>147.869</v>
      </c>
    </row>
    <row r="424">
      <c r="A424" t="inlineStr">
        <is>
          <t xml:space="preserve">Comayagua — Comayagua department, town of Comayagua</t>
        </is>
      </c>
      <c r="B424" t="inlineStr">
        <is>
          <t xml:space="preserve">2019/20</t>
        </is>
      </c>
      <c r="C424" t="inlineStr">
        <is>
          <t xml:space="preserve">El Niño</t>
        </is>
      </c>
      <c r="D424" t="inlineStr">
        <is>
          <t xml:space="preserve">yes</t>
        </is>
      </c>
      <c r="E424" t="inlineStr">
        <is>
          <t xml:space="preserve">Jul</t>
        </is>
      </c>
      <c r="F424">
        <v>1</v>
      </c>
      <c r="G424">
        <v>2019</v>
      </c>
      <c r="H424" t="inlineStr">
        <is>
          <t xml:space="preserve">2019-07</t>
        </is>
      </c>
      <c r="I424" s="3">
        <f>INDEX(Monthly!$Q:$Q,MATCH(H424,Monthly!$A:$A,0))</f>
        <v>23.910967741935487</v>
      </c>
      <c r="J424" s="4">
        <f>INDEX(Monthly!$P:$P,MATCH(H424,Monthly!$A:$A,0))</f>
        <v>95.932</v>
      </c>
    </row>
    <row r="425">
      <c r="A425" t="inlineStr">
        <is>
          <t xml:space="preserve">Comayagua — Comayagua department, town of Comayagua</t>
        </is>
      </c>
      <c r="B425" t="inlineStr">
        <is>
          <t xml:space="preserve">2019/20</t>
        </is>
      </c>
      <c r="C425" t="inlineStr">
        <is>
          <t xml:space="preserve">El Niño</t>
        </is>
      </c>
      <c r="D425" t="inlineStr">
        <is>
          <t xml:space="preserve">yes</t>
        </is>
      </c>
      <c r="E425" t="inlineStr">
        <is>
          <t xml:space="preserve">Aug</t>
        </is>
      </c>
      <c r="F425">
        <v>2</v>
      </c>
      <c r="G425">
        <v>2019</v>
      </c>
      <c r="H425" t="inlineStr">
        <is>
          <t xml:space="preserve">2019-08</t>
        </is>
      </c>
      <c r="I425" s="3">
        <f>INDEX(Monthly!$Q:$Q,MATCH(H425,Monthly!$A:$A,0))</f>
        <v>24.363548387096774</v>
      </c>
      <c r="J425" s="4">
        <f>INDEX(Monthly!$P:$P,MATCH(H425,Monthly!$A:$A,0))</f>
        <v>152.612</v>
      </c>
    </row>
    <row r="426">
      <c r="A426" t="inlineStr">
        <is>
          <t xml:space="preserve">Comayagua — Comayagua department, town of Comayagua</t>
        </is>
      </c>
      <c r="B426" t="inlineStr">
        <is>
          <t xml:space="preserve">2019/20</t>
        </is>
      </c>
      <c r="C426" t="inlineStr">
        <is>
          <t xml:space="preserve">El Niño</t>
        </is>
      </c>
      <c r="D426" t="inlineStr">
        <is>
          <t xml:space="preserve">yes</t>
        </is>
      </c>
      <c r="E426" t="inlineStr">
        <is>
          <t xml:space="preserve">Sep</t>
        </is>
      </c>
      <c r="F426">
        <v>3</v>
      </c>
      <c r="G426">
        <v>2019</v>
      </c>
      <c r="H426" t="inlineStr">
        <is>
          <t xml:space="preserve">2019-09</t>
        </is>
      </c>
      <c r="I426" s="3">
        <f>INDEX(Monthly!$Q:$Q,MATCH(H426,Monthly!$A:$A,0))</f>
        <v>23.420333333333335</v>
      </c>
      <c r="J426" s="4">
        <f>INDEX(Monthly!$P:$P,MATCH(H426,Monthly!$A:$A,0))</f>
        <v>238.234</v>
      </c>
    </row>
    <row r="427">
      <c r="A427" t="inlineStr">
        <is>
          <t xml:space="preserve">Comayagua — Comayagua department, town of Comayagua</t>
        </is>
      </c>
      <c r="B427" t="inlineStr">
        <is>
          <t xml:space="preserve">2019/20</t>
        </is>
      </c>
      <c r="C427" t="inlineStr">
        <is>
          <t xml:space="preserve">El Niño</t>
        </is>
      </c>
      <c r="D427" t="inlineStr">
        <is>
          <t xml:space="preserve">yes</t>
        </is>
      </c>
      <c r="E427" t="inlineStr">
        <is>
          <t xml:space="preserve">Oct</t>
        </is>
      </c>
      <c r="F427">
        <v>4</v>
      </c>
      <c r="G427">
        <v>2019</v>
      </c>
      <c r="H427" t="inlineStr">
        <is>
          <t xml:space="preserve">2019-10</t>
        </is>
      </c>
      <c r="I427" s="3">
        <f>INDEX(Monthly!$Q:$Q,MATCH(H427,Monthly!$A:$A,0))</f>
        <v>21.71225806451613</v>
      </c>
      <c r="J427" s="4">
        <f>INDEX(Monthly!$P:$P,MATCH(H427,Monthly!$A:$A,0))</f>
        <v>219.873</v>
      </c>
    </row>
    <row r="428">
      <c r="A428" t="inlineStr">
        <is>
          <t xml:space="preserve">Comayagua — Comayagua department, town of Comayagua</t>
        </is>
      </c>
      <c r="B428" t="inlineStr">
        <is>
          <t xml:space="preserve">2019/20</t>
        </is>
      </c>
      <c r="C428" t="inlineStr">
        <is>
          <t xml:space="preserve">El Niño</t>
        </is>
      </c>
      <c r="D428" t="inlineStr">
        <is>
          <t xml:space="preserve">yes</t>
        </is>
      </c>
      <c r="E428" t="inlineStr">
        <is>
          <t xml:space="preserve">Nov</t>
        </is>
      </c>
      <c r="F428">
        <v>5</v>
      </c>
      <c r="G428">
        <v>2019</v>
      </c>
      <c r="H428" t="inlineStr">
        <is>
          <t xml:space="preserve">2019-11</t>
        </is>
      </c>
      <c r="I428" s="3">
        <f>INDEX(Monthly!$Q:$Q,MATCH(H428,Monthly!$A:$A,0))</f>
        <v>20.740666666666662</v>
      </c>
      <c r="J428" s="4">
        <f>INDEX(Monthly!$P:$P,MATCH(H428,Monthly!$A:$A,0))</f>
        <v>16.164</v>
      </c>
    </row>
    <row r="429">
      <c r="A429" t="inlineStr">
        <is>
          <t xml:space="preserve">Comayagua — Comayagua department, town of Comayagua</t>
        </is>
      </c>
      <c r="B429" t="inlineStr">
        <is>
          <t xml:space="preserve">2019/20</t>
        </is>
      </c>
      <c r="C429" t="inlineStr">
        <is>
          <t xml:space="preserve">El Niño</t>
        </is>
      </c>
      <c r="D429" t="inlineStr">
        <is>
          <t xml:space="preserve">yes</t>
        </is>
      </c>
      <c r="E429" t="inlineStr">
        <is>
          <t xml:space="preserve">Dec</t>
        </is>
      </c>
      <c r="F429">
        <v>6</v>
      </c>
      <c r="G429">
        <v>2019</v>
      </c>
      <c r="H429" t="inlineStr">
        <is>
          <t xml:space="preserve">2019-12</t>
        </is>
      </c>
      <c r="I429" s="3">
        <f>INDEX(Monthly!$Q:$Q,MATCH(H429,Monthly!$A:$A,0))</f>
        <v>20.900000000000002</v>
      </c>
      <c r="J429" s="4">
        <f>INDEX(Monthly!$P:$P,MATCH(H429,Monthly!$A:$A,0))</f>
        <v>1.978</v>
      </c>
    </row>
    <row r="430">
      <c r="A430" t="inlineStr">
        <is>
          <t xml:space="preserve">Comayagua — Comayagua department, town of Comayagua</t>
        </is>
      </c>
      <c r="B430" t="inlineStr">
        <is>
          <t xml:space="preserve">2019/20</t>
        </is>
      </c>
      <c r="C430" t="inlineStr">
        <is>
          <t xml:space="preserve">El Niño</t>
        </is>
      </c>
      <c r="D430" t="inlineStr">
        <is>
          <t xml:space="preserve">yes</t>
        </is>
      </c>
      <c r="E430" t="inlineStr">
        <is>
          <t xml:space="preserve">Jan</t>
        </is>
      </c>
      <c r="F430">
        <v>7</v>
      </c>
      <c r="G430">
        <v>2020</v>
      </c>
      <c r="H430" t="inlineStr">
        <is>
          <t xml:space="preserve">2020-01</t>
        </is>
      </c>
      <c r="I430" s="3">
        <f>INDEX(Monthly!$Q:$Q,MATCH(H430,Monthly!$A:$A,0))</f>
        <v>21.342580645161295</v>
      </c>
      <c r="J430" s="4">
        <f>INDEX(Monthly!$P:$P,MATCH(H430,Monthly!$A:$A,0))</f>
        <v>1.587</v>
      </c>
    </row>
    <row r="431">
      <c r="A431" t="inlineStr">
        <is>
          <t xml:space="preserve">Comayagua — Comayagua department, town of Comayagua</t>
        </is>
      </c>
      <c r="B431" t="inlineStr">
        <is>
          <t xml:space="preserve">2019/20</t>
        </is>
      </c>
      <c r="C431" t="inlineStr">
        <is>
          <t xml:space="preserve">El Niño</t>
        </is>
      </c>
      <c r="D431" t="inlineStr">
        <is>
          <t xml:space="preserve">yes</t>
        </is>
      </c>
      <c r="E431" t="inlineStr">
        <is>
          <t xml:space="preserve">Feb</t>
        </is>
      </c>
      <c r="F431">
        <v>8</v>
      </c>
      <c r="G431">
        <v>2020</v>
      </c>
      <c r="H431" t="inlineStr">
        <is>
          <t xml:space="preserve">2020-02</t>
        </is>
      </c>
      <c r="I431" s="3">
        <f>INDEX(Monthly!$Q:$Q,MATCH(H431,Monthly!$A:$A,0))</f>
        <v>22.37758620689655</v>
      </c>
      <c r="J431" s="4">
        <f>INDEX(Monthly!$P:$P,MATCH(H431,Monthly!$A:$A,0))</f>
        <v>2.659</v>
      </c>
    </row>
    <row r="432">
      <c r="A432" t="inlineStr">
        <is>
          <t xml:space="preserve">Comayagua — Comayagua department, town of Comayagua</t>
        </is>
      </c>
      <c r="B432" t="inlineStr">
        <is>
          <t xml:space="preserve">2019/20</t>
        </is>
      </c>
      <c r="C432" t="inlineStr">
        <is>
          <t xml:space="preserve">El Niño</t>
        </is>
      </c>
      <c r="D432" t="inlineStr">
        <is>
          <t xml:space="preserve">yes</t>
        </is>
      </c>
      <c r="E432" t="inlineStr">
        <is>
          <t xml:space="preserve">Mar</t>
        </is>
      </c>
      <c r="F432">
        <v>9</v>
      </c>
      <c r="G432">
        <v>2020</v>
      </c>
      <c r="H432" t="inlineStr">
        <is>
          <t xml:space="preserve">2020-03</t>
        </is>
      </c>
      <c r="I432" s="3">
        <f>INDEX(Monthly!$Q:$Q,MATCH(H432,Monthly!$A:$A,0))</f>
        <v>23.615806451612904</v>
      </c>
      <c r="J432" s="4">
        <f>INDEX(Monthly!$P:$P,MATCH(H432,Monthly!$A:$A,0))</f>
        <v>1.387</v>
      </c>
    </row>
    <row r="433">
      <c r="A433" t="inlineStr">
        <is>
          <t xml:space="preserve">Comayagua — Comayagua department, town of Comayagua</t>
        </is>
      </c>
      <c r="B433" t="inlineStr">
        <is>
          <t xml:space="preserve">2019/20</t>
        </is>
      </c>
      <c r="C433" t="inlineStr">
        <is>
          <t xml:space="preserve">El Niño</t>
        </is>
      </c>
      <c r="D433" t="inlineStr">
        <is>
          <t xml:space="preserve">yes</t>
        </is>
      </c>
      <c r="E433" t="inlineStr">
        <is>
          <t xml:space="preserve">Apr</t>
        </is>
      </c>
      <c r="F433">
        <v>10</v>
      </c>
      <c r="G433">
        <v>2020</v>
      </c>
      <c r="H433" t="inlineStr">
        <is>
          <t xml:space="preserve">2020-04</t>
        </is>
      </c>
      <c r="I433" s="3">
        <f>INDEX(Monthly!$Q:$Q,MATCH(H433,Monthly!$A:$A,0))</f>
        <v>27.10166666666667</v>
      </c>
      <c r="J433" s="4">
        <f>INDEX(Monthly!$P:$P,MATCH(H433,Monthly!$A:$A,0))</f>
        <v>5.584</v>
      </c>
    </row>
    <row r="434">
      <c r="A434" t="inlineStr">
        <is>
          <t xml:space="preserve">Comayagua — Comayagua department, town of Comayagua</t>
        </is>
      </c>
      <c r="B434" t="inlineStr">
        <is>
          <t xml:space="preserve">2019/20</t>
        </is>
      </c>
      <c r="C434" t="inlineStr">
        <is>
          <t xml:space="preserve">El Niño</t>
        </is>
      </c>
      <c r="D434" t="inlineStr">
        <is>
          <t xml:space="preserve">yes</t>
        </is>
      </c>
      <c r="E434" t="inlineStr">
        <is>
          <t xml:space="preserve">May</t>
        </is>
      </c>
      <c r="F434">
        <v>11</v>
      </c>
      <c r="G434">
        <v>2020</v>
      </c>
      <c r="H434" t="inlineStr">
        <is>
          <t xml:space="preserve">2020-05</t>
        </is>
      </c>
      <c r="I434" s="3">
        <f>INDEX(Monthly!$Q:$Q,MATCH(H434,Monthly!$A:$A,0))</f>
        <v>24.32967741935484</v>
      </c>
      <c r="J434" s="4">
        <f>INDEX(Monthly!$P:$P,MATCH(H434,Monthly!$A:$A,0))</f>
        <v>236.887</v>
      </c>
    </row>
    <row r="435">
      <c r="A435" t="inlineStr">
        <is>
          <t xml:space="preserve">Comayagua — Comayagua department, town of Comayagua</t>
        </is>
      </c>
      <c r="B435" t="inlineStr">
        <is>
          <t xml:space="preserve">2019/20</t>
        </is>
      </c>
      <c r="C435" t="inlineStr">
        <is>
          <t xml:space="preserve">El Niño</t>
        </is>
      </c>
      <c r="D435" t="inlineStr">
        <is>
          <t xml:space="preserve">yes</t>
        </is>
      </c>
      <c r="E435" t="inlineStr">
        <is>
          <t xml:space="preserve">Jun</t>
        </is>
      </c>
      <c r="F435">
        <v>12</v>
      </c>
      <c r="G435">
        <v>2020</v>
      </c>
      <c r="H435" t="inlineStr">
        <is>
          <t xml:space="preserve">2020-06</t>
        </is>
      </c>
      <c r="I435" s="3">
        <f>INDEX(Monthly!$Q:$Q,MATCH(H435,Monthly!$A:$A,0))</f>
        <v>21.985000000000007</v>
      </c>
      <c r="J435" s="4">
        <f>INDEX(Monthly!$P:$P,MATCH(H435,Monthly!$A:$A,0))</f>
        <v>150.196</v>
      </c>
    </row>
    <row r="436">
      <c r="A436" t="inlineStr">
        <is>
          <t xml:space="preserve">Comayagua — Comayagua department, town of Comayagua</t>
        </is>
      </c>
      <c r="B436" t="inlineStr">
        <is>
          <t xml:space="preserve">2020/21</t>
        </is>
      </c>
      <c r="C436" t="inlineStr">
        <is>
          <t xml:space="preserve">La Niña</t>
        </is>
      </c>
      <c r="D436" t="inlineStr">
        <is>
          <t xml:space="preserve">yes</t>
        </is>
      </c>
      <c r="E436" t="inlineStr">
        <is>
          <t xml:space="preserve">Jul</t>
        </is>
      </c>
      <c r="F436">
        <v>1</v>
      </c>
      <c r="G436">
        <v>2020</v>
      </c>
      <c r="H436" t="inlineStr">
        <is>
          <t xml:space="preserve">2020-07</t>
        </is>
      </c>
      <c r="I436" s="3">
        <f>INDEX(Monthly!$Q:$Q,MATCH(H436,Monthly!$A:$A,0))</f>
        <v>22.038064516129026</v>
      </c>
      <c r="J436" s="4">
        <f>INDEX(Monthly!$P:$P,MATCH(H436,Monthly!$A:$A,0))</f>
        <v>133.289</v>
      </c>
    </row>
    <row r="437">
      <c r="A437" t="inlineStr">
        <is>
          <t xml:space="preserve">Comayagua — Comayagua department, town of Comayagua</t>
        </is>
      </c>
      <c r="B437" t="inlineStr">
        <is>
          <t xml:space="preserve">2020/21</t>
        </is>
      </c>
      <c r="C437" t="inlineStr">
        <is>
          <t xml:space="preserve">La Niña</t>
        </is>
      </c>
      <c r="D437" t="inlineStr">
        <is>
          <t xml:space="preserve">yes</t>
        </is>
      </c>
      <c r="E437" t="inlineStr">
        <is>
          <t xml:space="preserve">Aug</t>
        </is>
      </c>
      <c r="F437">
        <v>2</v>
      </c>
      <c r="G437">
        <v>2020</v>
      </c>
      <c r="H437" t="inlineStr">
        <is>
          <t xml:space="preserve">2020-08</t>
        </is>
      </c>
      <c r="I437" s="3">
        <f>INDEX(Monthly!$Q:$Q,MATCH(H437,Monthly!$A:$A,0))</f>
        <v>22.056129032258063</v>
      </c>
      <c r="J437" s="4">
        <f>INDEX(Monthly!$P:$P,MATCH(H437,Monthly!$A:$A,0))</f>
        <v>220.559</v>
      </c>
    </row>
    <row r="438">
      <c r="A438" t="inlineStr">
        <is>
          <t xml:space="preserve">Comayagua — Comayagua department, town of Comayagua</t>
        </is>
      </c>
      <c r="B438" t="inlineStr">
        <is>
          <t xml:space="preserve">2020/21</t>
        </is>
      </c>
      <c r="C438" t="inlineStr">
        <is>
          <t xml:space="preserve">La Niña</t>
        </is>
      </c>
      <c r="D438" t="inlineStr">
        <is>
          <t xml:space="preserve">yes</t>
        </is>
      </c>
      <c r="E438" t="inlineStr">
        <is>
          <t xml:space="preserve">Sep</t>
        </is>
      </c>
      <c r="F438">
        <v>3</v>
      </c>
      <c r="G438">
        <v>2020</v>
      </c>
      <c r="H438" t="inlineStr">
        <is>
          <t xml:space="preserve">2020-09</t>
        </is>
      </c>
      <c r="I438" s="3">
        <f>INDEX(Monthly!$Q:$Q,MATCH(H438,Monthly!$A:$A,0))</f>
        <v>22.277333333333324</v>
      </c>
      <c r="J438" s="4">
        <f>INDEX(Monthly!$P:$P,MATCH(H438,Monthly!$A:$A,0))</f>
        <v>241.907</v>
      </c>
    </row>
    <row r="439">
      <c r="A439" t="inlineStr">
        <is>
          <t xml:space="preserve">Comayagua — Comayagua department, town of Comayagua</t>
        </is>
      </c>
      <c r="B439" t="inlineStr">
        <is>
          <t xml:space="preserve">2020/21</t>
        </is>
      </c>
      <c r="C439" t="inlineStr">
        <is>
          <t xml:space="preserve">La Niña</t>
        </is>
      </c>
      <c r="D439" t="inlineStr">
        <is>
          <t xml:space="preserve">yes</t>
        </is>
      </c>
      <c r="E439" t="inlineStr">
        <is>
          <t xml:space="preserve">Oct</t>
        </is>
      </c>
      <c r="F439">
        <v>4</v>
      </c>
      <c r="G439">
        <v>2020</v>
      </c>
      <c r="H439" t="inlineStr">
        <is>
          <t xml:space="preserve">2020-10</t>
        </is>
      </c>
      <c r="I439" s="3">
        <f>INDEX(Monthly!$Q:$Q,MATCH(H439,Monthly!$A:$A,0))</f>
        <v>21.298387096774192</v>
      </c>
      <c r="J439" s="4">
        <f>INDEX(Monthly!$P:$P,MATCH(H439,Monthly!$A:$A,0))</f>
        <v>140.191</v>
      </c>
    </row>
    <row r="440">
      <c r="A440" t="inlineStr">
        <is>
          <t xml:space="preserve">Comayagua — Comayagua department, town of Comayagua</t>
        </is>
      </c>
      <c r="B440" t="inlineStr">
        <is>
          <t xml:space="preserve">2020/21</t>
        </is>
      </c>
      <c r="C440" t="inlineStr">
        <is>
          <t xml:space="preserve">La Niña</t>
        </is>
      </c>
      <c r="D440" t="inlineStr">
        <is>
          <t xml:space="preserve">yes</t>
        </is>
      </c>
      <c r="E440" t="inlineStr">
        <is>
          <t xml:space="preserve">Nov</t>
        </is>
      </c>
      <c r="F440">
        <v>5</v>
      </c>
      <c r="G440">
        <v>2020</v>
      </c>
      <c r="H440" t="inlineStr">
        <is>
          <t xml:space="preserve">2020-11</t>
        </is>
      </c>
      <c r="I440" s="3">
        <f>INDEX(Monthly!$Q:$Q,MATCH(H440,Monthly!$A:$A,0))</f>
        <v>20.58000000000001</v>
      </c>
      <c r="J440" s="4">
        <f>INDEX(Monthly!$P:$P,MATCH(H440,Monthly!$A:$A,0))</f>
        <v>212.268</v>
      </c>
    </row>
    <row r="441">
      <c r="A441" t="inlineStr">
        <is>
          <t xml:space="preserve">Comayagua — Comayagua department, town of Comayagua</t>
        </is>
      </c>
      <c r="B441" t="inlineStr">
        <is>
          <t xml:space="preserve">2020/21</t>
        </is>
      </c>
      <c r="C441" t="inlineStr">
        <is>
          <t xml:space="preserve">La Niña</t>
        </is>
      </c>
      <c r="D441" t="inlineStr">
        <is>
          <t xml:space="preserve">yes</t>
        </is>
      </c>
      <c r="E441" t="inlineStr">
        <is>
          <t xml:space="preserve">Dec</t>
        </is>
      </c>
      <c r="F441">
        <v>6</v>
      </c>
      <c r="G441">
        <v>2020</v>
      </c>
      <c r="H441" t="inlineStr">
        <is>
          <t xml:space="preserve">2020-12</t>
        </is>
      </c>
      <c r="I441" s="3">
        <f>INDEX(Monthly!$Q:$Q,MATCH(H441,Monthly!$A:$A,0))</f>
        <v>18.61774193548387</v>
      </c>
      <c r="J441" s="4">
        <f>INDEX(Monthly!$P:$P,MATCH(H441,Monthly!$A:$A,0))</f>
        <v>3.37</v>
      </c>
    </row>
    <row r="442">
      <c r="A442" t="inlineStr">
        <is>
          <t xml:space="preserve">Comayagua — Comayagua department, town of Comayagua</t>
        </is>
      </c>
      <c r="B442" t="inlineStr">
        <is>
          <t xml:space="preserve">2020/21</t>
        </is>
      </c>
      <c r="C442" t="inlineStr">
        <is>
          <t xml:space="preserve">La Niña</t>
        </is>
      </c>
      <c r="D442" t="inlineStr">
        <is>
          <t xml:space="preserve">yes</t>
        </is>
      </c>
      <c r="E442" t="inlineStr">
        <is>
          <t xml:space="preserve">Jan</t>
        </is>
      </c>
      <c r="F442">
        <v>7</v>
      </c>
      <c r="G442">
        <v>2021</v>
      </c>
      <c r="H442" t="inlineStr">
        <is>
          <t xml:space="preserve">2021-01</t>
        </is>
      </c>
      <c r="I442" s="3">
        <f>INDEX(Monthly!$Q:$Q,MATCH(H442,Monthly!$A:$A,0))</f>
        <v>18.839354838709678</v>
      </c>
      <c r="J442" s="4">
        <f>INDEX(Monthly!$P:$P,MATCH(H442,Monthly!$A:$A,0))</f>
        <v>2.95</v>
      </c>
    </row>
    <row r="443">
      <c r="A443" t="inlineStr">
        <is>
          <t xml:space="preserve">Comayagua — Comayagua department, town of Comayagua</t>
        </is>
      </c>
      <c r="B443" t="inlineStr">
        <is>
          <t xml:space="preserve">2020/21</t>
        </is>
      </c>
      <c r="C443" t="inlineStr">
        <is>
          <t xml:space="preserve">La Niña</t>
        </is>
      </c>
      <c r="D443" t="inlineStr">
        <is>
          <t xml:space="preserve">yes</t>
        </is>
      </c>
      <c r="E443" t="inlineStr">
        <is>
          <t xml:space="preserve">Feb</t>
        </is>
      </c>
      <c r="F443">
        <v>8</v>
      </c>
      <c r="G443">
        <v>2021</v>
      </c>
      <c r="H443" t="inlineStr">
        <is>
          <t xml:space="preserve">2021-02</t>
        </is>
      </c>
      <c r="I443" s="3">
        <f>INDEX(Monthly!$Q:$Q,MATCH(H443,Monthly!$A:$A,0))</f>
        <v>19.291785714285712</v>
      </c>
      <c r="J443" s="4">
        <f>INDEX(Monthly!$P:$P,MATCH(H443,Monthly!$A:$A,0))</f>
        <v>7.916</v>
      </c>
    </row>
    <row r="444">
      <c r="A444" t="inlineStr">
        <is>
          <t xml:space="preserve">Comayagua — Comayagua department, town of Comayagua</t>
        </is>
      </c>
      <c r="B444" t="inlineStr">
        <is>
          <t xml:space="preserve">2020/21</t>
        </is>
      </c>
      <c r="C444" t="inlineStr">
        <is>
          <t xml:space="preserve">La Niña</t>
        </is>
      </c>
      <c r="D444" t="inlineStr">
        <is>
          <t xml:space="preserve">yes</t>
        </is>
      </c>
      <c r="E444" t="inlineStr">
        <is>
          <t xml:space="preserve">Mar</t>
        </is>
      </c>
      <c r="F444">
        <v>9</v>
      </c>
      <c r="G444">
        <v>2021</v>
      </c>
      <c r="H444" t="inlineStr">
        <is>
          <t xml:space="preserve">2021-03</t>
        </is>
      </c>
      <c r="I444" s="3">
        <f>INDEX(Monthly!$Q:$Q,MATCH(H444,Monthly!$A:$A,0))</f>
        <v>20.16709677419355</v>
      </c>
      <c r="J444" s="4">
        <f>INDEX(Monthly!$P:$P,MATCH(H444,Monthly!$A:$A,0))</f>
        <v>3.218</v>
      </c>
    </row>
    <row r="445">
      <c r="A445" t="inlineStr">
        <is>
          <t xml:space="preserve">Comayagua — Comayagua department, town of Comayagua</t>
        </is>
      </c>
      <c r="B445" t="inlineStr">
        <is>
          <t xml:space="preserve">2020/21</t>
        </is>
      </c>
      <c r="C445" t="inlineStr">
        <is>
          <t xml:space="preserve">La Niña</t>
        </is>
      </c>
      <c r="D445" t="inlineStr">
        <is>
          <t xml:space="preserve">yes</t>
        </is>
      </c>
      <c r="E445" t="inlineStr">
        <is>
          <t xml:space="preserve">Apr</t>
        </is>
      </c>
      <c r="F445">
        <v>10</v>
      </c>
      <c r="G445">
        <v>2021</v>
      </c>
      <c r="H445" t="inlineStr">
        <is>
          <t xml:space="preserve">2021-04</t>
        </is>
      </c>
      <c r="I445" s="3">
        <f>INDEX(Monthly!$Q:$Q,MATCH(H445,Monthly!$A:$A,0))</f>
        <v>22.113333333333333</v>
      </c>
      <c r="J445" s="4">
        <f>INDEX(Monthly!$P:$P,MATCH(H445,Monthly!$A:$A,0))</f>
        <v>186.406</v>
      </c>
    </row>
    <row r="446">
      <c r="A446" t="inlineStr">
        <is>
          <t xml:space="preserve">Comayagua — Comayagua department, town of Comayagua</t>
        </is>
      </c>
      <c r="B446" t="inlineStr">
        <is>
          <t xml:space="preserve">2020/21</t>
        </is>
      </c>
      <c r="C446" t="inlineStr">
        <is>
          <t xml:space="preserve">La Niña</t>
        </is>
      </c>
      <c r="D446" t="inlineStr">
        <is>
          <t xml:space="preserve">yes</t>
        </is>
      </c>
      <c r="E446" t="inlineStr">
        <is>
          <t xml:space="preserve">May</t>
        </is>
      </c>
      <c r="F446">
        <v>11</v>
      </c>
      <c r="G446">
        <v>2021</v>
      </c>
      <c r="H446" t="inlineStr">
        <is>
          <t xml:space="preserve">2021-05</t>
        </is>
      </c>
      <c r="I446" s="3">
        <f>INDEX(Monthly!$Q:$Q,MATCH(H446,Monthly!$A:$A,0))</f>
        <v>23.18870967741936</v>
      </c>
      <c r="J446" s="4">
        <f>INDEX(Monthly!$P:$P,MATCH(H446,Monthly!$A:$A,0))</f>
        <v>104.648</v>
      </c>
    </row>
    <row r="447">
      <c r="A447" t="inlineStr">
        <is>
          <t xml:space="preserve">Comayagua — Comayagua department, town of Comayagua</t>
        </is>
      </c>
      <c r="B447" t="inlineStr">
        <is>
          <t xml:space="preserve">2020/21</t>
        </is>
      </c>
      <c r="C447" t="inlineStr">
        <is>
          <t xml:space="preserve">La Niña</t>
        </is>
      </c>
      <c r="D447" t="inlineStr">
        <is>
          <t xml:space="preserve">yes</t>
        </is>
      </c>
      <c r="E447" t="inlineStr">
        <is>
          <t xml:space="preserve">Jun</t>
        </is>
      </c>
      <c r="F447">
        <v>12</v>
      </c>
      <c r="G447">
        <v>2021</v>
      </c>
      <c r="H447" t="inlineStr">
        <is>
          <t xml:space="preserve">2021-06</t>
        </is>
      </c>
      <c r="I447" s="3">
        <f>INDEX(Monthly!$Q:$Q,MATCH(H447,Monthly!$A:$A,0))</f>
        <v>22.597666666666665</v>
      </c>
      <c r="J447" s="4">
        <f>INDEX(Monthly!$P:$P,MATCH(H447,Monthly!$A:$A,0))</f>
        <v>227.072</v>
      </c>
    </row>
    <row r="448">
      <c r="A448" t="inlineStr">
        <is>
          <t xml:space="preserve">Comayagua — Comayagua department, town of Comayagua</t>
        </is>
      </c>
      <c r="B448" t="inlineStr">
        <is>
          <t xml:space="preserve">2021/22</t>
        </is>
      </c>
      <c r="C448" t="inlineStr">
        <is>
          <t xml:space="preserve">La Niña</t>
        </is>
      </c>
      <c r="D448" t="inlineStr">
        <is>
          <t xml:space="preserve">yes</t>
        </is>
      </c>
      <c r="E448" t="inlineStr">
        <is>
          <t xml:space="preserve">Jul</t>
        </is>
      </c>
      <c r="F448">
        <v>1</v>
      </c>
      <c r="G448">
        <v>2021</v>
      </c>
      <c r="H448" t="inlineStr">
        <is>
          <t xml:space="preserve">2021-07</t>
        </is>
      </c>
      <c r="I448" s="3">
        <f>INDEX(Monthly!$Q:$Q,MATCH(H448,Monthly!$A:$A,0))</f>
        <v>22.078387096774193</v>
      </c>
      <c r="J448" s="4">
        <f>INDEX(Monthly!$P:$P,MATCH(H448,Monthly!$A:$A,0))</f>
        <v>109.618</v>
      </c>
    </row>
    <row r="449">
      <c r="A449" t="inlineStr">
        <is>
          <t xml:space="preserve">Comayagua — Comayagua department, town of Comayagua</t>
        </is>
      </c>
      <c r="B449" t="inlineStr">
        <is>
          <t xml:space="preserve">2021/22</t>
        </is>
      </c>
      <c r="C449" t="inlineStr">
        <is>
          <t xml:space="preserve">La Niña</t>
        </is>
      </c>
      <c r="D449" t="inlineStr">
        <is>
          <t xml:space="preserve">yes</t>
        </is>
      </c>
      <c r="E449" t="inlineStr">
        <is>
          <t xml:space="preserve">Aug</t>
        </is>
      </c>
      <c r="F449">
        <v>2</v>
      </c>
      <c r="G449">
        <v>2021</v>
      </c>
      <c r="H449" t="inlineStr">
        <is>
          <t xml:space="preserve">2021-08</t>
        </is>
      </c>
      <c r="I449" s="3">
        <f>INDEX(Monthly!$Q:$Q,MATCH(H449,Monthly!$A:$A,0))</f>
        <v>22.102580645161286</v>
      </c>
      <c r="J449" s="4">
        <f>INDEX(Monthly!$P:$P,MATCH(H449,Monthly!$A:$A,0))</f>
        <v>232.284</v>
      </c>
    </row>
    <row r="450">
      <c r="A450" t="inlineStr">
        <is>
          <t xml:space="preserve">Comayagua — Comayagua department, town of Comayagua</t>
        </is>
      </c>
      <c r="B450" t="inlineStr">
        <is>
          <t xml:space="preserve">2021/22</t>
        </is>
      </c>
      <c r="C450" t="inlineStr">
        <is>
          <t xml:space="preserve">La Niña</t>
        </is>
      </c>
      <c r="D450" t="inlineStr">
        <is>
          <t xml:space="preserve">yes</t>
        </is>
      </c>
      <c r="E450" t="inlineStr">
        <is>
          <t xml:space="preserve">Sep</t>
        </is>
      </c>
      <c r="F450">
        <v>3</v>
      </c>
      <c r="G450">
        <v>2021</v>
      </c>
      <c r="H450" t="inlineStr">
        <is>
          <t xml:space="preserve">2021-09</t>
        </is>
      </c>
      <c r="I450" s="3">
        <f>INDEX(Monthly!$Q:$Q,MATCH(H450,Monthly!$A:$A,0))</f>
        <v>22.14166666666667</v>
      </c>
      <c r="J450" s="4">
        <f>INDEX(Monthly!$P:$P,MATCH(H450,Monthly!$A:$A,0))</f>
        <v>152.37</v>
      </c>
    </row>
    <row r="451">
      <c r="A451" t="inlineStr">
        <is>
          <t xml:space="preserve">Comayagua — Comayagua department, town of Comayagua</t>
        </is>
      </c>
      <c r="B451" t="inlineStr">
        <is>
          <t xml:space="preserve">2021/22</t>
        </is>
      </c>
      <c r="C451" t="inlineStr">
        <is>
          <t xml:space="preserve">La Niña</t>
        </is>
      </c>
      <c r="D451" t="inlineStr">
        <is>
          <t xml:space="preserve">yes</t>
        </is>
      </c>
      <c r="E451" t="inlineStr">
        <is>
          <t xml:space="preserve">Oct</t>
        </is>
      </c>
      <c r="F451">
        <v>4</v>
      </c>
      <c r="G451">
        <v>2021</v>
      </c>
      <c r="H451" t="inlineStr">
        <is>
          <t xml:space="preserve">2021-10</t>
        </is>
      </c>
      <c r="I451" s="3">
        <f>INDEX(Monthly!$Q:$Q,MATCH(H451,Monthly!$A:$A,0))</f>
        <v>21.95483870967742</v>
      </c>
      <c r="J451" s="4">
        <f>INDEX(Monthly!$P:$P,MATCH(H451,Monthly!$A:$A,0))</f>
        <v>175.261</v>
      </c>
    </row>
    <row r="452">
      <c r="A452" t="inlineStr">
        <is>
          <t xml:space="preserve">Comayagua — Comayagua department, town of Comayagua</t>
        </is>
      </c>
      <c r="B452" t="inlineStr">
        <is>
          <t xml:space="preserve">2021/22</t>
        </is>
      </c>
      <c r="C452" t="inlineStr">
        <is>
          <t xml:space="preserve">La Niña</t>
        </is>
      </c>
      <c r="D452" t="inlineStr">
        <is>
          <t xml:space="preserve">yes</t>
        </is>
      </c>
      <c r="E452" t="inlineStr">
        <is>
          <t xml:space="preserve">Nov</t>
        </is>
      </c>
      <c r="F452">
        <v>5</v>
      </c>
      <c r="G452">
        <v>2021</v>
      </c>
      <c r="H452" t="inlineStr">
        <is>
          <t xml:space="preserve">2021-11</t>
        </is>
      </c>
      <c r="I452" s="3">
        <f>INDEX(Monthly!$Q:$Q,MATCH(H452,Monthly!$A:$A,0))</f>
        <v>19.435333333333332</v>
      </c>
      <c r="J452" s="4">
        <f>INDEX(Monthly!$P:$P,MATCH(H452,Monthly!$A:$A,0))</f>
        <v>4.951</v>
      </c>
    </row>
    <row r="453">
      <c r="A453" t="inlineStr">
        <is>
          <t xml:space="preserve">Comayagua — Comayagua department, town of Comayagua</t>
        </is>
      </c>
      <c r="B453" t="inlineStr">
        <is>
          <t xml:space="preserve">2021/22</t>
        </is>
      </c>
      <c r="C453" t="inlineStr">
        <is>
          <t xml:space="preserve">La Niña</t>
        </is>
      </c>
      <c r="D453" t="inlineStr">
        <is>
          <t xml:space="preserve">yes</t>
        </is>
      </c>
      <c r="E453" t="inlineStr">
        <is>
          <t xml:space="preserve">Dec</t>
        </is>
      </c>
      <c r="F453">
        <v>6</v>
      </c>
      <c r="G453">
        <v>2021</v>
      </c>
      <c r="H453" t="inlineStr">
        <is>
          <t xml:space="preserve">2021-12</t>
        </is>
      </c>
      <c r="I453" s="3">
        <f>INDEX(Monthly!$Q:$Q,MATCH(H453,Monthly!$A:$A,0))</f>
        <v>19.470645161290328</v>
      </c>
      <c r="J453" s="4">
        <f>INDEX(Monthly!$P:$P,MATCH(H453,Monthly!$A:$A,0))</f>
        <v>2.482</v>
      </c>
    </row>
    <row r="454">
      <c r="A454" t="inlineStr">
        <is>
          <t xml:space="preserve">Comayagua — Comayagua department, town of Comayagua</t>
        </is>
      </c>
      <c r="B454" t="inlineStr">
        <is>
          <t xml:space="preserve">2021/22</t>
        </is>
      </c>
      <c r="C454" t="inlineStr">
        <is>
          <t xml:space="preserve">La Niña</t>
        </is>
      </c>
      <c r="D454" t="inlineStr">
        <is>
          <t xml:space="preserve">yes</t>
        </is>
      </c>
      <c r="E454" t="inlineStr">
        <is>
          <t xml:space="preserve">Jan</t>
        </is>
      </c>
      <c r="F454">
        <v>7</v>
      </c>
      <c r="G454">
        <v>2022</v>
      </c>
      <c r="H454" t="inlineStr">
        <is>
          <t xml:space="preserve">2022-01</t>
        </is>
      </c>
      <c r="I454" s="3">
        <f>INDEX(Monthly!$Q:$Q,MATCH(H454,Monthly!$A:$A,0))</f>
        <v>19.239354838709676</v>
      </c>
      <c r="J454" s="4">
        <f>INDEX(Monthly!$P:$P,MATCH(H454,Monthly!$A:$A,0))</f>
        <v>11.926</v>
      </c>
    </row>
    <row r="455">
      <c r="A455" t="inlineStr">
        <is>
          <t xml:space="preserve">Comayagua — Comayagua department, town of Comayagua</t>
        </is>
      </c>
      <c r="B455" t="inlineStr">
        <is>
          <t xml:space="preserve">2021/22</t>
        </is>
      </c>
      <c r="C455" t="inlineStr">
        <is>
          <t xml:space="preserve">La Niña</t>
        </is>
      </c>
      <c r="D455" t="inlineStr">
        <is>
          <t xml:space="preserve">yes</t>
        </is>
      </c>
      <c r="E455" t="inlineStr">
        <is>
          <t xml:space="preserve">Feb</t>
        </is>
      </c>
      <c r="F455">
        <v>8</v>
      </c>
      <c r="G455">
        <v>2022</v>
      </c>
      <c r="H455" t="inlineStr">
        <is>
          <t xml:space="preserve">2022-02</t>
        </is>
      </c>
      <c r="I455" s="3">
        <f>INDEX(Monthly!$Q:$Q,MATCH(H455,Monthly!$A:$A,0))</f>
        <v>19.797499999999996</v>
      </c>
      <c r="J455" s="4">
        <f>INDEX(Monthly!$P:$P,MATCH(H455,Monthly!$A:$A,0))</f>
        <v>3.674</v>
      </c>
    </row>
    <row r="456">
      <c r="A456" t="inlineStr">
        <is>
          <t xml:space="preserve">Comayagua — Comayagua department, town of Comayagua</t>
        </is>
      </c>
      <c r="B456" t="inlineStr">
        <is>
          <t xml:space="preserve">2021/22</t>
        </is>
      </c>
      <c r="C456" t="inlineStr">
        <is>
          <t xml:space="preserve">La Niña</t>
        </is>
      </c>
      <c r="D456" t="inlineStr">
        <is>
          <t xml:space="preserve">yes</t>
        </is>
      </c>
      <c r="E456" t="inlineStr">
        <is>
          <t xml:space="preserve">Mar</t>
        </is>
      </c>
      <c r="F456">
        <v>9</v>
      </c>
      <c r="G456">
        <v>2022</v>
      </c>
      <c r="H456" t="inlineStr">
        <is>
          <t xml:space="preserve">2022-03</t>
        </is>
      </c>
      <c r="I456" s="3">
        <f>INDEX(Monthly!$Q:$Q,MATCH(H456,Monthly!$A:$A,0))</f>
        <v>22.239032258064515</v>
      </c>
      <c r="J456" s="4">
        <f>INDEX(Monthly!$P:$P,MATCH(H456,Monthly!$A:$A,0))</f>
        <v>12.942</v>
      </c>
    </row>
    <row r="457">
      <c r="A457" t="inlineStr">
        <is>
          <t xml:space="preserve">Comayagua — Comayagua department, town of Comayagua</t>
        </is>
      </c>
      <c r="B457" t="inlineStr">
        <is>
          <t xml:space="preserve">2021/22</t>
        </is>
      </c>
      <c r="C457" t="inlineStr">
        <is>
          <t xml:space="preserve">La Niña</t>
        </is>
      </c>
      <c r="D457" t="inlineStr">
        <is>
          <t xml:space="preserve">yes</t>
        </is>
      </c>
      <c r="E457" t="inlineStr">
        <is>
          <t xml:space="preserve">Apr</t>
        </is>
      </c>
      <c r="F457">
        <v>10</v>
      </c>
      <c r="G457">
        <v>2022</v>
      </c>
      <c r="H457" t="inlineStr">
        <is>
          <t xml:space="preserve">2022-04</t>
        </is>
      </c>
      <c r="I457" s="3">
        <f>INDEX(Monthly!$Q:$Q,MATCH(H457,Monthly!$A:$A,0))</f>
        <v>24.002</v>
      </c>
      <c r="J457" s="4">
        <f>INDEX(Monthly!$P:$P,MATCH(H457,Monthly!$A:$A,0))</f>
        <v>52.999</v>
      </c>
    </row>
    <row r="458">
      <c r="A458" t="inlineStr">
        <is>
          <t xml:space="preserve">Comayagua — Comayagua department, town of Comayagua</t>
        </is>
      </c>
      <c r="B458" t="inlineStr">
        <is>
          <t xml:space="preserve">2021/22</t>
        </is>
      </c>
      <c r="C458" t="inlineStr">
        <is>
          <t xml:space="preserve">La Niña</t>
        </is>
      </c>
      <c r="D458" t="inlineStr">
        <is>
          <t xml:space="preserve">yes</t>
        </is>
      </c>
      <c r="E458" t="inlineStr">
        <is>
          <t xml:space="preserve">May</t>
        </is>
      </c>
      <c r="F458">
        <v>11</v>
      </c>
      <c r="G458">
        <v>2022</v>
      </c>
      <c r="H458" t="inlineStr">
        <is>
          <t xml:space="preserve">2022-05</t>
        </is>
      </c>
      <c r="I458" s="3">
        <f>INDEX(Monthly!$Q:$Q,MATCH(H458,Monthly!$A:$A,0))</f>
        <v>23.129354838709677</v>
      </c>
      <c r="J458" s="4">
        <f>INDEX(Monthly!$P:$P,MATCH(H458,Monthly!$A:$A,0))</f>
        <v>202.91</v>
      </c>
    </row>
    <row r="459">
      <c r="A459" t="inlineStr">
        <is>
          <t xml:space="preserve">Comayagua — Comayagua department, town of Comayagua</t>
        </is>
      </c>
      <c r="B459" t="inlineStr">
        <is>
          <t xml:space="preserve">2021/22</t>
        </is>
      </c>
      <c r="C459" t="inlineStr">
        <is>
          <t xml:space="preserve">La Niña</t>
        </is>
      </c>
      <c r="D459" t="inlineStr">
        <is>
          <t xml:space="preserve">yes</t>
        </is>
      </c>
      <c r="E459" t="inlineStr">
        <is>
          <t xml:space="preserve">Jun</t>
        </is>
      </c>
      <c r="F459">
        <v>12</v>
      </c>
      <c r="G459">
        <v>2022</v>
      </c>
      <c r="H459" t="inlineStr">
        <is>
          <t xml:space="preserve">2022-06</t>
        </is>
      </c>
      <c r="I459" s="3">
        <f>INDEX(Monthly!$Q:$Q,MATCH(H459,Monthly!$A:$A,0))</f>
        <v>21.36266666666667</v>
      </c>
      <c r="J459" s="4">
        <f>INDEX(Monthly!$P:$P,MATCH(H459,Monthly!$A:$A,0))</f>
        <v>250.556</v>
      </c>
    </row>
    <row r="460">
      <c r="A460" t="inlineStr">
        <is>
          <t xml:space="preserve">Comayagua — Comayagua department, town of Comayagua</t>
        </is>
      </c>
      <c r="B460" t="inlineStr">
        <is>
          <t xml:space="preserve">2022/23</t>
        </is>
      </c>
      <c r="C460" t="inlineStr">
        <is>
          <t xml:space="preserve">La Niña</t>
        </is>
      </c>
      <c r="D460" t="inlineStr">
        <is>
          <t xml:space="preserve">yes</t>
        </is>
      </c>
      <c r="E460" t="inlineStr">
        <is>
          <t xml:space="preserve">Jul</t>
        </is>
      </c>
      <c r="F460">
        <v>1</v>
      </c>
      <c r="G460">
        <v>2022</v>
      </c>
      <c r="H460" t="inlineStr">
        <is>
          <t xml:space="preserve">2022-07</t>
        </is>
      </c>
      <c r="I460" s="3">
        <f>INDEX(Monthly!$Q:$Q,MATCH(H460,Monthly!$A:$A,0))</f>
        <v>21.585483870967746</v>
      </c>
      <c r="J460" s="4">
        <f>INDEX(Monthly!$P:$P,MATCH(H460,Monthly!$A:$A,0))</f>
        <v>105.332</v>
      </c>
    </row>
    <row r="461">
      <c r="A461" t="inlineStr">
        <is>
          <t xml:space="preserve">Comayagua — Comayagua department, town of Comayagua</t>
        </is>
      </c>
      <c r="B461" t="inlineStr">
        <is>
          <t xml:space="preserve">2022/23</t>
        </is>
      </c>
      <c r="C461" t="inlineStr">
        <is>
          <t xml:space="preserve">La Niña</t>
        </is>
      </c>
      <c r="D461" t="inlineStr">
        <is>
          <t xml:space="preserve">yes</t>
        </is>
      </c>
      <c r="E461" t="inlineStr">
        <is>
          <t xml:space="preserve">Aug</t>
        </is>
      </c>
      <c r="F461">
        <v>2</v>
      </c>
      <c r="G461">
        <v>2022</v>
      </c>
      <c r="H461" t="inlineStr">
        <is>
          <t xml:space="preserve">2022-08</t>
        </is>
      </c>
      <c r="I461" s="3">
        <f>INDEX(Monthly!$Q:$Q,MATCH(H461,Monthly!$A:$A,0))</f>
        <v>21.689677419354833</v>
      </c>
      <c r="J461" s="4">
        <f>INDEX(Monthly!$P:$P,MATCH(H461,Monthly!$A:$A,0))</f>
        <v>260.849</v>
      </c>
    </row>
    <row r="462">
      <c r="A462" t="inlineStr">
        <is>
          <t xml:space="preserve">Comayagua — Comayagua department, town of Comayagua</t>
        </is>
      </c>
      <c r="B462" t="inlineStr">
        <is>
          <t xml:space="preserve">2022/23</t>
        </is>
      </c>
      <c r="C462" t="inlineStr">
        <is>
          <t xml:space="preserve">La Niña</t>
        </is>
      </c>
      <c r="D462" t="inlineStr">
        <is>
          <t xml:space="preserve">yes</t>
        </is>
      </c>
      <c r="E462" t="inlineStr">
        <is>
          <t xml:space="preserve">Sep</t>
        </is>
      </c>
      <c r="F462">
        <v>3</v>
      </c>
      <c r="G462">
        <v>2022</v>
      </c>
      <c r="H462" t="inlineStr">
        <is>
          <t xml:space="preserve">2022-09</t>
        </is>
      </c>
      <c r="I462" s="3">
        <f>INDEX(Monthly!$Q:$Q,MATCH(H462,Monthly!$A:$A,0))</f>
        <v>21.65433333333333</v>
      </c>
      <c r="J462" s="4">
        <f>INDEX(Monthly!$P:$P,MATCH(H462,Monthly!$A:$A,0))</f>
        <v>374.691</v>
      </c>
    </row>
    <row r="463">
      <c r="A463" t="inlineStr">
        <is>
          <t xml:space="preserve">Comayagua — Comayagua department, town of Comayagua</t>
        </is>
      </c>
      <c r="B463" t="inlineStr">
        <is>
          <t xml:space="preserve">2022/23</t>
        </is>
      </c>
      <c r="C463" t="inlineStr">
        <is>
          <t xml:space="preserve">La Niña</t>
        </is>
      </c>
      <c r="D463" t="inlineStr">
        <is>
          <t xml:space="preserve">yes</t>
        </is>
      </c>
      <c r="E463" t="inlineStr">
        <is>
          <t xml:space="preserve">Oct</t>
        </is>
      </c>
      <c r="F463">
        <v>4</v>
      </c>
      <c r="G463">
        <v>2022</v>
      </c>
      <c r="H463" t="inlineStr">
        <is>
          <t xml:space="preserve">2022-10</t>
        </is>
      </c>
      <c r="I463" s="3">
        <f>INDEX(Monthly!$Q:$Q,MATCH(H463,Monthly!$A:$A,0))</f>
        <v>21.317096774193548</v>
      </c>
      <c r="J463" s="4">
        <f>INDEX(Monthly!$P:$P,MATCH(H463,Monthly!$A:$A,0))</f>
        <v>118.201</v>
      </c>
    </row>
    <row r="464">
      <c r="A464" t="inlineStr">
        <is>
          <t xml:space="preserve">Comayagua — Comayagua department, town of Comayagua</t>
        </is>
      </c>
      <c r="B464" t="inlineStr">
        <is>
          <t xml:space="preserve">2022/23</t>
        </is>
      </c>
      <c r="C464" t="inlineStr">
        <is>
          <t xml:space="preserve">La Niña</t>
        </is>
      </c>
      <c r="D464" t="inlineStr">
        <is>
          <t xml:space="preserve">yes</t>
        </is>
      </c>
      <c r="E464" t="inlineStr">
        <is>
          <t xml:space="preserve">Nov</t>
        </is>
      </c>
      <c r="F464">
        <v>5</v>
      </c>
      <c r="G464">
        <v>2022</v>
      </c>
      <c r="H464" t="inlineStr">
        <is>
          <t xml:space="preserve">2022-11</t>
        </is>
      </c>
      <c r="I464" s="3">
        <f>INDEX(Monthly!$Q:$Q,MATCH(H464,Monthly!$A:$A,0))</f>
        <v>20.480000000000004</v>
      </c>
      <c r="J464" s="4">
        <f>INDEX(Monthly!$P:$P,MATCH(H464,Monthly!$A:$A,0))</f>
        <v>94.025</v>
      </c>
    </row>
    <row r="465">
      <c r="A465" t="inlineStr">
        <is>
          <t xml:space="preserve">Comayagua — Comayagua department, town of Comayagua</t>
        </is>
      </c>
      <c r="B465" t="inlineStr">
        <is>
          <t xml:space="preserve">2022/23</t>
        </is>
      </c>
      <c r="C465" t="inlineStr">
        <is>
          <t xml:space="preserve">La Niña</t>
        </is>
      </c>
      <c r="D465" t="inlineStr">
        <is>
          <t xml:space="preserve">yes</t>
        </is>
      </c>
      <c r="E465" t="inlineStr">
        <is>
          <t xml:space="preserve">Dec</t>
        </is>
      </c>
      <c r="F465">
        <v>6</v>
      </c>
      <c r="G465">
        <v>2022</v>
      </c>
      <c r="H465" t="inlineStr">
        <is>
          <t xml:space="preserve">2022-12</t>
        </is>
      </c>
      <c r="I465" s="3">
        <f>INDEX(Monthly!$Q:$Q,MATCH(H465,Monthly!$A:$A,0))</f>
        <v>18.74129032258065</v>
      </c>
      <c r="J465" s="4">
        <f>INDEX(Monthly!$P:$P,MATCH(H465,Monthly!$A:$A,0))</f>
        <v>0.84</v>
      </c>
    </row>
    <row r="466">
      <c r="A466" t="inlineStr">
        <is>
          <t xml:space="preserve">Comayagua — Comayagua department, town of Comayagua</t>
        </is>
      </c>
      <c r="B466" t="inlineStr">
        <is>
          <t xml:space="preserve">2022/23</t>
        </is>
      </c>
      <c r="C466" t="inlineStr">
        <is>
          <t xml:space="preserve">La Niña</t>
        </is>
      </c>
      <c r="D466" t="inlineStr">
        <is>
          <t xml:space="preserve">yes</t>
        </is>
      </c>
      <c r="E466" t="inlineStr">
        <is>
          <t xml:space="preserve">Jan</t>
        </is>
      </c>
      <c r="F466">
        <v>7</v>
      </c>
      <c r="G466">
        <v>2023</v>
      </c>
      <c r="H466" t="inlineStr">
        <is>
          <t xml:space="preserve">2023-01</t>
        </is>
      </c>
      <c r="I466" s="3">
        <f>INDEX(Monthly!$Q:$Q,MATCH(H466,Monthly!$A:$A,0))</f>
        <v>18.810967741935478</v>
      </c>
      <c r="J466" s="4">
        <f>INDEX(Monthly!$P:$P,MATCH(H466,Monthly!$A:$A,0))</f>
        <v>0.51</v>
      </c>
    </row>
    <row r="467">
      <c r="A467" t="inlineStr">
        <is>
          <t xml:space="preserve">Comayagua — Comayagua department, town of Comayagua</t>
        </is>
      </c>
      <c r="B467" t="inlineStr">
        <is>
          <t xml:space="preserve">2022/23</t>
        </is>
      </c>
      <c r="C467" t="inlineStr">
        <is>
          <t xml:space="preserve">La Niña</t>
        </is>
      </c>
      <c r="D467" t="inlineStr">
        <is>
          <t xml:space="preserve">yes</t>
        </is>
      </c>
      <c r="E467" t="inlineStr">
        <is>
          <t xml:space="preserve">Feb</t>
        </is>
      </c>
      <c r="F467">
        <v>8</v>
      </c>
      <c r="G467">
        <v>2023</v>
      </c>
      <c r="H467" t="inlineStr">
        <is>
          <t xml:space="preserve">2023-02</t>
        </is>
      </c>
      <c r="I467" s="3">
        <f>INDEX(Monthly!$Q:$Q,MATCH(H467,Monthly!$A:$A,0))</f>
        <v>19.983571428571427</v>
      </c>
      <c r="J467" s="4">
        <f>INDEX(Monthly!$P:$P,MATCH(H467,Monthly!$A:$A,0))</f>
        <v>0.191</v>
      </c>
    </row>
    <row r="468">
      <c r="A468" t="inlineStr">
        <is>
          <t xml:space="preserve">Comayagua — Comayagua department, town of Comayagua</t>
        </is>
      </c>
      <c r="B468" t="inlineStr">
        <is>
          <t xml:space="preserve">2022/23</t>
        </is>
      </c>
      <c r="C468" t="inlineStr">
        <is>
          <t xml:space="preserve">La Niña</t>
        </is>
      </c>
      <c r="D468" t="inlineStr">
        <is>
          <t xml:space="preserve">yes</t>
        </is>
      </c>
      <c r="E468" t="inlineStr">
        <is>
          <t xml:space="preserve">Mar</t>
        </is>
      </c>
      <c r="F468">
        <v>9</v>
      </c>
      <c r="G468">
        <v>2023</v>
      </c>
      <c r="H468" t="inlineStr">
        <is>
          <t xml:space="preserve">2023-03</t>
        </is>
      </c>
      <c r="I468" s="3">
        <f>INDEX(Monthly!$Q:$Q,MATCH(H468,Monthly!$A:$A,0))</f>
        <v>22.793548387096774</v>
      </c>
      <c r="J468" s="4">
        <f>INDEX(Monthly!$P:$P,MATCH(H468,Monthly!$A:$A,0))</f>
        <v>45.268</v>
      </c>
    </row>
    <row r="469">
      <c r="A469" t="inlineStr">
        <is>
          <t xml:space="preserve">Comayagua — Comayagua department, town of Comayagua</t>
        </is>
      </c>
      <c r="B469" t="inlineStr">
        <is>
          <t xml:space="preserve">2022/23</t>
        </is>
      </c>
      <c r="C469" t="inlineStr">
        <is>
          <t xml:space="preserve">La Niña</t>
        </is>
      </c>
      <c r="D469" t="inlineStr">
        <is>
          <t xml:space="preserve">yes</t>
        </is>
      </c>
      <c r="E469" t="inlineStr">
        <is>
          <t xml:space="preserve">Apr</t>
        </is>
      </c>
      <c r="F469">
        <v>10</v>
      </c>
      <c r="G469">
        <v>2023</v>
      </c>
      <c r="H469" t="inlineStr">
        <is>
          <t xml:space="preserve">2023-04</t>
        </is>
      </c>
      <c r="I469" s="3">
        <f>INDEX(Monthly!$Q:$Q,MATCH(H469,Monthly!$A:$A,0))</f>
        <v>24.466333333333335</v>
      </c>
      <c r="J469" s="4">
        <f>INDEX(Monthly!$P:$P,MATCH(H469,Monthly!$A:$A,0))</f>
        <v>46.054</v>
      </c>
    </row>
    <row r="470">
      <c r="A470" t="inlineStr">
        <is>
          <t xml:space="preserve">Comayagua — Comayagua department, town of Comayagua</t>
        </is>
      </c>
      <c r="B470" t="inlineStr">
        <is>
          <t xml:space="preserve">2022/23</t>
        </is>
      </c>
      <c r="C470" t="inlineStr">
        <is>
          <t xml:space="preserve">La Niña</t>
        </is>
      </c>
      <c r="D470" t="inlineStr">
        <is>
          <t xml:space="preserve">yes</t>
        </is>
      </c>
      <c r="E470" t="inlineStr">
        <is>
          <t xml:space="preserve">May</t>
        </is>
      </c>
      <c r="F470">
        <v>11</v>
      </c>
      <c r="G470">
        <v>2023</v>
      </c>
      <c r="H470" t="inlineStr">
        <is>
          <t xml:space="preserve">2023-05</t>
        </is>
      </c>
      <c r="I470" s="3">
        <f>INDEX(Monthly!$Q:$Q,MATCH(H470,Monthly!$A:$A,0))</f>
        <v>24.870967741935484</v>
      </c>
      <c r="J470" s="4">
        <f>INDEX(Monthly!$P:$P,MATCH(H470,Monthly!$A:$A,0))</f>
        <v>179.627</v>
      </c>
    </row>
    <row r="471">
      <c r="A471" t="inlineStr">
        <is>
          <t xml:space="preserve">Comayagua — Comayagua department, town of Comayagua</t>
        </is>
      </c>
      <c r="B471" t="inlineStr">
        <is>
          <t xml:space="preserve">2022/23</t>
        </is>
      </c>
      <c r="C471" t="inlineStr">
        <is>
          <t xml:space="preserve">La Niña</t>
        </is>
      </c>
      <c r="D471" t="inlineStr">
        <is>
          <t xml:space="preserve">yes</t>
        </is>
      </c>
      <c r="E471" t="inlineStr">
        <is>
          <t xml:space="preserve">Jun</t>
        </is>
      </c>
      <c r="F471">
        <v>12</v>
      </c>
      <c r="G471">
        <v>2023</v>
      </c>
      <c r="H471" t="inlineStr">
        <is>
          <t xml:space="preserve">2023-06</t>
        </is>
      </c>
      <c r="I471" s="3">
        <f>INDEX(Monthly!$Q:$Q,MATCH(H471,Monthly!$A:$A,0))</f>
        <v>23.17</v>
      </c>
      <c r="J471" s="4">
        <f>INDEX(Monthly!$P:$P,MATCH(H471,Monthly!$A:$A,0))</f>
        <v>160.229</v>
      </c>
    </row>
    <row r="472">
      <c r="A472" t="inlineStr">
        <is>
          <t xml:space="preserve">Comayagua — Comayagua department, town of Comayagua</t>
        </is>
      </c>
      <c r="B472" t="inlineStr">
        <is>
          <t xml:space="preserve">2023/24</t>
        </is>
      </c>
      <c r="C472" t="inlineStr">
        <is>
          <t xml:space="preserve">El Niño</t>
        </is>
      </c>
      <c r="D472" t="inlineStr">
        <is>
          <t xml:space="preserve">yes</t>
        </is>
      </c>
      <c r="E472" t="inlineStr">
        <is>
          <t xml:space="preserve">Jul</t>
        </is>
      </c>
      <c r="F472">
        <v>1</v>
      </c>
      <c r="G472">
        <v>2023</v>
      </c>
      <c r="H472" t="inlineStr">
        <is>
          <t xml:space="preserve">2023-07</t>
        </is>
      </c>
      <c r="I472" s="3">
        <f>INDEX(Monthly!$Q:$Q,MATCH(H472,Monthly!$A:$A,0))</f>
        <v>22.586451612903225</v>
      </c>
      <c r="J472" s="4">
        <f>INDEX(Monthly!$P:$P,MATCH(H472,Monthly!$A:$A,0))</f>
        <v>123.986</v>
      </c>
    </row>
    <row r="473">
      <c r="A473" t="inlineStr">
        <is>
          <t xml:space="preserve">Comayagua — Comayagua department, town of Comayagua</t>
        </is>
      </c>
      <c r="B473" t="inlineStr">
        <is>
          <t xml:space="preserve">2023/24</t>
        </is>
      </c>
      <c r="C473" t="inlineStr">
        <is>
          <t xml:space="preserve">El Niño</t>
        </is>
      </c>
      <c r="D473" t="inlineStr">
        <is>
          <t xml:space="preserve">yes</t>
        </is>
      </c>
      <c r="E473" t="inlineStr">
        <is>
          <t xml:space="preserve">Aug</t>
        </is>
      </c>
      <c r="F473">
        <v>2</v>
      </c>
      <c r="G473">
        <v>2023</v>
      </c>
      <c r="H473" t="inlineStr">
        <is>
          <t xml:space="preserve">2023-08</t>
        </is>
      </c>
      <c r="I473" s="3">
        <f>INDEX(Monthly!$Q:$Q,MATCH(H473,Monthly!$A:$A,0))</f>
        <v>23.352258064516125</v>
      </c>
      <c r="J473" s="4">
        <f>INDEX(Monthly!$P:$P,MATCH(H473,Monthly!$A:$A,0))</f>
        <v>126.224</v>
      </c>
    </row>
    <row r="474">
      <c r="A474" t="inlineStr">
        <is>
          <t xml:space="preserve">Comayagua — Comayagua department, town of Comayagua</t>
        </is>
      </c>
      <c r="B474" t="inlineStr">
        <is>
          <t xml:space="preserve">2023/24</t>
        </is>
      </c>
      <c r="C474" t="inlineStr">
        <is>
          <t xml:space="preserve">El Niño</t>
        </is>
      </c>
      <c r="D474" t="inlineStr">
        <is>
          <t xml:space="preserve">yes</t>
        </is>
      </c>
      <c r="E474" t="inlineStr">
        <is>
          <t xml:space="preserve">Sep</t>
        </is>
      </c>
      <c r="F474">
        <v>3</v>
      </c>
      <c r="G474">
        <v>2023</v>
      </c>
      <c r="H474" t="inlineStr">
        <is>
          <t xml:space="preserve">2023-09</t>
        </is>
      </c>
      <c r="I474" s="3">
        <f>INDEX(Monthly!$Q:$Q,MATCH(H474,Monthly!$A:$A,0))</f>
        <v>23.898000000000007</v>
      </c>
      <c r="J474" s="4">
        <f>INDEX(Monthly!$P:$P,MATCH(H474,Monthly!$A:$A,0))</f>
        <v>129.244</v>
      </c>
    </row>
    <row r="475">
      <c r="A475" t="inlineStr">
        <is>
          <t xml:space="preserve">Comayagua — Comayagua department, town of Comayagua</t>
        </is>
      </c>
      <c r="B475" t="inlineStr">
        <is>
          <t xml:space="preserve">2023/24</t>
        </is>
      </c>
      <c r="C475" t="inlineStr">
        <is>
          <t xml:space="preserve">El Niño</t>
        </is>
      </c>
      <c r="D475" t="inlineStr">
        <is>
          <t xml:space="preserve">yes</t>
        </is>
      </c>
      <c r="E475" t="inlineStr">
        <is>
          <t xml:space="preserve">Oct</t>
        </is>
      </c>
      <c r="F475">
        <v>4</v>
      </c>
      <c r="G475">
        <v>2023</v>
      </c>
      <c r="H475" t="inlineStr">
        <is>
          <t xml:space="preserve">2023-10</t>
        </is>
      </c>
      <c r="I475" s="3">
        <f>INDEX(Monthly!$Q:$Q,MATCH(H475,Monthly!$A:$A,0))</f>
        <v>22.467741935483872</v>
      </c>
      <c r="J475" s="4">
        <f>INDEX(Monthly!$P:$P,MATCH(H475,Monthly!$A:$A,0))</f>
        <v>150.182</v>
      </c>
    </row>
    <row r="476">
      <c r="A476" t="inlineStr">
        <is>
          <t xml:space="preserve">Comayagua — Comayagua department, town of Comayagua</t>
        </is>
      </c>
      <c r="B476" t="inlineStr">
        <is>
          <t xml:space="preserve">2023/24</t>
        </is>
      </c>
      <c r="C476" t="inlineStr">
        <is>
          <t xml:space="preserve">El Niño</t>
        </is>
      </c>
      <c r="D476" t="inlineStr">
        <is>
          <t xml:space="preserve">yes</t>
        </is>
      </c>
      <c r="E476" t="inlineStr">
        <is>
          <t xml:space="preserve">Nov</t>
        </is>
      </c>
      <c r="F476">
        <v>5</v>
      </c>
      <c r="G476">
        <v>2023</v>
      </c>
      <c r="H476" t="inlineStr">
        <is>
          <t xml:space="preserve">2023-11</t>
        </is>
      </c>
      <c r="I476" s="3">
        <f>INDEX(Monthly!$Q:$Q,MATCH(H476,Monthly!$A:$A,0))</f>
        <v>21.122666666666664</v>
      </c>
      <c r="J476" s="4">
        <f>INDEX(Monthly!$P:$P,MATCH(H476,Monthly!$A:$A,0))</f>
        <v>46.69</v>
      </c>
    </row>
    <row r="477">
      <c r="A477" t="inlineStr">
        <is>
          <t xml:space="preserve">Comayagua — Comayagua department, town of Comayagua</t>
        </is>
      </c>
      <c r="B477" t="inlineStr">
        <is>
          <t xml:space="preserve">2023/24</t>
        </is>
      </c>
      <c r="C477" t="inlineStr">
        <is>
          <t xml:space="preserve">El Niño</t>
        </is>
      </c>
      <c r="D477" t="inlineStr">
        <is>
          <t xml:space="preserve">yes</t>
        </is>
      </c>
      <c r="E477" t="inlineStr">
        <is>
          <t xml:space="preserve">Dec</t>
        </is>
      </c>
      <c r="F477">
        <v>6</v>
      </c>
      <c r="G477">
        <v>2023</v>
      </c>
      <c r="H477" t="inlineStr">
        <is>
          <t xml:space="preserve">2023-12</t>
        </is>
      </c>
      <c r="I477" s="3">
        <f>INDEX(Monthly!$Q:$Q,MATCH(H477,Monthly!$A:$A,0))</f>
        <v>20.094516129032254</v>
      </c>
      <c r="J477" s="4">
        <f>INDEX(Monthly!$P:$P,MATCH(H477,Monthly!$A:$A,0))</f>
        <v>4.388</v>
      </c>
    </row>
    <row r="478">
      <c r="A478" t="inlineStr">
        <is>
          <t xml:space="preserve">Comayagua — Comayagua department, town of Comayagua</t>
        </is>
      </c>
      <c r="B478" t="inlineStr">
        <is>
          <t xml:space="preserve">2023/24</t>
        </is>
      </c>
      <c r="C478" t="inlineStr">
        <is>
          <t xml:space="preserve">El Niño</t>
        </is>
      </c>
      <c r="D478" t="inlineStr">
        <is>
          <t xml:space="preserve">yes</t>
        </is>
      </c>
      <c r="E478" t="inlineStr">
        <is>
          <t xml:space="preserve">Jan</t>
        </is>
      </c>
      <c r="F478">
        <v>7</v>
      </c>
      <c r="G478">
        <v>2024</v>
      </c>
      <c r="H478" t="inlineStr">
        <is>
          <t xml:space="preserve">2024-01</t>
        </is>
      </c>
      <c r="I478" s="3">
        <f>INDEX(Monthly!$Q:$Q,MATCH(H478,Monthly!$A:$A,0))</f>
        <v>20.74741935483871</v>
      </c>
      <c r="J478" s="4">
        <f>INDEX(Monthly!$P:$P,MATCH(H478,Monthly!$A:$A,0))</f>
        <v>1.022</v>
      </c>
    </row>
    <row r="479">
      <c r="A479" t="inlineStr">
        <is>
          <t xml:space="preserve">Comayagua — Comayagua department, town of Comayagua</t>
        </is>
      </c>
      <c r="B479" t="inlineStr">
        <is>
          <t xml:space="preserve">2023/24</t>
        </is>
      </c>
      <c r="C479" t="inlineStr">
        <is>
          <t xml:space="preserve">El Niño</t>
        </is>
      </c>
      <c r="D479" t="inlineStr">
        <is>
          <t xml:space="preserve">yes</t>
        </is>
      </c>
      <c r="E479" t="inlineStr">
        <is>
          <t xml:space="preserve">Feb</t>
        </is>
      </c>
      <c r="F479">
        <v>8</v>
      </c>
      <c r="G479">
        <v>2024</v>
      </c>
      <c r="H479" t="inlineStr">
        <is>
          <t xml:space="preserve">2024-02</t>
        </is>
      </c>
      <c r="I479" s="3">
        <f>INDEX(Monthly!$Q:$Q,MATCH(H479,Monthly!$A:$A,0))</f>
        <v>20.962413793103455</v>
      </c>
      <c r="J479" s="4">
        <f>INDEX(Monthly!$P:$P,MATCH(H479,Monthly!$A:$A,0))</f>
        <v>7.439</v>
      </c>
    </row>
    <row r="480">
      <c r="A480" t="inlineStr">
        <is>
          <t xml:space="preserve">Comayagua — Comayagua department, town of Comayagua</t>
        </is>
      </c>
      <c r="B480" t="inlineStr">
        <is>
          <t xml:space="preserve">2023/24</t>
        </is>
      </c>
      <c r="C480" t="inlineStr">
        <is>
          <t xml:space="preserve">El Niño</t>
        </is>
      </c>
      <c r="D480" t="inlineStr">
        <is>
          <t xml:space="preserve">yes</t>
        </is>
      </c>
      <c r="E480" t="inlineStr">
        <is>
          <t xml:space="preserve">Mar</t>
        </is>
      </c>
      <c r="F480">
        <v>9</v>
      </c>
      <c r="G480">
        <v>2024</v>
      </c>
      <c r="H480" t="inlineStr">
        <is>
          <t xml:space="preserve">2024-03</t>
        </is>
      </c>
      <c r="I480" s="3">
        <f>INDEX(Monthly!$Q:$Q,MATCH(H480,Monthly!$A:$A,0))</f>
        <v>25.4841935483871</v>
      </c>
      <c r="J480" s="4">
        <f>INDEX(Monthly!$P:$P,MATCH(H480,Monthly!$A:$A,0))</f>
        <v>1.476</v>
      </c>
    </row>
    <row r="481">
      <c r="A481" t="inlineStr">
        <is>
          <t xml:space="preserve">Comayagua — Comayagua department, town of Comayagua</t>
        </is>
      </c>
      <c r="B481" t="inlineStr">
        <is>
          <t xml:space="preserve">2023/24</t>
        </is>
      </c>
      <c r="C481" t="inlineStr">
        <is>
          <t xml:space="preserve">El Niño</t>
        </is>
      </c>
      <c r="D481" t="inlineStr">
        <is>
          <t xml:space="preserve">yes</t>
        </is>
      </c>
      <c r="E481" t="inlineStr">
        <is>
          <t xml:space="preserve">Apr</t>
        </is>
      </c>
      <c r="F481">
        <v>10</v>
      </c>
      <c r="G481">
        <v>2024</v>
      </c>
      <c r="H481" t="inlineStr">
        <is>
          <t xml:space="preserve">2024-04</t>
        </is>
      </c>
      <c r="I481" s="3">
        <f>INDEX(Monthly!$Q:$Q,MATCH(H481,Monthly!$A:$A,0))</f>
        <v>26.005666666666666</v>
      </c>
      <c r="J481" s="4">
        <f>INDEX(Monthly!$P:$P,MATCH(H481,Monthly!$A:$A,0))</f>
        <v>41.687</v>
      </c>
    </row>
    <row r="482">
      <c r="A482" t="inlineStr">
        <is>
          <t xml:space="preserve">Comayagua — Comayagua department, town of Comayagua</t>
        </is>
      </c>
      <c r="B482" t="inlineStr">
        <is>
          <t xml:space="preserve">2023/24</t>
        </is>
      </c>
      <c r="C482" t="inlineStr">
        <is>
          <t xml:space="preserve">El Niño</t>
        </is>
      </c>
      <c r="D482" t="inlineStr">
        <is>
          <t xml:space="preserve">yes</t>
        </is>
      </c>
      <c r="E482" t="inlineStr">
        <is>
          <t xml:space="preserve">May</t>
        </is>
      </c>
      <c r="F482">
        <v>11</v>
      </c>
      <c r="G482">
        <v>2024</v>
      </c>
      <c r="H482" t="inlineStr">
        <is>
          <t xml:space="preserve">2024-05</t>
        </is>
      </c>
      <c r="I482" s="3">
        <f>INDEX(Monthly!$Q:$Q,MATCH(H482,Monthly!$A:$A,0))</f>
        <v>27.280967741935484</v>
      </c>
      <c r="J482" s="4">
        <f>INDEX(Monthly!$P:$P,MATCH(H482,Monthly!$A:$A,0))</f>
        <v>45.13</v>
      </c>
    </row>
    <row r="483">
      <c r="A483" t="inlineStr">
        <is>
          <t xml:space="preserve">Comayagua — Comayagua department, town of Comayagua</t>
        </is>
      </c>
      <c r="B483" t="inlineStr">
        <is>
          <t xml:space="preserve">2023/24</t>
        </is>
      </c>
      <c r="C483" t="inlineStr">
        <is>
          <t xml:space="preserve">El Niño</t>
        </is>
      </c>
      <c r="D483" t="inlineStr">
        <is>
          <t xml:space="preserve">yes</t>
        </is>
      </c>
      <c r="E483" t="inlineStr">
        <is>
          <t xml:space="preserve">Jun</t>
        </is>
      </c>
      <c r="F483">
        <v>12</v>
      </c>
      <c r="G483">
        <v>2024</v>
      </c>
      <c r="H483" t="inlineStr">
        <is>
          <t xml:space="preserve">2024-06</t>
        </is>
      </c>
      <c r="I483" s="3">
        <f>INDEX(Monthly!$Q:$Q,MATCH(H483,Monthly!$A:$A,0))</f>
        <v>23.144000000000002</v>
      </c>
      <c r="J483" s="4">
        <f>INDEX(Monthly!$P:$P,MATCH(H483,Monthly!$A:$A,0))</f>
        <v>349.51</v>
      </c>
    </row>
    <row r="484">
      <c r="A484" t="inlineStr">
        <is>
          <t xml:space="preserve">Comayagua — Comayagua department, town of Comayagua</t>
        </is>
      </c>
      <c r="B484" t="inlineStr">
        <is>
          <t xml:space="preserve">2024/25</t>
        </is>
      </c>
      <c r="C484" t="inlineStr">
        <is>
          <t xml:space="preserve">Neutral</t>
        </is>
      </c>
      <c r="D484" t="inlineStr">
        <is>
          <t xml:space="preserve">yes</t>
        </is>
      </c>
      <c r="E484" t="inlineStr">
        <is>
          <t xml:space="preserve">Jul</t>
        </is>
      </c>
      <c r="F484">
        <v>1</v>
      </c>
      <c r="G484">
        <v>2024</v>
      </c>
      <c r="H484" t="inlineStr">
        <is>
          <t xml:space="preserve">2024-07</t>
        </is>
      </c>
      <c r="I484" s="3">
        <f>INDEX(Monthly!$Q:$Q,MATCH(H484,Monthly!$A:$A,0))</f>
        <v>22.366451612903226</v>
      </c>
      <c r="J484" s="4">
        <f>INDEX(Monthly!$P:$P,MATCH(H484,Monthly!$A:$A,0))</f>
        <v>238.537</v>
      </c>
    </row>
    <row r="485">
      <c r="A485" t="inlineStr">
        <is>
          <t xml:space="preserve">Comayagua — Comayagua department, town of Comayagua</t>
        </is>
      </c>
      <c r="B485" t="inlineStr">
        <is>
          <t xml:space="preserve">2024/25</t>
        </is>
      </c>
      <c r="C485" t="inlineStr">
        <is>
          <t xml:space="preserve">Neutral</t>
        </is>
      </c>
      <c r="D485" t="inlineStr">
        <is>
          <t xml:space="preserve">yes</t>
        </is>
      </c>
      <c r="E485" t="inlineStr">
        <is>
          <t xml:space="preserve">Aug</t>
        </is>
      </c>
      <c r="F485">
        <v>2</v>
      </c>
      <c r="G485">
        <v>2024</v>
      </c>
      <c r="H485" t="inlineStr">
        <is>
          <t xml:space="preserve">2024-08</t>
        </is>
      </c>
      <c r="I485" s="3">
        <f>INDEX(Monthly!$Q:$Q,MATCH(H485,Monthly!$A:$A,0))</f>
        <v>22.525483870967744</v>
      </c>
      <c r="J485" s="4">
        <f>INDEX(Monthly!$P:$P,MATCH(H485,Monthly!$A:$A,0))</f>
        <v>203.238</v>
      </c>
    </row>
    <row r="486">
      <c r="A486" t="inlineStr">
        <is>
          <t xml:space="preserve">Comayagua — Comayagua department, town of Comayagua</t>
        </is>
      </c>
      <c r="B486" t="inlineStr">
        <is>
          <t xml:space="preserve">2024/25</t>
        </is>
      </c>
      <c r="C486" t="inlineStr">
        <is>
          <t xml:space="preserve">Neutral</t>
        </is>
      </c>
      <c r="D486" t="inlineStr">
        <is>
          <t xml:space="preserve">yes</t>
        </is>
      </c>
      <c r="E486" t="inlineStr">
        <is>
          <t xml:space="preserve">Sep</t>
        </is>
      </c>
      <c r="F486">
        <v>3</v>
      </c>
      <c r="G486">
        <v>2024</v>
      </c>
      <c r="H486" t="inlineStr">
        <is>
          <t xml:space="preserve">2024-09</t>
        </is>
      </c>
      <c r="I486" s="3">
        <f>INDEX(Monthly!$Q:$Q,MATCH(H486,Monthly!$A:$A,0))</f>
        <v>22.813999999999997</v>
      </c>
      <c r="J486" s="4">
        <f>INDEX(Monthly!$P:$P,MATCH(H486,Monthly!$A:$A,0))</f>
        <v>267.75</v>
      </c>
    </row>
    <row r="487">
      <c r="A487" t="inlineStr">
        <is>
          <t xml:space="preserve">Comayagua — Comayagua department, town of Comayagua</t>
        </is>
      </c>
      <c r="B487" t="inlineStr">
        <is>
          <t xml:space="preserve">2024/25</t>
        </is>
      </c>
      <c r="C487" t="inlineStr">
        <is>
          <t xml:space="preserve">Neutral</t>
        </is>
      </c>
      <c r="D487" t="inlineStr">
        <is>
          <t xml:space="preserve">yes</t>
        </is>
      </c>
      <c r="E487" t="inlineStr">
        <is>
          <t xml:space="preserve">Oct</t>
        </is>
      </c>
      <c r="F487">
        <v>4</v>
      </c>
      <c r="G487">
        <v>2024</v>
      </c>
      <c r="H487" t="inlineStr">
        <is>
          <t xml:space="preserve">2024-10</t>
        </is>
      </c>
      <c r="I487" s="3">
        <f>INDEX(Monthly!$Q:$Q,MATCH(H487,Monthly!$A:$A,0))</f>
        <v>21.645483870967738</v>
      </c>
      <c r="J487" s="4">
        <f>INDEX(Monthly!$P:$P,MATCH(H487,Monthly!$A:$A,0))</f>
        <v>48.338</v>
      </c>
    </row>
    <row r="488">
      <c r="A488" t="inlineStr">
        <is>
          <t xml:space="preserve">Comayagua — Comayagua department, town of Comayagua</t>
        </is>
      </c>
      <c r="B488" t="inlineStr">
        <is>
          <t xml:space="preserve">2024/25</t>
        </is>
      </c>
      <c r="C488" t="inlineStr">
        <is>
          <t xml:space="preserve">Neutral</t>
        </is>
      </c>
      <c r="D488" t="inlineStr">
        <is>
          <t xml:space="preserve">yes</t>
        </is>
      </c>
      <c r="E488" t="inlineStr">
        <is>
          <t xml:space="preserve">Nov</t>
        </is>
      </c>
      <c r="F488">
        <v>5</v>
      </c>
      <c r="G488">
        <v>2024</v>
      </c>
      <c r="H488" t="inlineStr">
        <is>
          <t xml:space="preserve">2024-11</t>
        </is>
      </c>
      <c r="I488" s="3">
        <f>INDEX(Monthly!$Q:$Q,MATCH(H488,Monthly!$A:$A,0))</f>
        <v>20.538333333333338</v>
      </c>
      <c r="J488" s="4">
        <f>INDEX(Monthly!$P:$P,MATCH(H488,Monthly!$A:$A,0))</f>
        <v>98.564</v>
      </c>
    </row>
    <row r="489">
      <c r="A489" t="inlineStr">
        <is>
          <t xml:space="preserve">Comayagua — Comayagua department, town of Comayagua</t>
        </is>
      </c>
      <c r="B489" t="inlineStr">
        <is>
          <t xml:space="preserve">2024/25</t>
        </is>
      </c>
      <c r="C489" t="inlineStr">
        <is>
          <t xml:space="preserve">Neutral</t>
        </is>
      </c>
      <c r="D489" t="inlineStr">
        <is>
          <t xml:space="preserve">yes</t>
        </is>
      </c>
      <c r="E489" t="inlineStr">
        <is>
          <t xml:space="preserve">Dec</t>
        </is>
      </c>
      <c r="F489">
        <v>6</v>
      </c>
      <c r="G489">
        <v>2024</v>
      </c>
      <c r="H489" t="inlineStr">
        <is>
          <t xml:space="preserve">2024-12</t>
        </is>
      </c>
      <c r="I489" s="3">
        <f>INDEX(Monthly!$Q:$Q,MATCH(H489,Monthly!$A:$A,0))</f>
        <v>19.526451612903227</v>
      </c>
      <c r="J489" s="4">
        <f>INDEX(Monthly!$P:$P,MATCH(H489,Monthly!$A:$A,0))</f>
        <v>7.195</v>
      </c>
    </row>
    <row r="490">
      <c r="A490" t="inlineStr">
        <is>
          <t xml:space="preserve">Comayagua — Comayagua department, town of Comayagua</t>
        </is>
      </c>
      <c r="B490" t="inlineStr">
        <is>
          <t xml:space="preserve">2024/25</t>
        </is>
      </c>
      <c r="C490" t="inlineStr">
        <is>
          <t xml:space="preserve">Neutral</t>
        </is>
      </c>
      <c r="D490" t="inlineStr">
        <is>
          <t xml:space="preserve">yes</t>
        </is>
      </c>
      <c r="E490" t="inlineStr">
        <is>
          <t xml:space="preserve">Jan</t>
        </is>
      </c>
      <c r="F490">
        <v>7</v>
      </c>
      <c r="G490">
        <v>2025</v>
      </c>
      <c r="H490" t="inlineStr">
        <is>
          <t xml:space="preserve">2025-01</t>
        </is>
      </c>
      <c r="I490" s="3">
        <f>INDEX(Monthly!$Q:$Q,MATCH(H490,Monthly!$A:$A,0))</f>
        <v>19.190322580645162</v>
      </c>
      <c r="J490" s="4">
        <f>INDEX(Monthly!$P:$P,MATCH(H490,Monthly!$A:$A,0))</f>
        <v>14.087</v>
      </c>
    </row>
    <row r="491">
      <c r="A491" t="inlineStr">
        <is>
          <t xml:space="preserve">Comayagua — Comayagua department, town of Comayagua</t>
        </is>
      </c>
      <c r="B491" t="inlineStr">
        <is>
          <t xml:space="preserve">2024/25</t>
        </is>
      </c>
      <c r="C491" t="inlineStr">
        <is>
          <t xml:space="preserve">Neutral</t>
        </is>
      </c>
      <c r="D491" t="inlineStr">
        <is>
          <t xml:space="preserve">yes</t>
        </is>
      </c>
      <c r="E491" t="inlineStr">
        <is>
          <t xml:space="preserve">Feb</t>
        </is>
      </c>
      <c r="F491">
        <v>8</v>
      </c>
      <c r="G491">
        <v>2025</v>
      </c>
      <c r="H491" t="inlineStr">
        <is>
          <t xml:space="preserve">2025-02</t>
        </is>
      </c>
      <c r="I491" s="3">
        <f>INDEX(Monthly!$Q:$Q,MATCH(H491,Monthly!$A:$A,0))</f>
        <v>20.02</v>
      </c>
      <c r="J491" s="4">
        <f>INDEX(Monthly!$P:$P,MATCH(H491,Monthly!$A:$A,0))</f>
        <v>5.232</v>
      </c>
    </row>
    <row r="492">
      <c r="A492" t="inlineStr">
        <is>
          <t xml:space="preserve">Comayagua — Comayagua department, town of Comayagua</t>
        </is>
      </c>
      <c r="B492" t="inlineStr">
        <is>
          <t xml:space="preserve">2024/25</t>
        </is>
      </c>
      <c r="C492" t="inlineStr">
        <is>
          <t xml:space="preserve">Neutral</t>
        </is>
      </c>
      <c r="D492" t="inlineStr">
        <is>
          <t xml:space="preserve">yes</t>
        </is>
      </c>
      <c r="E492" t="inlineStr">
        <is>
          <t xml:space="preserve">Mar</t>
        </is>
      </c>
      <c r="F492">
        <v>9</v>
      </c>
      <c r="G492">
        <v>2025</v>
      </c>
      <c r="H492" t="inlineStr">
        <is>
          <t xml:space="preserve">2025-03</t>
        </is>
      </c>
      <c r="I492" s="3">
        <f>INDEX(Monthly!$Q:$Q,MATCH(H492,Monthly!$A:$A,0))</f>
        <v>22.07225806451613</v>
      </c>
      <c r="J492" s="4">
        <f>INDEX(Monthly!$P:$P,MATCH(H492,Monthly!$A:$A,0))</f>
        <v>3.893</v>
      </c>
    </row>
    <row r="493">
      <c r="A493" t="inlineStr">
        <is>
          <t xml:space="preserve">Comayagua — Comayagua department, town of Comayagua</t>
        </is>
      </c>
      <c r="B493" t="inlineStr">
        <is>
          <t xml:space="preserve">2024/25</t>
        </is>
      </c>
      <c r="C493" t="inlineStr">
        <is>
          <t xml:space="preserve">Neutral</t>
        </is>
      </c>
      <c r="D493" t="inlineStr">
        <is>
          <t xml:space="preserve">yes</t>
        </is>
      </c>
      <c r="E493" t="inlineStr">
        <is>
          <t xml:space="preserve">Apr</t>
        </is>
      </c>
      <c r="F493">
        <v>10</v>
      </c>
      <c r="G493">
        <v>2025</v>
      </c>
      <c r="H493" t="inlineStr">
        <is>
          <t xml:space="preserve">2025-04</t>
        </is>
      </c>
      <c r="I493" s="3">
        <f>INDEX(Monthly!$Q:$Q,MATCH(H493,Monthly!$A:$A,0))</f>
        <v>21.93766666666666</v>
      </c>
      <c r="J493" s="4">
        <f>INDEX(Monthly!$P:$P,MATCH(H493,Monthly!$A:$A,0))</f>
        <v>49.159</v>
      </c>
    </row>
    <row r="494">
      <c r="A494" t="inlineStr">
        <is>
          <t xml:space="preserve">Comayagua — Comayagua department, town of Comayagua</t>
        </is>
      </c>
      <c r="B494" t="inlineStr">
        <is>
          <t xml:space="preserve">2024/25</t>
        </is>
      </c>
      <c r="C494" t="inlineStr">
        <is>
          <t xml:space="preserve">Neutral</t>
        </is>
      </c>
      <c r="D494" t="inlineStr">
        <is>
          <t xml:space="preserve">yes</t>
        </is>
      </c>
      <c r="E494" t="inlineStr">
        <is>
          <t xml:space="preserve">May</t>
        </is>
      </c>
      <c r="F494">
        <v>11</v>
      </c>
      <c r="G494">
        <v>2025</v>
      </c>
      <c r="H494" t="inlineStr">
        <is>
          <t xml:space="preserve">2025-05</t>
        </is>
      </c>
      <c r="I494" s="3">
        <f>INDEX(Monthly!$Q:$Q,MATCH(H494,Monthly!$A:$A,0))</f>
        <v>24.80645161290322</v>
      </c>
      <c r="J494" s="4">
        <f>INDEX(Monthly!$P:$P,MATCH(H494,Monthly!$A:$A,0))</f>
        <v>80.106</v>
      </c>
    </row>
    <row r="495">
      <c r="A495" t="inlineStr">
        <is>
          <t xml:space="preserve">Comayagua — Comayagua department, town of Comayagua</t>
        </is>
      </c>
      <c r="B495" t="inlineStr">
        <is>
          <t xml:space="preserve">2024/25</t>
        </is>
      </c>
      <c r="C495" t="inlineStr">
        <is>
          <t xml:space="preserve">Neutral</t>
        </is>
      </c>
      <c r="D495" t="inlineStr">
        <is>
          <t xml:space="preserve">yes</t>
        </is>
      </c>
      <c r="E495" t="inlineStr">
        <is>
          <t xml:space="preserve">Jun</t>
        </is>
      </c>
      <c r="F495">
        <v>12</v>
      </c>
      <c r="G495">
        <v>2025</v>
      </c>
      <c r="H495" t="inlineStr">
        <is>
          <t xml:space="preserve">2025-06</t>
        </is>
      </c>
      <c r="I495" s="3">
        <f>INDEX(Monthly!$Q:$Q,MATCH(H495,Monthly!$A:$A,0))</f>
        <v>22.261999999999997</v>
      </c>
      <c r="J495" s="4">
        <f>INDEX(Monthly!$P:$P,MATCH(H495,Monthly!$A:$A,0))</f>
        <v>320.058</v>
      </c>
    </row>
    <row r="496">
      <c r="A496" t="inlineStr">
        <is>
          <t xml:space="preserve">Comayagua — Comayagua department, town of Comayagua</t>
        </is>
      </c>
      <c r="B496" t="inlineStr">
        <is>
          <t xml:space="preserve">2025/26</t>
        </is>
      </c>
      <c r="C496" t="inlineStr">
        <is>
          <t xml:space="preserve">Neutral</t>
        </is>
      </c>
      <c r="D496" t="inlineStr">
        <is>
          <t xml:space="preserve">no</t>
        </is>
      </c>
      <c r="E496" t="inlineStr">
        <is>
          <t xml:space="preserve">Jul</t>
        </is>
      </c>
      <c r="F496">
        <v>1</v>
      </c>
      <c r="G496">
        <v>2025</v>
      </c>
      <c r="H496" t="inlineStr">
        <is>
          <t xml:space="preserve">2025-07</t>
        </is>
      </c>
      <c r="I496" s="3">
        <f>INDEX(Monthly!$Q:$Q,MATCH(H496,Monthly!$A:$A,0))</f>
        <v>22.038709677419355</v>
      </c>
      <c r="J496" s="4">
        <f>INDEX(Monthly!$P:$P,MATCH(H496,Monthly!$A:$A,0))</f>
        <v>122.565</v>
      </c>
    </row>
    <row r="497">
      <c r="A497" t="inlineStr">
        <is>
          <t xml:space="preserve">Comayagua — Comayagua department, town of Comayagua</t>
        </is>
      </c>
      <c r="B497" t="inlineStr">
        <is>
          <t xml:space="preserve">2025/26</t>
        </is>
      </c>
      <c r="C497" t="inlineStr">
        <is>
          <t xml:space="preserve">Neutral</t>
        </is>
      </c>
      <c r="D497" t="inlineStr">
        <is>
          <t xml:space="preserve">no</t>
        </is>
      </c>
      <c r="E497" t="inlineStr">
        <is>
          <t xml:space="preserve">Aug</t>
        </is>
      </c>
      <c r="F497">
        <v>2</v>
      </c>
      <c r="G497">
        <v>2025</v>
      </c>
      <c r="H497" t="inlineStr">
        <is>
          <t xml:space="preserve">2025-08</t>
        </is>
      </c>
      <c r="I497" s="3">
        <f>INDEX(Monthly!$Q:$Q,MATCH(H497,Monthly!$A:$A,0))</f>
        <v>22.72258064516129</v>
      </c>
      <c r="J497" s="4">
        <f>INDEX(Monthly!$P:$P,MATCH(H497,Monthly!$A:$A,0))</f>
        <v>190.398</v>
      </c>
    </row>
    <row r="498">
      <c r="A498" t="inlineStr">
        <is>
          <t xml:space="preserve">Comayagua — Comayagua department, town of Comayagua</t>
        </is>
      </c>
      <c r="B498" t="inlineStr">
        <is>
          <t xml:space="preserve">2025/26</t>
        </is>
      </c>
      <c r="C498" t="inlineStr">
        <is>
          <t xml:space="preserve">Neutral</t>
        </is>
      </c>
      <c r="D498" t="inlineStr">
        <is>
          <t xml:space="preserve">no</t>
        </is>
      </c>
      <c r="E498" t="inlineStr">
        <is>
          <t xml:space="preserve">Sep</t>
        </is>
      </c>
      <c r="F498">
        <v>3</v>
      </c>
      <c r="G498">
        <v>2025</v>
      </c>
      <c r="H498" t="inlineStr">
        <is>
          <t xml:space="preserve">2025-09</t>
        </is>
      </c>
      <c r="I498" s="3">
        <f>INDEX(Monthly!$Q:$Q,MATCH(H498,Monthly!$A:$A,0))</f>
        <v>22.457333333333338</v>
      </c>
      <c r="J498" s="4">
        <f>INDEX(Monthly!$P:$P,MATCH(H498,Monthly!$A:$A,0))</f>
        <v>344.866</v>
      </c>
    </row>
    <row r="499">
      <c r="A499" t="inlineStr">
        <is>
          <t xml:space="preserve">Comayagua — Comayagua department, town of Comayagua</t>
        </is>
      </c>
      <c r="B499" t="inlineStr">
        <is>
          <t xml:space="preserve">2025/26</t>
        </is>
      </c>
      <c r="C499" t="inlineStr">
        <is>
          <t xml:space="preserve">Neutral</t>
        </is>
      </c>
      <c r="D499" t="inlineStr">
        <is>
          <t xml:space="preserve">no</t>
        </is>
      </c>
      <c r="E499" t="inlineStr">
        <is>
          <t xml:space="preserve">Oct</t>
        </is>
      </c>
      <c r="F499">
        <v>4</v>
      </c>
      <c r="G499">
        <v>2025</v>
      </c>
      <c r="H499" t="inlineStr">
        <is>
          <t xml:space="preserve">2025-10</t>
        </is>
      </c>
      <c r="I499" s="3">
        <f>INDEX(Monthly!$Q:$Q,MATCH(H499,Monthly!$A:$A,0))</f>
        <v>21.337419354838712</v>
      </c>
      <c r="J499" s="4">
        <f>INDEX(Monthly!$P:$P,MATCH(H499,Monthly!$A:$A,0))</f>
        <v>205.294</v>
      </c>
    </row>
    <row r="500">
      <c r="A500" t="inlineStr">
        <is>
          <t xml:space="preserve">Comayagua — Comayagua department, town of Comayagua</t>
        </is>
      </c>
      <c r="B500" t="inlineStr">
        <is>
          <t xml:space="preserve">2025/26</t>
        </is>
      </c>
      <c r="C500" t="inlineStr">
        <is>
          <t xml:space="preserve">Neutral</t>
        </is>
      </c>
      <c r="D500" t="inlineStr">
        <is>
          <t xml:space="preserve">no</t>
        </is>
      </c>
      <c r="E500" t="inlineStr">
        <is>
          <t xml:space="preserve">Nov</t>
        </is>
      </c>
      <c r="F500">
        <v>5</v>
      </c>
      <c r="G500">
        <v>2025</v>
      </c>
      <c r="H500" t="inlineStr">
        <is>
          <t xml:space="preserve">2025-11</t>
        </is>
      </c>
      <c r="I500" s="3">
        <f>INDEX(Monthly!$Q:$Q,MATCH(H500,Monthly!$A:$A,0))</f>
        <v>20.172</v>
      </c>
      <c r="J500" s="4">
        <f>INDEX(Monthly!$P:$P,MATCH(H500,Monthly!$A:$A,0))</f>
        <v>13.56</v>
      </c>
    </row>
    <row r="501">
      <c r="A501" t="inlineStr">
        <is>
          <t xml:space="preserve">Comayagua — Comayagua department, town of Comayagua</t>
        </is>
      </c>
      <c r="B501" t="inlineStr">
        <is>
          <t xml:space="preserve">2025/26</t>
        </is>
      </c>
      <c r="C501" t="inlineStr">
        <is>
          <t xml:space="preserve">Neutral</t>
        </is>
      </c>
      <c r="D501" t="inlineStr">
        <is>
          <t xml:space="preserve">no</t>
        </is>
      </c>
      <c r="E501" t="inlineStr">
        <is>
          <t xml:space="preserve">Dec</t>
        </is>
      </c>
      <c r="F501">
        <v>6</v>
      </c>
      <c r="G501">
        <v>2025</v>
      </c>
      <c r="H501" t="inlineStr">
        <is>
          <t xml:space="preserve">2025-12</t>
        </is>
      </c>
      <c r="I501" s="3">
        <f>INDEX(Monthly!$Q:$Q,MATCH(H501,Monthly!$A:$A,0))</f>
        <v>19.831612903225796</v>
      </c>
      <c r="J501" s="4">
        <f>INDEX(Monthly!$P:$P,MATCH(H501,Monthly!$A:$A,0))</f>
        <v>27.79</v>
      </c>
    </row>
    <row r="502">
      <c r="A502" t="inlineStr">
        <is>
          <t xml:space="preserve">Comayagua — Comayagua department, town of Comayagua</t>
        </is>
      </c>
      <c r="B502" t="inlineStr">
        <is>
          <t xml:space="preserve">2025/26</t>
        </is>
      </c>
      <c r="C502" t="inlineStr">
        <is>
          <t xml:space="preserve">Neutral</t>
        </is>
      </c>
      <c r="D502" t="inlineStr">
        <is>
          <t xml:space="preserve">no</t>
        </is>
      </c>
      <c r="E502" t="inlineStr">
        <is>
          <t xml:space="preserve">Jan</t>
        </is>
      </c>
      <c r="F502">
        <v>7</v>
      </c>
      <c r="G502">
        <v>2026</v>
      </c>
      <c r="H502" t="inlineStr">
        <is>
          <t xml:space="preserve">2026-01</t>
        </is>
      </c>
      <c r="I502" s="3">
        <f>INDEX(Monthly!$Q:$Q,MATCH(H502,Monthly!$A:$A,0))</f>
        <v>19.039032258064513</v>
      </c>
      <c r="J502" s="4">
        <f>INDEX(Monthly!$P:$P,MATCH(H502,Monthly!$A:$A,0))</f>
        <v>2.814</v>
      </c>
    </row>
    <row r="503">
      <c r="A503" t="inlineStr">
        <is>
          <t xml:space="preserve">Comayagua — Comayagua department, town of Comayagua</t>
        </is>
      </c>
      <c r="B503" t="inlineStr">
        <is>
          <t xml:space="preserve">2025/26</t>
        </is>
      </c>
      <c r="C503" t="inlineStr">
        <is>
          <t xml:space="preserve">Neutral</t>
        </is>
      </c>
      <c r="D503" t="inlineStr">
        <is>
          <t xml:space="preserve">no</t>
        </is>
      </c>
      <c r="E503" t="inlineStr">
        <is>
          <t xml:space="preserve">Feb</t>
        </is>
      </c>
      <c r="F503">
        <v>8</v>
      </c>
      <c r="G503">
        <v>2026</v>
      </c>
      <c r="H503" t="inlineStr">
        <is>
          <t xml:space="preserve">2026-02</t>
        </is>
      </c>
      <c r="I503" s="3">
        <f>INDEX(Monthly!$Q:$Q,MATCH(H503,Monthly!$A:$A,0))</f>
        <v>18.859285714285722</v>
      </c>
      <c r="J503" s="4">
        <f>INDEX(Monthly!$P:$P,MATCH(H503,Monthly!$A:$A,0))</f>
        <v>1.769</v>
      </c>
    </row>
    <row r="504">
      <c r="A504" t="inlineStr">
        <is>
          <t xml:space="preserve">Comayagua — Comayagua department, town of Comayagua</t>
        </is>
      </c>
      <c r="B504" t="inlineStr">
        <is>
          <t xml:space="preserve">2025/26</t>
        </is>
      </c>
      <c r="C504" t="inlineStr">
        <is>
          <t xml:space="preserve">Neutral</t>
        </is>
      </c>
      <c r="D504" t="inlineStr">
        <is>
          <t xml:space="preserve">no</t>
        </is>
      </c>
      <c r="E504" t="inlineStr">
        <is>
          <t xml:space="preserve">Mar</t>
        </is>
      </c>
      <c r="F504">
        <v>9</v>
      </c>
      <c r="G504">
        <v>2026</v>
      </c>
      <c r="H504" t="inlineStr">
        <is>
          <t xml:space="preserve">2026-03</t>
        </is>
      </c>
      <c r="I504" s="3">
        <f>INDEX(Monthly!$Q:$Q,MATCH(H504,Monthly!$A:$A,0))</f>
        <v>21.568387096774195</v>
      </c>
      <c r="J504" s="4">
        <f>INDEX(Monthly!$P:$P,MATCH(H504,Monthly!$A:$A,0))</f>
        <v>61.738</v>
      </c>
    </row>
    <row r="505">
      <c r="A505" t="inlineStr">
        <is>
          <t xml:space="preserve">Comayagua — Comayagua department, town of Comayagua</t>
        </is>
      </c>
      <c r="B505" t="inlineStr">
        <is>
          <t xml:space="preserve">2025/26</t>
        </is>
      </c>
      <c r="C505" t="inlineStr">
        <is>
          <t xml:space="preserve">Neutral</t>
        </is>
      </c>
      <c r="D505" t="inlineStr">
        <is>
          <t xml:space="preserve">no</t>
        </is>
      </c>
      <c r="E505" t="inlineStr">
        <is>
          <t xml:space="preserve">Apr</t>
        </is>
      </c>
      <c r="F505">
        <v>10</v>
      </c>
      <c r="G505">
        <v>2026</v>
      </c>
      <c r="H505" t="inlineStr">
        <is>
          <t xml:space="preserve">2026-04</t>
        </is>
      </c>
      <c r="I505" s="3">
        <f>INDEX(Monthly!$Q:$Q,MATCH(H505,Monthly!$A:$A,0))</f>
        <v>21.735000000000003</v>
      </c>
      <c r="J505" s="4">
        <f>INDEX(Monthly!$P:$P,MATCH(H505,Monthly!$A:$A,0))</f>
        <v>550.337</v>
      </c>
    </row>
    <row r="506">
      <c r="A506" t="inlineStr">
        <is>
          <t xml:space="preserve">Comayagua — Comayagua department, town of Comayagua</t>
        </is>
      </c>
      <c r="B506" t="inlineStr">
        <is>
          <t xml:space="preserve">2025/26</t>
        </is>
      </c>
      <c r="C506" t="inlineStr">
        <is>
          <t xml:space="preserve">Neutral</t>
        </is>
      </c>
      <c r="D506" t="inlineStr">
        <is>
          <t xml:space="preserve">no</t>
        </is>
      </c>
      <c r="E506" t="inlineStr">
        <is>
          <t xml:space="preserve">May</t>
        </is>
      </c>
      <c r="F506">
        <v>11</v>
      </c>
      <c r="G506">
        <v>2026</v>
      </c>
      <c r="H506" t="inlineStr">
        <is>
          <t xml:space="preserve">2026-05</t>
        </is>
      </c>
      <c r="I506" s="3">
        <f>INDEX(Monthly!$Q:$Q,MATCH(H506,Monthly!$A:$A,0))</f>
        <v>24.451935483870965</v>
      </c>
      <c r="J506" s="4">
        <f>INDEX(Monthly!$P:$P,MATCH(H506,Monthly!$A:$A,0))</f>
        <v>113.955</v>
      </c>
    </row>
    <row r="507">
      <c r="A507" t="inlineStr">
        <is>
          <t xml:space="preserve">Comayagua — Comayagua department, town of Comayagua</t>
        </is>
      </c>
      <c r="B507" t="inlineStr">
        <is>
          <t xml:space="preserve">2025/26</t>
        </is>
      </c>
      <c r="C507" t="inlineStr">
        <is>
          <t xml:space="preserve">Neutral</t>
        </is>
      </c>
      <c r="D507" t="inlineStr">
        <is>
          <t xml:space="preserve">no</t>
        </is>
      </c>
      <c r="E507" t="inlineStr">
        <is>
          <t xml:space="preserve">Jun</t>
        </is>
      </c>
      <c r="F507">
        <v>12</v>
      </c>
      <c r="G507">
        <v>2026</v>
      </c>
      <c r="H507" t="inlineStr">
        <is>
          <t xml:space="preserve">2026-06</t>
        </is>
      </c>
      <c r="I507" s="3">
        <f>INDEX(Monthly!$Q:$Q,MATCH(H507,Monthly!$A:$A,0))</f>
        <v>23.448666666666664</v>
      </c>
      <c r="J507" s="4">
        <f>INDEX(Monthly!$P:$P,MATCH(H507,Monthly!$A:$A,0))</f>
        <v>181.884</v>
      </c>
    </row>
    <row r="508">
      <c r="A508" t="inlineStr">
        <is>
          <t xml:space="preserve">Comayagua — Comayagua department, town of Comayagua</t>
        </is>
      </c>
      <c r="B508" t="inlineStr">
        <is>
          <t xml:space="preserve">2026/27</t>
        </is>
      </c>
      <c r="C508" t="inlineStr">
        <is>
          <t xml:space="preserve">El Niño (in progress)</t>
        </is>
      </c>
      <c r="D508" t="inlineStr">
        <is>
          <t xml:space="preserve">no</t>
        </is>
      </c>
      <c r="E508" t="inlineStr">
        <is>
          <t xml:space="preserve">Jul</t>
        </is>
      </c>
      <c r="F508">
        <v>1</v>
      </c>
      <c r="G508">
        <v>2026</v>
      </c>
      <c r="H508" t="inlineStr">
        <is>
          <t xml:space="preserve">2026-07</t>
        </is>
      </c>
      <c r="I508" s="3">
        <f>INDEX(Monthly!$Q:$Q,MATCH(H508,Monthly!$A:$A,0))</f>
        <v>23.52258064516129</v>
      </c>
      <c r="J508" s="4">
        <f>INDEX(Monthly!$P:$P,MATCH(H508,Monthly!$A:$A,0))</f>
        <v>75.997</v>
      </c>
    </row>
    <row r="509">
      <c r="A509" t="inlineStr">
        <is>
          <t xml:space="preserve">Comayagua — Comayagua department, town of Comayagua</t>
        </is>
      </c>
      <c r="B509" t="inlineStr">
        <is>
          <t xml:space="preserve">2026/27</t>
        </is>
      </c>
      <c r="C509" t="inlineStr">
        <is>
          <t xml:space="preserve">El Niño (in progress)</t>
        </is>
      </c>
      <c r="D509" t="inlineStr">
        <is>
          <t xml:space="preserve">no</t>
        </is>
      </c>
      <c r="E509" t="inlineStr">
        <is>
          <t xml:space="preserve">Aug</t>
        </is>
      </c>
      <c r="F509">
        <v>2</v>
      </c>
      <c r="G509">
        <v>2026</v>
      </c>
      <c r="H509" t="inlineStr">
        <is>
          <t xml:space="preserve">2026-08</t>
        </is>
      </c>
      <c r="I509" s="3">
        <f>INDEX(Monthly!$Q:$Q,MATCH(H509,Monthly!$A:$A,0))</f>
        <v>23.580967741935485</v>
      </c>
      <c r="J509" s="4">
        <f>INDEX(Monthly!$P:$P,MATCH(H509,Monthly!$A:$A,0))</f>
        <v>23.422</v>
      </c>
    </row>
    <row r="510">
      <c r="A510" t="inlineStr">
        <is>
          <t xml:space="preserve">Ocotepeque — Ocotepeque department, town of Nueva Ocotepeque</t>
        </is>
      </c>
      <c r="B510" t="inlineStr">
        <is>
          <t xml:space="preserve">2005/06</t>
        </is>
      </c>
      <c r="C510" t="inlineStr">
        <is>
          <t xml:space="preserve">La Niña</t>
        </is>
      </c>
      <c r="D510" t="inlineStr">
        <is>
          <t xml:space="preserve">yes</t>
        </is>
      </c>
      <c r="E510" t="inlineStr">
        <is>
          <t xml:space="preserve">Jul</t>
        </is>
      </c>
      <c r="F510">
        <v>1</v>
      </c>
      <c r="G510">
        <v>2005</v>
      </c>
      <c r="H510" t="inlineStr">
        <is>
          <t xml:space="preserve">2005-07</t>
        </is>
      </c>
      <c r="I510" s="3">
        <f>INDEX(Monthly!$V:$V,MATCH(H510,Monthly!$A:$A,0))</f>
        <v>22.774516129032257</v>
      </c>
      <c r="J510" s="4">
        <f>INDEX(Monthly!$U:$U,MATCH(H510,Monthly!$A:$A,0))</f>
        <v>110.182</v>
      </c>
    </row>
    <row r="511">
      <c r="A511" t="inlineStr">
        <is>
          <t xml:space="preserve">Ocotepeque — Ocotepeque department, town of Nueva Ocotepeque</t>
        </is>
      </c>
      <c r="B511" t="inlineStr">
        <is>
          <t xml:space="preserve">2005/06</t>
        </is>
      </c>
      <c r="C511" t="inlineStr">
        <is>
          <t xml:space="preserve">La Niña</t>
        </is>
      </c>
      <c r="D511" t="inlineStr">
        <is>
          <t xml:space="preserve">yes</t>
        </is>
      </c>
      <c r="E511" t="inlineStr">
        <is>
          <t xml:space="preserve">Aug</t>
        </is>
      </c>
      <c r="F511">
        <v>2</v>
      </c>
      <c r="G511">
        <v>2005</v>
      </c>
      <c r="H511" t="inlineStr">
        <is>
          <t xml:space="preserve">2005-08</t>
        </is>
      </c>
      <c r="I511" s="3">
        <f>INDEX(Monthly!$V:$V,MATCH(H511,Monthly!$A:$A,0))</f>
        <v>22.71451612903226</v>
      </c>
      <c r="J511" s="4">
        <f>INDEX(Monthly!$U:$U,MATCH(H511,Monthly!$A:$A,0))</f>
        <v>167.823</v>
      </c>
    </row>
    <row r="512">
      <c r="A512" t="inlineStr">
        <is>
          <t xml:space="preserve">Ocotepeque — Ocotepeque department, town of Nueva Ocotepeque</t>
        </is>
      </c>
      <c r="B512" t="inlineStr">
        <is>
          <t xml:space="preserve">2005/06</t>
        </is>
      </c>
      <c r="C512" t="inlineStr">
        <is>
          <t xml:space="preserve">La Niña</t>
        </is>
      </c>
      <c r="D512" t="inlineStr">
        <is>
          <t xml:space="preserve">yes</t>
        </is>
      </c>
      <c r="E512" t="inlineStr">
        <is>
          <t xml:space="preserve">Sep</t>
        </is>
      </c>
      <c r="F512">
        <v>3</v>
      </c>
      <c r="G512">
        <v>2005</v>
      </c>
      <c r="H512" t="inlineStr">
        <is>
          <t xml:space="preserve">2005-09</t>
        </is>
      </c>
      <c r="I512" s="3">
        <f>INDEX(Monthly!$V:$V,MATCH(H512,Monthly!$A:$A,0))</f>
        <v>22.40366666666666</v>
      </c>
      <c r="J512" s="4">
        <f>INDEX(Monthly!$U:$U,MATCH(H512,Monthly!$A:$A,0))</f>
        <v>223.733</v>
      </c>
    </row>
    <row r="513">
      <c r="A513" t="inlineStr">
        <is>
          <t xml:space="preserve">Ocotepeque — Ocotepeque department, town of Nueva Ocotepeque</t>
        </is>
      </c>
      <c r="B513" t="inlineStr">
        <is>
          <t xml:space="preserve">2005/06</t>
        </is>
      </c>
      <c r="C513" t="inlineStr">
        <is>
          <t xml:space="preserve">La Niña</t>
        </is>
      </c>
      <c r="D513" t="inlineStr">
        <is>
          <t xml:space="preserve">yes</t>
        </is>
      </c>
      <c r="E513" t="inlineStr">
        <is>
          <t xml:space="preserve">Oct</t>
        </is>
      </c>
      <c r="F513">
        <v>4</v>
      </c>
      <c r="G513">
        <v>2005</v>
      </c>
      <c r="H513" t="inlineStr">
        <is>
          <t xml:space="preserve">2005-10</t>
        </is>
      </c>
      <c r="I513" s="3">
        <f>INDEX(Monthly!$V:$V,MATCH(H513,Monthly!$A:$A,0))</f>
        <v>20.98193548387097</v>
      </c>
      <c r="J513" s="4">
        <f>INDEX(Monthly!$U:$U,MATCH(H513,Monthly!$A:$A,0))</f>
        <v>91.145</v>
      </c>
    </row>
    <row r="514">
      <c r="A514" t="inlineStr">
        <is>
          <t xml:space="preserve">Ocotepeque — Ocotepeque department, town of Nueva Ocotepeque</t>
        </is>
      </c>
      <c r="B514" t="inlineStr">
        <is>
          <t xml:space="preserve">2005/06</t>
        </is>
      </c>
      <c r="C514" t="inlineStr">
        <is>
          <t xml:space="preserve">La Niña</t>
        </is>
      </c>
      <c r="D514" t="inlineStr">
        <is>
          <t xml:space="preserve">yes</t>
        </is>
      </c>
      <c r="E514" t="inlineStr">
        <is>
          <t xml:space="preserve">Nov</t>
        </is>
      </c>
      <c r="F514">
        <v>5</v>
      </c>
      <c r="G514">
        <v>2005</v>
      </c>
      <c r="H514" t="inlineStr">
        <is>
          <t xml:space="preserve">2005-11</t>
        </is>
      </c>
      <c r="I514" s="3">
        <f>INDEX(Monthly!$V:$V,MATCH(H514,Monthly!$A:$A,0))</f>
        <v>19.723000000000006</v>
      </c>
      <c r="J514" s="4">
        <f>INDEX(Monthly!$U:$U,MATCH(H514,Monthly!$A:$A,0))</f>
        <v>6.397</v>
      </c>
    </row>
    <row r="515">
      <c r="A515" t="inlineStr">
        <is>
          <t xml:space="preserve">Ocotepeque — Ocotepeque department, town of Nueva Ocotepeque</t>
        </is>
      </c>
      <c r="B515" t="inlineStr">
        <is>
          <t xml:space="preserve">2005/06</t>
        </is>
      </c>
      <c r="C515" t="inlineStr">
        <is>
          <t xml:space="preserve">La Niña</t>
        </is>
      </c>
      <c r="D515" t="inlineStr">
        <is>
          <t xml:space="preserve">yes</t>
        </is>
      </c>
      <c r="E515" t="inlineStr">
        <is>
          <t xml:space="preserve">Dec</t>
        </is>
      </c>
      <c r="F515">
        <v>6</v>
      </c>
      <c r="G515">
        <v>2005</v>
      </c>
      <c r="H515" t="inlineStr">
        <is>
          <t xml:space="preserve">2005-12</t>
        </is>
      </c>
      <c r="I515" s="3">
        <f>INDEX(Monthly!$V:$V,MATCH(H515,Monthly!$A:$A,0))</f>
        <v>20.269032258064517</v>
      </c>
      <c r="J515" s="4">
        <f>INDEX(Monthly!$U:$U,MATCH(H515,Monthly!$A:$A,0))</f>
        <v>23.582</v>
      </c>
    </row>
    <row r="516">
      <c r="A516" t="inlineStr">
        <is>
          <t xml:space="preserve">Ocotepeque — Ocotepeque department, town of Nueva Ocotepeque</t>
        </is>
      </c>
      <c r="B516" t="inlineStr">
        <is>
          <t xml:space="preserve">2005/06</t>
        </is>
      </c>
      <c r="C516" t="inlineStr">
        <is>
          <t xml:space="preserve">La Niña</t>
        </is>
      </c>
      <c r="D516" t="inlineStr">
        <is>
          <t xml:space="preserve">yes</t>
        </is>
      </c>
      <c r="E516" t="inlineStr">
        <is>
          <t xml:space="preserve">Jan</t>
        </is>
      </c>
      <c r="F516">
        <v>7</v>
      </c>
      <c r="G516">
        <v>2006</v>
      </c>
      <c r="H516" t="inlineStr">
        <is>
          <t xml:space="preserve">2006-01</t>
        </is>
      </c>
      <c r="I516" s="3">
        <f>INDEX(Monthly!$V:$V,MATCH(H516,Monthly!$A:$A,0))</f>
        <v>20.26161290322581</v>
      </c>
      <c r="J516" s="4">
        <f>INDEX(Monthly!$U:$U,MATCH(H516,Monthly!$A:$A,0))</f>
        <v>7.806</v>
      </c>
    </row>
    <row r="517">
      <c r="A517" t="inlineStr">
        <is>
          <t xml:space="preserve">Ocotepeque — Ocotepeque department, town of Nueva Ocotepeque</t>
        </is>
      </c>
      <c r="B517" t="inlineStr">
        <is>
          <t xml:space="preserve">2005/06</t>
        </is>
      </c>
      <c r="C517" t="inlineStr">
        <is>
          <t xml:space="preserve">La Niña</t>
        </is>
      </c>
      <c r="D517" t="inlineStr">
        <is>
          <t xml:space="preserve">yes</t>
        </is>
      </c>
      <c r="E517" t="inlineStr">
        <is>
          <t xml:space="preserve">Feb</t>
        </is>
      </c>
      <c r="F517">
        <v>8</v>
      </c>
      <c r="G517">
        <v>2006</v>
      </c>
      <c r="H517" t="inlineStr">
        <is>
          <t xml:space="preserve">2006-02</t>
        </is>
      </c>
      <c r="I517" s="3">
        <f>INDEX(Monthly!$V:$V,MATCH(H517,Monthly!$A:$A,0))</f>
        <v>20.568571428571428</v>
      </c>
      <c r="J517" s="4">
        <f>INDEX(Monthly!$U:$U,MATCH(H517,Monthly!$A:$A,0))</f>
        <v>3.885</v>
      </c>
    </row>
    <row r="518">
      <c r="A518" t="inlineStr">
        <is>
          <t xml:space="preserve">Ocotepeque — Ocotepeque department, town of Nueva Ocotepeque</t>
        </is>
      </c>
      <c r="B518" t="inlineStr">
        <is>
          <t xml:space="preserve">2005/06</t>
        </is>
      </c>
      <c r="C518" t="inlineStr">
        <is>
          <t xml:space="preserve">La Niña</t>
        </is>
      </c>
      <c r="D518" t="inlineStr">
        <is>
          <t xml:space="preserve">yes</t>
        </is>
      </c>
      <c r="E518" t="inlineStr">
        <is>
          <t xml:space="preserve">Mar</t>
        </is>
      </c>
      <c r="F518">
        <v>9</v>
      </c>
      <c r="G518">
        <v>2006</v>
      </c>
      <c r="H518" t="inlineStr">
        <is>
          <t xml:space="preserve">2006-03</t>
        </is>
      </c>
      <c r="I518" s="3">
        <f>INDEX(Monthly!$V:$V,MATCH(H518,Monthly!$A:$A,0))</f>
        <v>22.932258064516127</v>
      </c>
      <c r="J518" s="4">
        <f>INDEX(Monthly!$U:$U,MATCH(H518,Monthly!$A:$A,0))</f>
        <v>4.185</v>
      </c>
    </row>
    <row r="519">
      <c r="A519" t="inlineStr">
        <is>
          <t xml:space="preserve">Ocotepeque — Ocotepeque department, town of Nueva Ocotepeque</t>
        </is>
      </c>
      <c r="B519" t="inlineStr">
        <is>
          <t xml:space="preserve">2005/06</t>
        </is>
      </c>
      <c r="C519" t="inlineStr">
        <is>
          <t xml:space="preserve">La Niña</t>
        </is>
      </c>
      <c r="D519" t="inlineStr">
        <is>
          <t xml:space="preserve">yes</t>
        </is>
      </c>
      <c r="E519" t="inlineStr">
        <is>
          <t xml:space="preserve">Apr</t>
        </is>
      </c>
      <c r="F519">
        <v>10</v>
      </c>
      <c r="G519">
        <v>2006</v>
      </c>
      <c r="H519" t="inlineStr">
        <is>
          <t xml:space="preserve">2006-04</t>
        </is>
      </c>
      <c r="I519" s="3">
        <f>INDEX(Monthly!$V:$V,MATCH(H519,Monthly!$A:$A,0))</f>
        <v>24.289666666666665</v>
      </c>
      <c r="J519" s="4">
        <f>INDEX(Monthly!$U:$U,MATCH(H519,Monthly!$A:$A,0))</f>
        <v>33.662</v>
      </c>
    </row>
    <row r="520">
      <c r="A520" t="inlineStr">
        <is>
          <t xml:space="preserve">Ocotepeque — Ocotepeque department, town of Nueva Ocotepeque</t>
        </is>
      </c>
      <c r="B520" t="inlineStr">
        <is>
          <t xml:space="preserve">2005/06</t>
        </is>
      </c>
      <c r="C520" t="inlineStr">
        <is>
          <t xml:space="preserve">La Niña</t>
        </is>
      </c>
      <c r="D520" t="inlineStr">
        <is>
          <t xml:space="preserve">yes</t>
        </is>
      </c>
      <c r="E520" t="inlineStr">
        <is>
          <t xml:space="preserve">May</t>
        </is>
      </c>
      <c r="F520">
        <v>11</v>
      </c>
      <c r="G520">
        <v>2006</v>
      </c>
      <c r="H520" t="inlineStr">
        <is>
          <t xml:space="preserve">2006-05</t>
        </is>
      </c>
      <c r="I520" s="3">
        <f>INDEX(Monthly!$V:$V,MATCH(H520,Monthly!$A:$A,0))</f>
        <v>24.474838709677417</v>
      </c>
      <c r="J520" s="4">
        <f>INDEX(Monthly!$U:$U,MATCH(H520,Monthly!$A:$A,0))</f>
        <v>144.414</v>
      </c>
    </row>
    <row r="521">
      <c r="A521" t="inlineStr">
        <is>
          <t xml:space="preserve">Ocotepeque — Ocotepeque department, town of Nueva Ocotepeque</t>
        </is>
      </c>
      <c r="B521" t="inlineStr">
        <is>
          <t xml:space="preserve">2005/06</t>
        </is>
      </c>
      <c r="C521" t="inlineStr">
        <is>
          <t xml:space="preserve">La Niña</t>
        </is>
      </c>
      <c r="D521" t="inlineStr">
        <is>
          <t xml:space="preserve">yes</t>
        </is>
      </c>
      <c r="E521" t="inlineStr">
        <is>
          <t xml:space="preserve">Jun</t>
        </is>
      </c>
      <c r="F521">
        <v>12</v>
      </c>
      <c r="G521">
        <v>2006</v>
      </c>
      <c r="H521" t="inlineStr">
        <is>
          <t xml:space="preserve">2006-06</t>
        </is>
      </c>
      <c r="I521" s="3">
        <f>INDEX(Monthly!$V:$V,MATCH(H521,Monthly!$A:$A,0))</f>
        <v>22.372333333333334</v>
      </c>
      <c r="J521" s="4">
        <f>INDEX(Monthly!$U:$U,MATCH(H521,Monthly!$A:$A,0))</f>
        <v>189.236</v>
      </c>
    </row>
    <row r="522">
      <c r="A522" t="inlineStr">
        <is>
          <t xml:space="preserve">Ocotepeque — Ocotepeque department, town of Nueva Ocotepeque</t>
        </is>
      </c>
      <c r="B522" t="inlineStr">
        <is>
          <t xml:space="preserve">2006/07</t>
        </is>
      </c>
      <c r="C522" t="inlineStr">
        <is>
          <t xml:space="preserve">El Niño</t>
        </is>
      </c>
      <c r="D522" t="inlineStr">
        <is>
          <t xml:space="preserve">yes</t>
        </is>
      </c>
      <c r="E522" t="inlineStr">
        <is>
          <t xml:space="preserve">Jul</t>
        </is>
      </c>
      <c r="F522">
        <v>1</v>
      </c>
      <c r="G522">
        <v>2006</v>
      </c>
      <c r="H522" t="inlineStr">
        <is>
          <t xml:space="preserve">2006-07</t>
        </is>
      </c>
      <c r="I522" s="3">
        <f>INDEX(Monthly!$V:$V,MATCH(H522,Monthly!$A:$A,0))</f>
        <v>22.558709677419355</v>
      </c>
      <c r="J522" s="4">
        <f>INDEX(Monthly!$U:$U,MATCH(H522,Monthly!$A:$A,0))</f>
        <v>241.077</v>
      </c>
    </row>
    <row r="523">
      <c r="A523" t="inlineStr">
        <is>
          <t xml:space="preserve">Ocotepeque — Ocotepeque department, town of Nueva Ocotepeque</t>
        </is>
      </c>
      <c r="B523" t="inlineStr">
        <is>
          <t xml:space="preserve">2006/07</t>
        </is>
      </c>
      <c r="C523" t="inlineStr">
        <is>
          <t xml:space="preserve">El Niño</t>
        </is>
      </c>
      <c r="D523" t="inlineStr">
        <is>
          <t xml:space="preserve">yes</t>
        </is>
      </c>
      <c r="E523" t="inlineStr">
        <is>
          <t xml:space="preserve">Aug</t>
        </is>
      </c>
      <c r="F523">
        <v>2</v>
      </c>
      <c r="G523">
        <v>2006</v>
      </c>
      <c r="H523" t="inlineStr">
        <is>
          <t xml:space="preserve">2006-08</t>
        </is>
      </c>
      <c r="I523" s="3">
        <f>INDEX(Monthly!$V:$V,MATCH(H523,Monthly!$A:$A,0))</f>
        <v>22.4641935483871</v>
      </c>
      <c r="J523" s="4">
        <f>INDEX(Monthly!$U:$U,MATCH(H523,Monthly!$A:$A,0))</f>
        <v>151.768</v>
      </c>
    </row>
    <row r="524">
      <c r="A524" t="inlineStr">
        <is>
          <t xml:space="preserve">Ocotepeque — Ocotepeque department, town of Nueva Ocotepeque</t>
        </is>
      </c>
      <c r="B524" t="inlineStr">
        <is>
          <t xml:space="preserve">2006/07</t>
        </is>
      </c>
      <c r="C524" t="inlineStr">
        <is>
          <t xml:space="preserve">El Niño</t>
        </is>
      </c>
      <c r="D524" t="inlineStr">
        <is>
          <t xml:space="preserve">yes</t>
        </is>
      </c>
      <c r="E524" t="inlineStr">
        <is>
          <t xml:space="preserve">Sep</t>
        </is>
      </c>
      <c r="F524">
        <v>3</v>
      </c>
      <c r="G524">
        <v>2006</v>
      </c>
      <c r="H524" t="inlineStr">
        <is>
          <t xml:space="preserve">2006-09</t>
        </is>
      </c>
      <c r="I524" s="3">
        <f>INDEX(Monthly!$V:$V,MATCH(H524,Monthly!$A:$A,0))</f>
        <v>22.318666666666665</v>
      </c>
      <c r="J524" s="4">
        <f>INDEX(Monthly!$U:$U,MATCH(H524,Monthly!$A:$A,0))</f>
        <v>130.361</v>
      </c>
    </row>
    <row r="525">
      <c r="A525" t="inlineStr">
        <is>
          <t xml:space="preserve">Ocotepeque — Ocotepeque department, town of Nueva Ocotepeque</t>
        </is>
      </c>
      <c r="B525" t="inlineStr">
        <is>
          <t xml:space="preserve">2006/07</t>
        </is>
      </c>
      <c r="C525" t="inlineStr">
        <is>
          <t xml:space="preserve">El Niño</t>
        </is>
      </c>
      <c r="D525" t="inlineStr">
        <is>
          <t xml:space="preserve">yes</t>
        </is>
      </c>
      <c r="E525" t="inlineStr">
        <is>
          <t xml:space="preserve">Oct</t>
        </is>
      </c>
      <c r="F525">
        <v>4</v>
      </c>
      <c r="G525">
        <v>2006</v>
      </c>
      <c r="H525" t="inlineStr">
        <is>
          <t xml:space="preserve">2006-10</t>
        </is>
      </c>
      <c r="I525" s="3">
        <f>INDEX(Monthly!$V:$V,MATCH(H525,Monthly!$A:$A,0))</f>
        <v>22.07032258064516</v>
      </c>
      <c r="J525" s="4">
        <f>INDEX(Monthly!$U:$U,MATCH(H525,Monthly!$A:$A,0))</f>
        <v>116.911</v>
      </c>
    </row>
    <row r="526">
      <c r="A526" t="inlineStr">
        <is>
          <t xml:space="preserve">Ocotepeque — Ocotepeque department, town of Nueva Ocotepeque</t>
        </is>
      </c>
      <c r="B526" t="inlineStr">
        <is>
          <t xml:space="preserve">2006/07</t>
        </is>
      </c>
      <c r="C526" t="inlineStr">
        <is>
          <t xml:space="preserve">El Niño</t>
        </is>
      </c>
      <c r="D526" t="inlineStr">
        <is>
          <t xml:space="preserve">yes</t>
        </is>
      </c>
      <c r="E526" t="inlineStr">
        <is>
          <t xml:space="preserve">Nov</t>
        </is>
      </c>
      <c r="F526">
        <v>5</v>
      </c>
      <c r="G526">
        <v>2006</v>
      </c>
      <c r="H526" t="inlineStr">
        <is>
          <t xml:space="preserve">2006-11</t>
        </is>
      </c>
      <c r="I526" s="3">
        <f>INDEX(Monthly!$V:$V,MATCH(H526,Monthly!$A:$A,0))</f>
        <v>19.708333333333336</v>
      </c>
      <c r="J526" s="4">
        <f>INDEX(Monthly!$U:$U,MATCH(H526,Monthly!$A:$A,0))</f>
        <v>49.418</v>
      </c>
    </row>
    <row r="527">
      <c r="A527" t="inlineStr">
        <is>
          <t xml:space="preserve">Ocotepeque — Ocotepeque department, town of Nueva Ocotepeque</t>
        </is>
      </c>
      <c r="B527" t="inlineStr">
        <is>
          <t xml:space="preserve">2006/07</t>
        </is>
      </c>
      <c r="C527" t="inlineStr">
        <is>
          <t xml:space="preserve">El Niño</t>
        </is>
      </c>
      <c r="D527" t="inlineStr">
        <is>
          <t xml:space="preserve">yes</t>
        </is>
      </c>
      <c r="E527" t="inlineStr">
        <is>
          <t xml:space="preserve">Dec</t>
        </is>
      </c>
      <c r="F527">
        <v>6</v>
      </c>
      <c r="G527">
        <v>2006</v>
      </c>
      <c r="H527" t="inlineStr">
        <is>
          <t xml:space="preserve">2006-12</t>
        </is>
      </c>
      <c r="I527" s="3">
        <f>INDEX(Monthly!$V:$V,MATCH(H527,Monthly!$A:$A,0))</f>
        <v>20.178387096774188</v>
      </c>
      <c r="J527" s="4">
        <f>INDEX(Monthly!$U:$U,MATCH(H527,Monthly!$A:$A,0))</f>
        <v>40.567</v>
      </c>
    </row>
    <row r="528">
      <c r="A528" t="inlineStr">
        <is>
          <t xml:space="preserve">Ocotepeque — Ocotepeque department, town of Nueva Ocotepeque</t>
        </is>
      </c>
      <c r="B528" t="inlineStr">
        <is>
          <t xml:space="preserve">2006/07</t>
        </is>
      </c>
      <c r="C528" t="inlineStr">
        <is>
          <t xml:space="preserve">El Niño</t>
        </is>
      </c>
      <c r="D528" t="inlineStr">
        <is>
          <t xml:space="preserve">yes</t>
        </is>
      </c>
      <c r="E528" t="inlineStr">
        <is>
          <t xml:space="preserve">Jan</t>
        </is>
      </c>
      <c r="F528">
        <v>7</v>
      </c>
      <c r="G528">
        <v>2007</v>
      </c>
      <c r="H528" t="inlineStr">
        <is>
          <t xml:space="preserve">2007-01</t>
        </is>
      </c>
      <c r="I528" s="3">
        <f>INDEX(Monthly!$V:$V,MATCH(H528,Monthly!$A:$A,0))</f>
        <v>20.612258064516134</v>
      </c>
      <c r="J528" s="4">
        <f>INDEX(Monthly!$U:$U,MATCH(H528,Monthly!$A:$A,0))</f>
        <v>17.497</v>
      </c>
    </row>
    <row r="529">
      <c r="A529" t="inlineStr">
        <is>
          <t xml:space="preserve">Ocotepeque — Ocotepeque department, town of Nueva Ocotepeque</t>
        </is>
      </c>
      <c r="B529" t="inlineStr">
        <is>
          <t xml:space="preserve">2006/07</t>
        </is>
      </c>
      <c r="C529" t="inlineStr">
        <is>
          <t xml:space="preserve">El Niño</t>
        </is>
      </c>
      <c r="D529" t="inlineStr">
        <is>
          <t xml:space="preserve">yes</t>
        </is>
      </c>
      <c r="E529" t="inlineStr">
        <is>
          <t xml:space="preserve">Feb</t>
        </is>
      </c>
      <c r="F529">
        <v>8</v>
      </c>
      <c r="G529">
        <v>2007</v>
      </c>
      <c r="H529" t="inlineStr">
        <is>
          <t xml:space="preserve">2007-02</t>
        </is>
      </c>
      <c r="I529" s="3">
        <f>INDEX(Monthly!$V:$V,MATCH(H529,Monthly!$A:$A,0))</f>
        <v>21.62857142857143</v>
      </c>
      <c r="J529" s="4">
        <f>INDEX(Monthly!$U:$U,MATCH(H529,Monthly!$A:$A,0))</f>
        <v>12.882</v>
      </c>
    </row>
    <row r="530">
      <c r="A530" t="inlineStr">
        <is>
          <t xml:space="preserve">Ocotepeque — Ocotepeque department, town of Nueva Ocotepeque</t>
        </is>
      </c>
      <c r="B530" t="inlineStr">
        <is>
          <t xml:space="preserve">2006/07</t>
        </is>
      </c>
      <c r="C530" t="inlineStr">
        <is>
          <t xml:space="preserve">El Niño</t>
        </is>
      </c>
      <c r="D530" t="inlineStr">
        <is>
          <t xml:space="preserve">yes</t>
        </is>
      </c>
      <c r="E530" t="inlineStr">
        <is>
          <t xml:space="preserve">Mar</t>
        </is>
      </c>
      <c r="F530">
        <v>9</v>
      </c>
      <c r="G530">
        <v>2007</v>
      </c>
      <c r="H530" t="inlineStr">
        <is>
          <t xml:space="preserve">2007-03</t>
        </is>
      </c>
      <c r="I530" s="3">
        <f>INDEX(Monthly!$V:$V,MATCH(H530,Monthly!$A:$A,0))</f>
        <v>22.585161290322585</v>
      </c>
      <c r="J530" s="4">
        <f>INDEX(Monthly!$U:$U,MATCH(H530,Monthly!$A:$A,0))</f>
        <v>9.826</v>
      </c>
    </row>
    <row r="531">
      <c r="A531" t="inlineStr">
        <is>
          <t xml:space="preserve">Ocotepeque — Ocotepeque department, town of Nueva Ocotepeque</t>
        </is>
      </c>
      <c r="B531" t="inlineStr">
        <is>
          <t xml:space="preserve">2006/07</t>
        </is>
      </c>
      <c r="C531" t="inlineStr">
        <is>
          <t xml:space="preserve">El Niño</t>
        </is>
      </c>
      <c r="D531" t="inlineStr">
        <is>
          <t xml:space="preserve">yes</t>
        </is>
      </c>
      <c r="E531" t="inlineStr">
        <is>
          <t xml:space="preserve">Apr</t>
        </is>
      </c>
      <c r="F531">
        <v>10</v>
      </c>
      <c r="G531">
        <v>2007</v>
      </c>
      <c r="H531" t="inlineStr">
        <is>
          <t xml:space="preserve">2007-04</t>
        </is>
      </c>
      <c r="I531" s="3">
        <f>INDEX(Monthly!$V:$V,MATCH(H531,Monthly!$A:$A,0))</f>
        <v>24.719333333333335</v>
      </c>
      <c r="J531" s="4">
        <f>INDEX(Monthly!$U:$U,MATCH(H531,Monthly!$A:$A,0))</f>
        <v>37.349</v>
      </c>
    </row>
    <row r="532">
      <c r="A532" t="inlineStr">
        <is>
          <t xml:space="preserve">Ocotepeque — Ocotepeque department, town of Nueva Ocotepeque</t>
        </is>
      </c>
      <c r="B532" t="inlineStr">
        <is>
          <t xml:space="preserve">2006/07</t>
        </is>
      </c>
      <c r="C532" t="inlineStr">
        <is>
          <t xml:space="preserve">El Niño</t>
        </is>
      </c>
      <c r="D532" t="inlineStr">
        <is>
          <t xml:space="preserve">yes</t>
        </is>
      </c>
      <c r="E532" t="inlineStr">
        <is>
          <t xml:space="preserve">May</t>
        </is>
      </c>
      <c r="F532">
        <v>11</v>
      </c>
      <c r="G532">
        <v>2007</v>
      </c>
      <c r="H532" t="inlineStr">
        <is>
          <t xml:space="preserve">2007-05</t>
        </is>
      </c>
      <c r="I532" s="3">
        <f>INDEX(Monthly!$V:$V,MATCH(H532,Monthly!$A:$A,0))</f>
        <v>25.443548387096786</v>
      </c>
      <c r="J532" s="4">
        <f>INDEX(Monthly!$U:$U,MATCH(H532,Monthly!$A:$A,0))</f>
        <v>102.166</v>
      </c>
    </row>
    <row r="533">
      <c r="A533" t="inlineStr">
        <is>
          <t xml:space="preserve">Ocotepeque — Ocotepeque department, town of Nueva Ocotepeque</t>
        </is>
      </c>
      <c r="B533" t="inlineStr">
        <is>
          <t xml:space="preserve">2006/07</t>
        </is>
      </c>
      <c r="C533" t="inlineStr">
        <is>
          <t xml:space="preserve">El Niño</t>
        </is>
      </c>
      <c r="D533" t="inlineStr">
        <is>
          <t xml:space="preserve">yes</t>
        </is>
      </c>
      <c r="E533" t="inlineStr">
        <is>
          <t xml:space="preserve">Jun</t>
        </is>
      </c>
      <c r="F533">
        <v>12</v>
      </c>
      <c r="G533">
        <v>2007</v>
      </c>
      <c r="H533" t="inlineStr">
        <is>
          <t xml:space="preserve">2007-06</t>
        </is>
      </c>
      <c r="I533" s="3">
        <f>INDEX(Monthly!$V:$V,MATCH(H533,Monthly!$A:$A,0))</f>
        <v>23.074666666666666</v>
      </c>
      <c r="J533" s="4">
        <f>INDEX(Monthly!$U:$U,MATCH(H533,Monthly!$A:$A,0))</f>
        <v>215.052</v>
      </c>
    </row>
    <row r="534">
      <c r="A534" t="inlineStr">
        <is>
          <t xml:space="preserve">Ocotepeque — Ocotepeque department, town of Nueva Ocotepeque</t>
        </is>
      </c>
      <c r="B534" t="inlineStr">
        <is>
          <t xml:space="preserve">2007/08</t>
        </is>
      </c>
      <c r="C534" t="inlineStr">
        <is>
          <t xml:space="preserve">La Niña</t>
        </is>
      </c>
      <c r="D534" t="inlineStr">
        <is>
          <t xml:space="preserve">yes</t>
        </is>
      </c>
      <c r="E534" t="inlineStr">
        <is>
          <t xml:space="preserve">Jul</t>
        </is>
      </c>
      <c r="F534">
        <v>1</v>
      </c>
      <c r="G534">
        <v>2007</v>
      </c>
      <c r="H534" t="inlineStr">
        <is>
          <t xml:space="preserve">2007-07</t>
        </is>
      </c>
      <c r="I534" s="3">
        <f>INDEX(Monthly!$V:$V,MATCH(H534,Monthly!$A:$A,0))</f>
        <v>22.861935483870973</v>
      </c>
      <c r="J534" s="4">
        <f>INDEX(Monthly!$U:$U,MATCH(H534,Monthly!$A:$A,0))</f>
        <v>217.112</v>
      </c>
    </row>
    <row r="535">
      <c r="A535" t="inlineStr">
        <is>
          <t xml:space="preserve">Ocotepeque — Ocotepeque department, town of Nueva Ocotepeque</t>
        </is>
      </c>
      <c r="B535" t="inlineStr">
        <is>
          <t xml:space="preserve">2007/08</t>
        </is>
      </c>
      <c r="C535" t="inlineStr">
        <is>
          <t xml:space="preserve">La Niña</t>
        </is>
      </c>
      <c r="D535" t="inlineStr">
        <is>
          <t xml:space="preserve">yes</t>
        </is>
      </c>
      <c r="E535" t="inlineStr">
        <is>
          <t xml:space="preserve">Aug</t>
        </is>
      </c>
      <c r="F535">
        <v>2</v>
      </c>
      <c r="G535">
        <v>2007</v>
      </c>
      <c r="H535" t="inlineStr">
        <is>
          <t xml:space="preserve">2007-08</t>
        </is>
      </c>
      <c r="I535" s="3">
        <f>INDEX(Monthly!$V:$V,MATCH(H535,Monthly!$A:$A,0))</f>
        <v>22.172903225806447</v>
      </c>
      <c r="J535" s="4">
        <f>INDEX(Monthly!$U:$U,MATCH(H535,Monthly!$A:$A,0))</f>
        <v>237.352</v>
      </c>
    </row>
    <row r="536">
      <c r="A536" t="inlineStr">
        <is>
          <t xml:space="preserve">Ocotepeque — Ocotepeque department, town of Nueva Ocotepeque</t>
        </is>
      </c>
      <c r="B536" t="inlineStr">
        <is>
          <t xml:space="preserve">2007/08</t>
        </is>
      </c>
      <c r="C536" t="inlineStr">
        <is>
          <t xml:space="preserve">La Niña</t>
        </is>
      </c>
      <c r="D536" t="inlineStr">
        <is>
          <t xml:space="preserve">yes</t>
        </is>
      </c>
      <c r="E536" t="inlineStr">
        <is>
          <t xml:space="preserve">Sep</t>
        </is>
      </c>
      <c r="F536">
        <v>3</v>
      </c>
      <c r="G536">
        <v>2007</v>
      </c>
      <c r="H536" t="inlineStr">
        <is>
          <t xml:space="preserve">2007-09</t>
        </is>
      </c>
      <c r="I536" s="3">
        <f>INDEX(Monthly!$V:$V,MATCH(H536,Monthly!$A:$A,0))</f>
        <v>21.87166666666667</v>
      </c>
      <c r="J536" s="4">
        <f>INDEX(Monthly!$U:$U,MATCH(H536,Monthly!$A:$A,0))</f>
        <v>289.355</v>
      </c>
    </row>
    <row r="537">
      <c r="A537" t="inlineStr">
        <is>
          <t xml:space="preserve">Ocotepeque — Ocotepeque department, town of Nueva Ocotepeque</t>
        </is>
      </c>
      <c r="B537" t="inlineStr">
        <is>
          <t xml:space="preserve">2007/08</t>
        </is>
      </c>
      <c r="C537" t="inlineStr">
        <is>
          <t xml:space="preserve">La Niña</t>
        </is>
      </c>
      <c r="D537" t="inlineStr">
        <is>
          <t xml:space="preserve">yes</t>
        </is>
      </c>
      <c r="E537" t="inlineStr">
        <is>
          <t xml:space="preserve">Oct</t>
        </is>
      </c>
      <c r="F537">
        <v>4</v>
      </c>
      <c r="G537">
        <v>2007</v>
      </c>
      <c r="H537" t="inlineStr">
        <is>
          <t xml:space="preserve">2007-10</t>
        </is>
      </c>
      <c r="I537" s="3">
        <f>INDEX(Monthly!$V:$V,MATCH(H537,Monthly!$A:$A,0))</f>
        <v>20.824516129032258</v>
      </c>
      <c r="J537" s="4">
        <f>INDEX(Monthly!$U:$U,MATCH(H537,Monthly!$A:$A,0))</f>
        <v>210.576</v>
      </c>
    </row>
    <row r="538">
      <c r="A538" t="inlineStr">
        <is>
          <t xml:space="preserve">Ocotepeque — Ocotepeque department, town of Nueva Ocotepeque</t>
        </is>
      </c>
      <c r="B538" t="inlineStr">
        <is>
          <t xml:space="preserve">2007/08</t>
        </is>
      </c>
      <c r="C538" t="inlineStr">
        <is>
          <t xml:space="preserve">La Niña</t>
        </is>
      </c>
      <c r="D538" t="inlineStr">
        <is>
          <t xml:space="preserve">yes</t>
        </is>
      </c>
      <c r="E538" t="inlineStr">
        <is>
          <t xml:space="preserve">Nov</t>
        </is>
      </c>
      <c r="F538">
        <v>5</v>
      </c>
      <c r="G538">
        <v>2007</v>
      </c>
      <c r="H538" t="inlineStr">
        <is>
          <t xml:space="preserve">2007-11</t>
        </is>
      </c>
      <c r="I538" s="3">
        <f>INDEX(Monthly!$V:$V,MATCH(H538,Monthly!$A:$A,0))</f>
        <v>19.36466666666667</v>
      </c>
      <c r="J538" s="4">
        <f>INDEX(Monthly!$U:$U,MATCH(H538,Monthly!$A:$A,0))</f>
        <v>38.861</v>
      </c>
    </row>
    <row r="539">
      <c r="A539" t="inlineStr">
        <is>
          <t xml:space="preserve">Ocotepeque — Ocotepeque department, town of Nueva Ocotepeque</t>
        </is>
      </c>
      <c r="B539" t="inlineStr">
        <is>
          <t xml:space="preserve">2007/08</t>
        </is>
      </c>
      <c r="C539" t="inlineStr">
        <is>
          <t xml:space="preserve">La Niña</t>
        </is>
      </c>
      <c r="D539" t="inlineStr">
        <is>
          <t xml:space="preserve">yes</t>
        </is>
      </c>
      <c r="E539" t="inlineStr">
        <is>
          <t xml:space="preserve">Dec</t>
        </is>
      </c>
      <c r="F539">
        <v>6</v>
      </c>
      <c r="G539">
        <v>2007</v>
      </c>
      <c r="H539" t="inlineStr">
        <is>
          <t xml:space="preserve">2007-12</t>
        </is>
      </c>
      <c r="I539" s="3">
        <f>INDEX(Monthly!$V:$V,MATCH(H539,Monthly!$A:$A,0))</f>
        <v>19.235806451612902</v>
      </c>
      <c r="J539" s="4">
        <f>INDEX(Monthly!$U:$U,MATCH(H539,Monthly!$A:$A,0))</f>
        <v>11.685</v>
      </c>
    </row>
    <row r="540">
      <c r="A540" t="inlineStr">
        <is>
          <t xml:space="preserve">Ocotepeque — Ocotepeque department, town of Nueva Ocotepeque</t>
        </is>
      </c>
      <c r="B540" t="inlineStr">
        <is>
          <t xml:space="preserve">2007/08</t>
        </is>
      </c>
      <c r="C540" t="inlineStr">
        <is>
          <t xml:space="preserve">La Niña</t>
        </is>
      </c>
      <c r="D540" t="inlineStr">
        <is>
          <t xml:space="preserve">yes</t>
        </is>
      </c>
      <c r="E540" t="inlineStr">
        <is>
          <t xml:space="preserve">Jan</t>
        </is>
      </c>
      <c r="F540">
        <v>7</v>
      </c>
      <c r="G540">
        <v>2008</v>
      </c>
      <c r="H540" t="inlineStr">
        <is>
          <t xml:space="preserve">2008-01</t>
        </is>
      </c>
      <c r="I540" s="3">
        <f>INDEX(Monthly!$V:$V,MATCH(H540,Monthly!$A:$A,0))</f>
        <v>19.117741935483867</v>
      </c>
      <c r="J540" s="4">
        <f>INDEX(Monthly!$U:$U,MATCH(H540,Monthly!$A:$A,0))</f>
        <v>25.694</v>
      </c>
    </row>
    <row r="541">
      <c r="A541" t="inlineStr">
        <is>
          <t xml:space="preserve">Ocotepeque — Ocotepeque department, town of Nueva Ocotepeque</t>
        </is>
      </c>
      <c r="B541" t="inlineStr">
        <is>
          <t xml:space="preserve">2007/08</t>
        </is>
      </c>
      <c r="C541" t="inlineStr">
        <is>
          <t xml:space="preserve">La Niña</t>
        </is>
      </c>
      <c r="D541" t="inlineStr">
        <is>
          <t xml:space="preserve">yes</t>
        </is>
      </c>
      <c r="E541" t="inlineStr">
        <is>
          <t xml:space="preserve">Feb</t>
        </is>
      </c>
      <c r="F541">
        <v>8</v>
      </c>
      <c r="G541">
        <v>2008</v>
      </c>
      <c r="H541" t="inlineStr">
        <is>
          <t xml:space="preserve">2008-02</t>
        </is>
      </c>
      <c r="I541" s="3">
        <f>INDEX(Monthly!$V:$V,MATCH(H541,Monthly!$A:$A,0))</f>
        <v>21.356896551724137</v>
      </c>
      <c r="J541" s="4">
        <f>INDEX(Monthly!$U:$U,MATCH(H541,Monthly!$A:$A,0))</f>
        <v>15.238</v>
      </c>
    </row>
    <row r="542">
      <c r="A542" t="inlineStr">
        <is>
          <t xml:space="preserve">Ocotepeque — Ocotepeque department, town of Nueva Ocotepeque</t>
        </is>
      </c>
      <c r="B542" t="inlineStr">
        <is>
          <t xml:space="preserve">2007/08</t>
        </is>
      </c>
      <c r="C542" t="inlineStr">
        <is>
          <t xml:space="preserve">La Niña</t>
        </is>
      </c>
      <c r="D542" t="inlineStr">
        <is>
          <t xml:space="preserve">yes</t>
        </is>
      </c>
      <c r="E542" t="inlineStr">
        <is>
          <t xml:space="preserve">Mar</t>
        </is>
      </c>
      <c r="F542">
        <v>9</v>
      </c>
      <c r="G542">
        <v>2008</v>
      </c>
      <c r="H542" t="inlineStr">
        <is>
          <t xml:space="preserve">2008-03</t>
        </is>
      </c>
      <c r="I542" s="3">
        <f>INDEX(Monthly!$V:$V,MATCH(H542,Monthly!$A:$A,0))</f>
        <v>22.66580645161291</v>
      </c>
      <c r="J542" s="4">
        <f>INDEX(Monthly!$U:$U,MATCH(H542,Monthly!$A:$A,0))</f>
        <v>8.767</v>
      </c>
    </row>
    <row r="543">
      <c r="A543" t="inlineStr">
        <is>
          <t xml:space="preserve">Ocotepeque — Ocotepeque department, town of Nueva Ocotepeque</t>
        </is>
      </c>
      <c r="B543" t="inlineStr">
        <is>
          <t xml:space="preserve">2007/08</t>
        </is>
      </c>
      <c r="C543" t="inlineStr">
        <is>
          <t xml:space="preserve">La Niña</t>
        </is>
      </c>
      <c r="D543" t="inlineStr">
        <is>
          <t xml:space="preserve">yes</t>
        </is>
      </c>
      <c r="E543" t="inlineStr">
        <is>
          <t xml:space="preserve">Apr</t>
        </is>
      </c>
      <c r="F543">
        <v>10</v>
      </c>
      <c r="G543">
        <v>2008</v>
      </c>
      <c r="H543" t="inlineStr">
        <is>
          <t xml:space="preserve">2008-04</t>
        </is>
      </c>
      <c r="I543" s="3">
        <f>INDEX(Monthly!$V:$V,MATCH(H543,Monthly!$A:$A,0))</f>
        <v>24.08333333333334</v>
      </c>
      <c r="J543" s="4">
        <f>INDEX(Monthly!$U:$U,MATCH(H543,Monthly!$A:$A,0))</f>
        <v>52.865</v>
      </c>
    </row>
    <row r="544">
      <c r="A544" t="inlineStr">
        <is>
          <t xml:space="preserve">Ocotepeque — Ocotepeque department, town of Nueva Ocotepeque</t>
        </is>
      </c>
      <c r="B544" t="inlineStr">
        <is>
          <t xml:space="preserve">2007/08</t>
        </is>
      </c>
      <c r="C544" t="inlineStr">
        <is>
          <t xml:space="preserve">La Niña</t>
        </is>
      </c>
      <c r="D544" t="inlineStr">
        <is>
          <t xml:space="preserve">yes</t>
        </is>
      </c>
      <c r="E544" t="inlineStr">
        <is>
          <t xml:space="preserve">May</t>
        </is>
      </c>
      <c r="F544">
        <v>11</v>
      </c>
      <c r="G544">
        <v>2008</v>
      </c>
      <c r="H544" t="inlineStr">
        <is>
          <t xml:space="preserve">2008-05</t>
        </is>
      </c>
      <c r="I544" s="3">
        <f>INDEX(Monthly!$V:$V,MATCH(H544,Monthly!$A:$A,0))</f>
        <v>24.565806451612893</v>
      </c>
      <c r="J544" s="4">
        <f>INDEX(Monthly!$U:$U,MATCH(H544,Monthly!$A:$A,0))</f>
        <v>106.164</v>
      </c>
    </row>
    <row r="545">
      <c r="A545" t="inlineStr">
        <is>
          <t xml:space="preserve">Ocotepeque — Ocotepeque department, town of Nueva Ocotepeque</t>
        </is>
      </c>
      <c r="B545" t="inlineStr">
        <is>
          <t xml:space="preserve">2007/08</t>
        </is>
      </c>
      <c r="C545" t="inlineStr">
        <is>
          <t xml:space="preserve">La Niña</t>
        </is>
      </c>
      <c r="D545" t="inlineStr">
        <is>
          <t xml:space="preserve">yes</t>
        </is>
      </c>
      <c r="E545" t="inlineStr">
        <is>
          <t xml:space="preserve">Jun</t>
        </is>
      </c>
      <c r="F545">
        <v>12</v>
      </c>
      <c r="G545">
        <v>2008</v>
      </c>
      <c r="H545" t="inlineStr">
        <is>
          <t xml:space="preserve">2008-06</t>
        </is>
      </c>
      <c r="I545" s="3">
        <f>INDEX(Monthly!$V:$V,MATCH(H545,Monthly!$A:$A,0))</f>
        <v>22.56966666666667</v>
      </c>
      <c r="J545" s="4">
        <f>INDEX(Monthly!$U:$U,MATCH(H545,Monthly!$A:$A,0))</f>
        <v>186.665</v>
      </c>
    </row>
    <row r="546">
      <c r="A546" t="inlineStr">
        <is>
          <t xml:space="preserve">Ocotepeque — Ocotepeque department, town of Nueva Ocotepeque</t>
        </is>
      </c>
      <c r="B546" t="inlineStr">
        <is>
          <t xml:space="preserve">2008/09</t>
        </is>
      </c>
      <c r="C546" t="inlineStr">
        <is>
          <t xml:space="preserve">La Niña</t>
        </is>
      </c>
      <c r="D546" t="inlineStr">
        <is>
          <t xml:space="preserve">yes</t>
        </is>
      </c>
      <c r="E546" t="inlineStr">
        <is>
          <t xml:space="preserve">Jul</t>
        </is>
      </c>
      <c r="F546">
        <v>1</v>
      </c>
      <c r="G546">
        <v>2008</v>
      </c>
      <c r="H546" t="inlineStr">
        <is>
          <t xml:space="preserve">2008-07</t>
        </is>
      </c>
      <c r="I546" s="3">
        <f>INDEX(Monthly!$V:$V,MATCH(H546,Monthly!$A:$A,0))</f>
        <v>22.10096774193548</v>
      </c>
      <c r="J546" s="4">
        <f>INDEX(Monthly!$U:$U,MATCH(H546,Monthly!$A:$A,0))</f>
        <v>357.091</v>
      </c>
    </row>
    <row r="547">
      <c r="A547" t="inlineStr">
        <is>
          <t xml:space="preserve">Ocotepeque — Ocotepeque department, town of Nueva Ocotepeque</t>
        </is>
      </c>
      <c r="B547" t="inlineStr">
        <is>
          <t xml:space="preserve">2008/09</t>
        </is>
      </c>
      <c r="C547" t="inlineStr">
        <is>
          <t xml:space="preserve">La Niña</t>
        </is>
      </c>
      <c r="D547" t="inlineStr">
        <is>
          <t xml:space="preserve">yes</t>
        </is>
      </c>
      <c r="E547" t="inlineStr">
        <is>
          <t xml:space="preserve">Aug</t>
        </is>
      </c>
      <c r="F547">
        <v>2</v>
      </c>
      <c r="G547">
        <v>2008</v>
      </c>
      <c r="H547" t="inlineStr">
        <is>
          <t xml:space="preserve">2008-08</t>
        </is>
      </c>
      <c r="I547" s="3">
        <f>INDEX(Monthly!$V:$V,MATCH(H547,Monthly!$A:$A,0))</f>
        <v>22.404838709677417</v>
      </c>
      <c r="J547" s="4">
        <f>INDEX(Monthly!$U:$U,MATCH(H547,Monthly!$A:$A,0))</f>
        <v>263.939</v>
      </c>
    </row>
    <row r="548">
      <c r="A548" t="inlineStr">
        <is>
          <t xml:space="preserve">Ocotepeque — Ocotepeque department, town of Nueva Ocotepeque</t>
        </is>
      </c>
      <c r="B548" t="inlineStr">
        <is>
          <t xml:space="preserve">2008/09</t>
        </is>
      </c>
      <c r="C548" t="inlineStr">
        <is>
          <t xml:space="preserve">La Niña</t>
        </is>
      </c>
      <c r="D548" t="inlineStr">
        <is>
          <t xml:space="preserve">yes</t>
        </is>
      </c>
      <c r="E548" t="inlineStr">
        <is>
          <t xml:space="preserve">Sep</t>
        </is>
      </c>
      <c r="F548">
        <v>3</v>
      </c>
      <c r="G548">
        <v>2008</v>
      </c>
      <c r="H548" t="inlineStr">
        <is>
          <t xml:space="preserve">2008-09</t>
        </is>
      </c>
      <c r="I548" s="3">
        <f>INDEX(Monthly!$V:$V,MATCH(H548,Monthly!$A:$A,0))</f>
        <v>22.105999999999998</v>
      </c>
      <c r="J548" s="4">
        <f>INDEX(Monthly!$U:$U,MATCH(H548,Monthly!$A:$A,0))</f>
        <v>394.322</v>
      </c>
    </row>
    <row r="549">
      <c r="A549" t="inlineStr">
        <is>
          <t xml:space="preserve">Ocotepeque — Ocotepeque department, town of Nueva Ocotepeque</t>
        </is>
      </c>
      <c r="B549" t="inlineStr">
        <is>
          <t xml:space="preserve">2008/09</t>
        </is>
      </c>
      <c r="C549" t="inlineStr">
        <is>
          <t xml:space="preserve">La Niña</t>
        </is>
      </c>
      <c r="D549" t="inlineStr">
        <is>
          <t xml:space="preserve">yes</t>
        </is>
      </c>
      <c r="E549" t="inlineStr">
        <is>
          <t xml:space="preserve">Oct</t>
        </is>
      </c>
      <c r="F549">
        <v>4</v>
      </c>
      <c r="G549">
        <v>2008</v>
      </c>
      <c r="H549" t="inlineStr">
        <is>
          <t xml:space="preserve">2008-10</t>
        </is>
      </c>
      <c r="I549" s="3">
        <f>INDEX(Monthly!$V:$V,MATCH(H549,Monthly!$A:$A,0))</f>
        <v>20.840645161290325</v>
      </c>
      <c r="J549" s="4">
        <f>INDEX(Monthly!$U:$U,MATCH(H549,Monthly!$A:$A,0))</f>
        <v>174.157</v>
      </c>
    </row>
    <row r="550">
      <c r="A550" t="inlineStr">
        <is>
          <t xml:space="preserve">Ocotepeque — Ocotepeque department, town of Nueva Ocotepeque</t>
        </is>
      </c>
      <c r="B550" t="inlineStr">
        <is>
          <t xml:space="preserve">2008/09</t>
        </is>
      </c>
      <c r="C550" t="inlineStr">
        <is>
          <t xml:space="preserve">La Niña</t>
        </is>
      </c>
      <c r="D550" t="inlineStr">
        <is>
          <t xml:space="preserve">yes</t>
        </is>
      </c>
      <c r="E550" t="inlineStr">
        <is>
          <t xml:space="preserve">Nov</t>
        </is>
      </c>
      <c r="F550">
        <v>5</v>
      </c>
      <c r="G550">
        <v>2008</v>
      </c>
      <c r="H550" t="inlineStr">
        <is>
          <t xml:space="preserve">2008-11</t>
        </is>
      </c>
      <c r="I550" s="3">
        <f>INDEX(Monthly!$V:$V,MATCH(H550,Monthly!$A:$A,0))</f>
        <v>18.483999999999998</v>
      </c>
      <c r="J550" s="4">
        <f>INDEX(Monthly!$U:$U,MATCH(H550,Monthly!$A:$A,0))</f>
        <v>21.868</v>
      </c>
    </row>
    <row r="551">
      <c r="A551" t="inlineStr">
        <is>
          <t xml:space="preserve">Ocotepeque — Ocotepeque department, town of Nueva Ocotepeque</t>
        </is>
      </c>
      <c r="B551" t="inlineStr">
        <is>
          <t xml:space="preserve">2008/09</t>
        </is>
      </c>
      <c r="C551" t="inlineStr">
        <is>
          <t xml:space="preserve">La Niña</t>
        </is>
      </c>
      <c r="D551" t="inlineStr">
        <is>
          <t xml:space="preserve">yes</t>
        </is>
      </c>
      <c r="E551" t="inlineStr">
        <is>
          <t xml:space="preserve">Dec</t>
        </is>
      </c>
      <c r="F551">
        <v>6</v>
      </c>
      <c r="G551">
        <v>2008</v>
      </c>
      <c r="H551" t="inlineStr">
        <is>
          <t xml:space="preserve">2008-12</t>
        </is>
      </c>
      <c r="I551" s="3">
        <f>INDEX(Monthly!$V:$V,MATCH(H551,Monthly!$A:$A,0))</f>
        <v>18.619032258064514</v>
      </c>
      <c r="J551" s="4">
        <f>INDEX(Monthly!$U:$U,MATCH(H551,Monthly!$A:$A,0))</f>
        <v>58.165</v>
      </c>
    </row>
    <row r="552">
      <c r="A552" t="inlineStr">
        <is>
          <t xml:space="preserve">Ocotepeque — Ocotepeque department, town of Nueva Ocotepeque</t>
        </is>
      </c>
      <c r="B552" t="inlineStr">
        <is>
          <t xml:space="preserve">2008/09</t>
        </is>
      </c>
      <c r="C552" t="inlineStr">
        <is>
          <t xml:space="preserve">La Niña</t>
        </is>
      </c>
      <c r="D552" t="inlineStr">
        <is>
          <t xml:space="preserve">yes</t>
        </is>
      </c>
      <c r="E552" t="inlineStr">
        <is>
          <t xml:space="preserve">Jan</t>
        </is>
      </c>
      <c r="F552">
        <v>7</v>
      </c>
      <c r="G552">
        <v>2009</v>
      </c>
      <c r="H552" t="inlineStr">
        <is>
          <t xml:space="preserve">2009-01</t>
        </is>
      </c>
      <c r="I552" s="3">
        <f>INDEX(Monthly!$V:$V,MATCH(H552,Monthly!$A:$A,0))</f>
        <v>18.591612903225805</v>
      </c>
      <c r="J552" s="4">
        <f>INDEX(Monthly!$U:$U,MATCH(H552,Monthly!$A:$A,0))</f>
        <v>8.723</v>
      </c>
    </row>
    <row r="553">
      <c r="A553" t="inlineStr">
        <is>
          <t xml:space="preserve">Ocotepeque — Ocotepeque department, town of Nueva Ocotepeque</t>
        </is>
      </c>
      <c r="B553" t="inlineStr">
        <is>
          <t xml:space="preserve">2008/09</t>
        </is>
      </c>
      <c r="C553" t="inlineStr">
        <is>
          <t xml:space="preserve">La Niña</t>
        </is>
      </c>
      <c r="D553" t="inlineStr">
        <is>
          <t xml:space="preserve">yes</t>
        </is>
      </c>
      <c r="E553" t="inlineStr">
        <is>
          <t xml:space="preserve">Feb</t>
        </is>
      </c>
      <c r="F553">
        <v>8</v>
      </c>
      <c r="G553">
        <v>2009</v>
      </c>
      <c r="H553" t="inlineStr">
        <is>
          <t xml:space="preserve">2009-02</t>
        </is>
      </c>
      <c r="I553" s="3">
        <f>INDEX(Monthly!$V:$V,MATCH(H553,Monthly!$A:$A,0))</f>
        <v>19.25321428571429</v>
      </c>
      <c r="J553" s="4">
        <f>INDEX(Monthly!$U:$U,MATCH(H553,Monthly!$A:$A,0))</f>
        <v>29.413</v>
      </c>
    </row>
    <row r="554">
      <c r="A554" t="inlineStr">
        <is>
          <t xml:space="preserve">Ocotepeque — Ocotepeque department, town of Nueva Ocotepeque</t>
        </is>
      </c>
      <c r="B554" t="inlineStr">
        <is>
          <t xml:space="preserve">2008/09</t>
        </is>
      </c>
      <c r="C554" t="inlineStr">
        <is>
          <t xml:space="preserve">La Niña</t>
        </is>
      </c>
      <c r="D554" t="inlineStr">
        <is>
          <t xml:space="preserve">yes</t>
        </is>
      </c>
      <c r="E554" t="inlineStr">
        <is>
          <t xml:space="preserve">Mar</t>
        </is>
      </c>
      <c r="F554">
        <v>9</v>
      </c>
      <c r="G554">
        <v>2009</v>
      </c>
      <c r="H554" t="inlineStr">
        <is>
          <t xml:space="preserve">2009-03</t>
        </is>
      </c>
      <c r="I554" s="3">
        <f>INDEX(Monthly!$V:$V,MATCH(H554,Monthly!$A:$A,0))</f>
        <v>20.400645161290328</v>
      </c>
      <c r="J554" s="4">
        <f>INDEX(Monthly!$U:$U,MATCH(H554,Monthly!$A:$A,0))</f>
        <v>3.56</v>
      </c>
    </row>
    <row r="555">
      <c r="A555" t="inlineStr">
        <is>
          <t xml:space="preserve">Ocotepeque — Ocotepeque department, town of Nueva Ocotepeque</t>
        </is>
      </c>
      <c r="B555" t="inlineStr">
        <is>
          <t xml:space="preserve">2008/09</t>
        </is>
      </c>
      <c r="C555" t="inlineStr">
        <is>
          <t xml:space="preserve">La Niña</t>
        </is>
      </c>
      <c r="D555" t="inlineStr">
        <is>
          <t xml:space="preserve">yes</t>
        </is>
      </c>
      <c r="E555" t="inlineStr">
        <is>
          <t xml:space="preserve">Apr</t>
        </is>
      </c>
      <c r="F555">
        <v>10</v>
      </c>
      <c r="G555">
        <v>2009</v>
      </c>
      <c r="H555" t="inlineStr">
        <is>
          <t xml:space="preserve">2009-04</t>
        </is>
      </c>
      <c r="I555" s="3">
        <f>INDEX(Monthly!$V:$V,MATCH(H555,Monthly!$A:$A,0))</f>
        <v>24.37166666666667</v>
      </c>
      <c r="J555" s="4">
        <f>INDEX(Monthly!$U:$U,MATCH(H555,Monthly!$A:$A,0))</f>
        <v>19.22</v>
      </c>
    </row>
    <row r="556">
      <c r="A556" t="inlineStr">
        <is>
          <t xml:space="preserve">Ocotepeque — Ocotepeque department, town of Nueva Ocotepeque</t>
        </is>
      </c>
      <c r="B556" t="inlineStr">
        <is>
          <t xml:space="preserve">2008/09</t>
        </is>
      </c>
      <c r="C556" t="inlineStr">
        <is>
          <t xml:space="preserve">La Niña</t>
        </is>
      </c>
      <c r="D556" t="inlineStr">
        <is>
          <t xml:space="preserve">yes</t>
        </is>
      </c>
      <c r="E556" t="inlineStr">
        <is>
          <t xml:space="preserve">May</t>
        </is>
      </c>
      <c r="F556">
        <v>11</v>
      </c>
      <c r="G556">
        <v>2009</v>
      </c>
      <c r="H556" t="inlineStr">
        <is>
          <t xml:space="preserve">2009-05</t>
        </is>
      </c>
      <c r="I556" s="3">
        <f>INDEX(Monthly!$V:$V,MATCH(H556,Monthly!$A:$A,0))</f>
        <v>23.5441935483871</v>
      </c>
      <c r="J556" s="4">
        <f>INDEX(Monthly!$U:$U,MATCH(H556,Monthly!$A:$A,0))</f>
        <v>194.216</v>
      </c>
    </row>
    <row r="557">
      <c r="A557" t="inlineStr">
        <is>
          <t xml:space="preserve">Ocotepeque — Ocotepeque department, town of Nueva Ocotepeque</t>
        </is>
      </c>
      <c r="B557" t="inlineStr">
        <is>
          <t xml:space="preserve">2008/09</t>
        </is>
      </c>
      <c r="C557" t="inlineStr">
        <is>
          <t xml:space="preserve">La Niña</t>
        </is>
      </c>
      <c r="D557" t="inlineStr">
        <is>
          <t xml:space="preserve">yes</t>
        </is>
      </c>
      <c r="E557" t="inlineStr">
        <is>
          <t xml:space="preserve">Jun</t>
        </is>
      </c>
      <c r="F557">
        <v>12</v>
      </c>
      <c r="G557">
        <v>2009</v>
      </c>
      <c r="H557" t="inlineStr">
        <is>
          <t xml:space="preserve">2009-06</t>
        </is>
      </c>
      <c r="I557" s="3">
        <f>INDEX(Monthly!$V:$V,MATCH(H557,Monthly!$A:$A,0))</f>
        <v>23.090666666666667</v>
      </c>
      <c r="J557" s="4">
        <f>INDEX(Monthly!$U:$U,MATCH(H557,Monthly!$A:$A,0))</f>
        <v>132.516</v>
      </c>
    </row>
    <row r="558">
      <c r="A558" t="inlineStr">
        <is>
          <t xml:space="preserve">Ocotepeque — Ocotepeque department, town of Nueva Ocotepeque</t>
        </is>
      </c>
      <c r="B558" t="inlineStr">
        <is>
          <t xml:space="preserve">2009/10</t>
        </is>
      </c>
      <c r="C558" t="inlineStr">
        <is>
          <t xml:space="preserve">El Niño</t>
        </is>
      </c>
      <c r="D558" t="inlineStr">
        <is>
          <t xml:space="preserve">yes</t>
        </is>
      </c>
      <c r="E558" t="inlineStr">
        <is>
          <t xml:space="preserve">Jul</t>
        </is>
      </c>
      <c r="F558">
        <v>1</v>
      </c>
      <c r="G558">
        <v>2009</v>
      </c>
      <c r="H558" t="inlineStr">
        <is>
          <t xml:space="preserve">2009-07</t>
        </is>
      </c>
      <c r="I558" s="3">
        <f>INDEX(Monthly!$V:$V,MATCH(H558,Monthly!$A:$A,0))</f>
        <v>22.727096774193544</v>
      </c>
      <c r="J558" s="4">
        <f>INDEX(Monthly!$U:$U,MATCH(H558,Monthly!$A:$A,0))</f>
        <v>193.474</v>
      </c>
    </row>
    <row r="559">
      <c r="A559" t="inlineStr">
        <is>
          <t xml:space="preserve">Ocotepeque — Ocotepeque department, town of Nueva Ocotepeque</t>
        </is>
      </c>
      <c r="B559" t="inlineStr">
        <is>
          <t xml:space="preserve">2009/10</t>
        </is>
      </c>
      <c r="C559" t="inlineStr">
        <is>
          <t xml:space="preserve">El Niño</t>
        </is>
      </c>
      <c r="D559" t="inlineStr">
        <is>
          <t xml:space="preserve">yes</t>
        </is>
      </c>
      <c r="E559" t="inlineStr">
        <is>
          <t xml:space="preserve">Aug</t>
        </is>
      </c>
      <c r="F559">
        <v>2</v>
      </c>
      <c r="G559">
        <v>2009</v>
      </c>
      <c r="H559" t="inlineStr">
        <is>
          <t xml:space="preserve">2009-08</t>
        </is>
      </c>
      <c r="I559" s="3">
        <f>INDEX(Monthly!$V:$V,MATCH(H559,Monthly!$A:$A,0))</f>
        <v>22.50451612903226</v>
      </c>
      <c r="J559" s="4">
        <f>INDEX(Monthly!$U:$U,MATCH(H559,Monthly!$A:$A,0))</f>
        <v>265.009</v>
      </c>
    </row>
    <row r="560">
      <c r="A560" t="inlineStr">
        <is>
          <t xml:space="preserve">Ocotepeque — Ocotepeque department, town of Nueva Ocotepeque</t>
        </is>
      </c>
      <c r="B560" t="inlineStr">
        <is>
          <t xml:space="preserve">2009/10</t>
        </is>
      </c>
      <c r="C560" t="inlineStr">
        <is>
          <t xml:space="preserve">El Niño</t>
        </is>
      </c>
      <c r="D560" t="inlineStr">
        <is>
          <t xml:space="preserve">yes</t>
        </is>
      </c>
      <c r="E560" t="inlineStr">
        <is>
          <t xml:space="preserve">Sep</t>
        </is>
      </c>
      <c r="F560">
        <v>3</v>
      </c>
      <c r="G560">
        <v>2009</v>
      </c>
      <c r="H560" t="inlineStr">
        <is>
          <t xml:space="preserve">2009-09</t>
        </is>
      </c>
      <c r="I560" s="3">
        <f>INDEX(Monthly!$V:$V,MATCH(H560,Monthly!$A:$A,0))</f>
        <v>22.546333333333337</v>
      </c>
      <c r="J560" s="4">
        <f>INDEX(Monthly!$U:$U,MATCH(H560,Monthly!$A:$A,0))</f>
        <v>181.344</v>
      </c>
    </row>
    <row r="561">
      <c r="A561" t="inlineStr">
        <is>
          <t xml:space="preserve">Ocotepeque — Ocotepeque department, town of Nueva Ocotepeque</t>
        </is>
      </c>
      <c r="B561" t="inlineStr">
        <is>
          <t xml:space="preserve">2009/10</t>
        </is>
      </c>
      <c r="C561" t="inlineStr">
        <is>
          <t xml:space="preserve">El Niño</t>
        </is>
      </c>
      <c r="D561" t="inlineStr">
        <is>
          <t xml:space="preserve">yes</t>
        </is>
      </c>
      <c r="E561" t="inlineStr">
        <is>
          <t xml:space="preserve">Oct</t>
        </is>
      </c>
      <c r="F561">
        <v>4</v>
      </c>
      <c r="G561">
        <v>2009</v>
      </c>
      <c r="H561" t="inlineStr">
        <is>
          <t xml:space="preserve">2009-10</t>
        </is>
      </c>
      <c r="I561" s="3">
        <f>INDEX(Monthly!$V:$V,MATCH(H561,Monthly!$A:$A,0))</f>
        <v>22.35548387096775</v>
      </c>
      <c r="J561" s="4">
        <f>INDEX(Monthly!$U:$U,MATCH(H561,Monthly!$A:$A,0))</f>
        <v>85.421</v>
      </c>
    </row>
    <row r="562">
      <c r="A562" t="inlineStr">
        <is>
          <t xml:space="preserve">Ocotepeque — Ocotepeque department, town of Nueva Ocotepeque</t>
        </is>
      </c>
      <c r="B562" t="inlineStr">
        <is>
          <t xml:space="preserve">2009/10</t>
        </is>
      </c>
      <c r="C562" t="inlineStr">
        <is>
          <t xml:space="preserve">El Niño</t>
        </is>
      </c>
      <c r="D562" t="inlineStr">
        <is>
          <t xml:space="preserve">yes</t>
        </is>
      </c>
      <c r="E562" t="inlineStr">
        <is>
          <t xml:space="preserve">Nov</t>
        </is>
      </c>
      <c r="F562">
        <v>5</v>
      </c>
      <c r="G562">
        <v>2009</v>
      </c>
      <c r="H562" t="inlineStr">
        <is>
          <t xml:space="preserve">2009-11</t>
        </is>
      </c>
      <c r="I562" s="3">
        <f>INDEX(Monthly!$V:$V,MATCH(H562,Monthly!$A:$A,0))</f>
        <v>20.179333333333336</v>
      </c>
      <c r="J562" s="4">
        <f>INDEX(Monthly!$U:$U,MATCH(H562,Monthly!$A:$A,0))</f>
        <v>104.896</v>
      </c>
    </row>
    <row r="563">
      <c r="A563" t="inlineStr">
        <is>
          <t xml:space="preserve">Ocotepeque — Ocotepeque department, town of Nueva Ocotepeque</t>
        </is>
      </c>
      <c r="B563" t="inlineStr">
        <is>
          <t xml:space="preserve">2009/10</t>
        </is>
      </c>
      <c r="C563" t="inlineStr">
        <is>
          <t xml:space="preserve">El Niño</t>
        </is>
      </c>
      <c r="D563" t="inlineStr">
        <is>
          <t xml:space="preserve">yes</t>
        </is>
      </c>
      <c r="E563" t="inlineStr">
        <is>
          <t xml:space="preserve">Dec</t>
        </is>
      </c>
      <c r="F563">
        <v>6</v>
      </c>
      <c r="G563">
        <v>2009</v>
      </c>
      <c r="H563" t="inlineStr">
        <is>
          <t xml:space="preserve">2009-12</t>
        </is>
      </c>
      <c r="I563" s="3">
        <f>INDEX(Monthly!$V:$V,MATCH(H563,Monthly!$A:$A,0))</f>
        <v>20.128709677419355</v>
      </c>
      <c r="J563" s="4">
        <f>INDEX(Monthly!$U:$U,MATCH(H563,Monthly!$A:$A,0))</f>
        <v>39.359</v>
      </c>
    </row>
    <row r="564">
      <c r="A564" t="inlineStr">
        <is>
          <t xml:space="preserve">Ocotepeque — Ocotepeque department, town of Nueva Ocotepeque</t>
        </is>
      </c>
      <c r="B564" t="inlineStr">
        <is>
          <t xml:space="preserve">2009/10</t>
        </is>
      </c>
      <c r="C564" t="inlineStr">
        <is>
          <t xml:space="preserve">El Niño</t>
        </is>
      </c>
      <c r="D564" t="inlineStr">
        <is>
          <t xml:space="preserve">yes</t>
        </is>
      </c>
      <c r="E564" t="inlineStr">
        <is>
          <t xml:space="preserve">Jan</t>
        </is>
      </c>
      <c r="F564">
        <v>7</v>
      </c>
      <c r="G564">
        <v>2010</v>
      </c>
      <c r="H564" t="inlineStr">
        <is>
          <t xml:space="preserve">2010-01</t>
        </is>
      </c>
      <c r="I564" s="3">
        <f>INDEX(Monthly!$V:$V,MATCH(H564,Monthly!$A:$A,0))</f>
        <v>19.22451612903226</v>
      </c>
      <c r="J564" s="4">
        <f>INDEX(Monthly!$U:$U,MATCH(H564,Monthly!$A:$A,0))</f>
        <v>27.75</v>
      </c>
    </row>
    <row r="565">
      <c r="A565" t="inlineStr">
        <is>
          <t xml:space="preserve">Ocotepeque — Ocotepeque department, town of Nueva Ocotepeque</t>
        </is>
      </c>
      <c r="B565" t="inlineStr">
        <is>
          <t xml:space="preserve">2009/10</t>
        </is>
      </c>
      <c r="C565" t="inlineStr">
        <is>
          <t xml:space="preserve">El Niño</t>
        </is>
      </c>
      <c r="D565" t="inlineStr">
        <is>
          <t xml:space="preserve">yes</t>
        </is>
      </c>
      <c r="E565" t="inlineStr">
        <is>
          <t xml:space="preserve">Feb</t>
        </is>
      </c>
      <c r="F565">
        <v>8</v>
      </c>
      <c r="G565">
        <v>2010</v>
      </c>
      <c r="H565" t="inlineStr">
        <is>
          <t xml:space="preserve">2010-02</t>
        </is>
      </c>
      <c r="I565" s="3">
        <f>INDEX(Monthly!$V:$V,MATCH(H565,Monthly!$A:$A,0))</f>
        <v>21.903571428571432</v>
      </c>
      <c r="J565" s="4">
        <f>INDEX(Monthly!$U:$U,MATCH(H565,Monthly!$A:$A,0))</f>
        <v>17.917</v>
      </c>
    </row>
    <row r="566">
      <c r="A566" t="inlineStr">
        <is>
          <t xml:space="preserve">Ocotepeque — Ocotepeque department, town of Nueva Ocotepeque</t>
        </is>
      </c>
      <c r="B566" t="inlineStr">
        <is>
          <t xml:space="preserve">2009/10</t>
        </is>
      </c>
      <c r="C566" t="inlineStr">
        <is>
          <t xml:space="preserve">El Niño</t>
        </is>
      </c>
      <c r="D566" t="inlineStr">
        <is>
          <t xml:space="preserve">yes</t>
        </is>
      </c>
      <c r="E566" t="inlineStr">
        <is>
          <t xml:space="preserve">Mar</t>
        </is>
      </c>
      <c r="F566">
        <v>9</v>
      </c>
      <c r="G566">
        <v>2010</v>
      </c>
      <c r="H566" t="inlineStr">
        <is>
          <t xml:space="preserve">2010-03</t>
        </is>
      </c>
      <c r="I566" s="3">
        <f>INDEX(Monthly!$V:$V,MATCH(H566,Monthly!$A:$A,0))</f>
        <v>23.350322580645162</v>
      </c>
      <c r="J566" s="4">
        <f>INDEX(Monthly!$U:$U,MATCH(H566,Monthly!$A:$A,0))</f>
        <v>1.101</v>
      </c>
    </row>
    <row r="567">
      <c r="A567" t="inlineStr">
        <is>
          <t xml:space="preserve">Ocotepeque — Ocotepeque department, town of Nueva Ocotepeque</t>
        </is>
      </c>
      <c r="B567" t="inlineStr">
        <is>
          <t xml:space="preserve">2009/10</t>
        </is>
      </c>
      <c r="C567" t="inlineStr">
        <is>
          <t xml:space="preserve">El Niño</t>
        </is>
      </c>
      <c r="D567" t="inlineStr">
        <is>
          <t xml:space="preserve">yes</t>
        </is>
      </c>
      <c r="E567" t="inlineStr">
        <is>
          <t xml:space="preserve">Apr</t>
        </is>
      </c>
      <c r="F567">
        <v>10</v>
      </c>
      <c r="G567">
        <v>2010</v>
      </c>
      <c r="H567" t="inlineStr">
        <is>
          <t xml:space="preserve">2010-04</t>
        </is>
      </c>
      <c r="I567" s="3">
        <f>INDEX(Monthly!$V:$V,MATCH(H567,Monthly!$A:$A,0))</f>
        <v>25.24866666666667</v>
      </c>
      <c r="J567" s="4">
        <f>INDEX(Monthly!$U:$U,MATCH(H567,Monthly!$A:$A,0))</f>
        <v>67.157</v>
      </c>
    </row>
    <row r="568">
      <c r="A568" t="inlineStr">
        <is>
          <t xml:space="preserve">Ocotepeque — Ocotepeque department, town of Nueva Ocotepeque</t>
        </is>
      </c>
      <c r="B568" t="inlineStr">
        <is>
          <t xml:space="preserve">2009/10</t>
        </is>
      </c>
      <c r="C568" t="inlineStr">
        <is>
          <t xml:space="preserve">El Niño</t>
        </is>
      </c>
      <c r="D568" t="inlineStr">
        <is>
          <t xml:space="preserve">yes</t>
        </is>
      </c>
      <c r="E568" t="inlineStr">
        <is>
          <t xml:space="preserve">May</t>
        </is>
      </c>
      <c r="F568">
        <v>11</v>
      </c>
      <c r="G568">
        <v>2010</v>
      </c>
      <c r="H568" t="inlineStr">
        <is>
          <t xml:space="preserve">2010-05</t>
        </is>
      </c>
      <c r="I568" s="3">
        <f>INDEX(Monthly!$V:$V,MATCH(H568,Monthly!$A:$A,0))</f>
        <v>24.683548387096774</v>
      </c>
      <c r="J568" s="4">
        <f>INDEX(Monthly!$U:$U,MATCH(H568,Monthly!$A:$A,0))</f>
        <v>223.127</v>
      </c>
    </row>
    <row r="569">
      <c r="A569" t="inlineStr">
        <is>
          <t xml:space="preserve">Ocotepeque — Ocotepeque department, town of Nueva Ocotepeque</t>
        </is>
      </c>
      <c r="B569" t="inlineStr">
        <is>
          <t xml:space="preserve">2009/10</t>
        </is>
      </c>
      <c r="C569" t="inlineStr">
        <is>
          <t xml:space="preserve">El Niño</t>
        </is>
      </c>
      <c r="D569" t="inlineStr">
        <is>
          <t xml:space="preserve">yes</t>
        </is>
      </c>
      <c r="E569" t="inlineStr">
        <is>
          <t xml:space="preserve">Jun</t>
        </is>
      </c>
      <c r="F569">
        <v>12</v>
      </c>
      <c r="G569">
        <v>2010</v>
      </c>
      <c r="H569" t="inlineStr">
        <is>
          <t xml:space="preserve">2010-06</t>
        </is>
      </c>
      <c r="I569" s="3">
        <f>INDEX(Monthly!$V:$V,MATCH(H569,Monthly!$A:$A,0))</f>
        <v>22.95433333333333</v>
      </c>
      <c r="J569" s="4">
        <f>INDEX(Monthly!$U:$U,MATCH(H569,Monthly!$A:$A,0))</f>
        <v>290.553</v>
      </c>
    </row>
    <row r="570">
      <c r="A570" t="inlineStr">
        <is>
          <t xml:space="preserve">Ocotepeque — Ocotepeque department, town of Nueva Ocotepeque</t>
        </is>
      </c>
      <c r="B570" t="inlineStr">
        <is>
          <t xml:space="preserve">2010/11</t>
        </is>
      </c>
      <c r="C570" t="inlineStr">
        <is>
          <t xml:space="preserve">La Niña</t>
        </is>
      </c>
      <c r="D570" t="inlineStr">
        <is>
          <t xml:space="preserve">yes</t>
        </is>
      </c>
      <c r="E570" t="inlineStr">
        <is>
          <t xml:space="preserve">Jul</t>
        </is>
      </c>
      <c r="F570">
        <v>1</v>
      </c>
      <c r="G570">
        <v>2010</v>
      </c>
      <c r="H570" t="inlineStr">
        <is>
          <t xml:space="preserve">2010-07</t>
        </is>
      </c>
      <c r="I570" s="3">
        <f>INDEX(Monthly!$V:$V,MATCH(H570,Monthly!$A:$A,0))</f>
        <v>22.41645161290322</v>
      </c>
      <c r="J570" s="4">
        <f>INDEX(Monthly!$U:$U,MATCH(H570,Monthly!$A:$A,0))</f>
        <v>193.684</v>
      </c>
    </row>
    <row r="571">
      <c r="A571" t="inlineStr">
        <is>
          <t xml:space="preserve">Ocotepeque — Ocotepeque department, town of Nueva Ocotepeque</t>
        </is>
      </c>
      <c r="B571" t="inlineStr">
        <is>
          <t xml:space="preserve">2010/11</t>
        </is>
      </c>
      <c r="C571" t="inlineStr">
        <is>
          <t xml:space="preserve">La Niña</t>
        </is>
      </c>
      <c r="D571" t="inlineStr">
        <is>
          <t xml:space="preserve">yes</t>
        </is>
      </c>
      <c r="E571" t="inlineStr">
        <is>
          <t xml:space="preserve">Aug</t>
        </is>
      </c>
      <c r="F571">
        <v>2</v>
      </c>
      <c r="G571">
        <v>2010</v>
      </c>
      <c r="H571" t="inlineStr">
        <is>
          <t xml:space="preserve">2010-08</t>
        </is>
      </c>
      <c r="I571" s="3">
        <f>INDEX(Monthly!$V:$V,MATCH(H571,Monthly!$A:$A,0))</f>
        <v>22.22516129032258</v>
      </c>
      <c r="J571" s="4">
        <f>INDEX(Monthly!$U:$U,MATCH(H571,Monthly!$A:$A,0))</f>
        <v>274.91</v>
      </c>
    </row>
    <row r="572">
      <c r="A572" t="inlineStr">
        <is>
          <t xml:space="preserve">Ocotepeque — Ocotepeque department, town of Nueva Ocotepeque</t>
        </is>
      </c>
      <c r="B572" t="inlineStr">
        <is>
          <t xml:space="preserve">2010/11</t>
        </is>
      </c>
      <c r="C572" t="inlineStr">
        <is>
          <t xml:space="preserve">La Niña</t>
        </is>
      </c>
      <c r="D572" t="inlineStr">
        <is>
          <t xml:space="preserve">yes</t>
        </is>
      </c>
      <c r="E572" t="inlineStr">
        <is>
          <t xml:space="preserve">Sep</t>
        </is>
      </c>
      <c r="F572">
        <v>3</v>
      </c>
      <c r="G572">
        <v>2010</v>
      </c>
      <c r="H572" t="inlineStr">
        <is>
          <t xml:space="preserve">2010-09</t>
        </is>
      </c>
      <c r="I572" s="3">
        <f>INDEX(Monthly!$V:$V,MATCH(H572,Monthly!$A:$A,0))</f>
        <v>21.82766666666667</v>
      </c>
      <c r="J572" s="4">
        <f>INDEX(Monthly!$U:$U,MATCH(H572,Monthly!$A:$A,0))</f>
        <v>186.942</v>
      </c>
    </row>
    <row r="573">
      <c r="A573" t="inlineStr">
        <is>
          <t xml:space="preserve">Ocotepeque — Ocotepeque department, town of Nueva Ocotepeque</t>
        </is>
      </c>
      <c r="B573" t="inlineStr">
        <is>
          <t xml:space="preserve">2010/11</t>
        </is>
      </c>
      <c r="C573" t="inlineStr">
        <is>
          <t xml:space="preserve">La Niña</t>
        </is>
      </c>
      <c r="D573" t="inlineStr">
        <is>
          <t xml:space="preserve">yes</t>
        </is>
      </c>
      <c r="E573" t="inlineStr">
        <is>
          <t xml:space="preserve">Oct</t>
        </is>
      </c>
      <c r="F573">
        <v>4</v>
      </c>
      <c r="G573">
        <v>2010</v>
      </c>
      <c r="H573" t="inlineStr">
        <is>
          <t xml:space="preserve">2010-10</t>
        </is>
      </c>
      <c r="I573" s="3">
        <f>INDEX(Monthly!$V:$V,MATCH(H573,Monthly!$A:$A,0))</f>
        <v>20.096451612903227</v>
      </c>
      <c r="J573" s="4">
        <f>INDEX(Monthly!$U:$U,MATCH(H573,Monthly!$A:$A,0))</f>
        <v>20.887</v>
      </c>
    </row>
    <row r="574">
      <c r="A574" t="inlineStr">
        <is>
          <t xml:space="preserve">Ocotepeque — Ocotepeque department, town of Nueva Ocotepeque</t>
        </is>
      </c>
      <c r="B574" t="inlineStr">
        <is>
          <t xml:space="preserve">2010/11</t>
        </is>
      </c>
      <c r="C574" t="inlineStr">
        <is>
          <t xml:space="preserve">La Niña</t>
        </is>
      </c>
      <c r="D574" t="inlineStr">
        <is>
          <t xml:space="preserve">yes</t>
        </is>
      </c>
      <c r="E574" t="inlineStr">
        <is>
          <t xml:space="preserve">Nov</t>
        </is>
      </c>
      <c r="F574">
        <v>5</v>
      </c>
      <c r="G574">
        <v>2010</v>
      </c>
      <c r="H574" t="inlineStr">
        <is>
          <t xml:space="preserve">2010-11</t>
        </is>
      </c>
      <c r="I574" s="3">
        <f>INDEX(Monthly!$V:$V,MATCH(H574,Monthly!$A:$A,0))</f>
        <v>19.249666666666666</v>
      </c>
      <c r="J574" s="4">
        <f>INDEX(Monthly!$U:$U,MATCH(H574,Monthly!$A:$A,0))</f>
        <v>11.228</v>
      </c>
    </row>
    <row r="575">
      <c r="A575" t="inlineStr">
        <is>
          <t xml:space="preserve">Ocotepeque — Ocotepeque department, town of Nueva Ocotepeque</t>
        </is>
      </c>
      <c r="B575" t="inlineStr">
        <is>
          <t xml:space="preserve">2010/11</t>
        </is>
      </c>
      <c r="C575" t="inlineStr">
        <is>
          <t xml:space="preserve">La Niña</t>
        </is>
      </c>
      <c r="D575" t="inlineStr">
        <is>
          <t xml:space="preserve">yes</t>
        </is>
      </c>
      <c r="E575" t="inlineStr">
        <is>
          <t xml:space="preserve">Dec</t>
        </is>
      </c>
      <c r="F575">
        <v>6</v>
      </c>
      <c r="G575">
        <v>2010</v>
      </c>
      <c r="H575" t="inlineStr">
        <is>
          <t xml:space="preserve">2010-12</t>
        </is>
      </c>
      <c r="I575" s="3">
        <f>INDEX(Monthly!$V:$V,MATCH(H575,Monthly!$A:$A,0))</f>
        <v>17.245806451612903</v>
      </c>
      <c r="J575" s="4">
        <f>INDEX(Monthly!$U:$U,MATCH(H575,Monthly!$A:$A,0))</f>
        <v>8.218</v>
      </c>
    </row>
    <row r="576">
      <c r="A576" t="inlineStr">
        <is>
          <t xml:space="preserve">Ocotepeque — Ocotepeque department, town of Nueva Ocotepeque</t>
        </is>
      </c>
      <c r="B576" t="inlineStr">
        <is>
          <t xml:space="preserve">2010/11</t>
        </is>
      </c>
      <c r="C576" t="inlineStr">
        <is>
          <t xml:space="preserve">La Niña</t>
        </is>
      </c>
      <c r="D576" t="inlineStr">
        <is>
          <t xml:space="preserve">yes</t>
        </is>
      </c>
      <c r="E576" t="inlineStr">
        <is>
          <t xml:space="preserve">Jan</t>
        </is>
      </c>
      <c r="F576">
        <v>7</v>
      </c>
      <c r="G576">
        <v>2011</v>
      </c>
      <c r="H576" t="inlineStr">
        <is>
          <t xml:space="preserve">2011-01</t>
        </is>
      </c>
      <c r="I576" s="3">
        <f>INDEX(Monthly!$V:$V,MATCH(H576,Monthly!$A:$A,0))</f>
        <v>20.43258064516129</v>
      </c>
      <c r="J576" s="4">
        <f>INDEX(Monthly!$U:$U,MATCH(H576,Monthly!$A:$A,0))</f>
        <v>8.262</v>
      </c>
    </row>
    <row r="577">
      <c r="A577" t="inlineStr">
        <is>
          <t xml:space="preserve">Ocotepeque — Ocotepeque department, town of Nueva Ocotepeque</t>
        </is>
      </c>
      <c r="B577" t="inlineStr">
        <is>
          <t xml:space="preserve">2010/11</t>
        </is>
      </c>
      <c r="C577" t="inlineStr">
        <is>
          <t xml:space="preserve">La Niña</t>
        </is>
      </c>
      <c r="D577" t="inlineStr">
        <is>
          <t xml:space="preserve">yes</t>
        </is>
      </c>
      <c r="E577" t="inlineStr">
        <is>
          <t xml:space="preserve">Feb</t>
        </is>
      </c>
      <c r="F577">
        <v>8</v>
      </c>
      <c r="G577">
        <v>2011</v>
      </c>
      <c r="H577" t="inlineStr">
        <is>
          <t xml:space="preserve">2011-02</t>
        </is>
      </c>
      <c r="I577" s="3">
        <f>INDEX(Monthly!$V:$V,MATCH(H577,Monthly!$A:$A,0))</f>
        <v>21.602857142857143</v>
      </c>
      <c r="J577" s="4">
        <f>INDEX(Monthly!$U:$U,MATCH(H577,Monthly!$A:$A,0))</f>
        <v>16.499</v>
      </c>
    </row>
    <row r="578">
      <c r="A578" t="inlineStr">
        <is>
          <t xml:space="preserve">Ocotepeque — Ocotepeque department, town of Nueva Ocotepeque</t>
        </is>
      </c>
      <c r="B578" t="inlineStr">
        <is>
          <t xml:space="preserve">2010/11</t>
        </is>
      </c>
      <c r="C578" t="inlineStr">
        <is>
          <t xml:space="preserve">La Niña</t>
        </is>
      </c>
      <c r="D578" t="inlineStr">
        <is>
          <t xml:space="preserve">yes</t>
        </is>
      </c>
      <c r="E578" t="inlineStr">
        <is>
          <t xml:space="preserve">Mar</t>
        </is>
      </c>
      <c r="F578">
        <v>9</v>
      </c>
      <c r="G578">
        <v>2011</v>
      </c>
      <c r="H578" t="inlineStr">
        <is>
          <t xml:space="preserve">2011-03</t>
        </is>
      </c>
      <c r="I578" s="3">
        <f>INDEX(Monthly!$V:$V,MATCH(H578,Monthly!$A:$A,0))</f>
        <v>22.266129032258057</v>
      </c>
      <c r="J578" s="4">
        <f>INDEX(Monthly!$U:$U,MATCH(H578,Monthly!$A:$A,0))</f>
        <v>6.637</v>
      </c>
    </row>
    <row r="579">
      <c r="A579" t="inlineStr">
        <is>
          <t xml:space="preserve">Ocotepeque — Ocotepeque department, town of Nueva Ocotepeque</t>
        </is>
      </c>
      <c r="B579" t="inlineStr">
        <is>
          <t xml:space="preserve">2010/11</t>
        </is>
      </c>
      <c r="C579" t="inlineStr">
        <is>
          <t xml:space="preserve">La Niña</t>
        </is>
      </c>
      <c r="D579" t="inlineStr">
        <is>
          <t xml:space="preserve">yes</t>
        </is>
      </c>
      <c r="E579" t="inlineStr">
        <is>
          <t xml:space="preserve">Apr</t>
        </is>
      </c>
      <c r="F579">
        <v>10</v>
      </c>
      <c r="G579">
        <v>2011</v>
      </c>
      <c r="H579" t="inlineStr">
        <is>
          <t xml:space="preserve">2011-04</t>
        </is>
      </c>
      <c r="I579" s="3">
        <f>INDEX(Monthly!$V:$V,MATCH(H579,Monthly!$A:$A,0))</f>
        <v>25.080666666666673</v>
      </c>
      <c r="J579" s="4">
        <f>INDEX(Monthly!$U:$U,MATCH(H579,Monthly!$A:$A,0))</f>
        <v>46.635</v>
      </c>
    </row>
    <row r="580">
      <c r="A580" t="inlineStr">
        <is>
          <t xml:space="preserve">Ocotepeque — Ocotepeque department, town of Nueva Ocotepeque</t>
        </is>
      </c>
      <c r="B580" t="inlineStr">
        <is>
          <t xml:space="preserve">2010/11</t>
        </is>
      </c>
      <c r="C580" t="inlineStr">
        <is>
          <t xml:space="preserve">La Niña</t>
        </is>
      </c>
      <c r="D580" t="inlineStr">
        <is>
          <t xml:space="preserve">yes</t>
        </is>
      </c>
      <c r="E580" t="inlineStr">
        <is>
          <t xml:space="preserve">May</t>
        </is>
      </c>
      <c r="F580">
        <v>11</v>
      </c>
      <c r="G580">
        <v>2011</v>
      </c>
      <c r="H580" t="inlineStr">
        <is>
          <t xml:space="preserve">2011-05</t>
        </is>
      </c>
      <c r="I580" s="3">
        <f>INDEX(Monthly!$V:$V,MATCH(H580,Monthly!$A:$A,0))</f>
        <v>24.168064516129036</v>
      </c>
      <c r="J580" s="4">
        <f>INDEX(Monthly!$U:$U,MATCH(H580,Monthly!$A:$A,0))</f>
        <v>141.937</v>
      </c>
    </row>
    <row r="581">
      <c r="A581" t="inlineStr">
        <is>
          <t xml:space="preserve">Ocotepeque — Ocotepeque department, town of Nueva Ocotepeque</t>
        </is>
      </c>
      <c r="B581" t="inlineStr">
        <is>
          <t xml:space="preserve">2010/11</t>
        </is>
      </c>
      <c r="C581" t="inlineStr">
        <is>
          <t xml:space="preserve">La Niña</t>
        </is>
      </c>
      <c r="D581" t="inlineStr">
        <is>
          <t xml:space="preserve">yes</t>
        </is>
      </c>
      <c r="E581" t="inlineStr">
        <is>
          <t xml:space="preserve">Jun</t>
        </is>
      </c>
      <c r="F581">
        <v>12</v>
      </c>
      <c r="G581">
        <v>2011</v>
      </c>
      <c r="H581" t="inlineStr">
        <is>
          <t xml:space="preserve">2011-06</t>
        </is>
      </c>
      <c r="I581" s="3">
        <f>INDEX(Monthly!$V:$V,MATCH(H581,Monthly!$A:$A,0))</f>
        <v>22.87333333333334</v>
      </c>
      <c r="J581" s="4">
        <f>INDEX(Monthly!$U:$U,MATCH(H581,Monthly!$A:$A,0))</f>
        <v>195.032</v>
      </c>
    </row>
    <row r="582">
      <c r="A582" t="inlineStr">
        <is>
          <t xml:space="preserve">Ocotepeque — Ocotepeque department, town of Nueva Ocotepeque</t>
        </is>
      </c>
      <c r="B582" t="inlineStr">
        <is>
          <t xml:space="preserve">2011/12</t>
        </is>
      </c>
      <c r="C582" t="inlineStr">
        <is>
          <t xml:space="preserve">La Niña</t>
        </is>
      </c>
      <c r="D582" t="inlineStr">
        <is>
          <t xml:space="preserve">yes</t>
        </is>
      </c>
      <c r="E582" t="inlineStr">
        <is>
          <t xml:space="preserve">Jul</t>
        </is>
      </c>
      <c r="F582">
        <v>1</v>
      </c>
      <c r="G582">
        <v>2011</v>
      </c>
      <c r="H582" t="inlineStr">
        <is>
          <t xml:space="preserve">2011-07</t>
        </is>
      </c>
      <c r="I582" s="3">
        <f>INDEX(Monthly!$V:$V,MATCH(H582,Monthly!$A:$A,0))</f>
        <v>22.288064516129023</v>
      </c>
      <c r="J582" s="4">
        <f>INDEX(Monthly!$U:$U,MATCH(H582,Monthly!$A:$A,0))</f>
        <v>296.705</v>
      </c>
    </row>
    <row r="583">
      <c r="A583" t="inlineStr">
        <is>
          <t xml:space="preserve">Ocotepeque — Ocotepeque department, town of Nueva Ocotepeque</t>
        </is>
      </c>
      <c r="B583" t="inlineStr">
        <is>
          <t xml:space="preserve">2011/12</t>
        </is>
      </c>
      <c r="C583" t="inlineStr">
        <is>
          <t xml:space="preserve">La Niña</t>
        </is>
      </c>
      <c r="D583" t="inlineStr">
        <is>
          <t xml:space="preserve">yes</t>
        </is>
      </c>
      <c r="E583" t="inlineStr">
        <is>
          <t xml:space="preserve">Aug</t>
        </is>
      </c>
      <c r="F583">
        <v>2</v>
      </c>
      <c r="G583">
        <v>2011</v>
      </c>
      <c r="H583" t="inlineStr">
        <is>
          <t xml:space="preserve">2011-08</t>
        </is>
      </c>
      <c r="I583" s="3">
        <f>INDEX(Monthly!$V:$V,MATCH(H583,Monthly!$A:$A,0))</f>
        <v>22.690322580645162</v>
      </c>
      <c r="J583" s="4">
        <f>INDEX(Monthly!$U:$U,MATCH(H583,Monthly!$A:$A,0))</f>
        <v>257.703</v>
      </c>
    </row>
    <row r="584">
      <c r="A584" t="inlineStr">
        <is>
          <t xml:space="preserve">Ocotepeque — Ocotepeque department, town of Nueva Ocotepeque</t>
        </is>
      </c>
      <c r="B584" t="inlineStr">
        <is>
          <t xml:space="preserve">2011/12</t>
        </is>
      </c>
      <c r="C584" t="inlineStr">
        <is>
          <t xml:space="preserve">La Niña</t>
        </is>
      </c>
      <c r="D584" t="inlineStr">
        <is>
          <t xml:space="preserve">yes</t>
        </is>
      </c>
      <c r="E584" t="inlineStr">
        <is>
          <t xml:space="preserve">Sep</t>
        </is>
      </c>
      <c r="F584">
        <v>3</v>
      </c>
      <c r="G584">
        <v>2011</v>
      </c>
      <c r="H584" t="inlineStr">
        <is>
          <t xml:space="preserve">2011-09</t>
        </is>
      </c>
      <c r="I584" s="3">
        <f>INDEX(Monthly!$V:$V,MATCH(H584,Monthly!$A:$A,0))</f>
        <v>22.07766666666667</v>
      </c>
      <c r="J584" s="4">
        <f>INDEX(Monthly!$U:$U,MATCH(H584,Monthly!$A:$A,0))</f>
        <v>238.403</v>
      </c>
    </row>
    <row r="585">
      <c r="A585" t="inlineStr">
        <is>
          <t xml:space="preserve">Ocotepeque — Ocotepeque department, town of Nueva Ocotepeque</t>
        </is>
      </c>
      <c r="B585" t="inlineStr">
        <is>
          <t xml:space="preserve">2011/12</t>
        </is>
      </c>
      <c r="C585" t="inlineStr">
        <is>
          <t xml:space="preserve">La Niña</t>
        </is>
      </c>
      <c r="D585" t="inlineStr">
        <is>
          <t xml:space="preserve">yes</t>
        </is>
      </c>
      <c r="E585" t="inlineStr">
        <is>
          <t xml:space="preserve">Oct</t>
        </is>
      </c>
      <c r="F585">
        <v>4</v>
      </c>
      <c r="G585">
        <v>2011</v>
      </c>
      <c r="H585" t="inlineStr">
        <is>
          <t xml:space="preserve">2011-10</t>
        </is>
      </c>
      <c r="I585" s="3">
        <f>INDEX(Monthly!$V:$V,MATCH(H585,Monthly!$A:$A,0))</f>
        <v>20.33032258064516</v>
      </c>
      <c r="J585" s="4">
        <f>INDEX(Monthly!$U:$U,MATCH(H585,Monthly!$A:$A,0))</f>
        <v>322.373</v>
      </c>
    </row>
    <row r="586">
      <c r="A586" t="inlineStr">
        <is>
          <t xml:space="preserve">Ocotepeque — Ocotepeque department, town of Nueva Ocotepeque</t>
        </is>
      </c>
      <c r="B586" t="inlineStr">
        <is>
          <t xml:space="preserve">2011/12</t>
        </is>
      </c>
      <c r="C586" t="inlineStr">
        <is>
          <t xml:space="preserve">La Niña</t>
        </is>
      </c>
      <c r="D586" t="inlineStr">
        <is>
          <t xml:space="preserve">yes</t>
        </is>
      </c>
      <c r="E586" t="inlineStr">
        <is>
          <t xml:space="preserve">Nov</t>
        </is>
      </c>
      <c r="F586">
        <v>5</v>
      </c>
      <c r="G586">
        <v>2011</v>
      </c>
      <c r="H586" t="inlineStr">
        <is>
          <t xml:space="preserve">2011-11</t>
        </is>
      </c>
      <c r="I586" s="3">
        <f>INDEX(Monthly!$V:$V,MATCH(H586,Monthly!$A:$A,0))</f>
        <v>19.44633333333333</v>
      </c>
      <c r="J586" s="4">
        <f>INDEX(Monthly!$U:$U,MATCH(H586,Monthly!$A:$A,0))</f>
        <v>25.039</v>
      </c>
    </row>
    <row r="587">
      <c r="A587" t="inlineStr">
        <is>
          <t xml:space="preserve">Ocotepeque — Ocotepeque department, town of Nueva Ocotepeque</t>
        </is>
      </c>
      <c r="B587" t="inlineStr">
        <is>
          <t xml:space="preserve">2011/12</t>
        </is>
      </c>
      <c r="C587" t="inlineStr">
        <is>
          <t xml:space="preserve">La Niña</t>
        </is>
      </c>
      <c r="D587" t="inlineStr">
        <is>
          <t xml:space="preserve">yes</t>
        </is>
      </c>
      <c r="E587" t="inlineStr">
        <is>
          <t xml:space="preserve">Dec</t>
        </is>
      </c>
      <c r="F587">
        <v>6</v>
      </c>
      <c r="G587">
        <v>2011</v>
      </c>
      <c r="H587" t="inlineStr">
        <is>
          <t xml:space="preserve">2011-12</t>
        </is>
      </c>
      <c r="I587" s="3">
        <f>INDEX(Monthly!$V:$V,MATCH(H587,Monthly!$A:$A,0))</f>
        <v>18.72903225806452</v>
      </c>
      <c r="J587" s="4">
        <f>INDEX(Monthly!$U:$U,MATCH(H587,Monthly!$A:$A,0))</f>
        <v>35.516</v>
      </c>
    </row>
    <row r="588">
      <c r="A588" t="inlineStr">
        <is>
          <t xml:space="preserve">Ocotepeque — Ocotepeque department, town of Nueva Ocotepeque</t>
        </is>
      </c>
      <c r="B588" t="inlineStr">
        <is>
          <t xml:space="preserve">2011/12</t>
        </is>
      </c>
      <c r="C588" t="inlineStr">
        <is>
          <t xml:space="preserve">La Niña</t>
        </is>
      </c>
      <c r="D588" t="inlineStr">
        <is>
          <t xml:space="preserve">yes</t>
        </is>
      </c>
      <c r="E588" t="inlineStr">
        <is>
          <t xml:space="preserve">Jan</t>
        </is>
      </c>
      <c r="F588">
        <v>7</v>
      </c>
      <c r="G588">
        <v>2012</v>
      </c>
      <c r="H588" t="inlineStr">
        <is>
          <t xml:space="preserve">2012-01</t>
        </is>
      </c>
      <c r="I588" s="3">
        <f>INDEX(Monthly!$V:$V,MATCH(H588,Monthly!$A:$A,0))</f>
        <v>19.37709677419355</v>
      </c>
      <c r="J588" s="4">
        <f>INDEX(Monthly!$U:$U,MATCH(H588,Monthly!$A:$A,0))</f>
        <v>8.494</v>
      </c>
    </row>
    <row r="589">
      <c r="A589" t="inlineStr">
        <is>
          <t xml:space="preserve">Ocotepeque — Ocotepeque department, town of Nueva Ocotepeque</t>
        </is>
      </c>
      <c r="B589" t="inlineStr">
        <is>
          <t xml:space="preserve">2011/12</t>
        </is>
      </c>
      <c r="C589" t="inlineStr">
        <is>
          <t xml:space="preserve">La Niña</t>
        </is>
      </c>
      <c r="D589" t="inlineStr">
        <is>
          <t xml:space="preserve">yes</t>
        </is>
      </c>
      <c r="E589" t="inlineStr">
        <is>
          <t xml:space="preserve">Feb</t>
        </is>
      </c>
      <c r="F589">
        <v>8</v>
      </c>
      <c r="G589">
        <v>2012</v>
      </c>
      <c r="H589" t="inlineStr">
        <is>
          <t xml:space="preserve">2012-02</t>
        </is>
      </c>
      <c r="I589" s="3">
        <f>INDEX(Monthly!$V:$V,MATCH(H589,Monthly!$A:$A,0))</f>
        <v>20.995517241379304</v>
      </c>
      <c r="J589" s="4">
        <f>INDEX(Monthly!$U:$U,MATCH(H589,Monthly!$A:$A,0))</f>
        <v>15.348</v>
      </c>
    </row>
    <row r="590">
      <c r="A590" t="inlineStr">
        <is>
          <t xml:space="preserve">Ocotepeque — Ocotepeque department, town of Nueva Ocotepeque</t>
        </is>
      </c>
      <c r="B590" t="inlineStr">
        <is>
          <t xml:space="preserve">2011/12</t>
        </is>
      </c>
      <c r="C590" t="inlineStr">
        <is>
          <t xml:space="preserve">La Niña</t>
        </is>
      </c>
      <c r="D590" t="inlineStr">
        <is>
          <t xml:space="preserve">yes</t>
        </is>
      </c>
      <c r="E590" t="inlineStr">
        <is>
          <t xml:space="preserve">Mar</t>
        </is>
      </c>
      <c r="F590">
        <v>9</v>
      </c>
      <c r="G590">
        <v>2012</v>
      </c>
      <c r="H590" t="inlineStr">
        <is>
          <t xml:space="preserve">2012-03</t>
        </is>
      </c>
      <c r="I590" s="3">
        <f>INDEX(Monthly!$V:$V,MATCH(H590,Monthly!$A:$A,0))</f>
        <v>22.176129032258057</v>
      </c>
      <c r="J590" s="4">
        <f>INDEX(Monthly!$U:$U,MATCH(H590,Monthly!$A:$A,0))</f>
        <v>23.945</v>
      </c>
    </row>
    <row r="591">
      <c r="A591" t="inlineStr">
        <is>
          <t xml:space="preserve">Ocotepeque — Ocotepeque department, town of Nueva Ocotepeque</t>
        </is>
      </c>
      <c r="B591" t="inlineStr">
        <is>
          <t xml:space="preserve">2011/12</t>
        </is>
      </c>
      <c r="C591" t="inlineStr">
        <is>
          <t xml:space="preserve">La Niña</t>
        </is>
      </c>
      <c r="D591" t="inlineStr">
        <is>
          <t xml:space="preserve">yes</t>
        </is>
      </c>
      <c r="E591" t="inlineStr">
        <is>
          <t xml:space="preserve">Apr</t>
        </is>
      </c>
      <c r="F591">
        <v>10</v>
      </c>
      <c r="G591">
        <v>2012</v>
      </c>
      <c r="H591" t="inlineStr">
        <is>
          <t xml:space="preserve">2012-04</t>
        </is>
      </c>
      <c r="I591" s="3">
        <f>INDEX(Monthly!$V:$V,MATCH(H591,Monthly!$A:$A,0))</f>
        <v>23.644000000000005</v>
      </c>
      <c r="J591" s="4">
        <f>INDEX(Monthly!$U:$U,MATCH(H591,Monthly!$A:$A,0))</f>
        <v>50.178</v>
      </c>
    </row>
    <row r="592">
      <c r="A592" t="inlineStr">
        <is>
          <t xml:space="preserve">Ocotepeque — Ocotepeque department, town of Nueva Ocotepeque</t>
        </is>
      </c>
      <c r="B592" t="inlineStr">
        <is>
          <t xml:space="preserve">2011/12</t>
        </is>
      </c>
      <c r="C592" t="inlineStr">
        <is>
          <t xml:space="preserve">La Niña</t>
        </is>
      </c>
      <c r="D592" t="inlineStr">
        <is>
          <t xml:space="preserve">yes</t>
        </is>
      </c>
      <c r="E592" t="inlineStr">
        <is>
          <t xml:space="preserve">May</t>
        </is>
      </c>
      <c r="F592">
        <v>11</v>
      </c>
      <c r="G592">
        <v>2012</v>
      </c>
      <c r="H592" t="inlineStr">
        <is>
          <t xml:space="preserve">2012-05</t>
        </is>
      </c>
      <c r="I592" s="3">
        <f>INDEX(Monthly!$V:$V,MATCH(H592,Monthly!$A:$A,0))</f>
        <v>23.83935483870968</v>
      </c>
      <c r="J592" s="4">
        <f>INDEX(Monthly!$U:$U,MATCH(H592,Monthly!$A:$A,0))</f>
        <v>188.655</v>
      </c>
    </row>
    <row r="593">
      <c r="A593" t="inlineStr">
        <is>
          <t xml:space="preserve">Ocotepeque — Ocotepeque department, town of Nueva Ocotepeque</t>
        </is>
      </c>
      <c r="B593" t="inlineStr">
        <is>
          <t xml:space="preserve">2011/12</t>
        </is>
      </c>
      <c r="C593" t="inlineStr">
        <is>
          <t xml:space="preserve">La Niña</t>
        </is>
      </c>
      <c r="D593" t="inlineStr">
        <is>
          <t xml:space="preserve">yes</t>
        </is>
      </c>
      <c r="E593" t="inlineStr">
        <is>
          <t xml:space="preserve">Jun</t>
        </is>
      </c>
      <c r="F593">
        <v>12</v>
      </c>
      <c r="G593">
        <v>2012</v>
      </c>
      <c r="H593" t="inlineStr">
        <is>
          <t xml:space="preserve">2012-06</t>
        </is>
      </c>
      <c r="I593" s="3">
        <f>INDEX(Monthly!$V:$V,MATCH(H593,Monthly!$A:$A,0))</f>
        <v>22.94366666666667</v>
      </c>
      <c r="J593" s="4">
        <f>INDEX(Monthly!$U:$U,MATCH(H593,Monthly!$A:$A,0))</f>
        <v>112.506</v>
      </c>
    </row>
    <row r="594">
      <c r="A594" t="inlineStr">
        <is>
          <t xml:space="preserve">Ocotepeque — Ocotepeque department, town of Nueva Ocotepeque</t>
        </is>
      </c>
      <c r="B594" t="inlineStr">
        <is>
          <t xml:space="preserve">2012/13</t>
        </is>
      </c>
      <c r="C594" t="inlineStr">
        <is>
          <t xml:space="preserve">Neutral</t>
        </is>
      </c>
      <c r="D594" t="inlineStr">
        <is>
          <t xml:space="preserve">yes</t>
        </is>
      </c>
      <c r="E594" t="inlineStr">
        <is>
          <t xml:space="preserve">Jul</t>
        </is>
      </c>
      <c r="F594">
        <v>1</v>
      </c>
      <c r="G594">
        <v>2012</v>
      </c>
      <c r="H594" t="inlineStr">
        <is>
          <t xml:space="preserve">2012-07</t>
        </is>
      </c>
      <c r="I594" s="3">
        <f>INDEX(Monthly!$V:$V,MATCH(H594,Monthly!$A:$A,0))</f>
        <v>22.50709677419355</v>
      </c>
      <c r="J594" s="4">
        <f>INDEX(Monthly!$U:$U,MATCH(H594,Monthly!$A:$A,0))</f>
        <v>130.434</v>
      </c>
    </row>
    <row r="595">
      <c r="A595" t="inlineStr">
        <is>
          <t xml:space="preserve">Ocotepeque — Ocotepeque department, town of Nueva Ocotepeque</t>
        </is>
      </c>
      <c r="B595" t="inlineStr">
        <is>
          <t xml:space="preserve">2012/13</t>
        </is>
      </c>
      <c r="C595" t="inlineStr">
        <is>
          <t xml:space="preserve">Neutral</t>
        </is>
      </c>
      <c r="D595" t="inlineStr">
        <is>
          <t xml:space="preserve">yes</t>
        </is>
      </c>
      <c r="E595" t="inlineStr">
        <is>
          <t xml:space="preserve">Aug</t>
        </is>
      </c>
      <c r="F595">
        <v>2</v>
      </c>
      <c r="G595">
        <v>2012</v>
      </c>
      <c r="H595" t="inlineStr">
        <is>
          <t xml:space="preserve">2012-08</t>
        </is>
      </c>
      <c r="I595" s="3">
        <f>INDEX(Monthly!$V:$V,MATCH(H595,Monthly!$A:$A,0))</f>
        <v>22.649677419354834</v>
      </c>
      <c r="J595" s="4">
        <f>INDEX(Monthly!$U:$U,MATCH(H595,Monthly!$A:$A,0))</f>
        <v>373.815</v>
      </c>
    </row>
    <row r="596">
      <c r="A596" t="inlineStr">
        <is>
          <t xml:space="preserve">Ocotepeque — Ocotepeque department, town of Nueva Ocotepeque</t>
        </is>
      </c>
      <c r="B596" t="inlineStr">
        <is>
          <t xml:space="preserve">2012/13</t>
        </is>
      </c>
      <c r="C596" t="inlineStr">
        <is>
          <t xml:space="preserve">Neutral</t>
        </is>
      </c>
      <c r="D596" t="inlineStr">
        <is>
          <t xml:space="preserve">yes</t>
        </is>
      </c>
      <c r="E596" t="inlineStr">
        <is>
          <t xml:space="preserve">Sep</t>
        </is>
      </c>
      <c r="F596">
        <v>3</v>
      </c>
      <c r="G596">
        <v>2012</v>
      </c>
      <c r="H596" t="inlineStr">
        <is>
          <t xml:space="preserve">2012-09</t>
        </is>
      </c>
      <c r="I596" s="3">
        <f>INDEX(Monthly!$V:$V,MATCH(H596,Monthly!$A:$A,0))</f>
        <v>22.23966666666667</v>
      </c>
      <c r="J596" s="4">
        <f>INDEX(Monthly!$U:$U,MATCH(H596,Monthly!$A:$A,0))</f>
        <v>151.059</v>
      </c>
    </row>
    <row r="597">
      <c r="A597" t="inlineStr">
        <is>
          <t xml:space="preserve">Ocotepeque — Ocotepeque department, town of Nueva Ocotepeque</t>
        </is>
      </c>
      <c r="B597" t="inlineStr">
        <is>
          <t xml:space="preserve">2012/13</t>
        </is>
      </c>
      <c r="C597" t="inlineStr">
        <is>
          <t xml:space="preserve">Neutral</t>
        </is>
      </c>
      <c r="D597" t="inlineStr">
        <is>
          <t xml:space="preserve">yes</t>
        </is>
      </c>
      <c r="E597" t="inlineStr">
        <is>
          <t xml:space="preserve">Oct</t>
        </is>
      </c>
      <c r="F597">
        <v>4</v>
      </c>
      <c r="G597">
        <v>2012</v>
      </c>
      <c r="H597" t="inlineStr">
        <is>
          <t xml:space="preserve">2012-10</t>
        </is>
      </c>
      <c r="I597" s="3">
        <f>INDEX(Monthly!$V:$V,MATCH(H597,Monthly!$A:$A,0))</f>
        <v>21.073225806451617</v>
      </c>
      <c r="J597" s="4">
        <f>INDEX(Monthly!$U:$U,MATCH(H597,Monthly!$A:$A,0))</f>
        <v>146.86</v>
      </c>
    </row>
    <row r="598">
      <c r="A598" t="inlineStr">
        <is>
          <t xml:space="preserve">Ocotepeque — Ocotepeque department, town of Nueva Ocotepeque</t>
        </is>
      </c>
      <c r="B598" t="inlineStr">
        <is>
          <t xml:space="preserve">2012/13</t>
        </is>
      </c>
      <c r="C598" t="inlineStr">
        <is>
          <t xml:space="preserve">Neutral</t>
        </is>
      </c>
      <c r="D598" t="inlineStr">
        <is>
          <t xml:space="preserve">yes</t>
        </is>
      </c>
      <c r="E598" t="inlineStr">
        <is>
          <t xml:space="preserve">Nov</t>
        </is>
      </c>
      <c r="F598">
        <v>5</v>
      </c>
      <c r="G598">
        <v>2012</v>
      </c>
      <c r="H598" t="inlineStr">
        <is>
          <t xml:space="preserve">2012-11</t>
        </is>
      </c>
      <c r="I598" s="3">
        <f>INDEX(Monthly!$V:$V,MATCH(H598,Monthly!$A:$A,0))</f>
        <v>18.742</v>
      </c>
      <c r="J598" s="4">
        <f>INDEX(Monthly!$U:$U,MATCH(H598,Monthly!$A:$A,0))</f>
        <v>43.405</v>
      </c>
    </row>
    <row r="599">
      <c r="A599" t="inlineStr">
        <is>
          <t xml:space="preserve">Ocotepeque — Ocotepeque department, town of Nueva Ocotepeque</t>
        </is>
      </c>
      <c r="B599" t="inlineStr">
        <is>
          <t xml:space="preserve">2012/13</t>
        </is>
      </c>
      <c r="C599" t="inlineStr">
        <is>
          <t xml:space="preserve">Neutral</t>
        </is>
      </c>
      <c r="D599" t="inlineStr">
        <is>
          <t xml:space="preserve">yes</t>
        </is>
      </c>
      <c r="E599" t="inlineStr">
        <is>
          <t xml:space="preserve">Dec</t>
        </is>
      </c>
      <c r="F599">
        <v>6</v>
      </c>
      <c r="G599">
        <v>2012</v>
      </c>
      <c r="H599" t="inlineStr">
        <is>
          <t xml:space="preserve">2012-12</t>
        </is>
      </c>
      <c r="I599" s="3">
        <f>INDEX(Monthly!$V:$V,MATCH(H599,Monthly!$A:$A,0))</f>
        <v>19.55290322580645</v>
      </c>
      <c r="J599" s="4">
        <f>INDEX(Monthly!$U:$U,MATCH(H599,Monthly!$A:$A,0))</f>
        <v>30.28</v>
      </c>
    </row>
    <row r="600">
      <c r="A600" t="inlineStr">
        <is>
          <t xml:space="preserve">Ocotepeque — Ocotepeque department, town of Nueva Ocotepeque</t>
        </is>
      </c>
      <c r="B600" t="inlineStr">
        <is>
          <t xml:space="preserve">2012/13</t>
        </is>
      </c>
      <c r="C600" t="inlineStr">
        <is>
          <t xml:space="preserve">Neutral</t>
        </is>
      </c>
      <c r="D600" t="inlineStr">
        <is>
          <t xml:space="preserve">yes</t>
        </is>
      </c>
      <c r="E600" t="inlineStr">
        <is>
          <t xml:space="preserve">Jan</t>
        </is>
      </c>
      <c r="F600">
        <v>7</v>
      </c>
      <c r="G600">
        <v>2013</v>
      </c>
      <c r="H600" t="inlineStr">
        <is>
          <t xml:space="preserve">2013-01</t>
        </is>
      </c>
      <c r="I600" s="3">
        <f>INDEX(Monthly!$V:$V,MATCH(H600,Monthly!$A:$A,0))</f>
        <v>20.20387096774194</v>
      </c>
      <c r="J600" s="4">
        <f>INDEX(Monthly!$U:$U,MATCH(H600,Monthly!$A:$A,0))</f>
        <v>24.518</v>
      </c>
    </row>
    <row r="601">
      <c r="A601" t="inlineStr">
        <is>
          <t xml:space="preserve">Ocotepeque — Ocotepeque department, town of Nueva Ocotepeque</t>
        </is>
      </c>
      <c r="B601" t="inlineStr">
        <is>
          <t xml:space="preserve">2012/13</t>
        </is>
      </c>
      <c r="C601" t="inlineStr">
        <is>
          <t xml:space="preserve">Neutral</t>
        </is>
      </c>
      <c r="D601" t="inlineStr">
        <is>
          <t xml:space="preserve">yes</t>
        </is>
      </c>
      <c r="E601" t="inlineStr">
        <is>
          <t xml:space="preserve">Feb</t>
        </is>
      </c>
      <c r="F601">
        <v>8</v>
      </c>
      <c r="G601">
        <v>2013</v>
      </c>
      <c r="H601" t="inlineStr">
        <is>
          <t xml:space="preserve">2013-02</t>
        </is>
      </c>
      <c r="I601" s="3">
        <f>INDEX(Monthly!$V:$V,MATCH(H601,Monthly!$A:$A,0))</f>
        <v>22.28035714285715</v>
      </c>
      <c r="J601" s="4">
        <f>INDEX(Monthly!$U:$U,MATCH(H601,Monthly!$A:$A,0))</f>
        <v>10.092</v>
      </c>
    </row>
    <row r="602">
      <c r="A602" t="inlineStr">
        <is>
          <t xml:space="preserve">Ocotepeque — Ocotepeque department, town of Nueva Ocotepeque</t>
        </is>
      </c>
      <c r="B602" t="inlineStr">
        <is>
          <t xml:space="preserve">2012/13</t>
        </is>
      </c>
      <c r="C602" t="inlineStr">
        <is>
          <t xml:space="preserve">Neutral</t>
        </is>
      </c>
      <c r="D602" t="inlineStr">
        <is>
          <t xml:space="preserve">yes</t>
        </is>
      </c>
      <c r="E602" t="inlineStr">
        <is>
          <t xml:space="preserve">Mar</t>
        </is>
      </c>
      <c r="F602">
        <v>9</v>
      </c>
      <c r="G602">
        <v>2013</v>
      </c>
      <c r="H602" t="inlineStr">
        <is>
          <t xml:space="preserve">2013-03</t>
        </is>
      </c>
      <c r="I602" s="3">
        <f>INDEX(Monthly!$V:$V,MATCH(H602,Monthly!$A:$A,0))</f>
        <v>21.645806451612906</v>
      </c>
      <c r="J602" s="4">
        <f>INDEX(Monthly!$U:$U,MATCH(H602,Monthly!$A:$A,0))</f>
        <v>17.567</v>
      </c>
    </row>
    <row r="603">
      <c r="A603" t="inlineStr">
        <is>
          <t xml:space="preserve">Ocotepeque — Ocotepeque department, town of Nueva Ocotepeque</t>
        </is>
      </c>
      <c r="B603" t="inlineStr">
        <is>
          <t xml:space="preserve">2012/13</t>
        </is>
      </c>
      <c r="C603" t="inlineStr">
        <is>
          <t xml:space="preserve">Neutral</t>
        </is>
      </c>
      <c r="D603" t="inlineStr">
        <is>
          <t xml:space="preserve">yes</t>
        </is>
      </c>
      <c r="E603" t="inlineStr">
        <is>
          <t xml:space="preserve">Apr</t>
        </is>
      </c>
      <c r="F603">
        <v>10</v>
      </c>
      <c r="G603">
        <v>2013</v>
      </c>
      <c r="H603" t="inlineStr">
        <is>
          <t xml:space="preserve">2013-04</t>
        </is>
      </c>
      <c r="I603" s="3">
        <f>INDEX(Monthly!$V:$V,MATCH(H603,Monthly!$A:$A,0))</f>
        <v>25.82433333333334</v>
      </c>
      <c r="J603" s="4">
        <f>INDEX(Monthly!$U:$U,MATCH(H603,Monthly!$A:$A,0))</f>
        <v>30.929</v>
      </c>
    </row>
    <row r="604">
      <c r="A604" t="inlineStr">
        <is>
          <t xml:space="preserve">Ocotepeque — Ocotepeque department, town of Nueva Ocotepeque</t>
        </is>
      </c>
      <c r="B604" t="inlineStr">
        <is>
          <t xml:space="preserve">2012/13</t>
        </is>
      </c>
      <c r="C604" t="inlineStr">
        <is>
          <t xml:space="preserve">Neutral</t>
        </is>
      </c>
      <c r="D604" t="inlineStr">
        <is>
          <t xml:space="preserve">yes</t>
        </is>
      </c>
      <c r="E604" t="inlineStr">
        <is>
          <t xml:space="preserve">May</t>
        </is>
      </c>
      <c r="F604">
        <v>11</v>
      </c>
      <c r="G604">
        <v>2013</v>
      </c>
      <c r="H604" t="inlineStr">
        <is>
          <t xml:space="preserve">2013-05</t>
        </is>
      </c>
      <c r="I604" s="3">
        <f>INDEX(Monthly!$V:$V,MATCH(H604,Monthly!$A:$A,0))</f>
        <v>24.447741935483872</v>
      </c>
      <c r="J604" s="4">
        <f>INDEX(Monthly!$U:$U,MATCH(H604,Monthly!$A:$A,0))</f>
        <v>144.241</v>
      </c>
    </row>
    <row r="605">
      <c r="A605" t="inlineStr">
        <is>
          <t xml:space="preserve">Ocotepeque — Ocotepeque department, town of Nueva Ocotepeque</t>
        </is>
      </c>
      <c r="B605" t="inlineStr">
        <is>
          <t xml:space="preserve">2012/13</t>
        </is>
      </c>
      <c r="C605" t="inlineStr">
        <is>
          <t xml:space="preserve">Neutral</t>
        </is>
      </c>
      <c r="D605" t="inlineStr">
        <is>
          <t xml:space="preserve">yes</t>
        </is>
      </c>
      <c r="E605" t="inlineStr">
        <is>
          <t xml:space="preserve">Jun</t>
        </is>
      </c>
      <c r="F605">
        <v>12</v>
      </c>
      <c r="G605">
        <v>2013</v>
      </c>
      <c r="H605" t="inlineStr">
        <is>
          <t xml:space="preserve">2013-06</t>
        </is>
      </c>
      <c r="I605" s="3">
        <f>INDEX(Monthly!$V:$V,MATCH(H605,Monthly!$A:$A,0))</f>
        <v>23.275666666666666</v>
      </c>
      <c r="J605" s="4">
        <f>INDEX(Monthly!$U:$U,MATCH(H605,Monthly!$A:$A,0))</f>
        <v>184.244</v>
      </c>
    </row>
    <row r="606">
      <c r="A606" t="inlineStr">
        <is>
          <t xml:space="preserve">Ocotepeque — Ocotepeque department, town of Nueva Ocotepeque</t>
        </is>
      </c>
      <c r="B606" t="inlineStr">
        <is>
          <t xml:space="preserve">2013/14</t>
        </is>
      </c>
      <c r="C606" t="inlineStr">
        <is>
          <t xml:space="preserve">Neutral</t>
        </is>
      </c>
      <c r="D606" t="inlineStr">
        <is>
          <t xml:space="preserve">yes</t>
        </is>
      </c>
      <c r="E606" t="inlineStr">
        <is>
          <t xml:space="preserve">Jul</t>
        </is>
      </c>
      <c r="F606">
        <v>1</v>
      </c>
      <c r="G606">
        <v>2013</v>
      </c>
      <c r="H606" t="inlineStr">
        <is>
          <t xml:space="preserve">2013-07</t>
        </is>
      </c>
      <c r="I606" s="3">
        <f>INDEX(Monthly!$V:$V,MATCH(H606,Monthly!$A:$A,0))</f>
        <v>22.360322580645164</v>
      </c>
      <c r="J606" s="4">
        <f>INDEX(Monthly!$U:$U,MATCH(H606,Monthly!$A:$A,0))</f>
        <v>181.49</v>
      </c>
    </row>
    <row r="607">
      <c r="A607" t="inlineStr">
        <is>
          <t xml:space="preserve">Ocotepeque — Ocotepeque department, town of Nueva Ocotepeque</t>
        </is>
      </c>
      <c r="B607" t="inlineStr">
        <is>
          <t xml:space="preserve">2013/14</t>
        </is>
      </c>
      <c r="C607" t="inlineStr">
        <is>
          <t xml:space="preserve">Neutral</t>
        </is>
      </c>
      <c r="D607" t="inlineStr">
        <is>
          <t xml:space="preserve">yes</t>
        </is>
      </c>
      <c r="E607" t="inlineStr">
        <is>
          <t xml:space="preserve">Aug</t>
        </is>
      </c>
      <c r="F607">
        <v>2</v>
      </c>
      <c r="G607">
        <v>2013</v>
      </c>
      <c r="H607" t="inlineStr">
        <is>
          <t xml:space="preserve">2013-08</t>
        </is>
      </c>
      <c r="I607" s="3">
        <f>INDEX(Monthly!$V:$V,MATCH(H607,Monthly!$A:$A,0))</f>
        <v>22.37193548387097</v>
      </c>
      <c r="J607" s="4">
        <f>INDEX(Monthly!$U:$U,MATCH(H607,Monthly!$A:$A,0))</f>
        <v>197.388</v>
      </c>
    </row>
    <row r="608">
      <c r="A608" t="inlineStr">
        <is>
          <t xml:space="preserve">Ocotepeque — Ocotepeque department, town of Nueva Ocotepeque</t>
        </is>
      </c>
      <c r="B608" t="inlineStr">
        <is>
          <t xml:space="preserve">2013/14</t>
        </is>
      </c>
      <c r="C608" t="inlineStr">
        <is>
          <t xml:space="preserve">Neutral</t>
        </is>
      </c>
      <c r="D608" t="inlineStr">
        <is>
          <t xml:space="preserve">yes</t>
        </is>
      </c>
      <c r="E608" t="inlineStr">
        <is>
          <t xml:space="preserve">Sep</t>
        </is>
      </c>
      <c r="F608">
        <v>3</v>
      </c>
      <c r="G608">
        <v>2013</v>
      </c>
      <c r="H608" t="inlineStr">
        <is>
          <t xml:space="preserve">2013-09</t>
        </is>
      </c>
      <c r="I608" s="3">
        <f>INDEX(Monthly!$V:$V,MATCH(H608,Monthly!$A:$A,0))</f>
        <v>22.16833333333333</v>
      </c>
      <c r="J608" s="4">
        <f>INDEX(Monthly!$U:$U,MATCH(H608,Monthly!$A:$A,0))</f>
        <v>106.174</v>
      </c>
    </row>
    <row r="609">
      <c r="A609" t="inlineStr">
        <is>
          <t xml:space="preserve">Ocotepeque — Ocotepeque department, town of Nueva Ocotepeque</t>
        </is>
      </c>
      <c r="B609" t="inlineStr">
        <is>
          <t xml:space="preserve">2013/14</t>
        </is>
      </c>
      <c r="C609" t="inlineStr">
        <is>
          <t xml:space="preserve">Neutral</t>
        </is>
      </c>
      <c r="D609" t="inlineStr">
        <is>
          <t xml:space="preserve">yes</t>
        </is>
      </c>
      <c r="E609" t="inlineStr">
        <is>
          <t xml:space="preserve">Oct</t>
        </is>
      </c>
      <c r="F609">
        <v>4</v>
      </c>
      <c r="G609">
        <v>2013</v>
      </c>
      <c r="H609" t="inlineStr">
        <is>
          <t xml:space="preserve">2013-10</t>
        </is>
      </c>
      <c r="I609" s="3">
        <f>INDEX(Monthly!$V:$V,MATCH(H609,Monthly!$A:$A,0))</f>
        <v>22.289032258064516</v>
      </c>
      <c r="J609" s="4">
        <f>INDEX(Monthly!$U:$U,MATCH(H609,Monthly!$A:$A,0))</f>
        <v>157.347</v>
      </c>
    </row>
    <row r="610">
      <c r="A610" t="inlineStr">
        <is>
          <t xml:space="preserve">Ocotepeque — Ocotepeque department, town of Nueva Ocotepeque</t>
        </is>
      </c>
      <c r="B610" t="inlineStr">
        <is>
          <t xml:space="preserve">2013/14</t>
        </is>
      </c>
      <c r="C610" t="inlineStr">
        <is>
          <t xml:space="preserve">Neutral</t>
        </is>
      </c>
      <c r="D610" t="inlineStr">
        <is>
          <t xml:space="preserve">yes</t>
        </is>
      </c>
      <c r="E610" t="inlineStr">
        <is>
          <t xml:space="preserve">Nov</t>
        </is>
      </c>
      <c r="F610">
        <v>5</v>
      </c>
      <c r="G610">
        <v>2013</v>
      </c>
      <c r="H610" t="inlineStr">
        <is>
          <t xml:space="preserve">2013-11</t>
        </is>
      </c>
      <c r="I610" s="3">
        <f>INDEX(Monthly!$V:$V,MATCH(H610,Monthly!$A:$A,0))</f>
        <v>20.438333333333336</v>
      </c>
      <c r="J610" s="4">
        <f>INDEX(Monthly!$U:$U,MATCH(H610,Monthly!$A:$A,0))</f>
        <v>39.533</v>
      </c>
    </row>
    <row r="611">
      <c r="A611" t="inlineStr">
        <is>
          <t xml:space="preserve">Ocotepeque — Ocotepeque department, town of Nueva Ocotepeque</t>
        </is>
      </c>
      <c r="B611" t="inlineStr">
        <is>
          <t xml:space="preserve">2013/14</t>
        </is>
      </c>
      <c r="C611" t="inlineStr">
        <is>
          <t xml:space="preserve">Neutral</t>
        </is>
      </c>
      <c r="D611" t="inlineStr">
        <is>
          <t xml:space="preserve">yes</t>
        </is>
      </c>
      <c r="E611" t="inlineStr">
        <is>
          <t xml:space="preserve">Dec</t>
        </is>
      </c>
      <c r="F611">
        <v>6</v>
      </c>
      <c r="G611">
        <v>2013</v>
      </c>
      <c r="H611" t="inlineStr">
        <is>
          <t xml:space="preserve">2013-12</t>
        </is>
      </c>
      <c r="I611" s="3">
        <f>INDEX(Monthly!$V:$V,MATCH(H611,Monthly!$A:$A,0))</f>
        <v>20.070000000000007</v>
      </c>
      <c r="J611" s="4">
        <f>INDEX(Monthly!$U:$U,MATCH(H611,Monthly!$A:$A,0))</f>
        <v>10.82</v>
      </c>
    </row>
    <row r="612">
      <c r="A612" t="inlineStr">
        <is>
          <t xml:space="preserve">Ocotepeque — Ocotepeque department, town of Nueva Ocotepeque</t>
        </is>
      </c>
      <c r="B612" t="inlineStr">
        <is>
          <t xml:space="preserve">2013/14</t>
        </is>
      </c>
      <c r="C612" t="inlineStr">
        <is>
          <t xml:space="preserve">Neutral</t>
        </is>
      </c>
      <c r="D612" t="inlineStr">
        <is>
          <t xml:space="preserve">yes</t>
        </is>
      </c>
      <c r="E612" t="inlineStr">
        <is>
          <t xml:space="preserve">Jan</t>
        </is>
      </c>
      <c r="F612">
        <v>7</v>
      </c>
      <c r="G612">
        <v>2014</v>
      </c>
      <c r="H612" t="inlineStr">
        <is>
          <t xml:space="preserve">2014-01</t>
        </is>
      </c>
      <c r="I612" s="3">
        <f>INDEX(Monthly!$V:$V,MATCH(H612,Monthly!$A:$A,0))</f>
        <v>19.091290322580647</v>
      </c>
      <c r="J612" s="4">
        <f>INDEX(Monthly!$U:$U,MATCH(H612,Monthly!$A:$A,0))</f>
        <v>13.172</v>
      </c>
    </row>
    <row r="613">
      <c r="A613" t="inlineStr">
        <is>
          <t xml:space="preserve">Ocotepeque — Ocotepeque department, town of Nueva Ocotepeque</t>
        </is>
      </c>
      <c r="B613" t="inlineStr">
        <is>
          <t xml:space="preserve">2013/14</t>
        </is>
      </c>
      <c r="C613" t="inlineStr">
        <is>
          <t xml:space="preserve">Neutral</t>
        </is>
      </c>
      <c r="D613" t="inlineStr">
        <is>
          <t xml:space="preserve">yes</t>
        </is>
      </c>
      <c r="E613" t="inlineStr">
        <is>
          <t xml:space="preserve">Feb</t>
        </is>
      </c>
      <c r="F613">
        <v>8</v>
      </c>
      <c r="G613">
        <v>2014</v>
      </c>
      <c r="H613" t="inlineStr">
        <is>
          <t xml:space="preserve">2014-02</t>
        </is>
      </c>
      <c r="I613" s="3">
        <f>INDEX(Monthly!$V:$V,MATCH(H613,Monthly!$A:$A,0))</f>
        <v>22.15214285714286</v>
      </c>
      <c r="J613" s="4">
        <f>INDEX(Monthly!$U:$U,MATCH(H613,Monthly!$A:$A,0))</f>
        <v>4.973</v>
      </c>
    </row>
    <row r="614">
      <c r="A614" t="inlineStr">
        <is>
          <t xml:space="preserve">Ocotepeque — Ocotepeque department, town of Nueva Ocotepeque</t>
        </is>
      </c>
      <c r="B614" t="inlineStr">
        <is>
          <t xml:space="preserve">2013/14</t>
        </is>
      </c>
      <c r="C614" t="inlineStr">
        <is>
          <t xml:space="preserve">Neutral</t>
        </is>
      </c>
      <c r="D614" t="inlineStr">
        <is>
          <t xml:space="preserve">yes</t>
        </is>
      </c>
      <c r="E614" t="inlineStr">
        <is>
          <t xml:space="preserve">Mar</t>
        </is>
      </c>
      <c r="F614">
        <v>9</v>
      </c>
      <c r="G614">
        <v>2014</v>
      </c>
      <c r="H614" t="inlineStr">
        <is>
          <t xml:space="preserve">2014-03</t>
        </is>
      </c>
      <c r="I614" s="3">
        <f>INDEX(Monthly!$V:$V,MATCH(H614,Monthly!$A:$A,0))</f>
        <v>23.835483870967742</v>
      </c>
      <c r="J614" s="4">
        <f>INDEX(Monthly!$U:$U,MATCH(H614,Monthly!$A:$A,0))</f>
        <v>25.253</v>
      </c>
    </row>
    <row r="615">
      <c r="A615" t="inlineStr">
        <is>
          <t xml:space="preserve">Ocotepeque — Ocotepeque department, town of Nueva Ocotepeque</t>
        </is>
      </c>
      <c r="B615" t="inlineStr">
        <is>
          <t xml:space="preserve">2013/14</t>
        </is>
      </c>
      <c r="C615" t="inlineStr">
        <is>
          <t xml:space="preserve">Neutral</t>
        </is>
      </c>
      <c r="D615" t="inlineStr">
        <is>
          <t xml:space="preserve">yes</t>
        </is>
      </c>
      <c r="E615" t="inlineStr">
        <is>
          <t xml:space="preserve">Apr</t>
        </is>
      </c>
      <c r="F615">
        <v>10</v>
      </c>
      <c r="G615">
        <v>2014</v>
      </c>
      <c r="H615" t="inlineStr">
        <is>
          <t xml:space="preserve">2014-04</t>
        </is>
      </c>
      <c r="I615" s="3">
        <f>INDEX(Monthly!$V:$V,MATCH(H615,Monthly!$A:$A,0))</f>
        <v>24.88533333333333</v>
      </c>
      <c r="J615" s="4">
        <f>INDEX(Monthly!$U:$U,MATCH(H615,Monthly!$A:$A,0))</f>
        <v>6.163</v>
      </c>
    </row>
    <row r="616">
      <c r="A616" t="inlineStr">
        <is>
          <t xml:space="preserve">Ocotepeque — Ocotepeque department, town of Nueva Ocotepeque</t>
        </is>
      </c>
      <c r="B616" t="inlineStr">
        <is>
          <t xml:space="preserve">2013/14</t>
        </is>
      </c>
      <c r="C616" t="inlineStr">
        <is>
          <t xml:space="preserve">Neutral</t>
        </is>
      </c>
      <c r="D616" t="inlineStr">
        <is>
          <t xml:space="preserve">yes</t>
        </is>
      </c>
      <c r="E616" t="inlineStr">
        <is>
          <t xml:space="preserve">May</t>
        </is>
      </c>
      <c r="F616">
        <v>11</v>
      </c>
      <c r="G616">
        <v>2014</v>
      </c>
      <c r="H616" t="inlineStr">
        <is>
          <t xml:space="preserve">2014-05</t>
        </is>
      </c>
      <c r="I616" s="3">
        <f>INDEX(Monthly!$V:$V,MATCH(H616,Monthly!$A:$A,0))</f>
        <v>23.98096774193549</v>
      </c>
      <c r="J616" s="4">
        <f>INDEX(Monthly!$U:$U,MATCH(H616,Monthly!$A:$A,0))</f>
        <v>142.951</v>
      </c>
    </row>
    <row r="617">
      <c r="A617" t="inlineStr">
        <is>
          <t xml:space="preserve">Ocotepeque — Ocotepeque department, town of Nueva Ocotepeque</t>
        </is>
      </c>
      <c r="B617" t="inlineStr">
        <is>
          <t xml:space="preserve">2013/14</t>
        </is>
      </c>
      <c r="C617" t="inlineStr">
        <is>
          <t xml:space="preserve">Neutral</t>
        </is>
      </c>
      <c r="D617" t="inlineStr">
        <is>
          <t xml:space="preserve">yes</t>
        </is>
      </c>
      <c r="E617" t="inlineStr">
        <is>
          <t xml:space="preserve">Jun</t>
        </is>
      </c>
      <c r="F617">
        <v>12</v>
      </c>
      <c r="G617">
        <v>2014</v>
      </c>
      <c r="H617" t="inlineStr">
        <is>
          <t xml:space="preserve">2014-06</t>
        </is>
      </c>
      <c r="I617" s="3">
        <f>INDEX(Monthly!$V:$V,MATCH(H617,Monthly!$A:$A,0))</f>
        <v>23.05233333333333</v>
      </c>
      <c r="J617" s="4">
        <f>INDEX(Monthly!$U:$U,MATCH(H617,Monthly!$A:$A,0))</f>
        <v>242.509</v>
      </c>
    </row>
    <row r="618">
      <c r="A618" t="inlineStr">
        <is>
          <t xml:space="preserve">Ocotepeque — Ocotepeque department, town of Nueva Ocotepeque</t>
        </is>
      </c>
      <c r="B618" t="inlineStr">
        <is>
          <t xml:space="preserve">2014/15</t>
        </is>
      </c>
      <c r="C618" t="inlineStr">
        <is>
          <t xml:space="preserve">El Niño</t>
        </is>
      </c>
      <c r="D618" t="inlineStr">
        <is>
          <t xml:space="preserve">yes</t>
        </is>
      </c>
      <c r="E618" t="inlineStr">
        <is>
          <t xml:space="preserve">Jul</t>
        </is>
      </c>
      <c r="F618">
        <v>1</v>
      </c>
      <c r="G618">
        <v>2014</v>
      </c>
      <c r="H618" t="inlineStr">
        <is>
          <t xml:space="preserve">2014-07</t>
        </is>
      </c>
      <c r="I618" s="3">
        <f>INDEX(Monthly!$V:$V,MATCH(H618,Monthly!$A:$A,0))</f>
        <v>23.33935483870968</v>
      </c>
      <c r="J618" s="4">
        <f>INDEX(Monthly!$U:$U,MATCH(H618,Monthly!$A:$A,0))</f>
        <v>76.476</v>
      </c>
    </row>
    <row r="619">
      <c r="A619" t="inlineStr">
        <is>
          <t xml:space="preserve">Ocotepeque — Ocotepeque department, town of Nueva Ocotepeque</t>
        </is>
      </c>
      <c r="B619" t="inlineStr">
        <is>
          <t xml:space="preserve">2014/15</t>
        </is>
      </c>
      <c r="C619" t="inlineStr">
        <is>
          <t xml:space="preserve">El Niño</t>
        </is>
      </c>
      <c r="D619" t="inlineStr">
        <is>
          <t xml:space="preserve">yes</t>
        </is>
      </c>
      <c r="E619" t="inlineStr">
        <is>
          <t xml:space="preserve">Aug</t>
        </is>
      </c>
      <c r="F619">
        <v>2</v>
      </c>
      <c r="G619">
        <v>2014</v>
      </c>
      <c r="H619" t="inlineStr">
        <is>
          <t xml:space="preserve">2014-08</t>
        </is>
      </c>
      <c r="I619" s="3">
        <f>INDEX(Monthly!$V:$V,MATCH(H619,Monthly!$A:$A,0))</f>
        <v>22.723870967741934</v>
      </c>
      <c r="J619" s="4">
        <f>INDEX(Monthly!$U:$U,MATCH(H619,Monthly!$A:$A,0))</f>
        <v>208.168</v>
      </c>
    </row>
    <row r="620">
      <c r="A620" t="inlineStr">
        <is>
          <t xml:space="preserve">Ocotepeque — Ocotepeque department, town of Nueva Ocotepeque</t>
        </is>
      </c>
      <c r="B620" t="inlineStr">
        <is>
          <t xml:space="preserve">2014/15</t>
        </is>
      </c>
      <c r="C620" t="inlineStr">
        <is>
          <t xml:space="preserve">El Niño</t>
        </is>
      </c>
      <c r="D620" t="inlineStr">
        <is>
          <t xml:space="preserve">yes</t>
        </is>
      </c>
      <c r="E620" t="inlineStr">
        <is>
          <t xml:space="preserve">Sep</t>
        </is>
      </c>
      <c r="F620">
        <v>3</v>
      </c>
      <c r="G620">
        <v>2014</v>
      </c>
      <c r="H620" t="inlineStr">
        <is>
          <t xml:space="preserve">2014-09</t>
        </is>
      </c>
      <c r="I620" s="3">
        <f>INDEX(Monthly!$V:$V,MATCH(H620,Monthly!$A:$A,0))</f>
        <v>22.122333333333334</v>
      </c>
      <c r="J620" s="4">
        <f>INDEX(Monthly!$U:$U,MATCH(H620,Monthly!$A:$A,0))</f>
        <v>262.123</v>
      </c>
    </row>
    <row r="621">
      <c r="A621" t="inlineStr">
        <is>
          <t xml:space="preserve">Ocotepeque — Ocotepeque department, town of Nueva Ocotepeque</t>
        </is>
      </c>
      <c r="B621" t="inlineStr">
        <is>
          <t xml:space="preserve">2014/15</t>
        </is>
      </c>
      <c r="C621" t="inlineStr">
        <is>
          <t xml:space="preserve">El Niño</t>
        </is>
      </c>
      <c r="D621" t="inlineStr">
        <is>
          <t xml:space="preserve">yes</t>
        </is>
      </c>
      <c r="E621" t="inlineStr">
        <is>
          <t xml:space="preserve">Oct</t>
        </is>
      </c>
      <c r="F621">
        <v>4</v>
      </c>
      <c r="G621">
        <v>2014</v>
      </c>
      <c r="H621" t="inlineStr">
        <is>
          <t xml:space="preserve">2014-10</t>
        </is>
      </c>
      <c r="I621" s="3">
        <f>INDEX(Monthly!$V:$V,MATCH(H621,Monthly!$A:$A,0))</f>
        <v>21.504516129032254</v>
      </c>
      <c r="J621" s="4">
        <f>INDEX(Monthly!$U:$U,MATCH(H621,Monthly!$A:$A,0))</f>
        <v>249.157</v>
      </c>
    </row>
    <row r="622">
      <c r="A622" t="inlineStr">
        <is>
          <t xml:space="preserve">Ocotepeque — Ocotepeque department, town of Nueva Ocotepeque</t>
        </is>
      </c>
      <c r="B622" t="inlineStr">
        <is>
          <t xml:space="preserve">2014/15</t>
        </is>
      </c>
      <c r="C622" t="inlineStr">
        <is>
          <t xml:space="preserve">El Niño</t>
        </is>
      </c>
      <c r="D622" t="inlineStr">
        <is>
          <t xml:space="preserve">yes</t>
        </is>
      </c>
      <c r="E622" t="inlineStr">
        <is>
          <t xml:space="preserve">Nov</t>
        </is>
      </c>
      <c r="F622">
        <v>5</v>
      </c>
      <c r="G622">
        <v>2014</v>
      </c>
      <c r="H622" t="inlineStr">
        <is>
          <t xml:space="preserve">2014-11</t>
        </is>
      </c>
      <c r="I622" s="3">
        <f>INDEX(Monthly!$V:$V,MATCH(H622,Monthly!$A:$A,0))</f>
        <v>19.65266666666667</v>
      </c>
      <c r="J622" s="4">
        <f>INDEX(Monthly!$U:$U,MATCH(H622,Monthly!$A:$A,0))</f>
        <v>29.378</v>
      </c>
    </row>
    <row r="623">
      <c r="A623" t="inlineStr">
        <is>
          <t xml:space="preserve">Ocotepeque — Ocotepeque department, town of Nueva Ocotepeque</t>
        </is>
      </c>
      <c r="B623" t="inlineStr">
        <is>
          <t xml:space="preserve">2014/15</t>
        </is>
      </c>
      <c r="C623" t="inlineStr">
        <is>
          <t xml:space="preserve">El Niño</t>
        </is>
      </c>
      <c r="D623" t="inlineStr">
        <is>
          <t xml:space="preserve">yes</t>
        </is>
      </c>
      <c r="E623" t="inlineStr">
        <is>
          <t xml:space="preserve">Dec</t>
        </is>
      </c>
      <c r="F623">
        <v>6</v>
      </c>
      <c r="G623">
        <v>2014</v>
      </c>
      <c r="H623" t="inlineStr">
        <is>
          <t xml:space="preserve">2014-12</t>
        </is>
      </c>
      <c r="I623" s="3">
        <f>INDEX(Monthly!$V:$V,MATCH(H623,Monthly!$A:$A,0))</f>
        <v>18.85451612903226</v>
      </c>
      <c r="J623" s="4">
        <f>INDEX(Monthly!$U:$U,MATCH(H623,Monthly!$A:$A,0))</f>
        <v>25.082</v>
      </c>
    </row>
    <row r="624">
      <c r="A624" t="inlineStr">
        <is>
          <t xml:space="preserve">Ocotepeque — Ocotepeque department, town of Nueva Ocotepeque</t>
        </is>
      </c>
      <c r="B624" t="inlineStr">
        <is>
          <t xml:space="preserve">2014/15</t>
        </is>
      </c>
      <c r="C624" t="inlineStr">
        <is>
          <t xml:space="preserve">El Niño</t>
        </is>
      </c>
      <c r="D624" t="inlineStr">
        <is>
          <t xml:space="preserve">yes</t>
        </is>
      </c>
      <c r="E624" t="inlineStr">
        <is>
          <t xml:space="preserve">Jan</t>
        </is>
      </c>
      <c r="F624">
        <v>7</v>
      </c>
      <c r="G624">
        <v>2015</v>
      </c>
      <c r="H624" t="inlineStr">
        <is>
          <t xml:space="preserve">2015-01</t>
        </is>
      </c>
      <c r="I624" s="3">
        <f>INDEX(Monthly!$V:$V,MATCH(H624,Monthly!$A:$A,0))</f>
        <v>19.13967741935484</v>
      </c>
      <c r="J624" s="4">
        <f>INDEX(Monthly!$U:$U,MATCH(H624,Monthly!$A:$A,0))</f>
        <v>7.495</v>
      </c>
    </row>
    <row r="625">
      <c r="A625" t="inlineStr">
        <is>
          <t xml:space="preserve">Ocotepeque — Ocotepeque department, town of Nueva Ocotepeque</t>
        </is>
      </c>
      <c r="B625" t="inlineStr">
        <is>
          <t xml:space="preserve">2014/15</t>
        </is>
      </c>
      <c r="C625" t="inlineStr">
        <is>
          <t xml:space="preserve">El Niño</t>
        </is>
      </c>
      <c r="D625" t="inlineStr">
        <is>
          <t xml:space="preserve">yes</t>
        </is>
      </c>
      <c r="E625" t="inlineStr">
        <is>
          <t xml:space="preserve">Feb</t>
        </is>
      </c>
      <c r="F625">
        <v>8</v>
      </c>
      <c r="G625">
        <v>2015</v>
      </c>
      <c r="H625" t="inlineStr">
        <is>
          <t xml:space="preserve">2015-02</t>
        </is>
      </c>
      <c r="I625" s="3">
        <f>INDEX(Monthly!$V:$V,MATCH(H625,Monthly!$A:$A,0))</f>
        <v>20.028214285714288</v>
      </c>
      <c r="J625" s="4">
        <f>INDEX(Monthly!$U:$U,MATCH(H625,Monthly!$A:$A,0))</f>
        <v>8.184</v>
      </c>
    </row>
    <row r="626">
      <c r="A626" t="inlineStr">
        <is>
          <t xml:space="preserve">Ocotepeque — Ocotepeque department, town of Nueva Ocotepeque</t>
        </is>
      </c>
      <c r="B626" t="inlineStr">
        <is>
          <t xml:space="preserve">2014/15</t>
        </is>
      </c>
      <c r="C626" t="inlineStr">
        <is>
          <t xml:space="preserve">El Niño</t>
        </is>
      </c>
      <c r="D626" t="inlineStr">
        <is>
          <t xml:space="preserve">yes</t>
        </is>
      </c>
      <c r="E626" t="inlineStr">
        <is>
          <t xml:space="preserve">Mar</t>
        </is>
      </c>
      <c r="F626">
        <v>9</v>
      </c>
      <c r="G626">
        <v>2015</v>
      </c>
      <c r="H626" t="inlineStr">
        <is>
          <t xml:space="preserve">2015-03</t>
        </is>
      </c>
      <c r="I626" s="3">
        <f>INDEX(Monthly!$V:$V,MATCH(H626,Monthly!$A:$A,0))</f>
        <v>22.16451612903226</v>
      </c>
      <c r="J626" s="4">
        <f>INDEX(Monthly!$U:$U,MATCH(H626,Monthly!$A:$A,0))</f>
        <v>22.006</v>
      </c>
    </row>
    <row r="627">
      <c r="A627" t="inlineStr">
        <is>
          <t xml:space="preserve">Ocotepeque — Ocotepeque department, town of Nueva Ocotepeque</t>
        </is>
      </c>
      <c r="B627" t="inlineStr">
        <is>
          <t xml:space="preserve">2014/15</t>
        </is>
      </c>
      <c r="C627" t="inlineStr">
        <is>
          <t xml:space="preserve">El Niño</t>
        </is>
      </c>
      <c r="D627" t="inlineStr">
        <is>
          <t xml:space="preserve">yes</t>
        </is>
      </c>
      <c r="E627" t="inlineStr">
        <is>
          <t xml:space="preserve">Apr</t>
        </is>
      </c>
      <c r="F627">
        <v>10</v>
      </c>
      <c r="G627">
        <v>2015</v>
      </c>
      <c r="H627" t="inlineStr">
        <is>
          <t xml:space="preserve">2015-04</t>
        </is>
      </c>
      <c r="I627" s="3">
        <f>INDEX(Monthly!$V:$V,MATCH(H627,Monthly!$A:$A,0))</f>
        <v>25.233666666666668</v>
      </c>
      <c r="J627" s="4">
        <f>INDEX(Monthly!$U:$U,MATCH(H627,Monthly!$A:$A,0))</f>
        <v>28.217</v>
      </c>
    </row>
    <row r="628">
      <c r="A628" t="inlineStr">
        <is>
          <t xml:space="preserve">Ocotepeque — Ocotepeque department, town of Nueva Ocotepeque</t>
        </is>
      </c>
      <c r="B628" t="inlineStr">
        <is>
          <t xml:space="preserve">2014/15</t>
        </is>
      </c>
      <c r="C628" t="inlineStr">
        <is>
          <t xml:space="preserve">El Niño</t>
        </is>
      </c>
      <c r="D628" t="inlineStr">
        <is>
          <t xml:space="preserve">yes</t>
        </is>
      </c>
      <c r="E628" t="inlineStr">
        <is>
          <t xml:space="preserve">May</t>
        </is>
      </c>
      <c r="F628">
        <v>11</v>
      </c>
      <c r="G628">
        <v>2015</v>
      </c>
      <c r="H628" t="inlineStr">
        <is>
          <t xml:space="preserve">2015-05</t>
        </is>
      </c>
      <c r="I628" s="3">
        <f>INDEX(Monthly!$V:$V,MATCH(H628,Monthly!$A:$A,0))</f>
        <v>24.777096774193552</v>
      </c>
      <c r="J628" s="4">
        <f>INDEX(Monthly!$U:$U,MATCH(H628,Monthly!$A:$A,0))</f>
        <v>64.122</v>
      </c>
    </row>
    <row r="629">
      <c r="A629" t="inlineStr">
        <is>
          <t xml:space="preserve">Ocotepeque — Ocotepeque department, town of Nueva Ocotepeque</t>
        </is>
      </c>
      <c r="B629" t="inlineStr">
        <is>
          <t xml:space="preserve">2014/15</t>
        </is>
      </c>
      <c r="C629" t="inlineStr">
        <is>
          <t xml:space="preserve">El Niño</t>
        </is>
      </c>
      <c r="D629" t="inlineStr">
        <is>
          <t xml:space="preserve">yes</t>
        </is>
      </c>
      <c r="E629" t="inlineStr">
        <is>
          <t xml:space="preserve">Jun</t>
        </is>
      </c>
      <c r="F629">
        <v>12</v>
      </c>
      <c r="G629">
        <v>2015</v>
      </c>
      <c r="H629" t="inlineStr">
        <is>
          <t xml:space="preserve">2015-06</t>
        </is>
      </c>
      <c r="I629" s="3">
        <f>INDEX(Monthly!$V:$V,MATCH(H629,Monthly!$A:$A,0))</f>
        <v>23.05</v>
      </c>
      <c r="J629" s="4">
        <f>INDEX(Monthly!$U:$U,MATCH(H629,Monthly!$A:$A,0))</f>
        <v>172.435</v>
      </c>
    </row>
    <row r="630">
      <c r="A630" t="inlineStr">
        <is>
          <t xml:space="preserve">Ocotepeque — Ocotepeque department, town of Nueva Ocotepeque</t>
        </is>
      </c>
      <c r="B630" t="inlineStr">
        <is>
          <t xml:space="preserve">2015/16</t>
        </is>
      </c>
      <c r="C630" t="inlineStr">
        <is>
          <t xml:space="preserve">El Niño</t>
        </is>
      </c>
      <c r="D630" t="inlineStr">
        <is>
          <t xml:space="preserve">yes</t>
        </is>
      </c>
      <c r="E630" t="inlineStr">
        <is>
          <t xml:space="preserve">Jul</t>
        </is>
      </c>
      <c r="F630">
        <v>1</v>
      </c>
      <c r="G630">
        <v>2015</v>
      </c>
      <c r="H630" t="inlineStr">
        <is>
          <t xml:space="preserve">2015-07</t>
        </is>
      </c>
      <c r="I630" s="3">
        <f>INDEX(Monthly!$V:$V,MATCH(H630,Monthly!$A:$A,0))</f>
        <v>23.82451612903226</v>
      </c>
      <c r="J630" s="4">
        <f>INDEX(Monthly!$U:$U,MATCH(H630,Monthly!$A:$A,0))</f>
        <v>58.162</v>
      </c>
    </row>
    <row r="631">
      <c r="A631" t="inlineStr">
        <is>
          <t xml:space="preserve">Ocotepeque — Ocotepeque department, town of Nueva Ocotepeque</t>
        </is>
      </c>
      <c r="B631" t="inlineStr">
        <is>
          <t xml:space="preserve">2015/16</t>
        </is>
      </c>
      <c r="C631" t="inlineStr">
        <is>
          <t xml:space="preserve">El Niño</t>
        </is>
      </c>
      <c r="D631" t="inlineStr">
        <is>
          <t xml:space="preserve">yes</t>
        </is>
      </c>
      <c r="E631" t="inlineStr">
        <is>
          <t xml:space="preserve">Aug</t>
        </is>
      </c>
      <c r="F631">
        <v>2</v>
      </c>
      <c r="G631">
        <v>2015</v>
      </c>
      <c r="H631" t="inlineStr">
        <is>
          <t xml:space="preserve">2015-08</t>
        </is>
      </c>
      <c r="I631" s="3">
        <f>INDEX(Monthly!$V:$V,MATCH(H631,Monthly!$A:$A,0))</f>
        <v>24.248064516129027</v>
      </c>
      <c r="J631" s="4">
        <f>INDEX(Monthly!$U:$U,MATCH(H631,Monthly!$A:$A,0))</f>
        <v>106.513</v>
      </c>
    </row>
    <row r="632">
      <c r="A632" t="inlineStr">
        <is>
          <t xml:space="preserve">Ocotepeque — Ocotepeque department, town of Nueva Ocotepeque</t>
        </is>
      </c>
      <c r="B632" t="inlineStr">
        <is>
          <t xml:space="preserve">2015/16</t>
        </is>
      </c>
      <c r="C632" t="inlineStr">
        <is>
          <t xml:space="preserve">El Niño</t>
        </is>
      </c>
      <c r="D632" t="inlineStr">
        <is>
          <t xml:space="preserve">yes</t>
        </is>
      </c>
      <c r="E632" t="inlineStr">
        <is>
          <t xml:space="preserve">Sep</t>
        </is>
      </c>
      <c r="F632">
        <v>3</v>
      </c>
      <c r="G632">
        <v>2015</v>
      </c>
      <c r="H632" t="inlineStr">
        <is>
          <t xml:space="preserve">2015-09</t>
        </is>
      </c>
      <c r="I632" s="3">
        <f>INDEX(Monthly!$V:$V,MATCH(H632,Monthly!$A:$A,0))</f>
        <v>22.726333333333333</v>
      </c>
      <c r="J632" s="4">
        <f>INDEX(Monthly!$U:$U,MATCH(H632,Monthly!$A:$A,0))</f>
        <v>376.803</v>
      </c>
    </row>
    <row r="633">
      <c r="A633" t="inlineStr">
        <is>
          <t xml:space="preserve">Ocotepeque — Ocotepeque department, town of Nueva Ocotepeque</t>
        </is>
      </c>
      <c r="B633" t="inlineStr">
        <is>
          <t xml:space="preserve">2015/16</t>
        </is>
      </c>
      <c r="C633" t="inlineStr">
        <is>
          <t xml:space="preserve">El Niño</t>
        </is>
      </c>
      <c r="D633" t="inlineStr">
        <is>
          <t xml:space="preserve">yes</t>
        </is>
      </c>
      <c r="E633" t="inlineStr">
        <is>
          <t xml:space="preserve">Oct</t>
        </is>
      </c>
      <c r="F633">
        <v>4</v>
      </c>
      <c r="G633">
        <v>2015</v>
      </c>
      <c r="H633" t="inlineStr">
        <is>
          <t xml:space="preserve">2015-10</t>
        </is>
      </c>
      <c r="I633" s="3">
        <f>INDEX(Monthly!$V:$V,MATCH(H633,Monthly!$A:$A,0))</f>
        <v>22.353870967741933</v>
      </c>
      <c r="J633" s="4">
        <f>INDEX(Monthly!$U:$U,MATCH(H633,Monthly!$A:$A,0))</f>
        <v>193.916</v>
      </c>
    </row>
    <row r="634">
      <c r="A634" t="inlineStr">
        <is>
          <t xml:space="preserve">Ocotepeque — Ocotepeque department, town of Nueva Ocotepeque</t>
        </is>
      </c>
      <c r="B634" t="inlineStr">
        <is>
          <t xml:space="preserve">2015/16</t>
        </is>
      </c>
      <c r="C634" t="inlineStr">
        <is>
          <t xml:space="preserve">El Niño</t>
        </is>
      </c>
      <c r="D634" t="inlineStr">
        <is>
          <t xml:space="preserve">yes</t>
        </is>
      </c>
      <c r="E634" t="inlineStr">
        <is>
          <t xml:space="preserve">Nov</t>
        </is>
      </c>
      <c r="F634">
        <v>5</v>
      </c>
      <c r="G634">
        <v>2015</v>
      </c>
      <c r="H634" t="inlineStr">
        <is>
          <t xml:space="preserve">2015-11</t>
        </is>
      </c>
      <c r="I634" s="3">
        <f>INDEX(Monthly!$V:$V,MATCH(H634,Monthly!$A:$A,0))</f>
        <v>21.443666666666665</v>
      </c>
      <c r="J634" s="4">
        <f>INDEX(Monthly!$U:$U,MATCH(H634,Monthly!$A:$A,0))</f>
        <v>76.598</v>
      </c>
    </row>
    <row r="635">
      <c r="A635" t="inlineStr">
        <is>
          <t xml:space="preserve">Ocotepeque — Ocotepeque department, town of Nueva Ocotepeque</t>
        </is>
      </c>
      <c r="B635" t="inlineStr">
        <is>
          <t xml:space="preserve">2015/16</t>
        </is>
      </c>
      <c r="C635" t="inlineStr">
        <is>
          <t xml:space="preserve">El Niño</t>
        </is>
      </c>
      <c r="D635" t="inlineStr">
        <is>
          <t xml:space="preserve">yes</t>
        </is>
      </c>
      <c r="E635" t="inlineStr">
        <is>
          <t xml:space="preserve">Dec</t>
        </is>
      </c>
      <c r="F635">
        <v>6</v>
      </c>
      <c r="G635">
        <v>2015</v>
      </c>
      <c r="H635" t="inlineStr">
        <is>
          <t xml:space="preserve">2015-12</t>
        </is>
      </c>
      <c r="I635" s="3">
        <f>INDEX(Monthly!$V:$V,MATCH(H635,Monthly!$A:$A,0))</f>
        <v>21.221935483870965</v>
      </c>
      <c r="J635" s="4">
        <f>INDEX(Monthly!$U:$U,MATCH(H635,Monthly!$A:$A,0))</f>
        <v>13.602</v>
      </c>
    </row>
    <row r="636">
      <c r="A636" t="inlineStr">
        <is>
          <t xml:space="preserve">Ocotepeque — Ocotepeque department, town of Nueva Ocotepeque</t>
        </is>
      </c>
      <c r="B636" t="inlineStr">
        <is>
          <t xml:space="preserve">2015/16</t>
        </is>
      </c>
      <c r="C636" t="inlineStr">
        <is>
          <t xml:space="preserve">El Niño</t>
        </is>
      </c>
      <c r="D636" t="inlineStr">
        <is>
          <t xml:space="preserve">yes</t>
        </is>
      </c>
      <c r="E636" t="inlineStr">
        <is>
          <t xml:space="preserve">Jan</t>
        </is>
      </c>
      <c r="F636">
        <v>7</v>
      </c>
      <c r="G636">
        <v>2016</v>
      </c>
      <c r="H636" t="inlineStr">
        <is>
          <t xml:space="preserve">2016-01</t>
        </is>
      </c>
      <c r="I636" s="3">
        <f>INDEX(Monthly!$V:$V,MATCH(H636,Monthly!$A:$A,0))</f>
        <v>20.03516129032258</v>
      </c>
      <c r="J636" s="4">
        <f>INDEX(Monthly!$U:$U,MATCH(H636,Monthly!$A:$A,0))</f>
        <v>9.022</v>
      </c>
    </row>
    <row r="637">
      <c r="A637" t="inlineStr">
        <is>
          <t xml:space="preserve">Ocotepeque — Ocotepeque department, town of Nueva Ocotepeque</t>
        </is>
      </c>
      <c r="B637" t="inlineStr">
        <is>
          <t xml:space="preserve">2015/16</t>
        </is>
      </c>
      <c r="C637" t="inlineStr">
        <is>
          <t xml:space="preserve">El Niño</t>
        </is>
      </c>
      <c r="D637" t="inlineStr">
        <is>
          <t xml:space="preserve">yes</t>
        </is>
      </c>
      <c r="E637" t="inlineStr">
        <is>
          <t xml:space="preserve">Feb</t>
        </is>
      </c>
      <c r="F637">
        <v>8</v>
      </c>
      <c r="G637">
        <v>2016</v>
      </c>
      <c r="H637" t="inlineStr">
        <is>
          <t xml:space="preserve">2016-02</t>
        </is>
      </c>
      <c r="I637" s="3">
        <f>INDEX(Monthly!$V:$V,MATCH(H637,Monthly!$A:$A,0))</f>
        <v>19.778275862068963</v>
      </c>
      <c r="J637" s="4">
        <f>INDEX(Monthly!$U:$U,MATCH(H637,Monthly!$A:$A,0))</f>
        <v>22.076</v>
      </c>
    </row>
    <row r="638">
      <c r="A638" t="inlineStr">
        <is>
          <t xml:space="preserve">Ocotepeque — Ocotepeque department, town of Nueva Ocotepeque</t>
        </is>
      </c>
      <c r="B638" t="inlineStr">
        <is>
          <t xml:space="preserve">2015/16</t>
        </is>
      </c>
      <c r="C638" t="inlineStr">
        <is>
          <t xml:space="preserve">El Niño</t>
        </is>
      </c>
      <c r="D638" t="inlineStr">
        <is>
          <t xml:space="preserve">yes</t>
        </is>
      </c>
      <c r="E638" t="inlineStr">
        <is>
          <t xml:space="preserve">Mar</t>
        </is>
      </c>
      <c r="F638">
        <v>9</v>
      </c>
      <c r="G638">
        <v>2016</v>
      </c>
      <c r="H638" t="inlineStr">
        <is>
          <t xml:space="preserve">2016-03</t>
        </is>
      </c>
      <c r="I638" s="3">
        <f>INDEX(Monthly!$V:$V,MATCH(H638,Monthly!$A:$A,0))</f>
        <v>24.524193548387093</v>
      </c>
      <c r="J638" s="4">
        <f>INDEX(Monthly!$U:$U,MATCH(H638,Monthly!$A:$A,0))</f>
        <v>14.397</v>
      </c>
    </row>
    <row r="639">
      <c r="A639" t="inlineStr">
        <is>
          <t xml:space="preserve">Ocotepeque — Ocotepeque department, town of Nueva Ocotepeque</t>
        </is>
      </c>
      <c r="B639" t="inlineStr">
        <is>
          <t xml:space="preserve">2015/16</t>
        </is>
      </c>
      <c r="C639" t="inlineStr">
        <is>
          <t xml:space="preserve">El Niño</t>
        </is>
      </c>
      <c r="D639" t="inlineStr">
        <is>
          <t xml:space="preserve">yes</t>
        </is>
      </c>
      <c r="E639" t="inlineStr">
        <is>
          <t xml:space="preserve">Apr</t>
        </is>
      </c>
      <c r="F639">
        <v>10</v>
      </c>
      <c r="G639">
        <v>2016</v>
      </c>
      <c r="H639" t="inlineStr">
        <is>
          <t xml:space="preserve">2016-04</t>
        </is>
      </c>
      <c r="I639" s="3">
        <f>INDEX(Monthly!$V:$V,MATCH(H639,Monthly!$A:$A,0))</f>
        <v>25.30966666666667</v>
      </c>
      <c r="J639" s="4">
        <f>INDEX(Monthly!$U:$U,MATCH(H639,Monthly!$A:$A,0))</f>
        <v>22.145</v>
      </c>
    </row>
    <row r="640">
      <c r="A640" t="inlineStr">
        <is>
          <t xml:space="preserve">Ocotepeque — Ocotepeque department, town of Nueva Ocotepeque</t>
        </is>
      </c>
      <c r="B640" t="inlineStr">
        <is>
          <t xml:space="preserve">2015/16</t>
        </is>
      </c>
      <c r="C640" t="inlineStr">
        <is>
          <t xml:space="preserve">El Niño</t>
        </is>
      </c>
      <c r="D640" t="inlineStr">
        <is>
          <t xml:space="preserve">yes</t>
        </is>
      </c>
      <c r="E640" t="inlineStr">
        <is>
          <t xml:space="preserve">May</t>
        </is>
      </c>
      <c r="F640">
        <v>11</v>
      </c>
      <c r="G640">
        <v>2016</v>
      </c>
      <c r="H640" t="inlineStr">
        <is>
          <t xml:space="preserve">2016-05</t>
        </is>
      </c>
      <c r="I640" s="3">
        <f>INDEX(Monthly!$V:$V,MATCH(H640,Monthly!$A:$A,0))</f>
        <v>25.96354838709678</v>
      </c>
      <c r="J640" s="4">
        <f>INDEX(Monthly!$U:$U,MATCH(H640,Monthly!$A:$A,0))</f>
        <v>51.304</v>
      </c>
    </row>
    <row r="641">
      <c r="A641" t="inlineStr">
        <is>
          <t xml:space="preserve">Ocotepeque — Ocotepeque department, town of Nueva Ocotepeque</t>
        </is>
      </c>
      <c r="B641" t="inlineStr">
        <is>
          <t xml:space="preserve">2015/16</t>
        </is>
      </c>
      <c r="C641" t="inlineStr">
        <is>
          <t xml:space="preserve">El Niño</t>
        </is>
      </c>
      <c r="D641" t="inlineStr">
        <is>
          <t xml:space="preserve">yes</t>
        </is>
      </c>
      <c r="E641" t="inlineStr">
        <is>
          <t xml:space="preserve">Jun</t>
        </is>
      </c>
      <c r="F641">
        <v>12</v>
      </c>
      <c r="G641">
        <v>2016</v>
      </c>
      <c r="H641" t="inlineStr">
        <is>
          <t xml:space="preserve">2016-06</t>
        </is>
      </c>
      <c r="I641" s="3">
        <f>INDEX(Monthly!$V:$V,MATCH(H641,Monthly!$A:$A,0))</f>
        <v>23.57066666666667</v>
      </c>
      <c r="J641" s="4">
        <f>INDEX(Monthly!$U:$U,MATCH(H641,Monthly!$A:$A,0))</f>
        <v>230.345</v>
      </c>
    </row>
    <row r="642">
      <c r="A642" t="inlineStr">
        <is>
          <t xml:space="preserve">Ocotepeque — Ocotepeque department, town of Nueva Ocotepeque</t>
        </is>
      </c>
      <c r="B642" t="inlineStr">
        <is>
          <t xml:space="preserve">2016/17</t>
        </is>
      </c>
      <c r="C642" t="inlineStr">
        <is>
          <t xml:space="preserve">Neutral</t>
        </is>
      </c>
      <c r="D642" t="inlineStr">
        <is>
          <t xml:space="preserve">yes</t>
        </is>
      </c>
      <c r="E642" t="inlineStr">
        <is>
          <t xml:space="preserve">Jul</t>
        </is>
      </c>
      <c r="F642">
        <v>1</v>
      </c>
      <c r="G642">
        <v>2016</v>
      </c>
      <c r="H642" t="inlineStr">
        <is>
          <t xml:space="preserve">2016-07</t>
        </is>
      </c>
      <c r="I642" s="3">
        <f>INDEX(Monthly!$V:$V,MATCH(H642,Monthly!$A:$A,0))</f>
        <v>23.197741935483876</v>
      </c>
      <c r="J642" s="4">
        <f>INDEX(Monthly!$U:$U,MATCH(H642,Monthly!$A:$A,0))</f>
        <v>172.17</v>
      </c>
    </row>
    <row r="643">
      <c r="A643" t="inlineStr">
        <is>
          <t xml:space="preserve">Ocotepeque — Ocotepeque department, town of Nueva Ocotepeque</t>
        </is>
      </c>
      <c r="B643" t="inlineStr">
        <is>
          <t xml:space="preserve">2016/17</t>
        </is>
      </c>
      <c r="C643" t="inlineStr">
        <is>
          <t xml:space="preserve">Neutral</t>
        </is>
      </c>
      <c r="D643" t="inlineStr">
        <is>
          <t xml:space="preserve">yes</t>
        </is>
      </c>
      <c r="E643" t="inlineStr">
        <is>
          <t xml:space="preserve">Aug</t>
        </is>
      </c>
      <c r="F643">
        <v>2</v>
      </c>
      <c r="G643">
        <v>2016</v>
      </c>
      <c r="H643" t="inlineStr">
        <is>
          <t xml:space="preserve">2016-08</t>
        </is>
      </c>
      <c r="I643" s="3">
        <f>INDEX(Monthly!$V:$V,MATCH(H643,Monthly!$A:$A,0))</f>
        <v>22.838064516129037</v>
      </c>
      <c r="J643" s="4">
        <f>INDEX(Monthly!$U:$U,MATCH(H643,Monthly!$A:$A,0))</f>
        <v>182.226</v>
      </c>
    </row>
    <row r="644">
      <c r="A644" t="inlineStr">
        <is>
          <t xml:space="preserve">Ocotepeque — Ocotepeque department, town of Nueva Ocotepeque</t>
        </is>
      </c>
      <c r="B644" t="inlineStr">
        <is>
          <t xml:space="preserve">2016/17</t>
        </is>
      </c>
      <c r="C644" t="inlineStr">
        <is>
          <t xml:space="preserve">Neutral</t>
        </is>
      </c>
      <c r="D644" t="inlineStr">
        <is>
          <t xml:space="preserve">yes</t>
        </is>
      </c>
      <c r="E644" t="inlineStr">
        <is>
          <t xml:space="preserve">Sep</t>
        </is>
      </c>
      <c r="F644">
        <v>3</v>
      </c>
      <c r="G644">
        <v>2016</v>
      </c>
      <c r="H644" t="inlineStr">
        <is>
          <t xml:space="preserve">2016-09</t>
        </is>
      </c>
      <c r="I644" s="3">
        <f>INDEX(Monthly!$V:$V,MATCH(H644,Monthly!$A:$A,0))</f>
        <v>22.32266666666666</v>
      </c>
      <c r="J644" s="4">
        <f>INDEX(Monthly!$U:$U,MATCH(H644,Monthly!$A:$A,0))</f>
        <v>270.349</v>
      </c>
    </row>
    <row r="645">
      <c r="A645" t="inlineStr">
        <is>
          <t xml:space="preserve">Ocotepeque — Ocotepeque department, town of Nueva Ocotepeque</t>
        </is>
      </c>
      <c r="B645" t="inlineStr">
        <is>
          <t xml:space="preserve">2016/17</t>
        </is>
      </c>
      <c r="C645" t="inlineStr">
        <is>
          <t xml:space="preserve">Neutral</t>
        </is>
      </c>
      <c r="D645" t="inlineStr">
        <is>
          <t xml:space="preserve">yes</t>
        </is>
      </c>
      <c r="E645" t="inlineStr">
        <is>
          <t xml:space="preserve">Oct</t>
        </is>
      </c>
      <c r="F645">
        <v>4</v>
      </c>
      <c r="G645">
        <v>2016</v>
      </c>
      <c r="H645" t="inlineStr">
        <is>
          <t xml:space="preserve">2016-10</t>
        </is>
      </c>
      <c r="I645" s="3">
        <f>INDEX(Monthly!$V:$V,MATCH(H645,Monthly!$A:$A,0))</f>
        <v>21.36483870967742</v>
      </c>
      <c r="J645" s="4">
        <f>INDEX(Monthly!$U:$U,MATCH(H645,Monthly!$A:$A,0))</f>
        <v>73.824</v>
      </c>
    </row>
    <row r="646">
      <c r="A646" t="inlineStr">
        <is>
          <t xml:space="preserve">Ocotepeque — Ocotepeque department, town of Nueva Ocotepeque</t>
        </is>
      </c>
      <c r="B646" t="inlineStr">
        <is>
          <t xml:space="preserve">2016/17</t>
        </is>
      </c>
      <c r="C646" t="inlineStr">
        <is>
          <t xml:space="preserve">Neutral</t>
        </is>
      </c>
      <c r="D646" t="inlineStr">
        <is>
          <t xml:space="preserve">yes</t>
        </is>
      </c>
      <c r="E646" t="inlineStr">
        <is>
          <t xml:space="preserve">Nov</t>
        </is>
      </c>
      <c r="F646">
        <v>5</v>
      </c>
      <c r="G646">
        <v>2016</v>
      </c>
      <c r="H646" t="inlineStr">
        <is>
          <t xml:space="preserve">2016-11</t>
        </is>
      </c>
      <c r="I646" s="3">
        <f>INDEX(Monthly!$V:$V,MATCH(H646,Monthly!$A:$A,0))</f>
        <v>20.272666666666666</v>
      </c>
      <c r="J646" s="4">
        <f>INDEX(Monthly!$U:$U,MATCH(H646,Monthly!$A:$A,0))</f>
        <v>24.331</v>
      </c>
    </row>
    <row r="647">
      <c r="A647" t="inlineStr">
        <is>
          <t xml:space="preserve">Ocotepeque — Ocotepeque department, town of Nueva Ocotepeque</t>
        </is>
      </c>
      <c r="B647" t="inlineStr">
        <is>
          <t xml:space="preserve">2016/17</t>
        </is>
      </c>
      <c r="C647" t="inlineStr">
        <is>
          <t xml:space="preserve">Neutral</t>
        </is>
      </c>
      <c r="D647" t="inlineStr">
        <is>
          <t xml:space="preserve">yes</t>
        </is>
      </c>
      <c r="E647" t="inlineStr">
        <is>
          <t xml:space="preserve">Dec</t>
        </is>
      </c>
      <c r="F647">
        <v>6</v>
      </c>
      <c r="G647">
        <v>2016</v>
      </c>
      <c r="H647" t="inlineStr">
        <is>
          <t xml:space="preserve">2016-12</t>
        </is>
      </c>
      <c r="I647" s="3">
        <f>INDEX(Monthly!$V:$V,MATCH(H647,Monthly!$A:$A,0))</f>
        <v>21.239354838709673</v>
      </c>
      <c r="J647" s="4">
        <f>INDEX(Monthly!$U:$U,MATCH(H647,Monthly!$A:$A,0))</f>
        <v>16.835</v>
      </c>
    </row>
    <row r="648">
      <c r="A648" t="inlineStr">
        <is>
          <t xml:space="preserve">Ocotepeque — Ocotepeque department, town of Nueva Ocotepeque</t>
        </is>
      </c>
      <c r="B648" t="inlineStr">
        <is>
          <t xml:space="preserve">2016/17</t>
        </is>
      </c>
      <c r="C648" t="inlineStr">
        <is>
          <t xml:space="preserve">Neutral</t>
        </is>
      </c>
      <c r="D648" t="inlineStr">
        <is>
          <t xml:space="preserve">yes</t>
        </is>
      </c>
      <c r="E648" t="inlineStr">
        <is>
          <t xml:space="preserve">Jan</t>
        </is>
      </c>
      <c r="F648">
        <v>7</v>
      </c>
      <c r="G648">
        <v>2017</v>
      </c>
      <c r="H648" t="inlineStr">
        <is>
          <t xml:space="preserve">2017-01</t>
        </is>
      </c>
      <c r="I648" s="3">
        <f>INDEX(Monthly!$V:$V,MATCH(H648,Monthly!$A:$A,0))</f>
        <v>20.478387096774195</v>
      </c>
      <c r="J648" s="4">
        <f>INDEX(Monthly!$U:$U,MATCH(H648,Monthly!$A:$A,0))</f>
        <v>9.237</v>
      </c>
    </row>
    <row r="649">
      <c r="A649" t="inlineStr">
        <is>
          <t xml:space="preserve">Ocotepeque — Ocotepeque department, town of Nueva Ocotepeque</t>
        </is>
      </c>
      <c r="B649" t="inlineStr">
        <is>
          <t xml:space="preserve">2016/17</t>
        </is>
      </c>
      <c r="C649" t="inlineStr">
        <is>
          <t xml:space="preserve">Neutral</t>
        </is>
      </c>
      <c r="D649" t="inlineStr">
        <is>
          <t xml:space="preserve">yes</t>
        </is>
      </c>
      <c r="E649" t="inlineStr">
        <is>
          <t xml:space="preserve">Feb</t>
        </is>
      </c>
      <c r="F649">
        <v>8</v>
      </c>
      <c r="G649">
        <v>2017</v>
      </c>
      <c r="H649" t="inlineStr">
        <is>
          <t xml:space="preserve">2017-02</t>
        </is>
      </c>
      <c r="I649" s="3">
        <f>INDEX(Monthly!$V:$V,MATCH(H649,Monthly!$A:$A,0))</f>
        <v>22.58178571428572</v>
      </c>
      <c r="J649" s="4">
        <f>INDEX(Monthly!$U:$U,MATCH(H649,Monthly!$A:$A,0))</f>
        <v>3.509</v>
      </c>
    </row>
    <row r="650">
      <c r="A650" t="inlineStr">
        <is>
          <t xml:space="preserve">Ocotepeque — Ocotepeque department, town of Nueva Ocotepeque</t>
        </is>
      </c>
      <c r="B650" t="inlineStr">
        <is>
          <t xml:space="preserve">2016/17</t>
        </is>
      </c>
      <c r="C650" t="inlineStr">
        <is>
          <t xml:space="preserve">Neutral</t>
        </is>
      </c>
      <c r="D650" t="inlineStr">
        <is>
          <t xml:space="preserve">yes</t>
        </is>
      </c>
      <c r="E650" t="inlineStr">
        <is>
          <t xml:space="preserve">Mar</t>
        </is>
      </c>
      <c r="F650">
        <v>9</v>
      </c>
      <c r="G650">
        <v>2017</v>
      </c>
      <c r="H650" t="inlineStr">
        <is>
          <t xml:space="preserve">2017-03</t>
        </is>
      </c>
      <c r="I650" s="3">
        <f>INDEX(Monthly!$V:$V,MATCH(H650,Monthly!$A:$A,0))</f>
        <v>22.175806451612907</v>
      </c>
      <c r="J650" s="4">
        <f>INDEX(Monthly!$U:$U,MATCH(H650,Monthly!$A:$A,0))</f>
        <v>40.521</v>
      </c>
    </row>
    <row r="651">
      <c r="A651" t="inlineStr">
        <is>
          <t xml:space="preserve">Ocotepeque — Ocotepeque department, town of Nueva Ocotepeque</t>
        </is>
      </c>
      <c r="B651" t="inlineStr">
        <is>
          <t xml:space="preserve">2016/17</t>
        </is>
      </c>
      <c r="C651" t="inlineStr">
        <is>
          <t xml:space="preserve">Neutral</t>
        </is>
      </c>
      <c r="D651" t="inlineStr">
        <is>
          <t xml:space="preserve">yes</t>
        </is>
      </c>
      <c r="E651" t="inlineStr">
        <is>
          <t xml:space="preserve">Apr</t>
        </is>
      </c>
      <c r="F651">
        <v>10</v>
      </c>
      <c r="G651">
        <v>2017</v>
      </c>
      <c r="H651" t="inlineStr">
        <is>
          <t xml:space="preserve">2017-04</t>
        </is>
      </c>
      <c r="I651" s="3">
        <f>INDEX(Monthly!$V:$V,MATCH(H651,Monthly!$A:$A,0))</f>
        <v>24.89600000000001</v>
      </c>
      <c r="J651" s="4">
        <f>INDEX(Monthly!$U:$U,MATCH(H651,Monthly!$A:$A,0))</f>
        <v>28.016</v>
      </c>
    </row>
    <row r="652">
      <c r="A652" t="inlineStr">
        <is>
          <t xml:space="preserve">Ocotepeque — Ocotepeque department, town of Nueva Ocotepeque</t>
        </is>
      </c>
      <c r="B652" t="inlineStr">
        <is>
          <t xml:space="preserve">2016/17</t>
        </is>
      </c>
      <c r="C652" t="inlineStr">
        <is>
          <t xml:space="preserve">Neutral</t>
        </is>
      </c>
      <c r="D652" t="inlineStr">
        <is>
          <t xml:space="preserve">yes</t>
        </is>
      </c>
      <c r="E652" t="inlineStr">
        <is>
          <t xml:space="preserve">May</t>
        </is>
      </c>
      <c r="F652">
        <v>11</v>
      </c>
      <c r="G652">
        <v>2017</v>
      </c>
      <c r="H652" t="inlineStr">
        <is>
          <t xml:space="preserve">2017-05</t>
        </is>
      </c>
      <c r="I652" s="3">
        <f>INDEX(Monthly!$V:$V,MATCH(H652,Monthly!$A:$A,0))</f>
        <v>23.913870967741936</v>
      </c>
      <c r="J652" s="4">
        <f>INDEX(Monthly!$U:$U,MATCH(H652,Monthly!$A:$A,0))</f>
        <v>205.415</v>
      </c>
    </row>
    <row r="653">
      <c r="A653" t="inlineStr">
        <is>
          <t xml:space="preserve">Ocotepeque — Ocotepeque department, town of Nueva Ocotepeque</t>
        </is>
      </c>
      <c r="B653" t="inlineStr">
        <is>
          <t xml:space="preserve">2016/17</t>
        </is>
      </c>
      <c r="C653" t="inlineStr">
        <is>
          <t xml:space="preserve">Neutral</t>
        </is>
      </c>
      <c r="D653" t="inlineStr">
        <is>
          <t xml:space="preserve">yes</t>
        </is>
      </c>
      <c r="E653" t="inlineStr">
        <is>
          <t xml:space="preserve">Jun</t>
        </is>
      </c>
      <c r="F653">
        <v>12</v>
      </c>
      <c r="G653">
        <v>2017</v>
      </c>
      <c r="H653" t="inlineStr">
        <is>
          <t xml:space="preserve">2017-06</t>
        </is>
      </c>
      <c r="I653" s="3">
        <f>INDEX(Monthly!$V:$V,MATCH(H653,Monthly!$A:$A,0))</f>
        <v>22.801666666666673</v>
      </c>
      <c r="J653" s="4">
        <f>INDEX(Monthly!$U:$U,MATCH(H653,Monthly!$A:$A,0))</f>
        <v>230.711</v>
      </c>
    </row>
    <row r="654">
      <c r="A654" t="inlineStr">
        <is>
          <t xml:space="preserve">Ocotepeque — Ocotepeque department, town of Nueva Ocotepeque</t>
        </is>
      </c>
      <c r="B654" t="inlineStr">
        <is>
          <t xml:space="preserve">2017/18</t>
        </is>
      </c>
      <c r="C654" t="inlineStr">
        <is>
          <t xml:space="preserve">La Niña</t>
        </is>
      </c>
      <c r="D654" t="inlineStr">
        <is>
          <t xml:space="preserve">yes</t>
        </is>
      </c>
      <c r="E654" t="inlineStr">
        <is>
          <t xml:space="preserve">Jul</t>
        </is>
      </c>
      <c r="F654">
        <v>1</v>
      </c>
      <c r="G654">
        <v>2017</v>
      </c>
      <c r="H654" t="inlineStr">
        <is>
          <t xml:space="preserve">2017-07</t>
        </is>
      </c>
      <c r="I654" s="3">
        <f>INDEX(Monthly!$V:$V,MATCH(H654,Monthly!$A:$A,0))</f>
        <v>22.55774193548387</v>
      </c>
      <c r="J654" s="4">
        <f>INDEX(Monthly!$U:$U,MATCH(H654,Monthly!$A:$A,0))</f>
        <v>269.24</v>
      </c>
    </row>
    <row r="655">
      <c r="A655" t="inlineStr">
        <is>
          <t xml:space="preserve">Ocotepeque — Ocotepeque department, town of Nueva Ocotepeque</t>
        </is>
      </c>
      <c r="B655" t="inlineStr">
        <is>
          <t xml:space="preserve">2017/18</t>
        </is>
      </c>
      <c r="C655" t="inlineStr">
        <is>
          <t xml:space="preserve">La Niña</t>
        </is>
      </c>
      <c r="D655" t="inlineStr">
        <is>
          <t xml:space="preserve">yes</t>
        </is>
      </c>
      <c r="E655" t="inlineStr">
        <is>
          <t xml:space="preserve">Aug</t>
        </is>
      </c>
      <c r="F655">
        <v>2</v>
      </c>
      <c r="G655">
        <v>2017</v>
      </c>
      <c r="H655" t="inlineStr">
        <is>
          <t xml:space="preserve">2017-08</t>
        </is>
      </c>
      <c r="I655" s="3">
        <f>INDEX(Monthly!$V:$V,MATCH(H655,Monthly!$A:$A,0))</f>
        <v>22.781290322580645</v>
      </c>
      <c r="J655" s="4">
        <f>INDEX(Monthly!$U:$U,MATCH(H655,Monthly!$A:$A,0))</f>
        <v>207.396</v>
      </c>
    </row>
    <row r="656">
      <c r="A656" t="inlineStr">
        <is>
          <t xml:space="preserve">Ocotepeque — Ocotepeque department, town of Nueva Ocotepeque</t>
        </is>
      </c>
      <c r="B656" t="inlineStr">
        <is>
          <t xml:space="preserve">2017/18</t>
        </is>
      </c>
      <c r="C656" t="inlineStr">
        <is>
          <t xml:space="preserve">La Niña</t>
        </is>
      </c>
      <c r="D656" t="inlineStr">
        <is>
          <t xml:space="preserve">yes</t>
        </is>
      </c>
      <c r="E656" t="inlineStr">
        <is>
          <t xml:space="preserve">Sep</t>
        </is>
      </c>
      <c r="F656">
        <v>3</v>
      </c>
      <c r="G656">
        <v>2017</v>
      </c>
      <c r="H656" t="inlineStr">
        <is>
          <t xml:space="preserve">2017-09</t>
        </is>
      </c>
      <c r="I656" s="3">
        <f>INDEX(Monthly!$V:$V,MATCH(H656,Monthly!$A:$A,0))</f>
        <v>22.650999999999993</v>
      </c>
      <c r="J656" s="4">
        <f>INDEX(Monthly!$U:$U,MATCH(H656,Monthly!$A:$A,0))</f>
        <v>261.335</v>
      </c>
    </row>
    <row r="657">
      <c r="A657" t="inlineStr">
        <is>
          <t xml:space="preserve">Ocotepeque — Ocotepeque department, town of Nueva Ocotepeque</t>
        </is>
      </c>
      <c r="B657" t="inlineStr">
        <is>
          <t xml:space="preserve">2017/18</t>
        </is>
      </c>
      <c r="C657" t="inlineStr">
        <is>
          <t xml:space="preserve">La Niña</t>
        </is>
      </c>
      <c r="D657" t="inlineStr">
        <is>
          <t xml:space="preserve">yes</t>
        </is>
      </c>
      <c r="E657" t="inlineStr">
        <is>
          <t xml:space="preserve">Oct</t>
        </is>
      </c>
      <c r="F657">
        <v>4</v>
      </c>
      <c r="G657">
        <v>2017</v>
      </c>
      <c r="H657" t="inlineStr">
        <is>
          <t xml:space="preserve">2017-10</t>
        </is>
      </c>
      <c r="I657" s="3">
        <f>INDEX(Monthly!$V:$V,MATCH(H657,Monthly!$A:$A,0))</f>
        <v>21.336774193548383</v>
      </c>
      <c r="J657" s="4">
        <f>INDEX(Monthly!$U:$U,MATCH(H657,Monthly!$A:$A,0))</f>
        <v>152.433</v>
      </c>
    </row>
    <row r="658">
      <c r="A658" t="inlineStr">
        <is>
          <t xml:space="preserve">Ocotepeque — Ocotepeque department, town of Nueva Ocotepeque</t>
        </is>
      </c>
      <c r="B658" t="inlineStr">
        <is>
          <t xml:space="preserve">2017/18</t>
        </is>
      </c>
      <c r="C658" t="inlineStr">
        <is>
          <t xml:space="preserve">La Niña</t>
        </is>
      </c>
      <c r="D658" t="inlineStr">
        <is>
          <t xml:space="preserve">yes</t>
        </is>
      </c>
      <c r="E658" t="inlineStr">
        <is>
          <t xml:space="preserve">Nov</t>
        </is>
      </c>
      <c r="F658">
        <v>5</v>
      </c>
      <c r="G658">
        <v>2017</v>
      </c>
      <c r="H658" t="inlineStr">
        <is>
          <t xml:space="preserve">2017-11</t>
        </is>
      </c>
      <c r="I658" s="3">
        <f>INDEX(Monthly!$V:$V,MATCH(H658,Monthly!$A:$A,0))</f>
        <v>19.644000000000002</v>
      </c>
      <c r="J658" s="4">
        <f>INDEX(Monthly!$U:$U,MATCH(H658,Monthly!$A:$A,0))</f>
        <v>15.103</v>
      </c>
    </row>
    <row r="659">
      <c r="A659" t="inlineStr">
        <is>
          <t xml:space="preserve">Ocotepeque — Ocotepeque department, town of Nueva Ocotepeque</t>
        </is>
      </c>
      <c r="B659" t="inlineStr">
        <is>
          <t xml:space="preserve">2017/18</t>
        </is>
      </c>
      <c r="C659" t="inlineStr">
        <is>
          <t xml:space="preserve">La Niña</t>
        </is>
      </c>
      <c r="D659" t="inlineStr">
        <is>
          <t xml:space="preserve">yes</t>
        </is>
      </c>
      <c r="E659" t="inlineStr">
        <is>
          <t xml:space="preserve">Dec</t>
        </is>
      </c>
      <c r="F659">
        <v>6</v>
      </c>
      <c r="G659">
        <v>2017</v>
      </c>
      <c r="H659" t="inlineStr">
        <is>
          <t xml:space="preserve">2017-12</t>
        </is>
      </c>
      <c r="I659" s="3">
        <f>INDEX(Monthly!$V:$V,MATCH(H659,Monthly!$A:$A,0))</f>
        <v>18.733870967741936</v>
      </c>
      <c r="J659" s="4">
        <f>INDEX(Monthly!$U:$U,MATCH(H659,Monthly!$A:$A,0))</f>
        <v>11.004</v>
      </c>
    </row>
    <row r="660">
      <c r="A660" t="inlineStr">
        <is>
          <t xml:space="preserve">Ocotepeque — Ocotepeque department, town of Nueva Ocotepeque</t>
        </is>
      </c>
      <c r="B660" t="inlineStr">
        <is>
          <t xml:space="preserve">2017/18</t>
        </is>
      </c>
      <c r="C660" t="inlineStr">
        <is>
          <t xml:space="preserve">La Niña</t>
        </is>
      </c>
      <c r="D660" t="inlineStr">
        <is>
          <t xml:space="preserve">yes</t>
        </is>
      </c>
      <c r="E660" t="inlineStr">
        <is>
          <t xml:space="preserve">Jan</t>
        </is>
      </c>
      <c r="F660">
        <v>7</v>
      </c>
      <c r="G660">
        <v>2018</v>
      </c>
      <c r="H660" t="inlineStr">
        <is>
          <t xml:space="preserve">2018-01</t>
        </is>
      </c>
      <c r="I660" s="3">
        <f>INDEX(Monthly!$V:$V,MATCH(H660,Monthly!$A:$A,0))</f>
        <v>18.040322580645164</v>
      </c>
      <c r="J660" s="4">
        <f>INDEX(Monthly!$U:$U,MATCH(H660,Monthly!$A:$A,0))</f>
        <v>21.208</v>
      </c>
    </row>
    <row r="661">
      <c r="A661" t="inlineStr">
        <is>
          <t xml:space="preserve">Ocotepeque — Ocotepeque department, town of Nueva Ocotepeque</t>
        </is>
      </c>
      <c r="B661" t="inlineStr">
        <is>
          <t xml:space="preserve">2017/18</t>
        </is>
      </c>
      <c r="C661" t="inlineStr">
        <is>
          <t xml:space="preserve">La Niña</t>
        </is>
      </c>
      <c r="D661" t="inlineStr">
        <is>
          <t xml:space="preserve">yes</t>
        </is>
      </c>
      <c r="E661" t="inlineStr">
        <is>
          <t xml:space="preserve">Feb</t>
        </is>
      </c>
      <c r="F661">
        <v>8</v>
      </c>
      <c r="G661">
        <v>2018</v>
      </c>
      <c r="H661" t="inlineStr">
        <is>
          <t xml:space="preserve">2018-02</t>
        </is>
      </c>
      <c r="I661" s="3">
        <f>INDEX(Monthly!$V:$V,MATCH(H661,Monthly!$A:$A,0))</f>
        <v>21.215714285714288</v>
      </c>
      <c r="J661" s="4">
        <f>INDEX(Monthly!$U:$U,MATCH(H661,Monthly!$A:$A,0))</f>
        <v>13.424</v>
      </c>
    </row>
    <row r="662">
      <c r="A662" t="inlineStr">
        <is>
          <t xml:space="preserve">Ocotepeque — Ocotepeque department, town of Nueva Ocotepeque</t>
        </is>
      </c>
      <c r="B662" t="inlineStr">
        <is>
          <t xml:space="preserve">2017/18</t>
        </is>
      </c>
      <c r="C662" t="inlineStr">
        <is>
          <t xml:space="preserve">La Niña</t>
        </is>
      </c>
      <c r="D662" t="inlineStr">
        <is>
          <t xml:space="preserve">yes</t>
        </is>
      </c>
      <c r="E662" t="inlineStr">
        <is>
          <t xml:space="preserve">Mar</t>
        </is>
      </c>
      <c r="F662">
        <v>9</v>
      </c>
      <c r="G662">
        <v>2018</v>
      </c>
      <c r="H662" t="inlineStr">
        <is>
          <t xml:space="preserve">2018-03</t>
        </is>
      </c>
      <c r="I662" s="3">
        <f>INDEX(Monthly!$V:$V,MATCH(H662,Monthly!$A:$A,0))</f>
        <v>23.707419354838706</v>
      </c>
      <c r="J662" s="4">
        <f>INDEX(Monthly!$U:$U,MATCH(H662,Monthly!$A:$A,0))</f>
        <v>4.261</v>
      </c>
    </row>
    <row r="663">
      <c r="A663" t="inlineStr">
        <is>
          <t xml:space="preserve">Ocotepeque — Ocotepeque department, town of Nueva Ocotepeque</t>
        </is>
      </c>
      <c r="B663" t="inlineStr">
        <is>
          <t xml:space="preserve">2017/18</t>
        </is>
      </c>
      <c r="C663" t="inlineStr">
        <is>
          <t xml:space="preserve">La Niña</t>
        </is>
      </c>
      <c r="D663" t="inlineStr">
        <is>
          <t xml:space="preserve">yes</t>
        </is>
      </c>
      <c r="E663" t="inlineStr">
        <is>
          <t xml:space="preserve">Apr</t>
        </is>
      </c>
      <c r="F663">
        <v>10</v>
      </c>
      <c r="G663">
        <v>2018</v>
      </c>
      <c r="H663" t="inlineStr">
        <is>
          <t xml:space="preserve">2018-04</t>
        </is>
      </c>
      <c r="I663" s="3">
        <f>INDEX(Monthly!$V:$V,MATCH(H663,Monthly!$A:$A,0))</f>
        <v>24.450999999999997</v>
      </c>
      <c r="J663" s="4">
        <f>INDEX(Monthly!$U:$U,MATCH(H663,Monthly!$A:$A,0))</f>
        <v>122.293</v>
      </c>
    </row>
    <row r="664">
      <c r="A664" t="inlineStr">
        <is>
          <t xml:space="preserve">Ocotepeque — Ocotepeque department, town of Nueva Ocotepeque</t>
        </is>
      </c>
      <c r="B664" t="inlineStr">
        <is>
          <t xml:space="preserve">2017/18</t>
        </is>
      </c>
      <c r="C664" t="inlineStr">
        <is>
          <t xml:space="preserve">La Niña</t>
        </is>
      </c>
      <c r="D664" t="inlineStr">
        <is>
          <t xml:space="preserve">yes</t>
        </is>
      </c>
      <c r="E664" t="inlineStr">
        <is>
          <t xml:space="preserve">May</t>
        </is>
      </c>
      <c r="F664">
        <v>11</v>
      </c>
      <c r="G664">
        <v>2018</v>
      </c>
      <c r="H664" t="inlineStr">
        <is>
          <t xml:space="preserve">2018-05</t>
        </is>
      </c>
      <c r="I664" s="3">
        <f>INDEX(Monthly!$V:$V,MATCH(H664,Monthly!$A:$A,0))</f>
        <v>24.32612903225807</v>
      </c>
      <c r="J664" s="4">
        <f>INDEX(Monthly!$U:$U,MATCH(H664,Monthly!$A:$A,0))</f>
        <v>188.437</v>
      </c>
    </row>
    <row r="665">
      <c r="A665" t="inlineStr">
        <is>
          <t xml:space="preserve">Ocotepeque — Ocotepeque department, town of Nueva Ocotepeque</t>
        </is>
      </c>
      <c r="B665" t="inlineStr">
        <is>
          <t xml:space="preserve">2017/18</t>
        </is>
      </c>
      <c r="C665" t="inlineStr">
        <is>
          <t xml:space="preserve">La Niña</t>
        </is>
      </c>
      <c r="D665" t="inlineStr">
        <is>
          <t xml:space="preserve">yes</t>
        </is>
      </c>
      <c r="E665" t="inlineStr">
        <is>
          <t xml:space="preserve">Jun</t>
        </is>
      </c>
      <c r="F665">
        <v>12</v>
      </c>
      <c r="G665">
        <v>2018</v>
      </c>
      <c r="H665" t="inlineStr">
        <is>
          <t xml:space="preserve">2018-06</t>
        </is>
      </c>
      <c r="I665" s="3">
        <f>INDEX(Monthly!$V:$V,MATCH(H665,Monthly!$A:$A,0))</f>
        <v>22.76366666666667</v>
      </c>
      <c r="J665" s="4">
        <f>INDEX(Monthly!$U:$U,MATCH(H665,Monthly!$A:$A,0))</f>
        <v>183.928</v>
      </c>
    </row>
    <row r="666">
      <c r="A666" t="inlineStr">
        <is>
          <t xml:space="preserve">Ocotepeque — Ocotepeque department, town of Nueva Ocotepeque</t>
        </is>
      </c>
      <c r="B666" t="inlineStr">
        <is>
          <t xml:space="preserve">2018/19</t>
        </is>
      </c>
      <c r="C666" t="inlineStr">
        <is>
          <t xml:space="preserve">El Niño</t>
        </is>
      </c>
      <c r="D666" t="inlineStr">
        <is>
          <t xml:space="preserve">yes</t>
        </is>
      </c>
      <c r="E666" t="inlineStr">
        <is>
          <t xml:space="preserve">Jul</t>
        </is>
      </c>
      <c r="F666">
        <v>1</v>
      </c>
      <c r="G666">
        <v>2018</v>
      </c>
      <c r="H666" t="inlineStr">
        <is>
          <t xml:space="preserve">2018-07</t>
        </is>
      </c>
      <c r="I666" s="3">
        <f>INDEX(Monthly!$V:$V,MATCH(H666,Monthly!$A:$A,0))</f>
        <v>22.960322580645162</v>
      </c>
      <c r="J666" s="4">
        <f>INDEX(Monthly!$U:$U,MATCH(H666,Monthly!$A:$A,0))</f>
        <v>104.002</v>
      </c>
    </row>
    <row r="667">
      <c r="A667" t="inlineStr">
        <is>
          <t xml:space="preserve">Ocotepeque — Ocotepeque department, town of Nueva Ocotepeque</t>
        </is>
      </c>
      <c r="B667" t="inlineStr">
        <is>
          <t xml:space="preserve">2018/19</t>
        </is>
      </c>
      <c r="C667" t="inlineStr">
        <is>
          <t xml:space="preserve">El Niño</t>
        </is>
      </c>
      <c r="D667" t="inlineStr">
        <is>
          <t xml:space="preserve">yes</t>
        </is>
      </c>
      <c r="E667" t="inlineStr">
        <is>
          <t xml:space="preserve">Aug</t>
        </is>
      </c>
      <c r="F667">
        <v>2</v>
      </c>
      <c r="G667">
        <v>2018</v>
      </c>
      <c r="H667" t="inlineStr">
        <is>
          <t xml:space="preserve">2018-08</t>
        </is>
      </c>
      <c r="I667" s="3">
        <f>INDEX(Monthly!$V:$V,MATCH(H667,Monthly!$A:$A,0))</f>
        <v>22.738709677419358</v>
      </c>
      <c r="J667" s="4">
        <f>INDEX(Monthly!$U:$U,MATCH(H667,Monthly!$A:$A,0))</f>
        <v>319.697</v>
      </c>
    </row>
    <row r="668">
      <c r="A668" t="inlineStr">
        <is>
          <t xml:space="preserve">Ocotepeque — Ocotepeque department, town of Nueva Ocotepeque</t>
        </is>
      </c>
      <c r="B668" t="inlineStr">
        <is>
          <t xml:space="preserve">2018/19</t>
        </is>
      </c>
      <c r="C668" t="inlineStr">
        <is>
          <t xml:space="preserve">El Niño</t>
        </is>
      </c>
      <c r="D668" t="inlineStr">
        <is>
          <t xml:space="preserve">yes</t>
        </is>
      </c>
      <c r="E668" t="inlineStr">
        <is>
          <t xml:space="preserve">Sep</t>
        </is>
      </c>
      <c r="F668">
        <v>3</v>
      </c>
      <c r="G668">
        <v>2018</v>
      </c>
      <c r="H668" t="inlineStr">
        <is>
          <t xml:space="preserve">2018-09</t>
        </is>
      </c>
      <c r="I668" s="3">
        <f>INDEX(Monthly!$V:$V,MATCH(H668,Monthly!$A:$A,0))</f>
        <v>22.605333333333327</v>
      </c>
      <c r="J668" s="4">
        <f>INDEX(Monthly!$U:$U,MATCH(H668,Monthly!$A:$A,0))</f>
        <v>238.022</v>
      </c>
    </row>
    <row r="669">
      <c r="A669" t="inlineStr">
        <is>
          <t xml:space="preserve">Ocotepeque — Ocotepeque department, town of Nueva Ocotepeque</t>
        </is>
      </c>
      <c r="B669" t="inlineStr">
        <is>
          <t xml:space="preserve">2018/19</t>
        </is>
      </c>
      <c r="C669" t="inlineStr">
        <is>
          <t xml:space="preserve">El Niño</t>
        </is>
      </c>
      <c r="D669" t="inlineStr">
        <is>
          <t xml:space="preserve">yes</t>
        </is>
      </c>
      <c r="E669" t="inlineStr">
        <is>
          <t xml:space="preserve">Oct</t>
        </is>
      </c>
      <c r="F669">
        <v>4</v>
      </c>
      <c r="G669">
        <v>2018</v>
      </c>
      <c r="H669" t="inlineStr">
        <is>
          <t xml:space="preserve">2018-10</t>
        </is>
      </c>
      <c r="I669" s="3">
        <f>INDEX(Monthly!$V:$V,MATCH(H669,Monthly!$A:$A,0))</f>
        <v>21.554193548387097</v>
      </c>
      <c r="J669" s="4">
        <f>INDEX(Monthly!$U:$U,MATCH(H669,Monthly!$A:$A,0))</f>
        <v>131.118</v>
      </c>
    </row>
    <row r="670">
      <c r="A670" t="inlineStr">
        <is>
          <t xml:space="preserve">Ocotepeque — Ocotepeque department, town of Nueva Ocotepeque</t>
        </is>
      </c>
      <c r="B670" t="inlineStr">
        <is>
          <t xml:space="preserve">2018/19</t>
        </is>
      </c>
      <c r="C670" t="inlineStr">
        <is>
          <t xml:space="preserve">El Niño</t>
        </is>
      </c>
      <c r="D670" t="inlineStr">
        <is>
          <t xml:space="preserve">yes</t>
        </is>
      </c>
      <c r="E670" t="inlineStr">
        <is>
          <t xml:space="preserve">Nov</t>
        </is>
      </c>
      <c r="F670">
        <v>5</v>
      </c>
      <c r="G670">
        <v>2018</v>
      </c>
      <c r="H670" t="inlineStr">
        <is>
          <t xml:space="preserve">2018-11</t>
        </is>
      </c>
      <c r="I670" s="3">
        <f>INDEX(Monthly!$V:$V,MATCH(H670,Monthly!$A:$A,0))</f>
        <v>21.411666666666665</v>
      </c>
      <c r="J670" s="4">
        <f>INDEX(Monthly!$U:$U,MATCH(H670,Monthly!$A:$A,0))</f>
        <v>44.65</v>
      </c>
    </row>
    <row r="671">
      <c r="A671" t="inlineStr">
        <is>
          <t xml:space="preserve">Ocotepeque — Ocotepeque department, town of Nueva Ocotepeque</t>
        </is>
      </c>
      <c r="B671" t="inlineStr">
        <is>
          <t xml:space="preserve">2018/19</t>
        </is>
      </c>
      <c r="C671" t="inlineStr">
        <is>
          <t xml:space="preserve">El Niño</t>
        </is>
      </c>
      <c r="D671" t="inlineStr">
        <is>
          <t xml:space="preserve">yes</t>
        </is>
      </c>
      <c r="E671" t="inlineStr">
        <is>
          <t xml:space="preserve">Dec</t>
        </is>
      </c>
      <c r="F671">
        <v>6</v>
      </c>
      <c r="G671">
        <v>2018</v>
      </c>
      <c r="H671" t="inlineStr">
        <is>
          <t xml:space="preserve">2018-12</t>
        </is>
      </c>
      <c r="I671" s="3">
        <f>INDEX(Monthly!$V:$V,MATCH(H671,Monthly!$A:$A,0))</f>
        <v>20.437419354838706</v>
      </c>
      <c r="J671" s="4">
        <f>INDEX(Monthly!$U:$U,MATCH(H671,Monthly!$A:$A,0))</f>
        <v>15.356</v>
      </c>
    </row>
    <row r="672">
      <c r="A672" t="inlineStr">
        <is>
          <t xml:space="preserve">Ocotepeque — Ocotepeque department, town of Nueva Ocotepeque</t>
        </is>
      </c>
      <c r="B672" t="inlineStr">
        <is>
          <t xml:space="preserve">2018/19</t>
        </is>
      </c>
      <c r="C672" t="inlineStr">
        <is>
          <t xml:space="preserve">El Niño</t>
        </is>
      </c>
      <c r="D672" t="inlineStr">
        <is>
          <t xml:space="preserve">yes</t>
        </is>
      </c>
      <c r="E672" t="inlineStr">
        <is>
          <t xml:space="preserve">Jan</t>
        </is>
      </c>
      <c r="F672">
        <v>7</v>
      </c>
      <c r="G672">
        <v>2019</v>
      </c>
      <c r="H672" t="inlineStr">
        <is>
          <t xml:space="preserve">2019-01</t>
        </is>
      </c>
      <c r="I672" s="3">
        <f>INDEX(Monthly!$V:$V,MATCH(H672,Monthly!$A:$A,0))</f>
        <v>20.75483870967742</v>
      </c>
      <c r="J672" s="4">
        <f>INDEX(Monthly!$U:$U,MATCH(H672,Monthly!$A:$A,0))</f>
        <v>10.609</v>
      </c>
    </row>
    <row r="673">
      <c r="A673" t="inlineStr">
        <is>
          <t xml:space="preserve">Ocotepeque — Ocotepeque department, town of Nueva Ocotepeque</t>
        </is>
      </c>
      <c r="B673" t="inlineStr">
        <is>
          <t xml:space="preserve">2018/19</t>
        </is>
      </c>
      <c r="C673" t="inlineStr">
        <is>
          <t xml:space="preserve">El Niño</t>
        </is>
      </c>
      <c r="D673" t="inlineStr">
        <is>
          <t xml:space="preserve">yes</t>
        </is>
      </c>
      <c r="E673" t="inlineStr">
        <is>
          <t xml:space="preserve">Feb</t>
        </is>
      </c>
      <c r="F673">
        <v>8</v>
      </c>
      <c r="G673">
        <v>2019</v>
      </c>
      <c r="H673" t="inlineStr">
        <is>
          <t xml:space="preserve">2019-02</t>
        </is>
      </c>
      <c r="I673" s="3">
        <f>INDEX(Monthly!$V:$V,MATCH(H673,Monthly!$A:$A,0))</f>
        <v>23.53464285714286</v>
      </c>
      <c r="J673" s="4">
        <f>INDEX(Monthly!$U:$U,MATCH(H673,Monthly!$A:$A,0))</f>
        <v>6.47</v>
      </c>
    </row>
    <row r="674">
      <c r="A674" t="inlineStr">
        <is>
          <t xml:space="preserve">Ocotepeque — Ocotepeque department, town of Nueva Ocotepeque</t>
        </is>
      </c>
      <c r="B674" t="inlineStr">
        <is>
          <t xml:space="preserve">2018/19</t>
        </is>
      </c>
      <c r="C674" t="inlineStr">
        <is>
          <t xml:space="preserve">El Niño</t>
        </is>
      </c>
      <c r="D674" t="inlineStr">
        <is>
          <t xml:space="preserve">yes</t>
        </is>
      </c>
      <c r="E674" t="inlineStr">
        <is>
          <t xml:space="preserve">Mar</t>
        </is>
      </c>
      <c r="F674">
        <v>9</v>
      </c>
      <c r="G674">
        <v>2019</v>
      </c>
      <c r="H674" t="inlineStr">
        <is>
          <t xml:space="preserve">2019-03</t>
        </is>
      </c>
      <c r="I674" s="3">
        <f>INDEX(Monthly!$V:$V,MATCH(H674,Monthly!$A:$A,0))</f>
        <v>23.999032258064524</v>
      </c>
      <c r="J674" s="4">
        <f>INDEX(Monthly!$U:$U,MATCH(H674,Monthly!$A:$A,0))</f>
        <v>0.677</v>
      </c>
    </row>
    <row r="675">
      <c r="A675" t="inlineStr">
        <is>
          <t xml:space="preserve">Ocotepeque — Ocotepeque department, town of Nueva Ocotepeque</t>
        </is>
      </c>
      <c r="B675" t="inlineStr">
        <is>
          <t xml:space="preserve">2018/19</t>
        </is>
      </c>
      <c r="C675" t="inlineStr">
        <is>
          <t xml:space="preserve">El Niño</t>
        </is>
      </c>
      <c r="D675" t="inlineStr">
        <is>
          <t xml:space="preserve">yes</t>
        </is>
      </c>
      <c r="E675" t="inlineStr">
        <is>
          <t xml:space="preserve">Apr</t>
        </is>
      </c>
      <c r="F675">
        <v>10</v>
      </c>
      <c r="G675">
        <v>2019</v>
      </c>
      <c r="H675" t="inlineStr">
        <is>
          <t xml:space="preserve">2019-04</t>
        </is>
      </c>
      <c r="I675" s="3">
        <f>INDEX(Monthly!$V:$V,MATCH(H675,Monthly!$A:$A,0))</f>
        <v>25.737000000000005</v>
      </c>
      <c r="J675" s="4">
        <f>INDEX(Monthly!$U:$U,MATCH(H675,Monthly!$A:$A,0))</f>
        <v>21.552</v>
      </c>
    </row>
    <row r="676">
      <c r="A676" t="inlineStr">
        <is>
          <t xml:space="preserve">Ocotepeque — Ocotepeque department, town of Nueva Ocotepeque</t>
        </is>
      </c>
      <c r="B676" t="inlineStr">
        <is>
          <t xml:space="preserve">2018/19</t>
        </is>
      </c>
      <c r="C676" t="inlineStr">
        <is>
          <t xml:space="preserve">El Niño</t>
        </is>
      </c>
      <c r="D676" t="inlineStr">
        <is>
          <t xml:space="preserve">yes</t>
        </is>
      </c>
      <c r="E676" t="inlineStr">
        <is>
          <t xml:space="preserve">May</t>
        </is>
      </c>
      <c r="F676">
        <v>11</v>
      </c>
      <c r="G676">
        <v>2019</v>
      </c>
      <c r="H676" t="inlineStr">
        <is>
          <t xml:space="preserve">2019-05</t>
        </is>
      </c>
      <c r="I676" s="3">
        <f>INDEX(Monthly!$V:$V,MATCH(H676,Monthly!$A:$A,0))</f>
        <v>24.126451612903224</v>
      </c>
      <c r="J676" s="4">
        <f>INDEX(Monthly!$U:$U,MATCH(H676,Monthly!$A:$A,0))</f>
        <v>250.405</v>
      </c>
    </row>
    <row r="677">
      <c r="A677" t="inlineStr">
        <is>
          <t xml:space="preserve">Ocotepeque — Ocotepeque department, town of Nueva Ocotepeque</t>
        </is>
      </c>
      <c r="B677" t="inlineStr">
        <is>
          <t xml:space="preserve">2018/19</t>
        </is>
      </c>
      <c r="C677" t="inlineStr">
        <is>
          <t xml:space="preserve">El Niño</t>
        </is>
      </c>
      <c r="D677" t="inlineStr">
        <is>
          <t xml:space="preserve">yes</t>
        </is>
      </c>
      <c r="E677" t="inlineStr">
        <is>
          <t xml:space="preserve">Jun</t>
        </is>
      </c>
      <c r="F677">
        <v>12</v>
      </c>
      <c r="G677">
        <v>2019</v>
      </c>
      <c r="H677" t="inlineStr">
        <is>
          <t xml:space="preserve">2019-06</t>
        </is>
      </c>
      <c r="I677" s="3">
        <f>INDEX(Monthly!$V:$V,MATCH(H677,Monthly!$A:$A,0))</f>
        <v>23.679333333333325</v>
      </c>
      <c r="J677" s="4">
        <f>INDEX(Monthly!$U:$U,MATCH(H677,Monthly!$A:$A,0))</f>
        <v>134.204</v>
      </c>
    </row>
    <row r="678">
      <c r="A678" t="inlineStr">
        <is>
          <t xml:space="preserve">Ocotepeque — Ocotepeque department, town of Nueva Ocotepeque</t>
        </is>
      </c>
      <c r="B678" t="inlineStr">
        <is>
          <t xml:space="preserve">2019/20</t>
        </is>
      </c>
      <c r="C678" t="inlineStr">
        <is>
          <t xml:space="preserve">El Niño</t>
        </is>
      </c>
      <c r="D678" t="inlineStr">
        <is>
          <t xml:space="preserve">yes</t>
        </is>
      </c>
      <c r="E678" t="inlineStr">
        <is>
          <t xml:space="preserve">Jul</t>
        </is>
      </c>
      <c r="F678">
        <v>1</v>
      </c>
      <c r="G678">
        <v>2019</v>
      </c>
      <c r="H678" t="inlineStr">
        <is>
          <t xml:space="preserve">2019-07</t>
        </is>
      </c>
      <c r="I678" s="3">
        <f>INDEX(Monthly!$V:$V,MATCH(H678,Monthly!$A:$A,0))</f>
        <v>23.434838709677425</v>
      </c>
      <c r="J678" s="4">
        <f>INDEX(Monthly!$U:$U,MATCH(H678,Monthly!$A:$A,0))</f>
        <v>207.088</v>
      </c>
    </row>
    <row r="679">
      <c r="A679" t="inlineStr">
        <is>
          <t xml:space="preserve">Ocotepeque — Ocotepeque department, town of Nueva Ocotepeque</t>
        </is>
      </c>
      <c r="B679" t="inlineStr">
        <is>
          <t xml:space="preserve">2019/20</t>
        </is>
      </c>
      <c r="C679" t="inlineStr">
        <is>
          <t xml:space="preserve">El Niño</t>
        </is>
      </c>
      <c r="D679" t="inlineStr">
        <is>
          <t xml:space="preserve">yes</t>
        </is>
      </c>
      <c r="E679" t="inlineStr">
        <is>
          <t xml:space="preserve">Aug</t>
        </is>
      </c>
      <c r="F679">
        <v>2</v>
      </c>
      <c r="G679">
        <v>2019</v>
      </c>
      <c r="H679" t="inlineStr">
        <is>
          <t xml:space="preserve">2019-08</t>
        </is>
      </c>
      <c r="I679" s="3">
        <f>INDEX(Monthly!$V:$V,MATCH(H679,Monthly!$A:$A,0))</f>
        <v>23.713225806451614</v>
      </c>
      <c r="J679" s="4">
        <f>INDEX(Monthly!$U:$U,MATCH(H679,Monthly!$A:$A,0))</f>
        <v>216.069</v>
      </c>
    </row>
    <row r="680">
      <c r="A680" t="inlineStr">
        <is>
          <t xml:space="preserve">Ocotepeque — Ocotepeque department, town of Nueva Ocotepeque</t>
        </is>
      </c>
      <c r="B680" t="inlineStr">
        <is>
          <t xml:space="preserve">2019/20</t>
        </is>
      </c>
      <c r="C680" t="inlineStr">
        <is>
          <t xml:space="preserve">El Niño</t>
        </is>
      </c>
      <c r="D680" t="inlineStr">
        <is>
          <t xml:space="preserve">yes</t>
        </is>
      </c>
      <c r="E680" t="inlineStr">
        <is>
          <t xml:space="preserve">Sep</t>
        </is>
      </c>
      <c r="F680">
        <v>3</v>
      </c>
      <c r="G680">
        <v>2019</v>
      </c>
      <c r="H680" t="inlineStr">
        <is>
          <t xml:space="preserve">2019-09</t>
        </is>
      </c>
      <c r="I680" s="3">
        <f>INDEX(Monthly!$V:$V,MATCH(H680,Monthly!$A:$A,0))</f>
        <v>22.85166666666667</v>
      </c>
      <c r="J680" s="4">
        <f>INDEX(Monthly!$U:$U,MATCH(H680,Monthly!$A:$A,0))</f>
        <v>228.741</v>
      </c>
    </row>
    <row r="681">
      <c r="A681" t="inlineStr">
        <is>
          <t xml:space="preserve">Ocotepeque — Ocotepeque department, town of Nueva Ocotepeque</t>
        </is>
      </c>
      <c r="B681" t="inlineStr">
        <is>
          <t xml:space="preserve">2019/20</t>
        </is>
      </c>
      <c r="C681" t="inlineStr">
        <is>
          <t xml:space="preserve">El Niño</t>
        </is>
      </c>
      <c r="D681" t="inlineStr">
        <is>
          <t xml:space="preserve">yes</t>
        </is>
      </c>
      <c r="E681" t="inlineStr">
        <is>
          <t xml:space="preserve">Oct</t>
        </is>
      </c>
      <c r="F681">
        <v>4</v>
      </c>
      <c r="G681">
        <v>2019</v>
      </c>
      <c r="H681" t="inlineStr">
        <is>
          <t xml:space="preserve">2019-10</t>
        </is>
      </c>
      <c r="I681" s="3">
        <f>INDEX(Monthly!$V:$V,MATCH(H681,Monthly!$A:$A,0))</f>
        <v>22.385483870967747</v>
      </c>
      <c r="J681" s="4">
        <f>INDEX(Monthly!$U:$U,MATCH(H681,Monthly!$A:$A,0))</f>
        <v>225.823</v>
      </c>
    </row>
    <row r="682">
      <c r="A682" t="inlineStr">
        <is>
          <t xml:space="preserve">Ocotepeque — Ocotepeque department, town of Nueva Ocotepeque</t>
        </is>
      </c>
      <c r="B682" t="inlineStr">
        <is>
          <t xml:space="preserve">2019/20</t>
        </is>
      </c>
      <c r="C682" t="inlineStr">
        <is>
          <t xml:space="preserve">El Niño</t>
        </is>
      </c>
      <c r="D682" t="inlineStr">
        <is>
          <t xml:space="preserve">yes</t>
        </is>
      </c>
      <c r="E682" t="inlineStr">
        <is>
          <t xml:space="preserve">Nov</t>
        </is>
      </c>
      <c r="F682">
        <v>5</v>
      </c>
      <c r="G682">
        <v>2019</v>
      </c>
      <c r="H682" t="inlineStr">
        <is>
          <t xml:space="preserve">2019-11</t>
        </is>
      </c>
      <c r="I682" s="3">
        <f>INDEX(Monthly!$V:$V,MATCH(H682,Monthly!$A:$A,0))</f>
        <v>20.774333333333335</v>
      </c>
      <c r="J682" s="4">
        <f>INDEX(Monthly!$U:$U,MATCH(H682,Monthly!$A:$A,0))</f>
        <v>24.355</v>
      </c>
    </row>
    <row r="683">
      <c r="A683" t="inlineStr">
        <is>
          <t xml:space="preserve">Ocotepeque — Ocotepeque department, town of Nueva Ocotepeque</t>
        </is>
      </c>
      <c r="B683" t="inlineStr">
        <is>
          <t xml:space="preserve">2019/20</t>
        </is>
      </c>
      <c r="C683" t="inlineStr">
        <is>
          <t xml:space="preserve">El Niño</t>
        </is>
      </c>
      <c r="D683" t="inlineStr">
        <is>
          <t xml:space="preserve">yes</t>
        </is>
      </c>
      <c r="E683" t="inlineStr">
        <is>
          <t xml:space="preserve">Dec</t>
        </is>
      </c>
      <c r="F683">
        <v>6</v>
      </c>
      <c r="G683">
        <v>2019</v>
      </c>
      <c r="H683" t="inlineStr">
        <is>
          <t xml:space="preserve">2019-12</t>
        </is>
      </c>
      <c r="I683" s="3">
        <f>INDEX(Monthly!$V:$V,MATCH(H683,Monthly!$A:$A,0))</f>
        <v>19.970967741935485</v>
      </c>
      <c r="J683" s="4">
        <f>INDEX(Monthly!$U:$U,MATCH(H683,Monthly!$A:$A,0))</f>
        <v>15.344</v>
      </c>
    </row>
    <row r="684">
      <c r="A684" t="inlineStr">
        <is>
          <t xml:space="preserve">Ocotepeque — Ocotepeque department, town of Nueva Ocotepeque</t>
        </is>
      </c>
      <c r="B684" t="inlineStr">
        <is>
          <t xml:space="preserve">2019/20</t>
        </is>
      </c>
      <c r="C684" t="inlineStr">
        <is>
          <t xml:space="preserve">El Niño</t>
        </is>
      </c>
      <c r="D684" t="inlineStr">
        <is>
          <t xml:space="preserve">yes</t>
        </is>
      </c>
      <c r="E684" t="inlineStr">
        <is>
          <t xml:space="preserve">Jan</t>
        </is>
      </c>
      <c r="F684">
        <v>7</v>
      </c>
      <c r="G684">
        <v>2020</v>
      </c>
      <c r="H684" t="inlineStr">
        <is>
          <t xml:space="preserve">2020-01</t>
        </is>
      </c>
      <c r="I684" s="3">
        <f>INDEX(Monthly!$V:$V,MATCH(H684,Monthly!$A:$A,0))</f>
        <v>20.87</v>
      </c>
      <c r="J684" s="4">
        <f>INDEX(Monthly!$U:$U,MATCH(H684,Monthly!$A:$A,0))</f>
        <v>12.872</v>
      </c>
    </row>
    <row r="685">
      <c r="A685" t="inlineStr">
        <is>
          <t xml:space="preserve">Ocotepeque — Ocotepeque department, town of Nueva Ocotepeque</t>
        </is>
      </c>
      <c r="B685" t="inlineStr">
        <is>
          <t xml:space="preserve">2019/20</t>
        </is>
      </c>
      <c r="C685" t="inlineStr">
        <is>
          <t xml:space="preserve">El Niño</t>
        </is>
      </c>
      <c r="D685" t="inlineStr">
        <is>
          <t xml:space="preserve">yes</t>
        </is>
      </c>
      <c r="E685" t="inlineStr">
        <is>
          <t xml:space="preserve">Feb</t>
        </is>
      </c>
      <c r="F685">
        <v>8</v>
      </c>
      <c r="G685">
        <v>2020</v>
      </c>
      <c r="H685" t="inlineStr">
        <is>
          <t xml:space="preserve">2020-02</t>
        </is>
      </c>
      <c r="I685" s="3">
        <f>INDEX(Monthly!$V:$V,MATCH(H685,Monthly!$A:$A,0))</f>
        <v>22.32862068965517</v>
      </c>
      <c r="J685" s="4">
        <f>INDEX(Monthly!$U:$U,MATCH(H685,Monthly!$A:$A,0))</f>
        <v>8.3</v>
      </c>
    </row>
    <row r="686">
      <c r="A686" t="inlineStr">
        <is>
          <t xml:space="preserve">Ocotepeque — Ocotepeque department, town of Nueva Ocotepeque</t>
        </is>
      </c>
      <c r="B686" t="inlineStr">
        <is>
          <t xml:space="preserve">2019/20</t>
        </is>
      </c>
      <c r="C686" t="inlineStr">
        <is>
          <t xml:space="preserve">El Niño</t>
        </is>
      </c>
      <c r="D686" t="inlineStr">
        <is>
          <t xml:space="preserve">yes</t>
        </is>
      </c>
      <c r="E686" t="inlineStr">
        <is>
          <t xml:space="preserve">Mar</t>
        </is>
      </c>
      <c r="F686">
        <v>9</v>
      </c>
      <c r="G686">
        <v>2020</v>
      </c>
      <c r="H686" t="inlineStr">
        <is>
          <t xml:space="preserve">2020-03</t>
        </is>
      </c>
      <c r="I686" s="3">
        <f>INDEX(Monthly!$V:$V,MATCH(H686,Monthly!$A:$A,0))</f>
        <v>24.122258064516124</v>
      </c>
      <c r="J686" s="4">
        <f>INDEX(Monthly!$U:$U,MATCH(H686,Monthly!$A:$A,0))</f>
        <v>7.126</v>
      </c>
    </row>
    <row r="687">
      <c r="A687" t="inlineStr">
        <is>
          <t xml:space="preserve">Ocotepeque — Ocotepeque department, town of Nueva Ocotepeque</t>
        </is>
      </c>
      <c r="B687" t="inlineStr">
        <is>
          <t xml:space="preserve">2019/20</t>
        </is>
      </c>
      <c r="C687" t="inlineStr">
        <is>
          <t xml:space="preserve">El Niño</t>
        </is>
      </c>
      <c r="D687" t="inlineStr">
        <is>
          <t xml:space="preserve">yes</t>
        </is>
      </c>
      <c r="E687" t="inlineStr">
        <is>
          <t xml:space="preserve">Apr</t>
        </is>
      </c>
      <c r="F687">
        <v>10</v>
      </c>
      <c r="G687">
        <v>2020</v>
      </c>
      <c r="H687" t="inlineStr">
        <is>
          <t xml:space="preserve">2020-04</t>
        </is>
      </c>
      <c r="I687" s="3">
        <f>INDEX(Monthly!$V:$V,MATCH(H687,Monthly!$A:$A,0))</f>
        <v>27.169999999999995</v>
      </c>
      <c r="J687" s="4">
        <f>INDEX(Monthly!$U:$U,MATCH(H687,Monthly!$A:$A,0))</f>
        <v>7.135</v>
      </c>
    </row>
    <row r="688">
      <c r="A688" t="inlineStr">
        <is>
          <t xml:space="preserve">Ocotepeque — Ocotepeque department, town of Nueva Ocotepeque</t>
        </is>
      </c>
      <c r="B688" t="inlineStr">
        <is>
          <t xml:space="preserve">2019/20</t>
        </is>
      </c>
      <c r="C688" t="inlineStr">
        <is>
          <t xml:space="preserve">El Niño</t>
        </is>
      </c>
      <c r="D688" t="inlineStr">
        <is>
          <t xml:space="preserve">yes</t>
        </is>
      </c>
      <c r="E688" t="inlineStr">
        <is>
          <t xml:space="preserve">May</t>
        </is>
      </c>
      <c r="F688">
        <v>11</v>
      </c>
      <c r="G688">
        <v>2020</v>
      </c>
      <c r="H688" t="inlineStr">
        <is>
          <t xml:space="preserve">2020-05</t>
        </is>
      </c>
      <c r="I688" s="3">
        <f>INDEX(Monthly!$V:$V,MATCH(H688,Monthly!$A:$A,0))</f>
        <v>24.706774193548387</v>
      </c>
      <c r="J688" s="4">
        <f>INDEX(Monthly!$U:$U,MATCH(H688,Monthly!$A:$A,0))</f>
        <v>256.675</v>
      </c>
    </row>
    <row r="689">
      <c r="A689" t="inlineStr">
        <is>
          <t xml:space="preserve">Ocotepeque — Ocotepeque department, town of Nueva Ocotepeque</t>
        </is>
      </c>
      <c r="B689" t="inlineStr">
        <is>
          <t xml:space="preserve">2019/20</t>
        </is>
      </c>
      <c r="C689" t="inlineStr">
        <is>
          <t xml:space="preserve">El Niño</t>
        </is>
      </c>
      <c r="D689" t="inlineStr">
        <is>
          <t xml:space="preserve">yes</t>
        </is>
      </c>
      <c r="E689" t="inlineStr">
        <is>
          <t xml:space="preserve">Jun</t>
        </is>
      </c>
      <c r="F689">
        <v>12</v>
      </c>
      <c r="G689">
        <v>2020</v>
      </c>
      <c r="H689" t="inlineStr">
        <is>
          <t xml:space="preserve">2020-06</t>
        </is>
      </c>
      <c r="I689" s="3">
        <f>INDEX(Monthly!$V:$V,MATCH(H689,Monthly!$A:$A,0))</f>
        <v>22.972666666666672</v>
      </c>
      <c r="J689" s="4">
        <f>INDEX(Monthly!$U:$U,MATCH(H689,Monthly!$A:$A,0))</f>
        <v>198.805</v>
      </c>
    </row>
    <row r="690">
      <c r="A690" t="inlineStr">
        <is>
          <t xml:space="preserve">Ocotepeque — Ocotepeque department, town of Nueva Ocotepeque</t>
        </is>
      </c>
      <c r="B690" t="inlineStr">
        <is>
          <t xml:space="preserve">2020/21</t>
        </is>
      </c>
      <c r="C690" t="inlineStr">
        <is>
          <t xml:space="preserve">La Niña</t>
        </is>
      </c>
      <c r="D690" t="inlineStr">
        <is>
          <t xml:space="preserve">yes</t>
        </is>
      </c>
      <c r="E690" t="inlineStr">
        <is>
          <t xml:space="preserve">Jul</t>
        </is>
      </c>
      <c r="F690">
        <v>1</v>
      </c>
      <c r="G690">
        <v>2020</v>
      </c>
      <c r="H690" t="inlineStr">
        <is>
          <t xml:space="preserve">2020-07</t>
        </is>
      </c>
      <c r="I690" s="3">
        <f>INDEX(Monthly!$V:$V,MATCH(H690,Monthly!$A:$A,0))</f>
        <v>22.93967741935484</v>
      </c>
      <c r="J690" s="4">
        <f>INDEX(Monthly!$U:$U,MATCH(H690,Monthly!$A:$A,0))</f>
        <v>180.968</v>
      </c>
    </row>
    <row r="691">
      <c r="A691" t="inlineStr">
        <is>
          <t xml:space="preserve">Ocotepeque — Ocotepeque department, town of Nueva Ocotepeque</t>
        </is>
      </c>
      <c r="B691" t="inlineStr">
        <is>
          <t xml:space="preserve">2020/21</t>
        </is>
      </c>
      <c r="C691" t="inlineStr">
        <is>
          <t xml:space="preserve">La Niña</t>
        </is>
      </c>
      <c r="D691" t="inlineStr">
        <is>
          <t xml:space="preserve">yes</t>
        </is>
      </c>
      <c r="E691" t="inlineStr">
        <is>
          <t xml:space="preserve">Aug</t>
        </is>
      </c>
      <c r="F691">
        <v>2</v>
      </c>
      <c r="G691">
        <v>2020</v>
      </c>
      <c r="H691" t="inlineStr">
        <is>
          <t xml:space="preserve">2020-08</t>
        </is>
      </c>
      <c r="I691" s="3">
        <f>INDEX(Monthly!$V:$V,MATCH(H691,Monthly!$A:$A,0))</f>
        <v>22.55516129032258</v>
      </c>
      <c r="J691" s="4">
        <f>INDEX(Monthly!$U:$U,MATCH(H691,Monthly!$A:$A,0))</f>
        <v>211.345</v>
      </c>
    </row>
    <row r="692">
      <c r="A692" t="inlineStr">
        <is>
          <t xml:space="preserve">Ocotepeque — Ocotepeque department, town of Nueva Ocotepeque</t>
        </is>
      </c>
      <c r="B692" t="inlineStr">
        <is>
          <t xml:space="preserve">2020/21</t>
        </is>
      </c>
      <c r="C692" t="inlineStr">
        <is>
          <t xml:space="preserve">La Niña</t>
        </is>
      </c>
      <c r="D692" t="inlineStr">
        <is>
          <t xml:space="preserve">yes</t>
        </is>
      </c>
      <c r="E692" t="inlineStr">
        <is>
          <t xml:space="preserve">Sep</t>
        </is>
      </c>
      <c r="F692">
        <v>3</v>
      </c>
      <c r="G692">
        <v>2020</v>
      </c>
      <c r="H692" t="inlineStr">
        <is>
          <t xml:space="preserve">2020-09</t>
        </is>
      </c>
      <c r="I692" s="3">
        <f>INDEX(Monthly!$V:$V,MATCH(H692,Monthly!$A:$A,0))</f>
        <v>22.61733333333333</v>
      </c>
      <c r="J692" s="4">
        <f>INDEX(Monthly!$U:$U,MATCH(H692,Monthly!$A:$A,0))</f>
        <v>251.172</v>
      </c>
    </row>
    <row r="693">
      <c r="A693" t="inlineStr">
        <is>
          <t xml:space="preserve">Ocotepeque — Ocotepeque department, town of Nueva Ocotepeque</t>
        </is>
      </c>
      <c r="B693" t="inlineStr">
        <is>
          <t xml:space="preserve">2020/21</t>
        </is>
      </c>
      <c r="C693" t="inlineStr">
        <is>
          <t xml:space="preserve">La Niña</t>
        </is>
      </c>
      <c r="D693" t="inlineStr">
        <is>
          <t xml:space="preserve">yes</t>
        </is>
      </c>
      <c r="E693" t="inlineStr">
        <is>
          <t xml:space="preserve">Oct</t>
        </is>
      </c>
      <c r="F693">
        <v>4</v>
      </c>
      <c r="G693">
        <v>2020</v>
      </c>
      <c r="H693" t="inlineStr">
        <is>
          <t xml:space="preserve">2020-10</t>
        </is>
      </c>
      <c r="I693" s="3">
        <f>INDEX(Monthly!$V:$V,MATCH(H693,Monthly!$A:$A,0))</f>
        <v>21.922258064516125</v>
      </c>
      <c r="J693" s="4">
        <f>INDEX(Monthly!$U:$U,MATCH(H693,Monthly!$A:$A,0))</f>
        <v>154.544</v>
      </c>
    </row>
    <row r="694">
      <c r="A694" t="inlineStr">
        <is>
          <t xml:space="preserve">Ocotepeque — Ocotepeque department, town of Nueva Ocotepeque</t>
        </is>
      </c>
      <c r="B694" t="inlineStr">
        <is>
          <t xml:space="preserve">2020/21</t>
        </is>
      </c>
      <c r="C694" t="inlineStr">
        <is>
          <t xml:space="preserve">La Niña</t>
        </is>
      </c>
      <c r="D694" t="inlineStr">
        <is>
          <t xml:space="preserve">yes</t>
        </is>
      </c>
      <c r="E694" t="inlineStr">
        <is>
          <t xml:space="preserve">Nov</t>
        </is>
      </c>
      <c r="F694">
        <v>5</v>
      </c>
      <c r="G694">
        <v>2020</v>
      </c>
      <c r="H694" t="inlineStr">
        <is>
          <t xml:space="preserve">2020-11</t>
        </is>
      </c>
      <c r="I694" s="3">
        <f>INDEX(Monthly!$V:$V,MATCH(H694,Monthly!$A:$A,0))</f>
        <v>20.896333333333338</v>
      </c>
      <c r="J694" s="4">
        <f>INDEX(Monthly!$U:$U,MATCH(H694,Monthly!$A:$A,0))</f>
        <v>195.619</v>
      </c>
    </row>
    <row r="695">
      <c r="A695" t="inlineStr">
        <is>
          <t xml:space="preserve">Ocotepeque — Ocotepeque department, town of Nueva Ocotepeque</t>
        </is>
      </c>
      <c r="B695" t="inlineStr">
        <is>
          <t xml:space="preserve">2020/21</t>
        </is>
      </c>
      <c r="C695" t="inlineStr">
        <is>
          <t xml:space="preserve">La Niña</t>
        </is>
      </c>
      <c r="D695" t="inlineStr">
        <is>
          <t xml:space="preserve">yes</t>
        </is>
      </c>
      <c r="E695" t="inlineStr">
        <is>
          <t xml:space="preserve">Dec</t>
        </is>
      </c>
      <c r="F695">
        <v>6</v>
      </c>
      <c r="G695">
        <v>2020</v>
      </c>
      <c r="H695" t="inlineStr">
        <is>
          <t xml:space="preserve">2020-12</t>
        </is>
      </c>
      <c r="I695" s="3">
        <f>INDEX(Monthly!$V:$V,MATCH(H695,Monthly!$A:$A,0))</f>
        <v>19.304838709677416</v>
      </c>
      <c r="J695" s="4">
        <f>INDEX(Monthly!$U:$U,MATCH(H695,Monthly!$A:$A,0))</f>
        <v>6.775</v>
      </c>
    </row>
    <row r="696">
      <c r="A696" t="inlineStr">
        <is>
          <t xml:space="preserve">Ocotepeque — Ocotepeque department, town of Nueva Ocotepeque</t>
        </is>
      </c>
      <c r="B696" t="inlineStr">
        <is>
          <t xml:space="preserve">2020/21</t>
        </is>
      </c>
      <c r="C696" t="inlineStr">
        <is>
          <t xml:space="preserve">La Niña</t>
        </is>
      </c>
      <c r="D696" t="inlineStr">
        <is>
          <t xml:space="preserve">yes</t>
        </is>
      </c>
      <c r="E696" t="inlineStr">
        <is>
          <t xml:space="preserve">Jan</t>
        </is>
      </c>
      <c r="F696">
        <v>7</v>
      </c>
      <c r="G696">
        <v>2021</v>
      </c>
      <c r="H696" t="inlineStr">
        <is>
          <t xml:space="preserve">2021-01</t>
        </is>
      </c>
      <c r="I696" s="3">
        <f>INDEX(Monthly!$V:$V,MATCH(H696,Monthly!$A:$A,0))</f>
        <v>19.829677419354837</v>
      </c>
      <c r="J696" s="4">
        <f>INDEX(Monthly!$U:$U,MATCH(H696,Monthly!$A:$A,0))</f>
        <v>11.085</v>
      </c>
    </row>
    <row r="697">
      <c r="A697" t="inlineStr">
        <is>
          <t xml:space="preserve">Ocotepeque — Ocotepeque department, town of Nueva Ocotepeque</t>
        </is>
      </c>
      <c r="B697" t="inlineStr">
        <is>
          <t xml:space="preserve">2020/21</t>
        </is>
      </c>
      <c r="C697" t="inlineStr">
        <is>
          <t xml:space="preserve">La Niña</t>
        </is>
      </c>
      <c r="D697" t="inlineStr">
        <is>
          <t xml:space="preserve">yes</t>
        </is>
      </c>
      <c r="E697" t="inlineStr">
        <is>
          <t xml:space="preserve">Feb</t>
        </is>
      </c>
      <c r="F697">
        <v>8</v>
      </c>
      <c r="G697">
        <v>2021</v>
      </c>
      <c r="H697" t="inlineStr">
        <is>
          <t xml:space="preserve">2021-02</t>
        </is>
      </c>
      <c r="I697" s="3">
        <f>INDEX(Monthly!$V:$V,MATCH(H697,Monthly!$A:$A,0))</f>
        <v>20.227142857142862</v>
      </c>
      <c r="J697" s="4">
        <f>INDEX(Monthly!$U:$U,MATCH(H697,Monthly!$A:$A,0))</f>
        <v>19.94</v>
      </c>
    </row>
    <row r="698">
      <c r="A698" t="inlineStr">
        <is>
          <t xml:space="preserve">Ocotepeque — Ocotepeque department, town of Nueva Ocotepeque</t>
        </is>
      </c>
      <c r="B698" t="inlineStr">
        <is>
          <t xml:space="preserve">2020/21</t>
        </is>
      </c>
      <c r="C698" t="inlineStr">
        <is>
          <t xml:space="preserve">La Niña</t>
        </is>
      </c>
      <c r="D698" t="inlineStr">
        <is>
          <t xml:space="preserve">yes</t>
        </is>
      </c>
      <c r="E698" t="inlineStr">
        <is>
          <t xml:space="preserve">Mar</t>
        </is>
      </c>
      <c r="F698">
        <v>9</v>
      </c>
      <c r="G698">
        <v>2021</v>
      </c>
      <c r="H698" t="inlineStr">
        <is>
          <t xml:space="preserve">2021-03</t>
        </is>
      </c>
      <c r="I698" s="3">
        <f>INDEX(Monthly!$V:$V,MATCH(H698,Monthly!$A:$A,0))</f>
        <v>21.58903225806451</v>
      </c>
      <c r="J698" s="4">
        <f>INDEX(Monthly!$U:$U,MATCH(H698,Monthly!$A:$A,0))</f>
        <v>7.027</v>
      </c>
    </row>
    <row r="699">
      <c r="A699" t="inlineStr">
        <is>
          <t xml:space="preserve">Ocotepeque — Ocotepeque department, town of Nueva Ocotepeque</t>
        </is>
      </c>
      <c r="B699" t="inlineStr">
        <is>
          <t xml:space="preserve">2020/21</t>
        </is>
      </c>
      <c r="C699" t="inlineStr">
        <is>
          <t xml:space="preserve">La Niña</t>
        </is>
      </c>
      <c r="D699" t="inlineStr">
        <is>
          <t xml:space="preserve">yes</t>
        </is>
      </c>
      <c r="E699" t="inlineStr">
        <is>
          <t xml:space="preserve">Apr</t>
        </is>
      </c>
      <c r="F699">
        <v>10</v>
      </c>
      <c r="G699">
        <v>2021</v>
      </c>
      <c r="H699" t="inlineStr">
        <is>
          <t xml:space="preserve">2021-04</t>
        </is>
      </c>
      <c r="I699" s="3">
        <f>INDEX(Monthly!$V:$V,MATCH(H699,Monthly!$A:$A,0))</f>
        <v>23.193666666666672</v>
      </c>
      <c r="J699" s="4">
        <f>INDEX(Monthly!$U:$U,MATCH(H699,Monthly!$A:$A,0))</f>
        <v>41.586</v>
      </c>
    </row>
    <row r="700">
      <c r="A700" t="inlineStr">
        <is>
          <t xml:space="preserve">Ocotepeque — Ocotepeque department, town of Nueva Ocotepeque</t>
        </is>
      </c>
      <c r="B700" t="inlineStr">
        <is>
          <t xml:space="preserve">2020/21</t>
        </is>
      </c>
      <c r="C700" t="inlineStr">
        <is>
          <t xml:space="preserve">La Niña</t>
        </is>
      </c>
      <c r="D700" t="inlineStr">
        <is>
          <t xml:space="preserve">yes</t>
        </is>
      </c>
      <c r="E700" t="inlineStr">
        <is>
          <t xml:space="preserve">May</t>
        </is>
      </c>
      <c r="F700">
        <v>11</v>
      </c>
      <c r="G700">
        <v>2021</v>
      </c>
      <c r="H700" t="inlineStr">
        <is>
          <t xml:space="preserve">2021-05</t>
        </is>
      </c>
      <c r="I700" s="3">
        <f>INDEX(Monthly!$V:$V,MATCH(H700,Monthly!$A:$A,0))</f>
        <v>23.923225806451605</v>
      </c>
      <c r="J700" s="4">
        <f>INDEX(Monthly!$U:$U,MATCH(H700,Monthly!$A:$A,0))</f>
        <v>144.432</v>
      </c>
    </row>
    <row r="701">
      <c r="A701" t="inlineStr">
        <is>
          <t xml:space="preserve">Ocotepeque — Ocotepeque department, town of Nueva Ocotepeque</t>
        </is>
      </c>
      <c r="B701" t="inlineStr">
        <is>
          <t xml:space="preserve">2020/21</t>
        </is>
      </c>
      <c r="C701" t="inlineStr">
        <is>
          <t xml:space="preserve">La Niña</t>
        </is>
      </c>
      <c r="D701" t="inlineStr">
        <is>
          <t xml:space="preserve">yes</t>
        </is>
      </c>
      <c r="E701" t="inlineStr">
        <is>
          <t xml:space="preserve">Jun</t>
        </is>
      </c>
      <c r="F701">
        <v>12</v>
      </c>
      <c r="G701">
        <v>2021</v>
      </c>
      <c r="H701" t="inlineStr">
        <is>
          <t xml:space="preserve">2021-06</t>
        </is>
      </c>
      <c r="I701" s="3">
        <f>INDEX(Monthly!$V:$V,MATCH(H701,Monthly!$A:$A,0))</f>
        <v>22.863333333333337</v>
      </c>
      <c r="J701" s="4">
        <f>INDEX(Monthly!$U:$U,MATCH(H701,Monthly!$A:$A,0))</f>
        <v>307.854</v>
      </c>
    </row>
    <row r="702">
      <c r="A702" t="inlineStr">
        <is>
          <t xml:space="preserve">Ocotepeque — Ocotepeque department, town of Nueva Ocotepeque</t>
        </is>
      </c>
      <c r="B702" t="inlineStr">
        <is>
          <t xml:space="preserve">2021/22</t>
        </is>
      </c>
      <c r="C702" t="inlineStr">
        <is>
          <t xml:space="preserve">La Niña</t>
        </is>
      </c>
      <c r="D702" t="inlineStr">
        <is>
          <t xml:space="preserve">yes</t>
        </is>
      </c>
      <c r="E702" t="inlineStr">
        <is>
          <t xml:space="preserve">Jul</t>
        </is>
      </c>
      <c r="F702">
        <v>1</v>
      </c>
      <c r="G702">
        <v>2021</v>
      </c>
      <c r="H702" t="inlineStr">
        <is>
          <t xml:space="preserve">2021-07</t>
        </is>
      </c>
      <c r="I702" s="3">
        <f>INDEX(Monthly!$V:$V,MATCH(H702,Monthly!$A:$A,0))</f>
        <v>22.62161290322581</v>
      </c>
      <c r="J702" s="4">
        <f>INDEX(Monthly!$U:$U,MATCH(H702,Monthly!$A:$A,0))</f>
        <v>160.959</v>
      </c>
    </row>
    <row r="703">
      <c r="A703" t="inlineStr">
        <is>
          <t xml:space="preserve">Ocotepeque — Ocotepeque department, town of Nueva Ocotepeque</t>
        </is>
      </c>
      <c r="B703" t="inlineStr">
        <is>
          <t xml:space="preserve">2021/22</t>
        </is>
      </c>
      <c r="C703" t="inlineStr">
        <is>
          <t xml:space="preserve">La Niña</t>
        </is>
      </c>
      <c r="D703" t="inlineStr">
        <is>
          <t xml:space="preserve">yes</t>
        </is>
      </c>
      <c r="E703" t="inlineStr">
        <is>
          <t xml:space="preserve">Aug</t>
        </is>
      </c>
      <c r="F703">
        <v>2</v>
      </c>
      <c r="G703">
        <v>2021</v>
      </c>
      <c r="H703" t="inlineStr">
        <is>
          <t xml:space="preserve">2021-08</t>
        </is>
      </c>
      <c r="I703" s="3">
        <f>INDEX(Monthly!$V:$V,MATCH(H703,Monthly!$A:$A,0))</f>
        <v>22.61774193548387</v>
      </c>
      <c r="J703" s="4">
        <f>INDEX(Monthly!$U:$U,MATCH(H703,Monthly!$A:$A,0))</f>
        <v>229.253</v>
      </c>
    </row>
    <row r="704">
      <c r="A704" t="inlineStr">
        <is>
          <t xml:space="preserve">Ocotepeque — Ocotepeque department, town of Nueva Ocotepeque</t>
        </is>
      </c>
      <c r="B704" t="inlineStr">
        <is>
          <t xml:space="preserve">2021/22</t>
        </is>
      </c>
      <c r="C704" t="inlineStr">
        <is>
          <t xml:space="preserve">La Niña</t>
        </is>
      </c>
      <c r="D704" t="inlineStr">
        <is>
          <t xml:space="preserve">yes</t>
        </is>
      </c>
      <c r="E704" t="inlineStr">
        <is>
          <t xml:space="preserve">Sep</t>
        </is>
      </c>
      <c r="F704">
        <v>3</v>
      </c>
      <c r="G704">
        <v>2021</v>
      </c>
      <c r="H704" t="inlineStr">
        <is>
          <t xml:space="preserve">2021-09</t>
        </is>
      </c>
      <c r="I704" s="3">
        <f>INDEX(Monthly!$V:$V,MATCH(H704,Monthly!$A:$A,0))</f>
        <v>22.564333333333334</v>
      </c>
      <c r="J704" s="4">
        <f>INDEX(Monthly!$U:$U,MATCH(H704,Monthly!$A:$A,0))</f>
        <v>167.768</v>
      </c>
    </row>
    <row r="705">
      <c r="A705" t="inlineStr">
        <is>
          <t xml:space="preserve">Ocotepeque — Ocotepeque department, town of Nueva Ocotepeque</t>
        </is>
      </c>
      <c r="B705" t="inlineStr">
        <is>
          <t xml:space="preserve">2021/22</t>
        </is>
      </c>
      <c r="C705" t="inlineStr">
        <is>
          <t xml:space="preserve">La Niña</t>
        </is>
      </c>
      <c r="D705" t="inlineStr">
        <is>
          <t xml:space="preserve">yes</t>
        </is>
      </c>
      <c r="E705" t="inlineStr">
        <is>
          <t xml:space="preserve">Oct</t>
        </is>
      </c>
      <c r="F705">
        <v>4</v>
      </c>
      <c r="G705">
        <v>2021</v>
      </c>
      <c r="H705" t="inlineStr">
        <is>
          <t xml:space="preserve">2021-10</t>
        </is>
      </c>
      <c r="I705" s="3">
        <f>INDEX(Monthly!$V:$V,MATCH(H705,Monthly!$A:$A,0))</f>
        <v>22.359999999999996</v>
      </c>
      <c r="J705" s="4">
        <f>INDEX(Monthly!$U:$U,MATCH(H705,Monthly!$A:$A,0))</f>
        <v>133.58</v>
      </c>
    </row>
    <row r="706">
      <c r="A706" t="inlineStr">
        <is>
          <t xml:space="preserve">Ocotepeque — Ocotepeque department, town of Nueva Ocotepeque</t>
        </is>
      </c>
      <c r="B706" t="inlineStr">
        <is>
          <t xml:space="preserve">2021/22</t>
        </is>
      </c>
      <c r="C706" t="inlineStr">
        <is>
          <t xml:space="preserve">La Niña</t>
        </is>
      </c>
      <c r="D706" t="inlineStr">
        <is>
          <t xml:space="preserve">yes</t>
        </is>
      </c>
      <c r="E706" t="inlineStr">
        <is>
          <t xml:space="preserve">Nov</t>
        </is>
      </c>
      <c r="F706">
        <v>5</v>
      </c>
      <c r="G706">
        <v>2021</v>
      </c>
      <c r="H706" t="inlineStr">
        <is>
          <t xml:space="preserve">2021-11</t>
        </is>
      </c>
      <c r="I706" s="3">
        <f>INDEX(Monthly!$V:$V,MATCH(H706,Monthly!$A:$A,0))</f>
        <v>19.473666666666666</v>
      </c>
      <c r="J706" s="4">
        <f>INDEX(Monthly!$U:$U,MATCH(H706,Monthly!$A:$A,0))</f>
        <v>13.11</v>
      </c>
    </row>
    <row r="707">
      <c r="A707" t="inlineStr">
        <is>
          <t xml:space="preserve">Ocotepeque — Ocotepeque department, town of Nueva Ocotepeque</t>
        </is>
      </c>
      <c r="B707" t="inlineStr">
        <is>
          <t xml:space="preserve">2021/22</t>
        </is>
      </c>
      <c r="C707" t="inlineStr">
        <is>
          <t xml:space="preserve">La Niña</t>
        </is>
      </c>
      <c r="D707" t="inlineStr">
        <is>
          <t xml:space="preserve">yes</t>
        </is>
      </c>
      <c r="E707" t="inlineStr">
        <is>
          <t xml:space="preserve">Dec</t>
        </is>
      </c>
      <c r="F707">
        <v>6</v>
      </c>
      <c r="G707">
        <v>2021</v>
      </c>
      <c r="H707" t="inlineStr">
        <is>
          <t xml:space="preserve">2021-12</t>
        </is>
      </c>
      <c r="I707" s="3">
        <f>INDEX(Monthly!$V:$V,MATCH(H707,Monthly!$A:$A,0))</f>
        <v>19.902903225806455</v>
      </c>
      <c r="J707" s="4">
        <f>INDEX(Monthly!$U:$U,MATCH(H707,Monthly!$A:$A,0))</f>
        <v>12.092</v>
      </c>
    </row>
    <row r="708">
      <c r="A708" t="inlineStr">
        <is>
          <t xml:space="preserve">Ocotepeque — Ocotepeque department, town of Nueva Ocotepeque</t>
        </is>
      </c>
      <c r="B708" t="inlineStr">
        <is>
          <t xml:space="preserve">2021/22</t>
        </is>
      </c>
      <c r="C708" t="inlineStr">
        <is>
          <t xml:space="preserve">La Niña</t>
        </is>
      </c>
      <c r="D708" t="inlineStr">
        <is>
          <t xml:space="preserve">yes</t>
        </is>
      </c>
      <c r="E708" t="inlineStr">
        <is>
          <t xml:space="preserve">Jan</t>
        </is>
      </c>
      <c r="F708">
        <v>7</v>
      </c>
      <c r="G708">
        <v>2022</v>
      </c>
      <c r="H708" t="inlineStr">
        <is>
          <t xml:space="preserve">2022-01</t>
        </is>
      </c>
      <c r="I708" s="3">
        <f>INDEX(Monthly!$V:$V,MATCH(H708,Monthly!$A:$A,0))</f>
        <v>19.203225806451613</v>
      </c>
      <c r="J708" s="4">
        <f>INDEX(Monthly!$U:$U,MATCH(H708,Monthly!$A:$A,0))</f>
        <v>13.49</v>
      </c>
    </row>
    <row r="709">
      <c r="A709" t="inlineStr">
        <is>
          <t xml:space="preserve">Ocotepeque — Ocotepeque department, town of Nueva Ocotepeque</t>
        </is>
      </c>
      <c r="B709" t="inlineStr">
        <is>
          <t xml:space="preserve">2021/22</t>
        </is>
      </c>
      <c r="C709" t="inlineStr">
        <is>
          <t xml:space="preserve">La Niña</t>
        </is>
      </c>
      <c r="D709" t="inlineStr">
        <is>
          <t xml:space="preserve">yes</t>
        </is>
      </c>
      <c r="E709" t="inlineStr">
        <is>
          <t xml:space="preserve">Feb</t>
        </is>
      </c>
      <c r="F709">
        <v>8</v>
      </c>
      <c r="G709">
        <v>2022</v>
      </c>
      <c r="H709" t="inlineStr">
        <is>
          <t xml:space="preserve">2022-02</t>
        </is>
      </c>
      <c r="I709" s="3">
        <f>INDEX(Monthly!$V:$V,MATCH(H709,Monthly!$A:$A,0))</f>
        <v>19.912499999999998</v>
      </c>
      <c r="J709" s="4">
        <f>INDEX(Monthly!$U:$U,MATCH(H709,Monthly!$A:$A,0))</f>
        <v>16.493</v>
      </c>
    </row>
    <row r="710">
      <c r="A710" t="inlineStr">
        <is>
          <t xml:space="preserve">Ocotepeque — Ocotepeque department, town of Nueva Ocotepeque</t>
        </is>
      </c>
      <c r="B710" t="inlineStr">
        <is>
          <t xml:space="preserve">2021/22</t>
        </is>
      </c>
      <c r="C710" t="inlineStr">
        <is>
          <t xml:space="preserve">La Niña</t>
        </is>
      </c>
      <c r="D710" t="inlineStr">
        <is>
          <t xml:space="preserve">yes</t>
        </is>
      </c>
      <c r="E710" t="inlineStr">
        <is>
          <t xml:space="preserve">Mar</t>
        </is>
      </c>
      <c r="F710">
        <v>9</v>
      </c>
      <c r="G710">
        <v>2022</v>
      </c>
      <c r="H710" t="inlineStr">
        <is>
          <t xml:space="preserve">2022-03</t>
        </is>
      </c>
      <c r="I710" s="3">
        <f>INDEX(Monthly!$V:$V,MATCH(H710,Monthly!$A:$A,0))</f>
        <v>21.44193548387097</v>
      </c>
      <c r="J710" s="4">
        <f>INDEX(Monthly!$U:$U,MATCH(H710,Monthly!$A:$A,0))</f>
        <v>30.209</v>
      </c>
    </row>
    <row r="711">
      <c r="A711" t="inlineStr">
        <is>
          <t xml:space="preserve">Ocotepeque — Ocotepeque department, town of Nueva Ocotepeque</t>
        </is>
      </c>
      <c r="B711" t="inlineStr">
        <is>
          <t xml:space="preserve">2021/22</t>
        </is>
      </c>
      <c r="C711" t="inlineStr">
        <is>
          <t xml:space="preserve">La Niña</t>
        </is>
      </c>
      <c r="D711" t="inlineStr">
        <is>
          <t xml:space="preserve">yes</t>
        </is>
      </c>
      <c r="E711" t="inlineStr">
        <is>
          <t xml:space="preserve">Apr</t>
        </is>
      </c>
      <c r="F711">
        <v>10</v>
      </c>
      <c r="G711">
        <v>2022</v>
      </c>
      <c r="H711" t="inlineStr">
        <is>
          <t xml:space="preserve">2022-04</t>
        </is>
      </c>
      <c r="I711" s="3">
        <f>INDEX(Monthly!$V:$V,MATCH(H711,Monthly!$A:$A,0))</f>
        <v>23.721666666666668</v>
      </c>
      <c r="J711" s="4">
        <f>INDEX(Monthly!$U:$U,MATCH(H711,Monthly!$A:$A,0))</f>
        <v>48.542</v>
      </c>
    </row>
    <row r="712">
      <c r="A712" t="inlineStr">
        <is>
          <t xml:space="preserve">Ocotepeque — Ocotepeque department, town of Nueva Ocotepeque</t>
        </is>
      </c>
      <c r="B712" t="inlineStr">
        <is>
          <t xml:space="preserve">2021/22</t>
        </is>
      </c>
      <c r="C712" t="inlineStr">
        <is>
          <t xml:space="preserve">La Niña</t>
        </is>
      </c>
      <c r="D712" t="inlineStr">
        <is>
          <t xml:space="preserve">yes</t>
        </is>
      </c>
      <c r="E712" t="inlineStr">
        <is>
          <t xml:space="preserve">May</t>
        </is>
      </c>
      <c r="F712">
        <v>11</v>
      </c>
      <c r="G712">
        <v>2022</v>
      </c>
      <c r="H712" t="inlineStr">
        <is>
          <t xml:space="preserve">2022-05</t>
        </is>
      </c>
      <c r="I712" s="3">
        <f>INDEX(Monthly!$V:$V,MATCH(H712,Monthly!$A:$A,0))</f>
        <v>22.856774193548382</v>
      </c>
      <c r="J712" s="4">
        <f>INDEX(Monthly!$U:$U,MATCH(H712,Monthly!$A:$A,0))</f>
        <v>111.351</v>
      </c>
    </row>
    <row r="713">
      <c r="A713" t="inlineStr">
        <is>
          <t xml:space="preserve">Ocotepeque — Ocotepeque department, town of Nueva Ocotepeque</t>
        </is>
      </c>
      <c r="B713" t="inlineStr">
        <is>
          <t xml:space="preserve">2021/22</t>
        </is>
      </c>
      <c r="C713" t="inlineStr">
        <is>
          <t xml:space="preserve">La Niña</t>
        </is>
      </c>
      <c r="D713" t="inlineStr">
        <is>
          <t xml:space="preserve">yes</t>
        </is>
      </c>
      <c r="E713" t="inlineStr">
        <is>
          <t xml:space="preserve">Jun</t>
        </is>
      </c>
      <c r="F713">
        <v>12</v>
      </c>
      <c r="G713">
        <v>2022</v>
      </c>
      <c r="H713" t="inlineStr">
        <is>
          <t xml:space="preserve">2022-06</t>
        </is>
      </c>
      <c r="I713" s="3">
        <f>INDEX(Monthly!$V:$V,MATCH(H713,Monthly!$A:$A,0))</f>
        <v>22.00766666666667</v>
      </c>
      <c r="J713" s="4">
        <f>INDEX(Monthly!$U:$U,MATCH(H713,Monthly!$A:$A,0))</f>
        <v>224.061</v>
      </c>
    </row>
    <row r="714">
      <c r="A714" t="inlineStr">
        <is>
          <t xml:space="preserve">Ocotepeque — Ocotepeque department, town of Nueva Ocotepeque</t>
        </is>
      </c>
      <c r="B714" t="inlineStr">
        <is>
          <t xml:space="preserve">2022/23</t>
        </is>
      </c>
      <c r="C714" t="inlineStr">
        <is>
          <t xml:space="preserve">La Niña</t>
        </is>
      </c>
      <c r="D714" t="inlineStr">
        <is>
          <t xml:space="preserve">yes</t>
        </is>
      </c>
      <c r="E714" t="inlineStr">
        <is>
          <t xml:space="preserve">Jul</t>
        </is>
      </c>
      <c r="F714">
        <v>1</v>
      </c>
      <c r="G714">
        <v>2022</v>
      </c>
      <c r="H714" t="inlineStr">
        <is>
          <t xml:space="preserve">2022-07</t>
        </is>
      </c>
      <c r="I714" s="3">
        <f>INDEX(Monthly!$V:$V,MATCH(H714,Monthly!$A:$A,0))</f>
        <v>22.505161290322576</v>
      </c>
      <c r="J714" s="4">
        <f>INDEX(Monthly!$U:$U,MATCH(H714,Monthly!$A:$A,0))</f>
        <v>210.152</v>
      </c>
    </row>
    <row r="715">
      <c r="A715" t="inlineStr">
        <is>
          <t xml:space="preserve">Ocotepeque — Ocotepeque department, town of Nueva Ocotepeque</t>
        </is>
      </c>
      <c r="B715" t="inlineStr">
        <is>
          <t xml:space="preserve">2022/23</t>
        </is>
      </c>
      <c r="C715" t="inlineStr">
        <is>
          <t xml:space="preserve">La Niña</t>
        </is>
      </c>
      <c r="D715" t="inlineStr">
        <is>
          <t xml:space="preserve">yes</t>
        </is>
      </c>
      <c r="E715" t="inlineStr">
        <is>
          <t xml:space="preserve">Aug</t>
        </is>
      </c>
      <c r="F715">
        <v>2</v>
      </c>
      <c r="G715">
        <v>2022</v>
      </c>
      <c r="H715" t="inlineStr">
        <is>
          <t xml:space="preserve">2022-08</t>
        </is>
      </c>
      <c r="I715" s="3">
        <f>INDEX(Monthly!$V:$V,MATCH(H715,Monthly!$A:$A,0))</f>
        <v>22.556451612903224</v>
      </c>
      <c r="J715" s="4">
        <f>INDEX(Monthly!$U:$U,MATCH(H715,Monthly!$A:$A,0))</f>
        <v>329.191</v>
      </c>
    </row>
    <row r="716">
      <c r="A716" t="inlineStr">
        <is>
          <t xml:space="preserve">Ocotepeque — Ocotepeque department, town of Nueva Ocotepeque</t>
        </is>
      </c>
      <c r="B716" t="inlineStr">
        <is>
          <t xml:space="preserve">2022/23</t>
        </is>
      </c>
      <c r="C716" t="inlineStr">
        <is>
          <t xml:space="preserve">La Niña</t>
        </is>
      </c>
      <c r="D716" t="inlineStr">
        <is>
          <t xml:space="preserve">yes</t>
        </is>
      </c>
      <c r="E716" t="inlineStr">
        <is>
          <t xml:space="preserve">Sep</t>
        </is>
      </c>
      <c r="F716">
        <v>3</v>
      </c>
      <c r="G716">
        <v>2022</v>
      </c>
      <c r="H716" t="inlineStr">
        <is>
          <t xml:space="preserve">2022-09</t>
        </is>
      </c>
      <c r="I716" s="3">
        <f>INDEX(Monthly!$V:$V,MATCH(H716,Monthly!$A:$A,0))</f>
        <v>22.271666666666672</v>
      </c>
      <c r="J716" s="4">
        <f>INDEX(Monthly!$U:$U,MATCH(H716,Monthly!$A:$A,0))</f>
        <v>235.141</v>
      </c>
    </row>
    <row r="717">
      <c r="A717" t="inlineStr">
        <is>
          <t xml:space="preserve">Ocotepeque — Ocotepeque department, town of Nueva Ocotepeque</t>
        </is>
      </c>
      <c r="B717" t="inlineStr">
        <is>
          <t xml:space="preserve">2022/23</t>
        </is>
      </c>
      <c r="C717" t="inlineStr">
        <is>
          <t xml:space="preserve">La Niña</t>
        </is>
      </c>
      <c r="D717" t="inlineStr">
        <is>
          <t xml:space="preserve">yes</t>
        </is>
      </c>
      <c r="E717" t="inlineStr">
        <is>
          <t xml:space="preserve">Oct</t>
        </is>
      </c>
      <c r="F717">
        <v>4</v>
      </c>
      <c r="G717">
        <v>2022</v>
      </c>
      <c r="H717" t="inlineStr">
        <is>
          <t xml:space="preserve">2022-10</t>
        </is>
      </c>
      <c r="I717" s="3">
        <f>INDEX(Monthly!$V:$V,MATCH(H717,Monthly!$A:$A,0))</f>
        <v>21.56451612903226</v>
      </c>
      <c r="J717" s="4">
        <f>INDEX(Monthly!$U:$U,MATCH(H717,Monthly!$A:$A,0))</f>
        <v>153.806</v>
      </c>
    </row>
    <row r="718">
      <c r="A718" t="inlineStr">
        <is>
          <t xml:space="preserve">Ocotepeque — Ocotepeque department, town of Nueva Ocotepeque</t>
        </is>
      </c>
      <c r="B718" t="inlineStr">
        <is>
          <t xml:space="preserve">2022/23</t>
        </is>
      </c>
      <c r="C718" t="inlineStr">
        <is>
          <t xml:space="preserve">La Niña</t>
        </is>
      </c>
      <c r="D718" t="inlineStr">
        <is>
          <t xml:space="preserve">yes</t>
        </is>
      </c>
      <c r="E718" t="inlineStr">
        <is>
          <t xml:space="preserve">Nov</t>
        </is>
      </c>
      <c r="F718">
        <v>5</v>
      </c>
      <c r="G718">
        <v>2022</v>
      </c>
      <c r="H718" t="inlineStr">
        <is>
          <t xml:space="preserve">2022-11</t>
        </is>
      </c>
      <c r="I718" s="3">
        <f>INDEX(Monthly!$V:$V,MATCH(H718,Monthly!$A:$A,0))</f>
        <v>21.09933333333333</v>
      </c>
      <c r="J718" s="4">
        <f>INDEX(Monthly!$U:$U,MATCH(H718,Monthly!$A:$A,0))</f>
        <v>51.526</v>
      </c>
    </row>
    <row r="719">
      <c r="A719" t="inlineStr">
        <is>
          <t xml:space="preserve">Ocotepeque — Ocotepeque department, town of Nueva Ocotepeque</t>
        </is>
      </c>
      <c r="B719" t="inlineStr">
        <is>
          <t xml:space="preserve">2022/23</t>
        </is>
      </c>
      <c r="C719" t="inlineStr">
        <is>
          <t xml:space="preserve">La Niña</t>
        </is>
      </c>
      <c r="D719" t="inlineStr">
        <is>
          <t xml:space="preserve">yes</t>
        </is>
      </c>
      <c r="E719" t="inlineStr">
        <is>
          <t xml:space="preserve">Dec</t>
        </is>
      </c>
      <c r="F719">
        <v>6</v>
      </c>
      <c r="G719">
        <v>2022</v>
      </c>
      <c r="H719" t="inlineStr">
        <is>
          <t xml:space="preserve">2022-12</t>
        </is>
      </c>
      <c r="I719" s="3">
        <f>INDEX(Monthly!$V:$V,MATCH(H719,Monthly!$A:$A,0))</f>
        <v>19.541935483870965</v>
      </c>
      <c r="J719" s="4">
        <f>INDEX(Monthly!$U:$U,MATCH(H719,Monthly!$A:$A,0))</f>
        <v>3.755</v>
      </c>
    </row>
    <row r="720">
      <c r="A720" t="inlineStr">
        <is>
          <t xml:space="preserve">Ocotepeque — Ocotepeque department, town of Nueva Ocotepeque</t>
        </is>
      </c>
      <c r="B720" t="inlineStr">
        <is>
          <t xml:space="preserve">2022/23</t>
        </is>
      </c>
      <c r="C720" t="inlineStr">
        <is>
          <t xml:space="preserve">La Niña</t>
        </is>
      </c>
      <c r="D720" t="inlineStr">
        <is>
          <t xml:space="preserve">yes</t>
        </is>
      </c>
      <c r="E720" t="inlineStr">
        <is>
          <t xml:space="preserve">Jan</t>
        </is>
      </c>
      <c r="F720">
        <v>7</v>
      </c>
      <c r="G720">
        <v>2023</v>
      </c>
      <c r="H720" t="inlineStr">
        <is>
          <t xml:space="preserve">2023-01</t>
        </is>
      </c>
      <c r="I720" s="3">
        <f>INDEX(Monthly!$V:$V,MATCH(H720,Monthly!$A:$A,0))</f>
        <v>19.673870967741934</v>
      </c>
      <c r="J720" s="4">
        <f>INDEX(Monthly!$U:$U,MATCH(H720,Monthly!$A:$A,0))</f>
        <v>4.77</v>
      </c>
    </row>
    <row r="721">
      <c r="A721" t="inlineStr">
        <is>
          <t xml:space="preserve">Ocotepeque — Ocotepeque department, town of Nueva Ocotepeque</t>
        </is>
      </c>
      <c r="B721" t="inlineStr">
        <is>
          <t xml:space="preserve">2022/23</t>
        </is>
      </c>
      <c r="C721" t="inlineStr">
        <is>
          <t xml:space="preserve">La Niña</t>
        </is>
      </c>
      <c r="D721" t="inlineStr">
        <is>
          <t xml:space="preserve">yes</t>
        </is>
      </c>
      <c r="E721" t="inlineStr">
        <is>
          <t xml:space="preserve">Feb</t>
        </is>
      </c>
      <c r="F721">
        <v>8</v>
      </c>
      <c r="G721">
        <v>2023</v>
      </c>
      <c r="H721" t="inlineStr">
        <is>
          <t xml:space="preserve">2023-02</t>
        </is>
      </c>
      <c r="I721" s="3">
        <f>INDEX(Monthly!$V:$V,MATCH(H721,Monthly!$A:$A,0))</f>
        <v>20.421785714285715</v>
      </c>
      <c r="J721" s="4">
        <f>INDEX(Monthly!$U:$U,MATCH(H721,Monthly!$A:$A,0))</f>
        <v>1.814</v>
      </c>
    </row>
    <row r="722">
      <c r="A722" t="inlineStr">
        <is>
          <t xml:space="preserve">Ocotepeque — Ocotepeque department, town of Nueva Ocotepeque</t>
        </is>
      </c>
      <c r="B722" t="inlineStr">
        <is>
          <t xml:space="preserve">2022/23</t>
        </is>
      </c>
      <c r="C722" t="inlineStr">
        <is>
          <t xml:space="preserve">La Niña</t>
        </is>
      </c>
      <c r="D722" t="inlineStr">
        <is>
          <t xml:space="preserve">yes</t>
        </is>
      </c>
      <c r="E722" t="inlineStr">
        <is>
          <t xml:space="preserve">Mar</t>
        </is>
      </c>
      <c r="F722">
        <v>9</v>
      </c>
      <c r="G722">
        <v>2023</v>
      </c>
      <c r="H722" t="inlineStr">
        <is>
          <t xml:space="preserve">2023-03</t>
        </is>
      </c>
      <c r="I722" s="3">
        <f>INDEX(Monthly!$V:$V,MATCH(H722,Monthly!$A:$A,0))</f>
        <v>23.065806451612904</v>
      </c>
      <c r="J722" s="4">
        <f>INDEX(Monthly!$U:$U,MATCH(H722,Monthly!$A:$A,0))</f>
        <v>7.259</v>
      </c>
    </row>
    <row r="723">
      <c r="A723" t="inlineStr">
        <is>
          <t xml:space="preserve">Ocotepeque — Ocotepeque department, town of Nueva Ocotepeque</t>
        </is>
      </c>
      <c r="B723" t="inlineStr">
        <is>
          <t xml:space="preserve">2022/23</t>
        </is>
      </c>
      <c r="C723" t="inlineStr">
        <is>
          <t xml:space="preserve">La Niña</t>
        </is>
      </c>
      <c r="D723" t="inlineStr">
        <is>
          <t xml:space="preserve">yes</t>
        </is>
      </c>
      <c r="E723" t="inlineStr">
        <is>
          <t xml:space="preserve">Apr</t>
        </is>
      </c>
      <c r="F723">
        <v>10</v>
      </c>
      <c r="G723">
        <v>2023</v>
      </c>
      <c r="H723" t="inlineStr">
        <is>
          <t xml:space="preserve">2023-04</t>
        </is>
      </c>
      <c r="I723" s="3">
        <f>INDEX(Monthly!$V:$V,MATCH(H723,Monthly!$A:$A,0))</f>
        <v>25.00533333333334</v>
      </c>
      <c r="J723" s="4">
        <f>INDEX(Monthly!$U:$U,MATCH(H723,Monthly!$A:$A,0))</f>
        <v>19.734</v>
      </c>
    </row>
    <row r="724">
      <c r="A724" t="inlineStr">
        <is>
          <t xml:space="preserve">Ocotepeque — Ocotepeque department, town of Nueva Ocotepeque</t>
        </is>
      </c>
      <c r="B724" t="inlineStr">
        <is>
          <t xml:space="preserve">2022/23</t>
        </is>
      </c>
      <c r="C724" t="inlineStr">
        <is>
          <t xml:space="preserve">La Niña</t>
        </is>
      </c>
      <c r="D724" t="inlineStr">
        <is>
          <t xml:space="preserve">yes</t>
        </is>
      </c>
      <c r="E724" t="inlineStr">
        <is>
          <t xml:space="preserve">May</t>
        </is>
      </c>
      <c r="F724">
        <v>11</v>
      </c>
      <c r="G724">
        <v>2023</v>
      </c>
      <c r="H724" t="inlineStr">
        <is>
          <t xml:space="preserve">2023-05</t>
        </is>
      </c>
      <c r="I724" s="3">
        <f>INDEX(Monthly!$V:$V,MATCH(H724,Monthly!$A:$A,0))</f>
        <v>25.86806451612903</v>
      </c>
      <c r="J724" s="4">
        <f>INDEX(Monthly!$U:$U,MATCH(H724,Monthly!$A:$A,0))</f>
        <v>71.927</v>
      </c>
    </row>
    <row r="725">
      <c r="A725" t="inlineStr">
        <is>
          <t xml:space="preserve">Ocotepeque — Ocotepeque department, town of Nueva Ocotepeque</t>
        </is>
      </c>
      <c r="B725" t="inlineStr">
        <is>
          <t xml:space="preserve">2022/23</t>
        </is>
      </c>
      <c r="C725" t="inlineStr">
        <is>
          <t xml:space="preserve">La Niña</t>
        </is>
      </c>
      <c r="D725" t="inlineStr">
        <is>
          <t xml:space="preserve">yes</t>
        </is>
      </c>
      <c r="E725" t="inlineStr">
        <is>
          <t xml:space="preserve">Jun</t>
        </is>
      </c>
      <c r="F725">
        <v>12</v>
      </c>
      <c r="G725">
        <v>2023</v>
      </c>
      <c r="H725" t="inlineStr">
        <is>
          <t xml:space="preserve">2023-06</t>
        </is>
      </c>
      <c r="I725" s="3">
        <f>INDEX(Monthly!$V:$V,MATCH(H725,Monthly!$A:$A,0))</f>
        <v>25.08866666666667</v>
      </c>
      <c r="J725" s="4">
        <f>INDEX(Monthly!$U:$U,MATCH(H725,Monthly!$A:$A,0))</f>
        <v>119.624</v>
      </c>
    </row>
    <row r="726">
      <c r="A726" t="inlineStr">
        <is>
          <t xml:space="preserve">Ocotepeque — Ocotepeque department, town of Nueva Ocotepeque</t>
        </is>
      </c>
      <c r="B726" t="inlineStr">
        <is>
          <t xml:space="preserve">2023/24</t>
        </is>
      </c>
      <c r="C726" t="inlineStr">
        <is>
          <t xml:space="preserve">El Niño</t>
        </is>
      </c>
      <c r="D726" t="inlineStr">
        <is>
          <t xml:space="preserve">yes</t>
        </is>
      </c>
      <c r="E726" t="inlineStr">
        <is>
          <t xml:space="preserve">Jul</t>
        </is>
      </c>
      <c r="F726">
        <v>1</v>
      </c>
      <c r="G726">
        <v>2023</v>
      </c>
      <c r="H726" t="inlineStr">
        <is>
          <t xml:space="preserve">2023-07</t>
        </is>
      </c>
      <c r="I726" s="3">
        <f>INDEX(Monthly!$V:$V,MATCH(H726,Monthly!$A:$A,0))</f>
        <v>23.83935483870968</v>
      </c>
      <c r="J726" s="4">
        <f>INDEX(Monthly!$U:$U,MATCH(H726,Monthly!$A:$A,0))</f>
        <v>154.881</v>
      </c>
    </row>
    <row r="727">
      <c r="A727" t="inlineStr">
        <is>
          <t xml:space="preserve">Ocotepeque — Ocotepeque department, town of Nueva Ocotepeque</t>
        </is>
      </c>
      <c r="B727" t="inlineStr">
        <is>
          <t xml:space="preserve">2023/24</t>
        </is>
      </c>
      <c r="C727" t="inlineStr">
        <is>
          <t xml:space="preserve">El Niño</t>
        </is>
      </c>
      <c r="D727" t="inlineStr">
        <is>
          <t xml:space="preserve">yes</t>
        </is>
      </c>
      <c r="E727" t="inlineStr">
        <is>
          <t xml:space="preserve">Aug</t>
        </is>
      </c>
      <c r="F727">
        <v>2</v>
      </c>
      <c r="G727">
        <v>2023</v>
      </c>
      <c r="H727" t="inlineStr">
        <is>
          <t xml:space="preserve">2023-08</t>
        </is>
      </c>
      <c r="I727" s="3">
        <f>INDEX(Monthly!$V:$V,MATCH(H727,Monthly!$A:$A,0))</f>
        <v>23.68870967741935</v>
      </c>
      <c r="J727" s="4">
        <f>INDEX(Monthly!$U:$U,MATCH(H727,Monthly!$A:$A,0))</f>
        <v>133.29</v>
      </c>
    </row>
    <row r="728">
      <c r="A728" t="inlineStr">
        <is>
          <t xml:space="preserve">Ocotepeque — Ocotepeque department, town of Nueva Ocotepeque</t>
        </is>
      </c>
      <c r="B728" t="inlineStr">
        <is>
          <t xml:space="preserve">2023/24</t>
        </is>
      </c>
      <c r="C728" t="inlineStr">
        <is>
          <t xml:space="preserve">El Niño</t>
        </is>
      </c>
      <c r="D728" t="inlineStr">
        <is>
          <t xml:space="preserve">yes</t>
        </is>
      </c>
      <c r="E728" t="inlineStr">
        <is>
          <t xml:space="preserve">Sep</t>
        </is>
      </c>
      <c r="F728">
        <v>3</v>
      </c>
      <c r="G728">
        <v>2023</v>
      </c>
      <c r="H728" t="inlineStr">
        <is>
          <t xml:space="preserve">2023-09</t>
        </is>
      </c>
      <c r="I728" s="3">
        <f>INDEX(Monthly!$V:$V,MATCH(H728,Monthly!$A:$A,0))</f>
        <v>23.58433333333333</v>
      </c>
      <c r="J728" s="4">
        <f>INDEX(Monthly!$U:$U,MATCH(H728,Monthly!$A:$A,0))</f>
        <v>292.996</v>
      </c>
    </row>
    <row r="729">
      <c r="A729" t="inlineStr">
        <is>
          <t xml:space="preserve">Ocotepeque — Ocotepeque department, town of Nueva Ocotepeque</t>
        </is>
      </c>
      <c r="B729" t="inlineStr">
        <is>
          <t xml:space="preserve">2023/24</t>
        </is>
      </c>
      <c r="C729" t="inlineStr">
        <is>
          <t xml:space="preserve">El Niño</t>
        </is>
      </c>
      <c r="D729" t="inlineStr">
        <is>
          <t xml:space="preserve">yes</t>
        </is>
      </c>
      <c r="E729" t="inlineStr">
        <is>
          <t xml:space="preserve">Oct</t>
        </is>
      </c>
      <c r="F729">
        <v>4</v>
      </c>
      <c r="G729">
        <v>2023</v>
      </c>
      <c r="H729" t="inlineStr">
        <is>
          <t xml:space="preserve">2023-10</t>
        </is>
      </c>
      <c r="I729" s="3">
        <f>INDEX(Monthly!$V:$V,MATCH(H729,Monthly!$A:$A,0))</f>
        <v>22.430645161290318</v>
      </c>
      <c r="J729" s="4">
        <f>INDEX(Monthly!$U:$U,MATCH(H729,Monthly!$A:$A,0))</f>
        <v>118.59</v>
      </c>
    </row>
    <row r="730">
      <c r="A730" t="inlineStr">
        <is>
          <t xml:space="preserve">Ocotepeque — Ocotepeque department, town of Nueva Ocotepeque</t>
        </is>
      </c>
      <c r="B730" t="inlineStr">
        <is>
          <t xml:space="preserve">2023/24</t>
        </is>
      </c>
      <c r="C730" t="inlineStr">
        <is>
          <t xml:space="preserve">El Niño</t>
        </is>
      </c>
      <c r="D730" t="inlineStr">
        <is>
          <t xml:space="preserve">yes</t>
        </is>
      </c>
      <c r="E730" t="inlineStr">
        <is>
          <t xml:space="preserve">Nov</t>
        </is>
      </c>
      <c r="F730">
        <v>5</v>
      </c>
      <c r="G730">
        <v>2023</v>
      </c>
      <c r="H730" t="inlineStr">
        <is>
          <t xml:space="preserve">2023-11</t>
        </is>
      </c>
      <c r="I730" s="3">
        <f>INDEX(Monthly!$V:$V,MATCH(H730,Monthly!$A:$A,0))</f>
        <v>21.498666666666665</v>
      </c>
      <c r="J730" s="4">
        <f>INDEX(Monthly!$U:$U,MATCH(H730,Monthly!$A:$A,0))</f>
        <v>70.584</v>
      </c>
    </row>
    <row r="731">
      <c r="A731" t="inlineStr">
        <is>
          <t xml:space="preserve">Ocotepeque — Ocotepeque department, town of Nueva Ocotepeque</t>
        </is>
      </c>
      <c r="B731" t="inlineStr">
        <is>
          <t xml:space="preserve">2023/24</t>
        </is>
      </c>
      <c r="C731" t="inlineStr">
        <is>
          <t xml:space="preserve">El Niño</t>
        </is>
      </c>
      <c r="D731" t="inlineStr">
        <is>
          <t xml:space="preserve">yes</t>
        </is>
      </c>
      <c r="E731" t="inlineStr">
        <is>
          <t xml:space="preserve">Dec</t>
        </is>
      </c>
      <c r="F731">
        <v>6</v>
      </c>
      <c r="G731">
        <v>2023</v>
      </c>
      <c r="H731" t="inlineStr">
        <is>
          <t xml:space="preserve">2023-12</t>
        </is>
      </c>
      <c r="I731" s="3">
        <f>INDEX(Monthly!$V:$V,MATCH(H731,Monthly!$A:$A,0))</f>
        <v>20.395161290322577</v>
      </c>
      <c r="J731" s="4">
        <f>INDEX(Monthly!$U:$U,MATCH(H731,Monthly!$A:$A,0))</f>
        <v>14.872</v>
      </c>
    </row>
    <row r="732">
      <c r="A732" t="inlineStr">
        <is>
          <t xml:space="preserve">Ocotepeque — Ocotepeque department, town of Nueva Ocotepeque</t>
        </is>
      </c>
      <c r="B732" t="inlineStr">
        <is>
          <t xml:space="preserve">2023/24</t>
        </is>
      </c>
      <c r="C732" t="inlineStr">
        <is>
          <t xml:space="preserve">El Niño</t>
        </is>
      </c>
      <c r="D732" t="inlineStr">
        <is>
          <t xml:space="preserve">yes</t>
        </is>
      </c>
      <c r="E732" t="inlineStr">
        <is>
          <t xml:space="preserve">Jan</t>
        </is>
      </c>
      <c r="F732">
        <v>7</v>
      </c>
      <c r="G732">
        <v>2024</v>
      </c>
      <c r="H732" t="inlineStr">
        <is>
          <t xml:space="preserve">2024-01</t>
        </is>
      </c>
      <c r="I732" s="3">
        <f>INDEX(Monthly!$V:$V,MATCH(H732,Monthly!$A:$A,0))</f>
        <v>21.31612903225807</v>
      </c>
      <c r="J732" s="4">
        <f>INDEX(Monthly!$U:$U,MATCH(H732,Monthly!$A:$A,0))</f>
        <v>0.622</v>
      </c>
    </row>
    <row r="733">
      <c r="A733" t="inlineStr">
        <is>
          <t xml:space="preserve">Ocotepeque — Ocotepeque department, town of Nueva Ocotepeque</t>
        </is>
      </c>
      <c r="B733" t="inlineStr">
        <is>
          <t xml:space="preserve">2023/24</t>
        </is>
      </c>
      <c r="C733" t="inlineStr">
        <is>
          <t xml:space="preserve">El Niño</t>
        </is>
      </c>
      <c r="D733" t="inlineStr">
        <is>
          <t xml:space="preserve">yes</t>
        </is>
      </c>
      <c r="E733" t="inlineStr">
        <is>
          <t xml:space="preserve">Feb</t>
        </is>
      </c>
      <c r="F733">
        <v>8</v>
      </c>
      <c r="G733">
        <v>2024</v>
      </c>
      <c r="H733" t="inlineStr">
        <is>
          <t xml:space="preserve">2024-02</t>
        </is>
      </c>
      <c r="I733" s="3">
        <f>INDEX(Monthly!$V:$V,MATCH(H733,Monthly!$A:$A,0))</f>
        <v>21.684827586206904</v>
      </c>
      <c r="J733" s="4">
        <f>INDEX(Monthly!$U:$U,MATCH(H733,Monthly!$A:$A,0))</f>
        <v>0.743</v>
      </c>
    </row>
    <row r="734">
      <c r="A734" t="inlineStr">
        <is>
          <t xml:space="preserve">Ocotepeque — Ocotepeque department, town of Nueva Ocotepeque</t>
        </is>
      </c>
      <c r="B734" t="inlineStr">
        <is>
          <t xml:space="preserve">2023/24</t>
        </is>
      </c>
      <c r="C734" t="inlineStr">
        <is>
          <t xml:space="preserve">El Niño</t>
        </is>
      </c>
      <c r="D734" t="inlineStr">
        <is>
          <t xml:space="preserve">yes</t>
        </is>
      </c>
      <c r="E734" t="inlineStr">
        <is>
          <t xml:space="preserve">Mar</t>
        </is>
      </c>
      <c r="F734">
        <v>9</v>
      </c>
      <c r="G734">
        <v>2024</v>
      </c>
      <c r="H734" t="inlineStr">
        <is>
          <t xml:space="preserve">2024-03</t>
        </is>
      </c>
      <c r="I734" s="3">
        <f>INDEX(Monthly!$V:$V,MATCH(H734,Monthly!$A:$A,0))</f>
        <v>25.02032258064516</v>
      </c>
      <c r="J734" s="4">
        <f>INDEX(Monthly!$U:$U,MATCH(H734,Monthly!$A:$A,0))</f>
        <v>0.0</v>
      </c>
    </row>
    <row r="735">
      <c r="A735" t="inlineStr">
        <is>
          <t xml:space="preserve">Ocotepeque — Ocotepeque department, town of Nueva Ocotepeque</t>
        </is>
      </c>
      <c r="B735" t="inlineStr">
        <is>
          <t xml:space="preserve">2023/24</t>
        </is>
      </c>
      <c r="C735" t="inlineStr">
        <is>
          <t xml:space="preserve">El Niño</t>
        </is>
      </c>
      <c r="D735" t="inlineStr">
        <is>
          <t xml:space="preserve">yes</t>
        </is>
      </c>
      <c r="E735" t="inlineStr">
        <is>
          <t xml:space="preserve">Apr</t>
        </is>
      </c>
      <c r="F735">
        <v>10</v>
      </c>
      <c r="G735">
        <v>2024</v>
      </c>
      <c r="H735" t="inlineStr">
        <is>
          <t xml:space="preserve">2024-04</t>
        </is>
      </c>
      <c r="I735" s="3">
        <f>INDEX(Monthly!$V:$V,MATCH(H735,Monthly!$A:$A,0))</f>
        <v>25.472</v>
      </c>
      <c r="J735" s="4">
        <f>INDEX(Monthly!$U:$U,MATCH(H735,Monthly!$A:$A,0))</f>
        <v>33.605</v>
      </c>
    </row>
    <row r="736">
      <c r="A736" t="inlineStr">
        <is>
          <t xml:space="preserve">Ocotepeque — Ocotepeque department, town of Nueva Ocotepeque</t>
        </is>
      </c>
      <c r="B736" t="inlineStr">
        <is>
          <t xml:space="preserve">2023/24</t>
        </is>
      </c>
      <c r="C736" t="inlineStr">
        <is>
          <t xml:space="preserve">El Niño</t>
        </is>
      </c>
      <c r="D736" t="inlineStr">
        <is>
          <t xml:space="preserve">yes</t>
        </is>
      </c>
      <c r="E736" t="inlineStr">
        <is>
          <t xml:space="preserve">May</t>
        </is>
      </c>
      <c r="F736">
        <v>11</v>
      </c>
      <c r="G736">
        <v>2024</v>
      </c>
      <c r="H736" t="inlineStr">
        <is>
          <t xml:space="preserve">2024-05</t>
        </is>
      </c>
      <c r="I736" s="3">
        <f>INDEX(Monthly!$V:$V,MATCH(H736,Monthly!$A:$A,0))</f>
        <v>27.279677419354837</v>
      </c>
      <c r="J736" s="4">
        <f>INDEX(Monthly!$U:$U,MATCH(H736,Monthly!$A:$A,0))</f>
        <v>59.426</v>
      </c>
    </row>
    <row r="737">
      <c r="A737" t="inlineStr">
        <is>
          <t xml:space="preserve">Ocotepeque — Ocotepeque department, town of Nueva Ocotepeque</t>
        </is>
      </c>
      <c r="B737" t="inlineStr">
        <is>
          <t xml:space="preserve">2023/24</t>
        </is>
      </c>
      <c r="C737" t="inlineStr">
        <is>
          <t xml:space="preserve">El Niño</t>
        </is>
      </c>
      <c r="D737" t="inlineStr">
        <is>
          <t xml:space="preserve">yes</t>
        </is>
      </c>
      <c r="E737" t="inlineStr">
        <is>
          <t xml:space="preserve">Jun</t>
        </is>
      </c>
      <c r="F737">
        <v>12</v>
      </c>
      <c r="G737">
        <v>2024</v>
      </c>
      <c r="H737" t="inlineStr">
        <is>
          <t xml:space="preserve">2024-06</t>
        </is>
      </c>
      <c r="I737" s="3">
        <f>INDEX(Monthly!$V:$V,MATCH(H737,Monthly!$A:$A,0))</f>
        <v>24.174999999999997</v>
      </c>
      <c r="J737" s="4">
        <f>INDEX(Monthly!$U:$U,MATCH(H737,Monthly!$A:$A,0))</f>
        <v>203.008</v>
      </c>
    </row>
    <row r="738">
      <c r="A738" t="inlineStr">
        <is>
          <t xml:space="preserve">Ocotepeque — Ocotepeque department, town of Nueva Ocotepeque</t>
        </is>
      </c>
      <c r="B738" t="inlineStr">
        <is>
          <t xml:space="preserve">2024/25</t>
        </is>
      </c>
      <c r="C738" t="inlineStr">
        <is>
          <t xml:space="preserve">Neutral</t>
        </is>
      </c>
      <c r="D738" t="inlineStr">
        <is>
          <t xml:space="preserve">yes</t>
        </is>
      </c>
      <c r="E738" t="inlineStr">
        <is>
          <t xml:space="preserve">Jul</t>
        </is>
      </c>
      <c r="F738">
        <v>1</v>
      </c>
      <c r="G738">
        <v>2024</v>
      </c>
      <c r="H738" t="inlineStr">
        <is>
          <t xml:space="preserve">2024-07</t>
        </is>
      </c>
      <c r="I738" s="3">
        <f>INDEX(Monthly!$V:$V,MATCH(H738,Monthly!$A:$A,0))</f>
        <v>23.339354838709674</v>
      </c>
      <c r="J738" s="4">
        <f>INDEX(Monthly!$U:$U,MATCH(H738,Monthly!$A:$A,0))</f>
        <v>173.931</v>
      </c>
    </row>
    <row r="739">
      <c r="A739" t="inlineStr">
        <is>
          <t xml:space="preserve">Ocotepeque — Ocotepeque department, town of Nueva Ocotepeque</t>
        </is>
      </c>
      <c r="B739" t="inlineStr">
        <is>
          <t xml:space="preserve">2024/25</t>
        </is>
      </c>
      <c r="C739" t="inlineStr">
        <is>
          <t xml:space="preserve">Neutral</t>
        </is>
      </c>
      <c r="D739" t="inlineStr">
        <is>
          <t xml:space="preserve">yes</t>
        </is>
      </c>
      <c r="E739" t="inlineStr">
        <is>
          <t xml:space="preserve">Aug</t>
        </is>
      </c>
      <c r="F739">
        <v>2</v>
      </c>
      <c r="G739">
        <v>2024</v>
      </c>
      <c r="H739" t="inlineStr">
        <is>
          <t xml:space="preserve">2024-08</t>
        </is>
      </c>
      <c r="I739" s="3">
        <f>INDEX(Monthly!$V:$V,MATCH(H739,Monthly!$A:$A,0))</f>
        <v>23.402903225806448</v>
      </c>
      <c r="J739" s="4">
        <f>INDEX(Monthly!$U:$U,MATCH(H739,Monthly!$A:$A,0))</f>
        <v>179.105</v>
      </c>
    </row>
    <row r="740">
      <c r="A740" t="inlineStr">
        <is>
          <t xml:space="preserve">Ocotepeque — Ocotepeque department, town of Nueva Ocotepeque</t>
        </is>
      </c>
      <c r="B740" t="inlineStr">
        <is>
          <t xml:space="preserve">2024/25</t>
        </is>
      </c>
      <c r="C740" t="inlineStr">
        <is>
          <t xml:space="preserve">Neutral</t>
        </is>
      </c>
      <c r="D740" t="inlineStr">
        <is>
          <t xml:space="preserve">yes</t>
        </is>
      </c>
      <c r="E740" t="inlineStr">
        <is>
          <t xml:space="preserve">Sep</t>
        </is>
      </c>
      <c r="F740">
        <v>3</v>
      </c>
      <c r="G740">
        <v>2024</v>
      </c>
      <c r="H740" t="inlineStr">
        <is>
          <t xml:space="preserve">2024-09</t>
        </is>
      </c>
      <c r="I740" s="3">
        <f>INDEX(Monthly!$V:$V,MATCH(H740,Monthly!$A:$A,0))</f>
        <v>23.704333333333338</v>
      </c>
      <c r="J740" s="4">
        <f>INDEX(Monthly!$U:$U,MATCH(H740,Monthly!$A:$A,0))</f>
        <v>143.461</v>
      </c>
    </row>
    <row r="741">
      <c r="A741" t="inlineStr">
        <is>
          <t xml:space="preserve">Ocotepeque — Ocotepeque department, town of Nueva Ocotepeque</t>
        </is>
      </c>
      <c r="B741" t="inlineStr">
        <is>
          <t xml:space="preserve">2024/25</t>
        </is>
      </c>
      <c r="C741" t="inlineStr">
        <is>
          <t xml:space="preserve">Neutral</t>
        </is>
      </c>
      <c r="D741" t="inlineStr">
        <is>
          <t xml:space="preserve">yes</t>
        </is>
      </c>
      <c r="E741" t="inlineStr">
        <is>
          <t xml:space="preserve">Oct</t>
        </is>
      </c>
      <c r="F741">
        <v>4</v>
      </c>
      <c r="G741">
        <v>2024</v>
      </c>
      <c r="H741" t="inlineStr">
        <is>
          <t xml:space="preserve">2024-10</t>
        </is>
      </c>
      <c r="I741" s="3">
        <f>INDEX(Monthly!$V:$V,MATCH(H741,Monthly!$A:$A,0))</f>
        <v>22.146451612903224</v>
      </c>
      <c r="J741" s="4">
        <f>INDEX(Monthly!$U:$U,MATCH(H741,Monthly!$A:$A,0))</f>
        <v>67.001</v>
      </c>
    </row>
    <row r="742">
      <c r="A742" t="inlineStr">
        <is>
          <t xml:space="preserve">Ocotepeque — Ocotepeque department, town of Nueva Ocotepeque</t>
        </is>
      </c>
      <c r="B742" t="inlineStr">
        <is>
          <t xml:space="preserve">2024/25</t>
        </is>
      </c>
      <c r="C742" t="inlineStr">
        <is>
          <t xml:space="preserve">Neutral</t>
        </is>
      </c>
      <c r="D742" t="inlineStr">
        <is>
          <t xml:space="preserve">yes</t>
        </is>
      </c>
      <c r="E742" t="inlineStr">
        <is>
          <t xml:space="preserve">Nov</t>
        </is>
      </c>
      <c r="F742">
        <v>5</v>
      </c>
      <c r="G742">
        <v>2024</v>
      </c>
      <c r="H742" t="inlineStr">
        <is>
          <t xml:space="preserve">2024-11</t>
        </is>
      </c>
      <c r="I742" s="3">
        <f>INDEX(Monthly!$V:$V,MATCH(H742,Monthly!$A:$A,0))</f>
        <v>21.404999999999998</v>
      </c>
      <c r="J742" s="4">
        <f>INDEX(Monthly!$U:$U,MATCH(H742,Monthly!$A:$A,0))</f>
        <v>87.197</v>
      </c>
    </row>
    <row r="743">
      <c r="A743" t="inlineStr">
        <is>
          <t xml:space="preserve">Ocotepeque — Ocotepeque department, town of Nueva Ocotepeque</t>
        </is>
      </c>
      <c r="B743" t="inlineStr">
        <is>
          <t xml:space="preserve">2024/25</t>
        </is>
      </c>
      <c r="C743" t="inlineStr">
        <is>
          <t xml:space="preserve">Neutral</t>
        </is>
      </c>
      <c r="D743" t="inlineStr">
        <is>
          <t xml:space="preserve">yes</t>
        </is>
      </c>
      <c r="E743" t="inlineStr">
        <is>
          <t xml:space="preserve">Dec</t>
        </is>
      </c>
      <c r="F743">
        <v>6</v>
      </c>
      <c r="G743">
        <v>2024</v>
      </c>
      <c r="H743" t="inlineStr">
        <is>
          <t xml:space="preserve">2024-12</t>
        </is>
      </c>
      <c r="I743" s="3">
        <f>INDEX(Monthly!$V:$V,MATCH(H743,Monthly!$A:$A,0))</f>
        <v>20.37064516129032</v>
      </c>
      <c r="J743" s="4">
        <f>INDEX(Monthly!$U:$U,MATCH(H743,Monthly!$A:$A,0))</f>
        <v>4.462</v>
      </c>
    </row>
    <row r="744">
      <c r="A744" t="inlineStr">
        <is>
          <t xml:space="preserve">Ocotepeque — Ocotepeque department, town of Nueva Ocotepeque</t>
        </is>
      </c>
      <c r="B744" t="inlineStr">
        <is>
          <t xml:space="preserve">2024/25</t>
        </is>
      </c>
      <c r="C744" t="inlineStr">
        <is>
          <t xml:space="preserve">Neutral</t>
        </is>
      </c>
      <c r="D744" t="inlineStr">
        <is>
          <t xml:space="preserve">yes</t>
        </is>
      </c>
      <c r="E744" t="inlineStr">
        <is>
          <t xml:space="preserve">Jan</t>
        </is>
      </c>
      <c r="F744">
        <v>7</v>
      </c>
      <c r="G744">
        <v>2025</v>
      </c>
      <c r="H744" t="inlineStr">
        <is>
          <t xml:space="preserve">2025-01</t>
        </is>
      </c>
      <c r="I744" s="3">
        <f>INDEX(Monthly!$V:$V,MATCH(H744,Monthly!$A:$A,0))</f>
        <v>20.803225806451607</v>
      </c>
      <c r="J744" s="4">
        <f>INDEX(Monthly!$U:$U,MATCH(H744,Monthly!$A:$A,0))</f>
        <v>3.544</v>
      </c>
    </row>
    <row r="745">
      <c r="A745" t="inlineStr">
        <is>
          <t xml:space="preserve">Ocotepeque — Ocotepeque department, town of Nueva Ocotepeque</t>
        </is>
      </c>
      <c r="B745" t="inlineStr">
        <is>
          <t xml:space="preserve">2024/25</t>
        </is>
      </c>
      <c r="C745" t="inlineStr">
        <is>
          <t xml:space="preserve">Neutral</t>
        </is>
      </c>
      <c r="D745" t="inlineStr">
        <is>
          <t xml:space="preserve">yes</t>
        </is>
      </c>
      <c r="E745" t="inlineStr">
        <is>
          <t xml:space="preserve">Feb</t>
        </is>
      </c>
      <c r="F745">
        <v>8</v>
      </c>
      <c r="G745">
        <v>2025</v>
      </c>
      <c r="H745" t="inlineStr">
        <is>
          <t xml:space="preserve">2025-02</t>
        </is>
      </c>
      <c r="I745" s="3">
        <f>INDEX(Monthly!$V:$V,MATCH(H745,Monthly!$A:$A,0))</f>
        <v>22.954642857142858</v>
      </c>
      <c r="J745" s="4">
        <f>INDEX(Monthly!$U:$U,MATCH(H745,Monthly!$A:$A,0))</f>
        <v>6.28</v>
      </c>
    </row>
    <row r="746">
      <c r="A746" t="inlineStr">
        <is>
          <t xml:space="preserve">Ocotepeque — Ocotepeque department, town of Nueva Ocotepeque</t>
        </is>
      </c>
      <c r="B746" t="inlineStr">
        <is>
          <t xml:space="preserve">2024/25</t>
        </is>
      </c>
      <c r="C746" t="inlineStr">
        <is>
          <t xml:space="preserve">Neutral</t>
        </is>
      </c>
      <c r="D746" t="inlineStr">
        <is>
          <t xml:space="preserve">yes</t>
        </is>
      </c>
      <c r="E746" t="inlineStr">
        <is>
          <t xml:space="preserve">Mar</t>
        </is>
      </c>
      <c r="F746">
        <v>9</v>
      </c>
      <c r="G746">
        <v>2025</v>
      </c>
      <c r="H746" t="inlineStr">
        <is>
          <t xml:space="preserve">2025-03</t>
        </is>
      </c>
      <c r="I746" s="3">
        <f>INDEX(Monthly!$V:$V,MATCH(H746,Monthly!$A:$A,0))</f>
        <v>24.67483870967742</v>
      </c>
      <c r="J746" s="4">
        <f>INDEX(Monthly!$U:$U,MATCH(H746,Monthly!$A:$A,0))</f>
        <v>8.087</v>
      </c>
    </row>
    <row r="747">
      <c r="A747" t="inlineStr">
        <is>
          <t xml:space="preserve">Ocotepeque — Ocotepeque department, town of Nueva Ocotepeque</t>
        </is>
      </c>
      <c r="B747" t="inlineStr">
        <is>
          <t xml:space="preserve">2024/25</t>
        </is>
      </c>
      <c r="C747" t="inlineStr">
        <is>
          <t xml:space="preserve">Neutral</t>
        </is>
      </c>
      <c r="D747" t="inlineStr">
        <is>
          <t xml:space="preserve">yes</t>
        </is>
      </c>
      <c r="E747" t="inlineStr">
        <is>
          <t xml:space="preserve">Apr</t>
        </is>
      </c>
      <c r="F747">
        <v>10</v>
      </c>
      <c r="G747">
        <v>2025</v>
      </c>
      <c r="H747" t="inlineStr">
        <is>
          <t xml:space="preserve">2025-04</t>
        </is>
      </c>
      <c r="I747" s="3">
        <f>INDEX(Monthly!$V:$V,MATCH(H747,Monthly!$A:$A,0))</f>
        <v>24.782333333333327</v>
      </c>
      <c r="J747" s="4">
        <f>INDEX(Monthly!$U:$U,MATCH(H747,Monthly!$A:$A,0))</f>
        <v>28.502</v>
      </c>
    </row>
    <row r="748">
      <c r="A748" t="inlineStr">
        <is>
          <t xml:space="preserve">Ocotepeque — Ocotepeque department, town of Nueva Ocotepeque</t>
        </is>
      </c>
      <c r="B748" t="inlineStr">
        <is>
          <t xml:space="preserve">2024/25</t>
        </is>
      </c>
      <c r="C748" t="inlineStr">
        <is>
          <t xml:space="preserve">Neutral</t>
        </is>
      </c>
      <c r="D748" t="inlineStr">
        <is>
          <t xml:space="preserve">yes</t>
        </is>
      </c>
      <c r="E748" t="inlineStr">
        <is>
          <t xml:space="preserve">May</t>
        </is>
      </c>
      <c r="F748">
        <v>11</v>
      </c>
      <c r="G748">
        <v>2025</v>
      </c>
      <c r="H748" t="inlineStr">
        <is>
          <t xml:space="preserve">2025-05</t>
        </is>
      </c>
      <c r="I748" s="3">
        <f>INDEX(Monthly!$V:$V,MATCH(H748,Monthly!$A:$A,0))</f>
        <v>26.63709677419354</v>
      </c>
      <c r="J748" s="4">
        <f>INDEX(Monthly!$U:$U,MATCH(H748,Monthly!$A:$A,0))</f>
        <v>94.875</v>
      </c>
    </row>
    <row r="749">
      <c r="A749" t="inlineStr">
        <is>
          <t xml:space="preserve">Ocotepeque — Ocotepeque department, town of Nueva Ocotepeque</t>
        </is>
      </c>
      <c r="B749" t="inlineStr">
        <is>
          <t xml:space="preserve">2024/25</t>
        </is>
      </c>
      <c r="C749" t="inlineStr">
        <is>
          <t xml:space="preserve">Neutral</t>
        </is>
      </c>
      <c r="D749" t="inlineStr">
        <is>
          <t xml:space="preserve">yes</t>
        </is>
      </c>
      <c r="E749" t="inlineStr">
        <is>
          <t xml:space="preserve">Jun</t>
        </is>
      </c>
      <c r="F749">
        <v>12</v>
      </c>
      <c r="G749">
        <v>2025</v>
      </c>
      <c r="H749" t="inlineStr">
        <is>
          <t xml:space="preserve">2025-06</t>
        </is>
      </c>
      <c r="I749" s="3">
        <f>INDEX(Monthly!$V:$V,MATCH(H749,Monthly!$A:$A,0))</f>
        <v>23.464333333333336</v>
      </c>
      <c r="J749" s="4">
        <f>INDEX(Monthly!$U:$U,MATCH(H749,Monthly!$A:$A,0))</f>
        <v>355.957</v>
      </c>
    </row>
    <row r="750">
      <c r="A750" t="inlineStr">
        <is>
          <t xml:space="preserve">Ocotepeque — Ocotepeque department, town of Nueva Ocotepeque</t>
        </is>
      </c>
      <c r="B750" t="inlineStr">
        <is>
          <t xml:space="preserve">2025/26</t>
        </is>
      </c>
      <c r="C750" t="inlineStr">
        <is>
          <t xml:space="preserve">Neutral</t>
        </is>
      </c>
      <c r="D750" t="inlineStr">
        <is>
          <t xml:space="preserve">no</t>
        </is>
      </c>
      <c r="E750" t="inlineStr">
        <is>
          <t xml:space="preserve">Jul</t>
        </is>
      </c>
      <c r="F750">
        <v>1</v>
      </c>
      <c r="G750">
        <v>2025</v>
      </c>
      <c r="H750" t="inlineStr">
        <is>
          <t xml:space="preserve">2025-07</t>
        </is>
      </c>
      <c r="I750" s="3">
        <f>INDEX(Monthly!$V:$V,MATCH(H750,Monthly!$A:$A,0))</f>
        <v>23.134516129032257</v>
      </c>
      <c r="J750" s="4">
        <f>INDEX(Monthly!$U:$U,MATCH(H750,Monthly!$A:$A,0))</f>
        <v>199.357</v>
      </c>
    </row>
    <row r="751">
      <c r="A751" t="inlineStr">
        <is>
          <t xml:space="preserve">Ocotepeque — Ocotepeque department, town of Nueva Ocotepeque</t>
        </is>
      </c>
      <c r="B751" t="inlineStr">
        <is>
          <t xml:space="preserve">2025/26</t>
        </is>
      </c>
      <c r="C751" t="inlineStr">
        <is>
          <t xml:space="preserve">Neutral</t>
        </is>
      </c>
      <c r="D751" t="inlineStr">
        <is>
          <t xml:space="preserve">no</t>
        </is>
      </c>
      <c r="E751" t="inlineStr">
        <is>
          <t xml:space="preserve">Aug</t>
        </is>
      </c>
      <c r="F751">
        <v>2</v>
      </c>
      <c r="G751">
        <v>2025</v>
      </c>
      <c r="H751" t="inlineStr">
        <is>
          <t xml:space="preserve">2025-08</t>
        </is>
      </c>
      <c r="I751" s="3">
        <f>INDEX(Monthly!$V:$V,MATCH(H751,Monthly!$A:$A,0))</f>
        <v>23.707096774193552</v>
      </c>
      <c r="J751" s="4">
        <f>INDEX(Monthly!$U:$U,MATCH(H751,Monthly!$A:$A,0))</f>
        <v>158.159</v>
      </c>
    </row>
    <row r="752">
      <c r="A752" t="inlineStr">
        <is>
          <t xml:space="preserve">Ocotepeque — Ocotepeque department, town of Nueva Ocotepeque</t>
        </is>
      </c>
      <c r="B752" t="inlineStr">
        <is>
          <t xml:space="preserve">2025/26</t>
        </is>
      </c>
      <c r="C752" t="inlineStr">
        <is>
          <t xml:space="preserve">Neutral</t>
        </is>
      </c>
      <c r="D752" t="inlineStr">
        <is>
          <t xml:space="preserve">no</t>
        </is>
      </c>
      <c r="E752" t="inlineStr">
        <is>
          <t xml:space="preserve">Sep</t>
        </is>
      </c>
      <c r="F752">
        <v>3</v>
      </c>
      <c r="G752">
        <v>2025</v>
      </c>
      <c r="H752" t="inlineStr">
        <is>
          <t xml:space="preserve">2025-09</t>
        </is>
      </c>
      <c r="I752" s="3">
        <f>INDEX(Monthly!$V:$V,MATCH(H752,Monthly!$A:$A,0))</f>
        <v>23.582000000000008</v>
      </c>
      <c r="J752" s="4">
        <f>INDEX(Monthly!$U:$U,MATCH(H752,Monthly!$A:$A,0))</f>
        <v>106.814</v>
      </c>
    </row>
    <row r="753">
      <c r="A753" t="inlineStr">
        <is>
          <t xml:space="preserve">Ocotepeque — Ocotepeque department, town of Nueva Ocotepeque</t>
        </is>
      </c>
      <c r="B753" t="inlineStr">
        <is>
          <t xml:space="preserve">2025/26</t>
        </is>
      </c>
      <c r="C753" t="inlineStr">
        <is>
          <t xml:space="preserve">Neutral</t>
        </is>
      </c>
      <c r="D753" t="inlineStr">
        <is>
          <t xml:space="preserve">no</t>
        </is>
      </c>
      <c r="E753" t="inlineStr">
        <is>
          <t xml:space="preserve">Oct</t>
        </is>
      </c>
      <c r="F753">
        <v>4</v>
      </c>
      <c r="G753">
        <v>2025</v>
      </c>
      <c r="H753" t="inlineStr">
        <is>
          <t xml:space="preserve">2025-10</t>
        </is>
      </c>
      <c r="I753" s="3">
        <f>INDEX(Monthly!$V:$V,MATCH(H753,Monthly!$A:$A,0))</f>
        <v>22.255806451612905</v>
      </c>
      <c r="J753" s="4">
        <f>INDEX(Monthly!$U:$U,MATCH(H753,Monthly!$A:$A,0))</f>
        <v>175.359</v>
      </c>
    </row>
    <row r="754">
      <c r="A754" t="inlineStr">
        <is>
          <t xml:space="preserve">Ocotepeque — Ocotepeque department, town of Nueva Ocotepeque</t>
        </is>
      </c>
      <c r="B754" t="inlineStr">
        <is>
          <t xml:space="preserve">2025/26</t>
        </is>
      </c>
      <c r="C754" t="inlineStr">
        <is>
          <t xml:space="preserve">Neutral</t>
        </is>
      </c>
      <c r="D754" t="inlineStr">
        <is>
          <t xml:space="preserve">no</t>
        </is>
      </c>
      <c r="E754" t="inlineStr">
        <is>
          <t xml:space="preserve">Nov</t>
        </is>
      </c>
      <c r="F754">
        <v>5</v>
      </c>
      <c r="G754">
        <v>2025</v>
      </c>
      <c r="H754" t="inlineStr">
        <is>
          <t xml:space="preserve">2025-11</t>
        </is>
      </c>
      <c r="I754" s="3">
        <f>INDEX(Monthly!$V:$V,MATCH(H754,Monthly!$A:$A,0))</f>
        <v>21.381333333333334</v>
      </c>
      <c r="J754" s="4">
        <f>INDEX(Monthly!$U:$U,MATCH(H754,Monthly!$A:$A,0))</f>
        <v>31.532</v>
      </c>
    </row>
    <row r="755">
      <c r="A755" t="inlineStr">
        <is>
          <t xml:space="preserve">Ocotepeque — Ocotepeque department, town of Nueva Ocotepeque</t>
        </is>
      </c>
      <c r="B755" t="inlineStr">
        <is>
          <t xml:space="preserve">2025/26</t>
        </is>
      </c>
      <c r="C755" t="inlineStr">
        <is>
          <t xml:space="preserve">Neutral</t>
        </is>
      </c>
      <c r="D755" t="inlineStr">
        <is>
          <t xml:space="preserve">no</t>
        </is>
      </c>
      <c r="E755" t="inlineStr">
        <is>
          <t xml:space="preserve">Dec</t>
        </is>
      </c>
      <c r="F755">
        <v>6</v>
      </c>
      <c r="G755">
        <v>2025</v>
      </c>
      <c r="H755" t="inlineStr">
        <is>
          <t xml:space="preserve">2025-12</t>
        </is>
      </c>
      <c r="I755" s="3">
        <f>INDEX(Monthly!$V:$V,MATCH(H755,Monthly!$A:$A,0))</f>
        <v>21.806774193548385</v>
      </c>
      <c r="J755" s="4">
        <f>INDEX(Monthly!$U:$U,MATCH(H755,Monthly!$A:$A,0))</f>
        <v>16.486</v>
      </c>
    </row>
    <row r="756">
      <c r="A756" t="inlineStr">
        <is>
          <t xml:space="preserve">Ocotepeque — Ocotepeque department, town of Nueva Ocotepeque</t>
        </is>
      </c>
      <c r="B756" t="inlineStr">
        <is>
          <t xml:space="preserve">2025/26</t>
        </is>
      </c>
      <c r="C756" t="inlineStr">
        <is>
          <t xml:space="preserve">Neutral</t>
        </is>
      </c>
      <c r="D756" t="inlineStr">
        <is>
          <t xml:space="preserve">no</t>
        </is>
      </c>
      <c r="E756" t="inlineStr">
        <is>
          <t xml:space="preserve">Jan</t>
        </is>
      </c>
      <c r="F756">
        <v>7</v>
      </c>
      <c r="G756">
        <v>2026</v>
      </c>
      <c r="H756" t="inlineStr">
        <is>
          <t xml:space="preserve">2026-01</t>
        </is>
      </c>
      <c r="I756" s="3">
        <f>INDEX(Monthly!$V:$V,MATCH(H756,Monthly!$A:$A,0))</f>
        <v>20.564838709677424</v>
      </c>
      <c r="J756" s="4">
        <f>INDEX(Monthly!$U:$U,MATCH(H756,Monthly!$A:$A,0))</f>
        <v>0.712</v>
      </c>
    </row>
    <row r="757">
      <c r="A757" t="inlineStr">
        <is>
          <t xml:space="preserve">Ocotepeque — Ocotepeque department, town of Nueva Ocotepeque</t>
        </is>
      </c>
      <c r="B757" t="inlineStr">
        <is>
          <t xml:space="preserve">2025/26</t>
        </is>
      </c>
      <c r="C757" t="inlineStr">
        <is>
          <t xml:space="preserve">Neutral</t>
        </is>
      </c>
      <c r="D757" t="inlineStr">
        <is>
          <t xml:space="preserve">no</t>
        </is>
      </c>
      <c r="E757" t="inlineStr">
        <is>
          <t xml:space="preserve">Feb</t>
        </is>
      </c>
      <c r="F757">
        <v>8</v>
      </c>
      <c r="G757">
        <v>2026</v>
      </c>
      <c r="H757" t="inlineStr">
        <is>
          <t xml:space="preserve">2026-02</t>
        </is>
      </c>
      <c r="I757" s="3">
        <f>INDEX(Monthly!$V:$V,MATCH(H757,Monthly!$A:$A,0))</f>
        <v>20.347857142857144</v>
      </c>
      <c r="J757" s="4">
        <f>INDEX(Monthly!$U:$U,MATCH(H757,Monthly!$A:$A,0))</f>
        <v>0.631</v>
      </c>
    </row>
    <row r="758">
      <c r="A758" t="inlineStr">
        <is>
          <t xml:space="preserve">Ocotepeque — Ocotepeque department, town of Nueva Ocotepeque</t>
        </is>
      </c>
      <c r="B758" t="inlineStr">
        <is>
          <t xml:space="preserve">2025/26</t>
        </is>
      </c>
      <c r="C758" t="inlineStr">
        <is>
          <t xml:space="preserve">Neutral</t>
        </is>
      </c>
      <c r="D758" t="inlineStr">
        <is>
          <t xml:space="preserve">no</t>
        </is>
      </c>
      <c r="E758" t="inlineStr">
        <is>
          <t xml:space="preserve">Mar</t>
        </is>
      </c>
      <c r="F758">
        <v>9</v>
      </c>
      <c r="G758">
        <v>2026</v>
      </c>
      <c r="H758" t="inlineStr">
        <is>
          <t xml:space="preserve">2026-03</t>
        </is>
      </c>
      <c r="I758" s="3">
        <f>INDEX(Monthly!$V:$V,MATCH(H758,Monthly!$A:$A,0))</f>
        <v>23.274838709677418</v>
      </c>
      <c r="J758" s="4">
        <f>INDEX(Monthly!$U:$U,MATCH(H758,Monthly!$A:$A,0))</f>
        <v>16.414</v>
      </c>
    </row>
    <row r="759">
      <c r="A759" t="inlineStr">
        <is>
          <t xml:space="preserve">Ocotepeque — Ocotepeque department, town of Nueva Ocotepeque</t>
        </is>
      </c>
      <c r="B759" t="inlineStr">
        <is>
          <t xml:space="preserve">2025/26</t>
        </is>
      </c>
      <c r="C759" t="inlineStr">
        <is>
          <t xml:space="preserve">Neutral</t>
        </is>
      </c>
      <c r="D759" t="inlineStr">
        <is>
          <t xml:space="preserve">no</t>
        </is>
      </c>
      <c r="E759" t="inlineStr">
        <is>
          <t xml:space="preserve">Apr</t>
        </is>
      </c>
      <c r="F759">
        <v>10</v>
      </c>
      <c r="G759">
        <v>2026</v>
      </c>
      <c r="H759" t="inlineStr">
        <is>
          <t xml:space="preserve">2026-04</t>
        </is>
      </c>
      <c r="I759" s="3">
        <f>INDEX(Monthly!$V:$V,MATCH(H759,Monthly!$A:$A,0))</f>
        <v>24.628666666666668</v>
      </c>
      <c r="J759" s="4">
        <f>INDEX(Monthly!$U:$U,MATCH(H759,Monthly!$A:$A,0))</f>
        <v>63.316</v>
      </c>
    </row>
    <row r="760">
      <c r="A760" t="inlineStr">
        <is>
          <t xml:space="preserve">Ocotepeque — Ocotepeque department, town of Nueva Ocotepeque</t>
        </is>
      </c>
      <c r="B760" t="inlineStr">
        <is>
          <t xml:space="preserve">2025/26</t>
        </is>
      </c>
      <c r="C760" t="inlineStr">
        <is>
          <t xml:space="preserve">Neutral</t>
        </is>
      </c>
      <c r="D760" t="inlineStr">
        <is>
          <t xml:space="preserve">no</t>
        </is>
      </c>
      <c r="E760" t="inlineStr">
        <is>
          <t xml:space="preserve">May</t>
        </is>
      </c>
      <c r="F760">
        <v>11</v>
      </c>
      <c r="G760">
        <v>2026</v>
      </c>
      <c r="H760" t="inlineStr">
        <is>
          <t xml:space="preserve">2026-05</t>
        </is>
      </c>
      <c r="I760" s="3">
        <f>INDEX(Monthly!$V:$V,MATCH(H760,Monthly!$A:$A,0))</f>
        <v>26.831935483870964</v>
      </c>
      <c r="J760" s="4">
        <f>INDEX(Monthly!$U:$U,MATCH(H760,Monthly!$A:$A,0))</f>
        <v>61.715</v>
      </c>
    </row>
    <row r="761">
      <c r="A761" t="inlineStr">
        <is>
          <t xml:space="preserve">Ocotepeque — Ocotepeque department, town of Nueva Ocotepeque</t>
        </is>
      </c>
      <c r="B761" t="inlineStr">
        <is>
          <t xml:space="preserve">2025/26</t>
        </is>
      </c>
      <c r="C761" t="inlineStr">
        <is>
          <t xml:space="preserve">Neutral</t>
        </is>
      </c>
      <c r="D761" t="inlineStr">
        <is>
          <t xml:space="preserve">no</t>
        </is>
      </c>
      <c r="E761" t="inlineStr">
        <is>
          <t xml:space="preserve">Jun</t>
        </is>
      </c>
      <c r="F761">
        <v>12</v>
      </c>
      <c r="G761">
        <v>2026</v>
      </c>
      <c r="H761" t="inlineStr">
        <is>
          <t xml:space="preserve">2026-06</t>
        </is>
      </c>
      <c r="I761" s="3">
        <f>INDEX(Monthly!$V:$V,MATCH(H761,Monthly!$A:$A,0))</f>
        <v>24.825666666666667</v>
      </c>
      <c r="J761" s="4">
        <f>INDEX(Monthly!$U:$U,MATCH(H761,Monthly!$A:$A,0))</f>
        <v>72.205</v>
      </c>
    </row>
    <row r="762">
      <c r="A762" t="inlineStr">
        <is>
          <t xml:space="preserve">Ocotepeque — Ocotepeque department, town of Nueva Ocotepeque</t>
        </is>
      </c>
      <c r="B762" t="inlineStr">
        <is>
          <t xml:space="preserve">2026/27</t>
        </is>
      </c>
      <c r="C762" t="inlineStr">
        <is>
          <t xml:space="preserve">El Niño (in progress)</t>
        </is>
      </c>
      <c r="D762" t="inlineStr">
        <is>
          <t xml:space="preserve">no</t>
        </is>
      </c>
      <c r="E762" t="inlineStr">
        <is>
          <t xml:space="preserve">Jul</t>
        </is>
      </c>
      <c r="F762">
        <v>1</v>
      </c>
      <c r="G762">
        <v>2026</v>
      </c>
      <c r="H762" t="inlineStr">
        <is>
          <t xml:space="preserve">2026-07</t>
        </is>
      </c>
      <c r="I762" s="3">
        <f>INDEX(Monthly!$V:$V,MATCH(H762,Monthly!$A:$A,0))</f>
        <v>25.486774193548385</v>
      </c>
      <c r="J762" s="4">
        <f>INDEX(Monthly!$U:$U,MATCH(H762,Monthly!$A:$A,0))</f>
        <v>47.519</v>
      </c>
    </row>
    <row r="763">
      <c r="A763" t="inlineStr">
        <is>
          <t xml:space="preserve">Ocotepeque — Ocotepeque department, town of Nueva Ocotepeque</t>
        </is>
      </c>
      <c r="B763" t="inlineStr">
        <is>
          <t xml:space="preserve">2026/27</t>
        </is>
      </c>
      <c r="C763" t="inlineStr">
        <is>
          <t xml:space="preserve">El Niño (in progress)</t>
        </is>
      </c>
      <c r="D763" t="inlineStr">
        <is>
          <t xml:space="preserve">no</t>
        </is>
      </c>
      <c r="E763" t="inlineStr">
        <is>
          <t xml:space="preserve">Aug</t>
        </is>
      </c>
      <c r="F763">
        <v>2</v>
      </c>
      <c r="G763">
        <v>2026</v>
      </c>
      <c r="H763" t="inlineStr">
        <is>
          <t xml:space="preserve">2026-08</t>
        </is>
      </c>
      <c r="I763" s="3">
        <f>INDEX(Monthly!$V:$V,MATCH(H763,Monthly!$A:$A,0))</f>
        <v>26.167741935483868</v>
      </c>
      <c r="J763" s="4">
        <f>INDEX(Monthly!$U:$U,MATCH(H763,Monthly!$A:$A,0))</f>
        <v>12.148</v>
      </c>
    </row>
    <row r="764">
      <c r="A764" t="inlineStr">
        <is>
          <t xml:space="preserve">Copán — Copán department, town of Santa Rosa de Copán</t>
        </is>
      </c>
      <c r="B764" t="inlineStr">
        <is>
          <t xml:space="preserve">2005/06</t>
        </is>
      </c>
      <c r="C764" t="inlineStr">
        <is>
          <t xml:space="preserve">La Niña</t>
        </is>
      </c>
      <c r="D764" t="inlineStr">
        <is>
          <t xml:space="preserve">yes</t>
        </is>
      </c>
      <c r="E764" t="inlineStr">
        <is>
          <t xml:space="preserve">Jul</t>
        </is>
      </c>
      <c r="F764">
        <v>1</v>
      </c>
      <c r="G764">
        <v>2005</v>
      </c>
      <c r="H764" t="inlineStr">
        <is>
          <t xml:space="preserve">2005-07</t>
        </is>
      </c>
      <c r="I764" s="3">
        <f>INDEX(Monthly!$AA:$AA,MATCH(H764,Monthly!$A:$A,0))</f>
        <v>23.213548387096772</v>
      </c>
      <c r="J764" s="4">
        <f>INDEX(Monthly!$Z:$Z,MATCH(H764,Monthly!$A:$A,0))</f>
        <v>155.001</v>
      </c>
    </row>
    <row r="765">
      <c r="A765" t="inlineStr">
        <is>
          <t xml:space="preserve">Copán — Copán department, town of Santa Rosa de Copán</t>
        </is>
      </c>
      <c r="B765" t="inlineStr">
        <is>
          <t xml:space="preserve">2005/06</t>
        </is>
      </c>
      <c r="C765" t="inlineStr">
        <is>
          <t xml:space="preserve">La Niña</t>
        </is>
      </c>
      <c r="D765" t="inlineStr">
        <is>
          <t xml:space="preserve">yes</t>
        </is>
      </c>
      <c r="E765" t="inlineStr">
        <is>
          <t xml:space="preserve">Aug</t>
        </is>
      </c>
      <c r="F765">
        <v>2</v>
      </c>
      <c r="G765">
        <v>2005</v>
      </c>
      <c r="H765" t="inlineStr">
        <is>
          <t xml:space="preserve">2005-08</t>
        </is>
      </c>
      <c r="I765" s="3">
        <f>INDEX(Monthly!$AA:$AA,MATCH(H765,Monthly!$A:$A,0))</f>
        <v>23.284838709677423</v>
      </c>
      <c r="J765" s="4">
        <f>INDEX(Monthly!$Z:$Z,MATCH(H765,Monthly!$A:$A,0))</f>
        <v>129.104</v>
      </c>
    </row>
    <row r="766">
      <c r="A766" t="inlineStr">
        <is>
          <t xml:space="preserve">Copán — Copán department, town of Santa Rosa de Copán</t>
        </is>
      </c>
      <c r="B766" t="inlineStr">
        <is>
          <t xml:space="preserve">2005/06</t>
        </is>
      </c>
      <c r="C766" t="inlineStr">
        <is>
          <t xml:space="preserve">La Niña</t>
        </is>
      </c>
      <c r="D766" t="inlineStr">
        <is>
          <t xml:space="preserve">yes</t>
        </is>
      </c>
      <c r="E766" t="inlineStr">
        <is>
          <t xml:space="preserve">Sep</t>
        </is>
      </c>
      <c r="F766">
        <v>3</v>
      </c>
      <c r="G766">
        <v>2005</v>
      </c>
      <c r="H766" t="inlineStr">
        <is>
          <t xml:space="preserve">2005-09</t>
        </is>
      </c>
      <c r="I766" s="3">
        <f>INDEX(Monthly!$AA:$AA,MATCH(H766,Monthly!$A:$A,0))</f>
        <v>22.76066666666667</v>
      </c>
      <c r="J766" s="4">
        <f>INDEX(Monthly!$Z:$Z,MATCH(H766,Monthly!$A:$A,0))</f>
        <v>211.215</v>
      </c>
    </row>
    <row r="767">
      <c r="A767" t="inlineStr">
        <is>
          <t xml:space="preserve">Copán — Copán department, town of Santa Rosa de Copán</t>
        </is>
      </c>
      <c r="B767" t="inlineStr">
        <is>
          <t xml:space="preserve">2005/06</t>
        </is>
      </c>
      <c r="C767" t="inlineStr">
        <is>
          <t xml:space="preserve">La Niña</t>
        </is>
      </c>
      <c r="D767" t="inlineStr">
        <is>
          <t xml:space="preserve">yes</t>
        </is>
      </c>
      <c r="E767" t="inlineStr">
        <is>
          <t xml:space="preserve">Oct</t>
        </is>
      </c>
      <c r="F767">
        <v>4</v>
      </c>
      <c r="G767">
        <v>2005</v>
      </c>
      <c r="H767" t="inlineStr">
        <is>
          <t xml:space="preserve">2005-10</t>
        </is>
      </c>
      <c r="I767" s="3">
        <f>INDEX(Monthly!$AA:$AA,MATCH(H767,Monthly!$A:$A,0))</f>
        <v>21.344516129032254</v>
      </c>
      <c r="J767" s="4">
        <f>INDEX(Monthly!$Z:$Z,MATCH(H767,Monthly!$A:$A,0))</f>
        <v>116.649</v>
      </c>
    </row>
    <row r="768">
      <c r="A768" t="inlineStr">
        <is>
          <t xml:space="preserve">Copán — Copán department, town of Santa Rosa de Copán</t>
        </is>
      </c>
      <c r="B768" t="inlineStr">
        <is>
          <t xml:space="preserve">2005/06</t>
        </is>
      </c>
      <c r="C768" t="inlineStr">
        <is>
          <t xml:space="preserve">La Niña</t>
        </is>
      </c>
      <c r="D768" t="inlineStr">
        <is>
          <t xml:space="preserve">yes</t>
        </is>
      </c>
      <c r="E768" t="inlineStr">
        <is>
          <t xml:space="preserve">Nov</t>
        </is>
      </c>
      <c r="F768">
        <v>5</v>
      </c>
      <c r="G768">
        <v>2005</v>
      </c>
      <c r="H768" t="inlineStr">
        <is>
          <t xml:space="preserve">2005-11</t>
        </is>
      </c>
      <c r="I768" s="3">
        <f>INDEX(Monthly!$AA:$AA,MATCH(H768,Monthly!$A:$A,0))</f>
        <v>20.017000000000003</v>
      </c>
      <c r="J768" s="4">
        <f>INDEX(Monthly!$Z:$Z,MATCH(H768,Monthly!$A:$A,0))</f>
        <v>32.106</v>
      </c>
    </row>
    <row r="769">
      <c r="A769" t="inlineStr">
        <is>
          <t xml:space="preserve">Copán — Copán department, town of Santa Rosa de Copán</t>
        </is>
      </c>
      <c r="B769" t="inlineStr">
        <is>
          <t xml:space="preserve">2005/06</t>
        </is>
      </c>
      <c r="C769" t="inlineStr">
        <is>
          <t xml:space="preserve">La Niña</t>
        </is>
      </c>
      <c r="D769" t="inlineStr">
        <is>
          <t xml:space="preserve">yes</t>
        </is>
      </c>
      <c r="E769" t="inlineStr">
        <is>
          <t xml:space="preserve">Dec</t>
        </is>
      </c>
      <c r="F769">
        <v>6</v>
      </c>
      <c r="G769">
        <v>2005</v>
      </c>
      <c r="H769" t="inlineStr">
        <is>
          <t xml:space="preserve">2005-12</t>
        </is>
      </c>
      <c r="I769" s="3">
        <f>INDEX(Monthly!$AA:$AA,MATCH(H769,Monthly!$A:$A,0))</f>
        <v>20.312258064516122</v>
      </c>
      <c r="J769" s="4">
        <f>INDEX(Monthly!$Z:$Z,MATCH(H769,Monthly!$A:$A,0))</f>
        <v>35.716</v>
      </c>
    </row>
    <row r="770">
      <c r="A770" t="inlineStr">
        <is>
          <t xml:space="preserve">Copán — Copán department, town of Santa Rosa de Copán</t>
        </is>
      </c>
      <c r="B770" t="inlineStr">
        <is>
          <t xml:space="preserve">2005/06</t>
        </is>
      </c>
      <c r="C770" t="inlineStr">
        <is>
          <t xml:space="preserve">La Niña</t>
        </is>
      </c>
      <c r="D770" t="inlineStr">
        <is>
          <t xml:space="preserve">yes</t>
        </is>
      </c>
      <c r="E770" t="inlineStr">
        <is>
          <t xml:space="preserve">Jan</t>
        </is>
      </c>
      <c r="F770">
        <v>7</v>
      </c>
      <c r="G770">
        <v>2006</v>
      </c>
      <c r="H770" t="inlineStr">
        <is>
          <t xml:space="preserve">2006-01</t>
        </is>
      </c>
      <c r="I770" s="3">
        <f>INDEX(Monthly!$AA:$AA,MATCH(H770,Monthly!$A:$A,0))</f>
        <v>19.85516129032258</v>
      </c>
      <c r="J770" s="4">
        <f>INDEX(Monthly!$Z:$Z,MATCH(H770,Monthly!$A:$A,0))</f>
        <v>49.05</v>
      </c>
    </row>
    <row r="771">
      <c r="A771" t="inlineStr">
        <is>
          <t xml:space="preserve">Copán — Copán department, town of Santa Rosa de Copán</t>
        </is>
      </c>
      <c r="B771" t="inlineStr">
        <is>
          <t xml:space="preserve">2005/06</t>
        </is>
      </c>
      <c r="C771" t="inlineStr">
        <is>
          <t xml:space="preserve">La Niña</t>
        </is>
      </c>
      <c r="D771" t="inlineStr">
        <is>
          <t xml:space="preserve">yes</t>
        </is>
      </c>
      <c r="E771" t="inlineStr">
        <is>
          <t xml:space="preserve">Feb</t>
        </is>
      </c>
      <c r="F771">
        <v>8</v>
      </c>
      <c r="G771">
        <v>2006</v>
      </c>
      <c r="H771" t="inlineStr">
        <is>
          <t xml:space="preserve">2006-02</t>
        </is>
      </c>
      <c r="I771" s="3">
        <f>INDEX(Monthly!$AA:$AA,MATCH(H771,Monthly!$A:$A,0))</f>
        <v>19.858571428571423</v>
      </c>
      <c r="J771" s="4">
        <f>INDEX(Monthly!$Z:$Z,MATCH(H771,Monthly!$A:$A,0))</f>
        <v>12.137</v>
      </c>
    </row>
    <row r="772">
      <c r="A772" t="inlineStr">
        <is>
          <t xml:space="preserve">Copán — Copán department, town of Santa Rosa de Copán</t>
        </is>
      </c>
      <c r="B772" t="inlineStr">
        <is>
          <t xml:space="preserve">2005/06</t>
        </is>
      </c>
      <c r="C772" t="inlineStr">
        <is>
          <t xml:space="preserve">La Niña</t>
        </is>
      </c>
      <c r="D772" t="inlineStr">
        <is>
          <t xml:space="preserve">yes</t>
        </is>
      </c>
      <c r="E772" t="inlineStr">
        <is>
          <t xml:space="preserve">Mar</t>
        </is>
      </c>
      <c r="F772">
        <v>9</v>
      </c>
      <c r="G772">
        <v>2006</v>
      </c>
      <c r="H772" t="inlineStr">
        <is>
          <t xml:space="preserve">2006-03</t>
        </is>
      </c>
      <c r="I772" s="3">
        <f>INDEX(Monthly!$AA:$AA,MATCH(H772,Monthly!$A:$A,0))</f>
        <v>22.384838709677414</v>
      </c>
      <c r="J772" s="4">
        <f>INDEX(Monthly!$Z:$Z,MATCH(H772,Monthly!$A:$A,0))</f>
        <v>10.905</v>
      </c>
    </row>
    <row r="773">
      <c r="A773" t="inlineStr">
        <is>
          <t xml:space="preserve">Copán — Copán department, town of Santa Rosa de Copán</t>
        </is>
      </c>
      <c r="B773" t="inlineStr">
        <is>
          <t xml:space="preserve">2005/06</t>
        </is>
      </c>
      <c r="C773" t="inlineStr">
        <is>
          <t xml:space="preserve">La Niña</t>
        </is>
      </c>
      <c r="D773" t="inlineStr">
        <is>
          <t xml:space="preserve">yes</t>
        </is>
      </c>
      <c r="E773" t="inlineStr">
        <is>
          <t xml:space="preserve">Apr</t>
        </is>
      </c>
      <c r="F773">
        <v>10</v>
      </c>
      <c r="G773">
        <v>2006</v>
      </c>
      <c r="H773" t="inlineStr">
        <is>
          <t xml:space="preserve">2006-04</t>
        </is>
      </c>
      <c r="I773" s="3">
        <f>INDEX(Monthly!$AA:$AA,MATCH(H773,Monthly!$A:$A,0))</f>
        <v>23.780666666666665</v>
      </c>
      <c r="J773" s="4">
        <f>INDEX(Monthly!$Z:$Z,MATCH(H773,Monthly!$A:$A,0))</f>
        <v>66.607</v>
      </c>
    </row>
    <row r="774">
      <c r="A774" t="inlineStr">
        <is>
          <t xml:space="preserve">Copán — Copán department, town of Santa Rosa de Copán</t>
        </is>
      </c>
      <c r="B774" t="inlineStr">
        <is>
          <t xml:space="preserve">2005/06</t>
        </is>
      </c>
      <c r="C774" t="inlineStr">
        <is>
          <t xml:space="preserve">La Niña</t>
        </is>
      </c>
      <c r="D774" t="inlineStr">
        <is>
          <t xml:space="preserve">yes</t>
        </is>
      </c>
      <c r="E774" t="inlineStr">
        <is>
          <t xml:space="preserve">May</t>
        </is>
      </c>
      <c r="F774">
        <v>11</v>
      </c>
      <c r="G774">
        <v>2006</v>
      </c>
      <c r="H774" t="inlineStr">
        <is>
          <t xml:space="preserve">2006-05</t>
        </is>
      </c>
      <c r="I774" s="3">
        <f>INDEX(Monthly!$AA:$AA,MATCH(H774,Monthly!$A:$A,0))</f>
        <v>24.147741935483868</v>
      </c>
      <c r="J774" s="4">
        <f>INDEX(Monthly!$Z:$Z,MATCH(H774,Monthly!$A:$A,0))</f>
        <v>134.088</v>
      </c>
    </row>
    <row r="775">
      <c r="A775" t="inlineStr">
        <is>
          <t xml:space="preserve">Copán — Copán department, town of Santa Rosa de Copán</t>
        </is>
      </c>
      <c r="B775" t="inlineStr">
        <is>
          <t xml:space="preserve">2005/06</t>
        </is>
      </c>
      <c r="C775" t="inlineStr">
        <is>
          <t xml:space="preserve">La Niña</t>
        </is>
      </c>
      <c r="D775" t="inlineStr">
        <is>
          <t xml:space="preserve">yes</t>
        </is>
      </c>
      <c r="E775" t="inlineStr">
        <is>
          <t xml:space="preserve">Jun</t>
        </is>
      </c>
      <c r="F775">
        <v>12</v>
      </c>
      <c r="G775">
        <v>2006</v>
      </c>
      <c r="H775" t="inlineStr">
        <is>
          <t xml:space="preserve">2006-06</t>
        </is>
      </c>
      <c r="I775" s="3">
        <f>INDEX(Monthly!$AA:$AA,MATCH(H775,Monthly!$A:$A,0))</f>
        <v>22.64666666666666</v>
      </c>
      <c r="J775" s="4">
        <f>INDEX(Monthly!$Z:$Z,MATCH(H775,Monthly!$A:$A,0))</f>
        <v>302.914</v>
      </c>
    </row>
    <row r="776">
      <c r="A776" t="inlineStr">
        <is>
          <t xml:space="preserve">Copán — Copán department, town of Santa Rosa de Copán</t>
        </is>
      </c>
      <c r="B776" t="inlineStr">
        <is>
          <t xml:space="preserve">2006/07</t>
        </is>
      </c>
      <c r="C776" t="inlineStr">
        <is>
          <t xml:space="preserve">El Niño</t>
        </is>
      </c>
      <c r="D776" t="inlineStr">
        <is>
          <t xml:space="preserve">yes</t>
        </is>
      </c>
      <c r="E776" t="inlineStr">
        <is>
          <t xml:space="preserve">Jul</t>
        </is>
      </c>
      <c r="F776">
        <v>1</v>
      </c>
      <c r="G776">
        <v>2006</v>
      </c>
      <c r="H776" t="inlineStr">
        <is>
          <t xml:space="preserve">2006-07</t>
        </is>
      </c>
      <c r="I776" s="3">
        <f>INDEX(Monthly!$AA:$AA,MATCH(H776,Monthly!$A:$A,0))</f>
        <v>22.668064516129032</v>
      </c>
      <c r="J776" s="4">
        <f>INDEX(Monthly!$Z:$Z,MATCH(H776,Monthly!$A:$A,0))</f>
        <v>111.276</v>
      </c>
    </row>
    <row r="777">
      <c r="A777" t="inlineStr">
        <is>
          <t xml:space="preserve">Copán — Copán department, town of Santa Rosa de Copán</t>
        </is>
      </c>
      <c r="B777" t="inlineStr">
        <is>
          <t xml:space="preserve">2006/07</t>
        </is>
      </c>
      <c r="C777" t="inlineStr">
        <is>
          <t xml:space="preserve">El Niño</t>
        </is>
      </c>
      <c r="D777" t="inlineStr">
        <is>
          <t xml:space="preserve">yes</t>
        </is>
      </c>
      <c r="E777" t="inlineStr">
        <is>
          <t xml:space="preserve">Aug</t>
        </is>
      </c>
      <c r="F777">
        <v>2</v>
      </c>
      <c r="G777">
        <v>2006</v>
      </c>
      <c r="H777" t="inlineStr">
        <is>
          <t xml:space="preserve">2006-08</t>
        </is>
      </c>
      <c r="I777" s="3">
        <f>INDEX(Monthly!$AA:$AA,MATCH(H777,Monthly!$A:$A,0))</f>
        <v>22.73838709677419</v>
      </c>
      <c r="J777" s="4">
        <f>INDEX(Monthly!$Z:$Z,MATCH(H777,Monthly!$A:$A,0))</f>
        <v>188.179</v>
      </c>
    </row>
    <row r="778">
      <c r="A778" t="inlineStr">
        <is>
          <t xml:space="preserve">Copán — Copán department, town of Santa Rosa de Copán</t>
        </is>
      </c>
      <c r="B778" t="inlineStr">
        <is>
          <t xml:space="preserve">2006/07</t>
        </is>
      </c>
      <c r="C778" t="inlineStr">
        <is>
          <t xml:space="preserve">El Niño</t>
        </is>
      </c>
      <c r="D778" t="inlineStr">
        <is>
          <t xml:space="preserve">yes</t>
        </is>
      </c>
      <c r="E778" t="inlineStr">
        <is>
          <t xml:space="preserve">Sep</t>
        </is>
      </c>
      <c r="F778">
        <v>3</v>
      </c>
      <c r="G778">
        <v>2006</v>
      </c>
      <c r="H778" t="inlineStr">
        <is>
          <t xml:space="preserve">2006-09</t>
        </is>
      </c>
      <c r="I778" s="3">
        <f>INDEX(Monthly!$AA:$AA,MATCH(H778,Monthly!$A:$A,0))</f>
        <v>22.772000000000002</v>
      </c>
      <c r="J778" s="4">
        <f>INDEX(Monthly!$Z:$Z,MATCH(H778,Monthly!$A:$A,0))</f>
        <v>165.874</v>
      </c>
    </row>
    <row r="779">
      <c r="A779" t="inlineStr">
        <is>
          <t xml:space="preserve">Copán — Copán department, town of Santa Rosa de Copán</t>
        </is>
      </c>
      <c r="B779" t="inlineStr">
        <is>
          <t xml:space="preserve">2006/07</t>
        </is>
      </c>
      <c r="C779" t="inlineStr">
        <is>
          <t xml:space="preserve">El Niño</t>
        </is>
      </c>
      <c r="D779" t="inlineStr">
        <is>
          <t xml:space="preserve">yes</t>
        </is>
      </c>
      <c r="E779" t="inlineStr">
        <is>
          <t xml:space="preserve">Oct</t>
        </is>
      </c>
      <c r="F779">
        <v>4</v>
      </c>
      <c r="G779">
        <v>2006</v>
      </c>
      <c r="H779" t="inlineStr">
        <is>
          <t xml:space="preserve">2006-10</t>
        </is>
      </c>
      <c r="I779" s="3">
        <f>INDEX(Monthly!$AA:$AA,MATCH(H779,Monthly!$A:$A,0))</f>
        <v>22.518387096774187</v>
      </c>
      <c r="J779" s="4">
        <f>INDEX(Monthly!$Z:$Z,MATCH(H779,Monthly!$A:$A,0))</f>
        <v>113.251</v>
      </c>
    </row>
    <row r="780">
      <c r="A780" t="inlineStr">
        <is>
          <t xml:space="preserve">Copán — Copán department, town of Santa Rosa de Copán</t>
        </is>
      </c>
      <c r="B780" t="inlineStr">
        <is>
          <t xml:space="preserve">2006/07</t>
        </is>
      </c>
      <c r="C780" t="inlineStr">
        <is>
          <t xml:space="preserve">El Niño</t>
        </is>
      </c>
      <c r="D780" t="inlineStr">
        <is>
          <t xml:space="preserve">yes</t>
        </is>
      </c>
      <c r="E780" t="inlineStr">
        <is>
          <t xml:space="preserve">Nov</t>
        </is>
      </c>
      <c r="F780">
        <v>5</v>
      </c>
      <c r="G780">
        <v>2006</v>
      </c>
      <c r="H780" t="inlineStr">
        <is>
          <t xml:space="preserve">2006-11</t>
        </is>
      </c>
      <c r="I780" s="3">
        <f>INDEX(Monthly!$AA:$AA,MATCH(H780,Monthly!$A:$A,0))</f>
        <v>19.887333333333334</v>
      </c>
      <c r="J780" s="4">
        <f>INDEX(Monthly!$Z:$Z,MATCH(H780,Monthly!$A:$A,0))</f>
        <v>39.969</v>
      </c>
    </row>
    <row r="781">
      <c r="A781" t="inlineStr">
        <is>
          <t xml:space="preserve">Copán — Copán department, town of Santa Rosa de Copán</t>
        </is>
      </c>
      <c r="B781" t="inlineStr">
        <is>
          <t xml:space="preserve">2006/07</t>
        </is>
      </c>
      <c r="C781" t="inlineStr">
        <is>
          <t xml:space="preserve">El Niño</t>
        </is>
      </c>
      <c r="D781" t="inlineStr">
        <is>
          <t xml:space="preserve">yes</t>
        </is>
      </c>
      <c r="E781" t="inlineStr">
        <is>
          <t xml:space="preserve">Dec</t>
        </is>
      </c>
      <c r="F781">
        <v>6</v>
      </c>
      <c r="G781">
        <v>2006</v>
      </c>
      <c r="H781" t="inlineStr">
        <is>
          <t xml:space="preserve">2006-12</t>
        </is>
      </c>
      <c r="I781" s="3">
        <f>INDEX(Monthly!$AA:$AA,MATCH(H781,Monthly!$A:$A,0))</f>
        <v>20.093870967741935</v>
      </c>
      <c r="J781" s="4">
        <f>INDEX(Monthly!$Z:$Z,MATCH(H781,Monthly!$A:$A,0))</f>
        <v>98.523</v>
      </c>
    </row>
    <row r="782">
      <c r="A782" t="inlineStr">
        <is>
          <t xml:space="preserve">Copán — Copán department, town of Santa Rosa de Copán</t>
        </is>
      </c>
      <c r="B782" t="inlineStr">
        <is>
          <t xml:space="preserve">2006/07</t>
        </is>
      </c>
      <c r="C782" t="inlineStr">
        <is>
          <t xml:space="preserve">El Niño</t>
        </is>
      </c>
      <c r="D782" t="inlineStr">
        <is>
          <t xml:space="preserve">yes</t>
        </is>
      </c>
      <c r="E782" t="inlineStr">
        <is>
          <t xml:space="preserve">Jan</t>
        </is>
      </c>
      <c r="F782">
        <v>7</v>
      </c>
      <c r="G782">
        <v>2007</v>
      </c>
      <c r="H782" t="inlineStr">
        <is>
          <t xml:space="preserve">2007-01</t>
        </is>
      </c>
      <c r="I782" s="3">
        <f>INDEX(Monthly!$AA:$AA,MATCH(H782,Monthly!$A:$A,0))</f>
        <v>19.9941935483871</v>
      </c>
      <c r="J782" s="4">
        <f>INDEX(Monthly!$Z:$Z,MATCH(H782,Monthly!$A:$A,0))</f>
        <v>43.994</v>
      </c>
    </row>
    <row r="783">
      <c r="A783" t="inlineStr">
        <is>
          <t xml:space="preserve">Copán — Copán department, town of Santa Rosa de Copán</t>
        </is>
      </c>
      <c r="B783" t="inlineStr">
        <is>
          <t xml:space="preserve">2006/07</t>
        </is>
      </c>
      <c r="C783" t="inlineStr">
        <is>
          <t xml:space="preserve">El Niño</t>
        </is>
      </c>
      <c r="D783" t="inlineStr">
        <is>
          <t xml:space="preserve">yes</t>
        </is>
      </c>
      <c r="E783" t="inlineStr">
        <is>
          <t xml:space="preserve">Feb</t>
        </is>
      </c>
      <c r="F783">
        <v>8</v>
      </c>
      <c r="G783">
        <v>2007</v>
      </c>
      <c r="H783" t="inlineStr">
        <is>
          <t xml:space="preserve">2007-02</t>
        </is>
      </c>
      <c r="I783" s="3">
        <f>INDEX(Monthly!$AA:$AA,MATCH(H783,Monthly!$A:$A,0))</f>
        <v>20.448571428571427</v>
      </c>
      <c r="J783" s="4">
        <f>INDEX(Monthly!$Z:$Z,MATCH(H783,Monthly!$A:$A,0))</f>
        <v>18.063</v>
      </c>
    </row>
    <row r="784">
      <c r="A784" t="inlineStr">
        <is>
          <t xml:space="preserve">Copán — Copán department, town of Santa Rosa de Copán</t>
        </is>
      </c>
      <c r="B784" t="inlineStr">
        <is>
          <t xml:space="preserve">2006/07</t>
        </is>
      </c>
      <c r="C784" t="inlineStr">
        <is>
          <t xml:space="preserve">El Niño</t>
        </is>
      </c>
      <c r="D784" t="inlineStr">
        <is>
          <t xml:space="preserve">yes</t>
        </is>
      </c>
      <c r="E784" t="inlineStr">
        <is>
          <t xml:space="preserve">Mar</t>
        </is>
      </c>
      <c r="F784">
        <v>9</v>
      </c>
      <c r="G784">
        <v>2007</v>
      </c>
      <c r="H784" t="inlineStr">
        <is>
          <t xml:space="preserve">2007-03</t>
        </is>
      </c>
      <c r="I784" s="3">
        <f>INDEX(Monthly!$AA:$AA,MATCH(H784,Monthly!$A:$A,0))</f>
        <v>21.30129032258065</v>
      </c>
      <c r="J784" s="4">
        <f>INDEX(Monthly!$Z:$Z,MATCH(H784,Monthly!$A:$A,0))</f>
        <v>17.174</v>
      </c>
    </row>
    <row r="785">
      <c r="A785" t="inlineStr">
        <is>
          <t xml:space="preserve">Copán — Copán department, town of Santa Rosa de Copán</t>
        </is>
      </c>
      <c r="B785" t="inlineStr">
        <is>
          <t xml:space="preserve">2006/07</t>
        </is>
      </c>
      <c r="C785" t="inlineStr">
        <is>
          <t xml:space="preserve">El Niño</t>
        </is>
      </c>
      <c r="D785" t="inlineStr">
        <is>
          <t xml:space="preserve">yes</t>
        </is>
      </c>
      <c r="E785" t="inlineStr">
        <is>
          <t xml:space="preserve">Apr</t>
        </is>
      </c>
      <c r="F785">
        <v>10</v>
      </c>
      <c r="G785">
        <v>2007</v>
      </c>
      <c r="H785" t="inlineStr">
        <is>
          <t xml:space="preserve">2007-04</t>
        </is>
      </c>
      <c r="I785" s="3">
        <f>INDEX(Monthly!$AA:$AA,MATCH(H785,Monthly!$A:$A,0))</f>
        <v>23.993</v>
      </c>
      <c r="J785" s="4">
        <f>INDEX(Monthly!$Z:$Z,MATCH(H785,Monthly!$A:$A,0))</f>
        <v>31.204</v>
      </c>
    </row>
    <row r="786">
      <c r="A786" t="inlineStr">
        <is>
          <t xml:space="preserve">Copán — Copán department, town of Santa Rosa de Copán</t>
        </is>
      </c>
      <c r="B786" t="inlineStr">
        <is>
          <t xml:space="preserve">2006/07</t>
        </is>
      </c>
      <c r="C786" t="inlineStr">
        <is>
          <t xml:space="preserve">El Niño</t>
        </is>
      </c>
      <c r="D786" t="inlineStr">
        <is>
          <t xml:space="preserve">yes</t>
        </is>
      </c>
      <c r="E786" t="inlineStr">
        <is>
          <t xml:space="preserve">May</t>
        </is>
      </c>
      <c r="F786">
        <v>11</v>
      </c>
      <c r="G786">
        <v>2007</v>
      </c>
      <c r="H786" t="inlineStr">
        <is>
          <t xml:space="preserve">2007-05</t>
        </is>
      </c>
      <c r="I786" s="3">
        <f>INDEX(Monthly!$AA:$AA,MATCH(H786,Monthly!$A:$A,0))</f>
        <v>24.879032258064516</v>
      </c>
      <c r="J786" s="4">
        <f>INDEX(Monthly!$Z:$Z,MATCH(H786,Monthly!$A:$A,0))</f>
        <v>108.226</v>
      </c>
    </row>
    <row r="787">
      <c r="A787" t="inlineStr">
        <is>
          <t xml:space="preserve">Copán — Copán department, town of Santa Rosa de Copán</t>
        </is>
      </c>
      <c r="B787" t="inlineStr">
        <is>
          <t xml:space="preserve">2006/07</t>
        </is>
      </c>
      <c r="C787" t="inlineStr">
        <is>
          <t xml:space="preserve">El Niño</t>
        </is>
      </c>
      <c r="D787" t="inlineStr">
        <is>
          <t xml:space="preserve">yes</t>
        </is>
      </c>
      <c r="E787" t="inlineStr">
        <is>
          <t xml:space="preserve">Jun</t>
        </is>
      </c>
      <c r="F787">
        <v>12</v>
      </c>
      <c r="G787">
        <v>2007</v>
      </c>
      <c r="H787" t="inlineStr">
        <is>
          <t xml:space="preserve">2007-06</t>
        </is>
      </c>
      <c r="I787" s="3">
        <f>INDEX(Monthly!$AA:$AA,MATCH(H787,Monthly!$A:$A,0))</f>
        <v>23.538999999999998</v>
      </c>
      <c r="J787" s="4">
        <f>INDEX(Monthly!$Z:$Z,MATCH(H787,Monthly!$A:$A,0))</f>
        <v>252.203</v>
      </c>
    </row>
    <row r="788">
      <c r="A788" t="inlineStr">
        <is>
          <t xml:space="preserve">Copán — Copán department, town of Santa Rosa de Copán</t>
        </is>
      </c>
      <c r="B788" t="inlineStr">
        <is>
          <t xml:space="preserve">2007/08</t>
        </is>
      </c>
      <c r="C788" t="inlineStr">
        <is>
          <t xml:space="preserve">La Niña</t>
        </is>
      </c>
      <c r="D788" t="inlineStr">
        <is>
          <t xml:space="preserve">yes</t>
        </is>
      </c>
      <c r="E788" t="inlineStr">
        <is>
          <t xml:space="preserve">Jul</t>
        </is>
      </c>
      <c r="F788">
        <v>1</v>
      </c>
      <c r="G788">
        <v>2007</v>
      </c>
      <c r="H788" t="inlineStr">
        <is>
          <t xml:space="preserve">2007-07</t>
        </is>
      </c>
      <c r="I788" s="3">
        <f>INDEX(Monthly!$AA:$AA,MATCH(H788,Monthly!$A:$A,0))</f>
        <v>23.09387096774194</v>
      </c>
      <c r="J788" s="4">
        <f>INDEX(Monthly!$Z:$Z,MATCH(H788,Monthly!$A:$A,0))</f>
        <v>264.3</v>
      </c>
    </row>
    <row r="789">
      <c r="A789" t="inlineStr">
        <is>
          <t xml:space="preserve">Copán — Copán department, town of Santa Rosa de Copán</t>
        </is>
      </c>
      <c r="B789" t="inlineStr">
        <is>
          <t xml:space="preserve">2007/08</t>
        </is>
      </c>
      <c r="C789" t="inlineStr">
        <is>
          <t xml:space="preserve">La Niña</t>
        </is>
      </c>
      <c r="D789" t="inlineStr">
        <is>
          <t xml:space="preserve">yes</t>
        </is>
      </c>
      <c r="E789" t="inlineStr">
        <is>
          <t xml:space="preserve">Aug</t>
        </is>
      </c>
      <c r="F789">
        <v>2</v>
      </c>
      <c r="G789">
        <v>2007</v>
      </c>
      <c r="H789" t="inlineStr">
        <is>
          <t xml:space="preserve">2007-08</t>
        </is>
      </c>
      <c r="I789" s="3">
        <f>INDEX(Monthly!$AA:$AA,MATCH(H789,Monthly!$A:$A,0))</f>
        <v>22.842580645161295</v>
      </c>
      <c r="J789" s="4">
        <f>INDEX(Monthly!$Z:$Z,MATCH(H789,Monthly!$A:$A,0))</f>
        <v>213.736</v>
      </c>
    </row>
    <row r="790">
      <c r="A790" t="inlineStr">
        <is>
          <t xml:space="preserve">Copán — Copán department, town of Santa Rosa de Copán</t>
        </is>
      </c>
      <c r="B790" t="inlineStr">
        <is>
          <t xml:space="preserve">2007/08</t>
        </is>
      </c>
      <c r="C790" t="inlineStr">
        <is>
          <t xml:space="preserve">La Niña</t>
        </is>
      </c>
      <c r="D790" t="inlineStr">
        <is>
          <t xml:space="preserve">yes</t>
        </is>
      </c>
      <c r="E790" t="inlineStr">
        <is>
          <t xml:space="preserve">Sep</t>
        </is>
      </c>
      <c r="F790">
        <v>3</v>
      </c>
      <c r="G790">
        <v>2007</v>
      </c>
      <c r="H790" t="inlineStr">
        <is>
          <t xml:space="preserve">2007-09</t>
        </is>
      </c>
      <c r="I790" s="3">
        <f>INDEX(Monthly!$AA:$AA,MATCH(H790,Monthly!$A:$A,0))</f>
        <v>22.14533333333333</v>
      </c>
      <c r="J790" s="4">
        <f>INDEX(Monthly!$Z:$Z,MATCH(H790,Monthly!$A:$A,0))</f>
        <v>308.432</v>
      </c>
    </row>
    <row r="791">
      <c r="A791" t="inlineStr">
        <is>
          <t xml:space="preserve">Copán — Copán department, town of Santa Rosa de Copán</t>
        </is>
      </c>
      <c r="B791" t="inlineStr">
        <is>
          <t xml:space="preserve">2007/08</t>
        </is>
      </c>
      <c r="C791" t="inlineStr">
        <is>
          <t xml:space="preserve">La Niña</t>
        </is>
      </c>
      <c r="D791" t="inlineStr">
        <is>
          <t xml:space="preserve">yes</t>
        </is>
      </c>
      <c r="E791" t="inlineStr">
        <is>
          <t xml:space="preserve">Oct</t>
        </is>
      </c>
      <c r="F791">
        <v>4</v>
      </c>
      <c r="G791">
        <v>2007</v>
      </c>
      <c r="H791" t="inlineStr">
        <is>
          <t xml:space="preserve">2007-10</t>
        </is>
      </c>
      <c r="I791" s="3">
        <f>INDEX(Monthly!$AA:$AA,MATCH(H791,Monthly!$A:$A,0))</f>
        <v>21.4041935483871</v>
      </c>
      <c r="J791" s="4">
        <f>INDEX(Monthly!$Z:$Z,MATCH(H791,Monthly!$A:$A,0))</f>
        <v>224.085</v>
      </c>
    </row>
    <row r="792">
      <c r="A792" t="inlineStr">
        <is>
          <t xml:space="preserve">Copán — Copán department, town of Santa Rosa de Copán</t>
        </is>
      </c>
      <c r="B792" t="inlineStr">
        <is>
          <t xml:space="preserve">2007/08</t>
        </is>
      </c>
      <c r="C792" t="inlineStr">
        <is>
          <t xml:space="preserve">La Niña</t>
        </is>
      </c>
      <c r="D792" t="inlineStr">
        <is>
          <t xml:space="preserve">yes</t>
        </is>
      </c>
      <c r="E792" t="inlineStr">
        <is>
          <t xml:space="preserve">Nov</t>
        </is>
      </c>
      <c r="F792">
        <v>5</v>
      </c>
      <c r="G792">
        <v>2007</v>
      </c>
      <c r="H792" t="inlineStr">
        <is>
          <t xml:space="preserve">2007-11</t>
        </is>
      </c>
      <c r="I792" s="3">
        <f>INDEX(Monthly!$AA:$AA,MATCH(H792,Monthly!$A:$A,0))</f>
        <v>19.67066666666667</v>
      </c>
      <c r="J792" s="4">
        <f>INDEX(Monthly!$Z:$Z,MATCH(H792,Monthly!$A:$A,0))</f>
        <v>63.516</v>
      </c>
    </row>
    <row r="793">
      <c r="A793" t="inlineStr">
        <is>
          <t xml:space="preserve">Copán — Copán department, town of Santa Rosa de Copán</t>
        </is>
      </c>
      <c r="B793" t="inlineStr">
        <is>
          <t xml:space="preserve">2007/08</t>
        </is>
      </c>
      <c r="C793" t="inlineStr">
        <is>
          <t xml:space="preserve">La Niña</t>
        </is>
      </c>
      <c r="D793" t="inlineStr">
        <is>
          <t xml:space="preserve">yes</t>
        </is>
      </c>
      <c r="E793" t="inlineStr">
        <is>
          <t xml:space="preserve">Dec</t>
        </is>
      </c>
      <c r="F793">
        <v>6</v>
      </c>
      <c r="G793">
        <v>2007</v>
      </c>
      <c r="H793" t="inlineStr">
        <is>
          <t xml:space="preserve">2007-12</t>
        </is>
      </c>
      <c r="I793" s="3">
        <f>INDEX(Monthly!$AA:$AA,MATCH(H793,Monthly!$A:$A,0))</f>
        <v>19.447096774193554</v>
      </c>
      <c r="J793" s="4">
        <f>INDEX(Monthly!$Z:$Z,MATCH(H793,Monthly!$A:$A,0))</f>
        <v>18.061</v>
      </c>
    </row>
    <row r="794">
      <c r="A794" t="inlineStr">
        <is>
          <t xml:space="preserve">Copán — Copán department, town of Santa Rosa de Copán</t>
        </is>
      </c>
      <c r="B794" t="inlineStr">
        <is>
          <t xml:space="preserve">2007/08</t>
        </is>
      </c>
      <c r="C794" t="inlineStr">
        <is>
          <t xml:space="preserve">La Niña</t>
        </is>
      </c>
      <c r="D794" t="inlineStr">
        <is>
          <t xml:space="preserve">yes</t>
        </is>
      </c>
      <c r="E794" t="inlineStr">
        <is>
          <t xml:space="preserve">Jan</t>
        </is>
      </c>
      <c r="F794">
        <v>7</v>
      </c>
      <c r="G794">
        <v>2008</v>
      </c>
      <c r="H794" t="inlineStr">
        <is>
          <t xml:space="preserve">2008-01</t>
        </is>
      </c>
      <c r="I794" s="3">
        <f>INDEX(Monthly!$AA:$AA,MATCH(H794,Monthly!$A:$A,0))</f>
        <v>19.158709677419353</v>
      </c>
      <c r="J794" s="4">
        <f>INDEX(Monthly!$Z:$Z,MATCH(H794,Monthly!$A:$A,0))</f>
        <v>42.528</v>
      </c>
    </row>
    <row r="795">
      <c r="A795" t="inlineStr">
        <is>
          <t xml:space="preserve">Copán — Copán department, town of Santa Rosa de Copán</t>
        </is>
      </c>
      <c r="B795" t="inlineStr">
        <is>
          <t xml:space="preserve">2007/08</t>
        </is>
      </c>
      <c r="C795" t="inlineStr">
        <is>
          <t xml:space="preserve">La Niña</t>
        </is>
      </c>
      <c r="D795" t="inlineStr">
        <is>
          <t xml:space="preserve">yes</t>
        </is>
      </c>
      <c r="E795" t="inlineStr">
        <is>
          <t xml:space="preserve">Feb</t>
        </is>
      </c>
      <c r="F795">
        <v>8</v>
      </c>
      <c r="G795">
        <v>2008</v>
      </c>
      <c r="H795" t="inlineStr">
        <is>
          <t xml:space="preserve">2008-02</t>
        </is>
      </c>
      <c r="I795" s="3">
        <f>INDEX(Monthly!$AA:$AA,MATCH(H795,Monthly!$A:$A,0))</f>
        <v>20.481724137931035</v>
      </c>
      <c r="J795" s="4">
        <f>INDEX(Monthly!$Z:$Z,MATCH(H795,Monthly!$A:$A,0))</f>
        <v>18.866</v>
      </c>
    </row>
    <row r="796">
      <c r="A796" t="inlineStr">
        <is>
          <t xml:space="preserve">Copán — Copán department, town of Santa Rosa de Copán</t>
        </is>
      </c>
      <c r="B796" t="inlineStr">
        <is>
          <t xml:space="preserve">2007/08</t>
        </is>
      </c>
      <c r="C796" t="inlineStr">
        <is>
          <t xml:space="preserve">La Niña</t>
        </is>
      </c>
      <c r="D796" t="inlineStr">
        <is>
          <t xml:space="preserve">yes</t>
        </is>
      </c>
      <c r="E796" t="inlineStr">
        <is>
          <t xml:space="preserve">Mar</t>
        </is>
      </c>
      <c r="F796">
        <v>9</v>
      </c>
      <c r="G796">
        <v>2008</v>
      </c>
      <c r="H796" t="inlineStr">
        <is>
          <t xml:space="preserve">2008-03</t>
        </is>
      </c>
      <c r="I796" s="3">
        <f>INDEX(Monthly!$AA:$AA,MATCH(H796,Monthly!$A:$A,0))</f>
        <v>21.845483870967733</v>
      </c>
      <c r="J796" s="4">
        <f>INDEX(Monthly!$Z:$Z,MATCH(H796,Monthly!$A:$A,0))</f>
        <v>12.903</v>
      </c>
    </row>
    <row r="797">
      <c r="A797" t="inlineStr">
        <is>
          <t xml:space="preserve">Copán — Copán department, town of Santa Rosa de Copán</t>
        </is>
      </c>
      <c r="B797" t="inlineStr">
        <is>
          <t xml:space="preserve">2007/08</t>
        </is>
      </c>
      <c r="C797" t="inlineStr">
        <is>
          <t xml:space="preserve">La Niña</t>
        </is>
      </c>
      <c r="D797" t="inlineStr">
        <is>
          <t xml:space="preserve">yes</t>
        </is>
      </c>
      <c r="E797" t="inlineStr">
        <is>
          <t xml:space="preserve">Apr</t>
        </is>
      </c>
      <c r="F797">
        <v>10</v>
      </c>
      <c r="G797">
        <v>2008</v>
      </c>
      <c r="H797" t="inlineStr">
        <is>
          <t xml:space="preserve">2008-04</t>
        </is>
      </c>
      <c r="I797" s="3">
        <f>INDEX(Monthly!$AA:$AA,MATCH(H797,Monthly!$A:$A,0))</f>
        <v>23.482666666666667</v>
      </c>
      <c r="J797" s="4">
        <f>INDEX(Monthly!$Z:$Z,MATCH(H797,Monthly!$A:$A,0))</f>
        <v>58.894</v>
      </c>
    </row>
    <row r="798">
      <c r="A798" t="inlineStr">
        <is>
          <t xml:space="preserve">Copán — Copán department, town of Santa Rosa de Copán</t>
        </is>
      </c>
      <c r="B798" t="inlineStr">
        <is>
          <t xml:space="preserve">2007/08</t>
        </is>
      </c>
      <c r="C798" t="inlineStr">
        <is>
          <t xml:space="preserve">La Niña</t>
        </is>
      </c>
      <c r="D798" t="inlineStr">
        <is>
          <t xml:space="preserve">yes</t>
        </is>
      </c>
      <c r="E798" t="inlineStr">
        <is>
          <t xml:space="preserve">May</t>
        </is>
      </c>
      <c r="F798">
        <v>11</v>
      </c>
      <c r="G798">
        <v>2008</v>
      </c>
      <c r="H798" t="inlineStr">
        <is>
          <t xml:space="preserve">2008-05</t>
        </is>
      </c>
      <c r="I798" s="3">
        <f>INDEX(Monthly!$AA:$AA,MATCH(H798,Monthly!$A:$A,0))</f>
        <v>24.955161290322582</v>
      </c>
      <c r="J798" s="4">
        <f>INDEX(Monthly!$Z:$Z,MATCH(H798,Monthly!$A:$A,0))</f>
        <v>86.194</v>
      </c>
    </row>
    <row r="799">
      <c r="A799" t="inlineStr">
        <is>
          <t xml:space="preserve">Copán — Copán department, town of Santa Rosa de Copán</t>
        </is>
      </c>
      <c r="B799" t="inlineStr">
        <is>
          <t xml:space="preserve">2007/08</t>
        </is>
      </c>
      <c r="C799" t="inlineStr">
        <is>
          <t xml:space="preserve">La Niña</t>
        </is>
      </c>
      <c r="D799" t="inlineStr">
        <is>
          <t xml:space="preserve">yes</t>
        </is>
      </c>
      <c r="E799" t="inlineStr">
        <is>
          <t xml:space="preserve">Jun</t>
        </is>
      </c>
      <c r="F799">
        <v>12</v>
      </c>
      <c r="G799">
        <v>2008</v>
      </c>
      <c r="H799" t="inlineStr">
        <is>
          <t xml:space="preserve">2008-06</t>
        </is>
      </c>
      <c r="I799" s="3">
        <f>INDEX(Monthly!$AA:$AA,MATCH(H799,Monthly!$A:$A,0))</f>
        <v>22.814999999999998</v>
      </c>
      <c r="J799" s="4">
        <f>INDEX(Monthly!$Z:$Z,MATCH(H799,Monthly!$A:$A,0))</f>
        <v>188.332</v>
      </c>
    </row>
    <row r="800">
      <c r="A800" t="inlineStr">
        <is>
          <t xml:space="preserve">Copán — Copán department, town of Santa Rosa de Copán</t>
        </is>
      </c>
      <c r="B800" t="inlineStr">
        <is>
          <t xml:space="preserve">2008/09</t>
        </is>
      </c>
      <c r="C800" t="inlineStr">
        <is>
          <t xml:space="preserve">La Niña</t>
        </is>
      </c>
      <c r="D800" t="inlineStr">
        <is>
          <t xml:space="preserve">yes</t>
        </is>
      </c>
      <c r="E800" t="inlineStr">
        <is>
          <t xml:space="preserve">Jul</t>
        </is>
      </c>
      <c r="F800">
        <v>1</v>
      </c>
      <c r="G800">
        <v>2008</v>
      </c>
      <c r="H800" t="inlineStr">
        <is>
          <t xml:space="preserve">2008-07</t>
        </is>
      </c>
      <c r="I800" s="3">
        <f>INDEX(Monthly!$AA:$AA,MATCH(H800,Monthly!$A:$A,0))</f>
        <v>22.24548387096774</v>
      </c>
      <c r="J800" s="4">
        <f>INDEX(Monthly!$Z:$Z,MATCH(H800,Monthly!$A:$A,0))</f>
        <v>404.252</v>
      </c>
    </row>
    <row r="801">
      <c r="A801" t="inlineStr">
        <is>
          <t xml:space="preserve">Copán — Copán department, town of Santa Rosa de Copán</t>
        </is>
      </c>
      <c r="B801" t="inlineStr">
        <is>
          <t xml:space="preserve">2008/09</t>
        </is>
      </c>
      <c r="C801" t="inlineStr">
        <is>
          <t xml:space="preserve">La Niña</t>
        </is>
      </c>
      <c r="D801" t="inlineStr">
        <is>
          <t xml:space="preserve">yes</t>
        </is>
      </c>
      <c r="E801" t="inlineStr">
        <is>
          <t xml:space="preserve">Aug</t>
        </is>
      </c>
      <c r="F801">
        <v>2</v>
      </c>
      <c r="G801">
        <v>2008</v>
      </c>
      <c r="H801" t="inlineStr">
        <is>
          <t xml:space="preserve">2008-08</t>
        </is>
      </c>
      <c r="I801" s="3">
        <f>INDEX(Monthly!$AA:$AA,MATCH(H801,Monthly!$A:$A,0))</f>
        <v>22.787741935483872</v>
      </c>
      <c r="J801" s="4">
        <f>INDEX(Monthly!$Z:$Z,MATCH(H801,Monthly!$A:$A,0))</f>
        <v>300.71</v>
      </c>
    </row>
    <row r="802">
      <c r="A802" t="inlineStr">
        <is>
          <t xml:space="preserve">Copán — Copán department, town of Santa Rosa de Copán</t>
        </is>
      </c>
      <c r="B802" t="inlineStr">
        <is>
          <t xml:space="preserve">2008/09</t>
        </is>
      </c>
      <c r="C802" t="inlineStr">
        <is>
          <t xml:space="preserve">La Niña</t>
        </is>
      </c>
      <c r="D802" t="inlineStr">
        <is>
          <t xml:space="preserve">yes</t>
        </is>
      </c>
      <c r="E802" t="inlineStr">
        <is>
          <t xml:space="preserve">Sep</t>
        </is>
      </c>
      <c r="F802">
        <v>3</v>
      </c>
      <c r="G802">
        <v>2008</v>
      </c>
      <c r="H802" t="inlineStr">
        <is>
          <t xml:space="preserve">2008-09</t>
        </is>
      </c>
      <c r="I802" s="3">
        <f>INDEX(Monthly!$AA:$AA,MATCH(H802,Monthly!$A:$A,0))</f>
        <v>22.87466666666667</v>
      </c>
      <c r="J802" s="4">
        <f>INDEX(Monthly!$Z:$Z,MATCH(H802,Monthly!$A:$A,0))</f>
        <v>436.868</v>
      </c>
    </row>
    <row r="803">
      <c r="A803" t="inlineStr">
        <is>
          <t xml:space="preserve">Copán — Copán department, town of Santa Rosa de Copán</t>
        </is>
      </c>
      <c r="B803" t="inlineStr">
        <is>
          <t xml:space="preserve">2008/09</t>
        </is>
      </c>
      <c r="C803" t="inlineStr">
        <is>
          <t xml:space="preserve">La Niña</t>
        </is>
      </c>
      <c r="D803" t="inlineStr">
        <is>
          <t xml:space="preserve">yes</t>
        </is>
      </c>
      <c r="E803" t="inlineStr">
        <is>
          <t xml:space="preserve">Oct</t>
        </is>
      </c>
      <c r="F803">
        <v>4</v>
      </c>
      <c r="G803">
        <v>2008</v>
      </c>
      <c r="H803" t="inlineStr">
        <is>
          <t xml:space="preserve">2008-10</t>
        </is>
      </c>
      <c r="I803" s="3">
        <f>INDEX(Monthly!$AA:$AA,MATCH(H803,Monthly!$A:$A,0))</f>
        <v>21.17322580645161</v>
      </c>
      <c r="J803" s="4">
        <f>INDEX(Monthly!$Z:$Z,MATCH(H803,Monthly!$A:$A,0))</f>
        <v>199.493</v>
      </c>
    </row>
    <row r="804">
      <c r="A804" t="inlineStr">
        <is>
          <t xml:space="preserve">Copán — Copán department, town of Santa Rosa de Copán</t>
        </is>
      </c>
      <c r="B804" t="inlineStr">
        <is>
          <t xml:space="preserve">2008/09</t>
        </is>
      </c>
      <c r="C804" t="inlineStr">
        <is>
          <t xml:space="preserve">La Niña</t>
        </is>
      </c>
      <c r="D804" t="inlineStr">
        <is>
          <t xml:space="preserve">yes</t>
        </is>
      </c>
      <c r="E804" t="inlineStr">
        <is>
          <t xml:space="preserve">Nov</t>
        </is>
      </c>
      <c r="F804">
        <v>5</v>
      </c>
      <c r="G804">
        <v>2008</v>
      </c>
      <c r="H804" t="inlineStr">
        <is>
          <t xml:space="preserve">2008-11</t>
        </is>
      </c>
      <c r="I804" s="3">
        <f>INDEX(Monthly!$AA:$AA,MATCH(H804,Monthly!$A:$A,0))</f>
        <v>18.725666666666665</v>
      </c>
      <c r="J804" s="4">
        <f>INDEX(Monthly!$Z:$Z,MATCH(H804,Monthly!$A:$A,0))</f>
        <v>36.068</v>
      </c>
    </row>
    <row r="805">
      <c r="A805" t="inlineStr">
        <is>
          <t xml:space="preserve">Copán — Copán department, town of Santa Rosa de Copán</t>
        </is>
      </c>
      <c r="B805" t="inlineStr">
        <is>
          <t xml:space="preserve">2008/09</t>
        </is>
      </c>
      <c r="C805" t="inlineStr">
        <is>
          <t xml:space="preserve">La Niña</t>
        </is>
      </c>
      <c r="D805" t="inlineStr">
        <is>
          <t xml:space="preserve">yes</t>
        </is>
      </c>
      <c r="E805" t="inlineStr">
        <is>
          <t xml:space="preserve">Dec</t>
        </is>
      </c>
      <c r="F805">
        <v>6</v>
      </c>
      <c r="G805">
        <v>2008</v>
      </c>
      <c r="H805" t="inlineStr">
        <is>
          <t xml:space="preserve">2008-12</t>
        </is>
      </c>
      <c r="I805" s="3">
        <f>INDEX(Monthly!$AA:$AA,MATCH(H805,Monthly!$A:$A,0))</f>
        <v>18.797096774193548</v>
      </c>
      <c r="J805" s="4">
        <f>INDEX(Monthly!$Z:$Z,MATCH(H805,Monthly!$A:$A,0))</f>
        <v>87.874</v>
      </c>
    </row>
    <row r="806">
      <c r="A806" t="inlineStr">
        <is>
          <t xml:space="preserve">Copán — Copán department, town of Santa Rosa de Copán</t>
        </is>
      </c>
      <c r="B806" t="inlineStr">
        <is>
          <t xml:space="preserve">2008/09</t>
        </is>
      </c>
      <c r="C806" t="inlineStr">
        <is>
          <t xml:space="preserve">La Niña</t>
        </is>
      </c>
      <c r="D806" t="inlineStr">
        <is>
          <t xml:space="preserve">yes</t>
        </is>
      </c>
      <c r="E806" t="inlineStr">
        <is>
          <t xml:space="preserve">Jan</t>
        </is>
      </c>
      <c r="F806">
        <v>7</v>
      </c>
      <c r="G806">
        <v>2009</v>
      </c>
      <c r="H806" t="inlineStr">
        <is>
          <t xml:space="preserve">2009-01</t>
        </is>
      </c>
      <c r="I806" s="3">
        <f>INDEX(Monthly!$AA:$AA,MATCH(H806,Monthly!$A:$A,0))</f>
        <v>18.77709677419354</v>
      </c>
      <c r="J806" s="4">
        <f>INDEX(Monthly!$Z:$Z,MATCH(H806,Monthly!$A:$A,0))</f>
        <v>36.652</v>
      </c>
    </row>
    <row r="807">
      <c r="A807" t="inlineStr">
        <is>
          <t xml:space="preserve">Copán — Copán department, town of Santa Rosa de Copán</t>
        </is>
      </c>
      <c r="B807" t="inlineStr">
        <is>
          <t xml:space="preserve">2008/09</t>
        </is>
      </c>
      <c r="C807" t="inlineStr">
        <is>
          <t xml:space="preserve">La Niña</t>
        </is>
      </c>
      <c r="D807" t="inlineStr">
        <is>
          <t xml:space="preserve">yes</t>
        </is>
      </c>
      <c r="E807" t="inlineStr">
        <is>
          <t xml:space="preserve">Feb</t>
        </is>
      </c>
      <c r="F807">
        <v>8</v>
      </c>
      <c r="G807">
        <v>2009</v>
      </c>
      <c r="H807" t="inlineStr">
        <is>
          <t xml:space="preserve">2009-02</t>
        </is>
      </c>
      <c r="I807" s="3">
        <f>INDEX(Monthly!$AA:$AA,MATCH(H807,Monthly!$A:$A,0))</f>
        <v>18.893214285714286</v>
      </c>
      <c r="J807" s="4">
        <f>INDEX(Monthly!$Z:$Z,MATCH(H807,Monthly!$A:$A,0))</f>
        <v>110.994</v>
      </c>
    </row>
    <row r="808">
      <c r="A808" t="inlineStr">
        <is>
          <t xml:space="preserve">Copán — Copán department, town of Santa Rosa de Copán</t>
        </is>
      </c>
      <c r="B808" t="inlineStr">
        <is>
          <t xml:space="preserve">2008/09</t>
        </is>
      </c>
      <c r="C808" t="inlineStr">
        <is>
          <t xml:space="preserve">La Niña</t>
        </is>
      </c>
      <c r="D808" t="inlineStr">
        <is>
          <t xml:space="preserve">yes</t>
        </is>
      </c>
      <c r="E808" t="inlineStr">
        <is>
          <t xml:space="preserve">Mar</t>
        </is>
      </c>
      <c r="F808">
        <v>9</v>
      </c>
      <c r="G808">
        <v>2009</v>
      </c>
      <c r="H808" t="inlineStr">
        <is>
          <t xml:space="preserve">2009-03</t>
        </is>
      </c>
      <c r="I808" s="3">
        <f>INDEX(Monthly!$AA:$AA,MATCH(H808,Monthly!$A:$A,0))</f>
        <v>19.4041935483871</v>
      </c>
      <c r="J808" s="4">
        <f>INDEX(Monthly!$Z:$Z,MATCH(H808,Monthly!$A:$A,0))</f>
        <v>13.823</v>
      </c>
    </row>
    <row r="809">
      <c r="A809" t="inlineStr">
        <is>
          <t xml:space="preserve">Copán — Copán department, town of Santa Rosa de Copán</t>
        </is>
      </c>
      <c r="B809" t="inlineStr">
        <is>
          <t xml:space="preserve">2008/09</t>
        </is>
      </c>
      <c r="C809" t="inlineStr">
        <is>
          <t xml:space="preserve">La Niña</t>
        </is>
      </c>
      <c r="D809" t="inlineStr">
        <is>
          <t xml:space="preserve">yes</t>
        </is>
      </c>
      <c r="E809" t="inlineStr">
        <is>
          <t xml:space="preserve">Apr</t>
        </is>
      </c>
      <c r="F809">
        <v>10</v>
      </c>
      <c r="G809">
        <v>2009</v>
      </c>
      <c r="H809" t="inlineStr">
        <is>
          <t xml:space="preserve">2009-04</t>
        </is>
      </c>
      <c r="I809" s="3">
        <f>INDEX(Monthly!$AA:$AA,MATCH(H809,Monthly!$A:$A,0))</f>
        <v>23.269666666666662</v>
      </c>
      <c r="J809" s="4">
        <f>INDEX(Monthly!$Z:$Z,MATCH(H809,Monthly!$A:$A,0))</f>
        <v>25.006</v>
      </c>
    </row>
    <row r="810">
      <c r="A810" t="inlineStr">
        <is>
          <t xml:space="preserve">Copán — Copán department, town of Santa Rosa de Copán</t>
        </is>
      </c>
      <c r="B810" t="inlineStr">
        <is>
          <t xml:space="preserve">2008/09</t>
        </is>
      </c>
      <c r="C810" t="inlineStr">
        <is>
          <t xml:space="preserve">La Niña</t>
        </is>
      </c>
      <c r="D810" t="inlineStr">
        <is>
          <t xml:space="preserve">yes</t>
        </is>
      </c>
      <c r="E810" t="inlineStr">
        <is>
          <t xml:space="preserve">May</t>
        </is>
      </c>
      <c r="F810">
        <v>11</v>
      </c>
      <c r="G810">
        <v>2009</v>
      </c>
      <c r="H810" t="inlineStr">
        <is>
          <t xml:space="preserve">2009-05</t>
        </is>
      </c>
      <c r="I810" s="3">
        <f>INDEX(Monthly!$AA:$AA,MATCH(H810,Monthly!$A:$A,0))</f>
        <v>23.349677419354844</v>
      </c>
      <c r="J810" s="4">
        <f>INDEX(Monthly!$Z:$Z,MATCH(H810,Monthly!$A:$A,0))</f>
        <v>197.946</v>
      </c>
    </row>
    <row r="811">
      <c r="A811" t="inlineStr">
        <is>
          <t xml:space="preserve">Copán — Copán department, town of Santa Rosa de Copán</t>
        </is>
      </c>
      <c r="B811" t="inlineStr">
        <is>
          <t xml:space="preserve">2008/09</t>
        </is>
      </c>
      <c r="C811" t="inlineStr">
        <is>
          <t xml:space="preserve">La Niña</t>
        </is>
      </c>
      <c r="D811" t="inlineStr">
        <is>
          <t xml:space="preserve">yes</t>
        </is>
      </c>
      <c r="E811" t="inlineStr">
        <is>
          <t xml:space="preserve">Jun</t>
        </is>
      </c>
      <c r="F811">
        <v>12</v>
      </c>
      <c r="G811">
        <v>2009</v>
      </c>
      <c r="H811" t="inlineStr">
        <is>
          <t xml:space="preserve">2009-06</t>
        </is>
      </c>
      <c r="I811" s="3">
        <f>INDEX(Monthly!$AA:$AA,MATCH(H811,Monthly!$A:$A,0))</f>
        <v>23.442333333333334</v>
      </c>
      <c r="J811" s="4">
        <f>INDEX(Monthly!$Z:$Z,MATCH(H811,Monthly!$A:$A,0))</f>
        <v>218.581</v>
      </c>
    </row>
    <row r="812">
      <c r="A812" t="inlineStr">
        <is>
          <t xml:space="preserve">Copán — Copán department, town of Santa Rosa de Copán</t>
        </is>
      </c>
      <c r="B812" t="inlineStr">
        <is>
          <t xml:space="preserve">2009/10</t>
        </is>
      </c>
      <c r="C812" t="inlineStr">
        <is>
          <t xml:space="preserve">El Niño</t>
        </is>
      </c>
      <c r="D812" t="inlineStr">
        <is>
          <t xml:space="preserve">yes</t>
        </is>
      </c>
      <c r="E812" t="inlineStr">
        <is>
          <t xml:space="preserve">Jul</t>
        </is>
      </c>
      <c r="F812">
        <v>1</v>
      </c>
      <c r="G812">
        <v>2009</v>
      </c>
      <c r="H812" t="inlineStr">
        <is>
          <t xml:space="preserve">2009-07</t>
        </is>
      </c>
      <c r="I812" s="3">
        <f>INDEX(Monthly!$AA:$AA,MATCH(H812,Monthly!$A:$A,0))</f>
        <v>22.954193548387096</v>
      </c>
      <c r="J812" s="4">
        <f>INDEX(Monthly!$Z:$Z,MATCH(H812,Monthly!$A:$A,0))</f>
        <v>163.399</v>
      </c>
    </row>
    <row r="813">
      <c r="A813" t="inlineStr">
        <is>
          <t xml:space="preserve">Copán — Copán department, town of Santa Rosa de Copán</t>
        </is>
      </c>
      <c r="B813" t="inlineStr">
        <is>
          <t xml:space="preserve">2009/10</t>
        </is>
      </c>
      <c r="C813" t="inlineStr">
        <is>
          <t xml:space="preserve">El Niño</t>
        </is>
      </c>
      <c r="D813" t="inlineStr">
        <is>
          <t xml:space="preserve">yes</t>
        </is>
      </c>
      <c r="E813" t="inlineStr">
        <is>
          <t xml:space="preserve">Aug</t>
        </is>
      </c>
      <c r="F813">
        <v>2</v>
      </c>
      <c r="G813">
        <v>2009</v>
      </c>
      <c r="H813" t="inlineStr">
        <is>
          <t xml:space="preserve">2009-08</t>
        </is>
      </c>
      <c r="I813" s="3">
        <f>INDEX(Monthly!$AA:$AA,MATCH(H813,Monthly!$A:$A,0))</f>
        <v>22.702903225806455</v>
      </c>
      <c r="J813" s="4">
        <f>INDEX(Monthly!$Z:$Z,MATCH(H813,Monthly!$A:$A,0))</f>
        <v>250.814</v>
      </c>
    </row>
    <row r="814">
      <c r="A814" t="inlineStr">
        <is>
          <t xml:space="preserve">Copán — Copán department, town of Santa Rosa de Copán</t>
        </is>
      </c>
      <c r="B814" t="inlineStr">
        <is>
          <t xml:space="preserve">2009/10</t>
        </is>
      </c>
      <c r="C814" t="inlineStr">
        <is>
          <t xml:space="preserve">El Niño</t>
        </is>
      </c>
      <c r="D814" t="inlineStr">
        <is>
          <t xml:space="preserve">yes</t>
        </is>
      </c>
      <c r="E814" t="inlineStr">
        <is>
          <t xml:space="preserve">Sep</t>
        </is>
      </c>
      <c r="F814">
        <v>3</v>
      </c>
      <c r="G814">
        <v>2009</v>
      </c>
      <c r="H814" t="inlineStr">
        <is>
          <t xml:space="preserve">2009-09</t>
        </is>
      </c>
      <c r="I814" s="3">
        <f>INDEX(Monthly!$AA:$AA,MATCH(H814,Monthly!$A:$A,0))</f>
        <v>22.97933333333333</v>
      </c>
      <c r="J814" s="4">
        <f>INDEX(Monthly!$Z:$Z,MATCH(H814,Monthly!$A:$A,0))</f>
        <v>95.793</v>
      </c>
    </row>
    <row r="815">
      <c r="A815" t="inlineStr">
        <is>
          <t xml:space="preserve">Copán — Copán department, town of Santa Rosa de Copán</t>
        </is>
      </c>
      <c r="B815" t="inlineStr">
        <is>
          <t xml:space="preserve">2009/10</t>
        </is>
      </c>
      <c r="C815" t="inlineStr">
        <is>
          <t xml:space="preserve">El Niño</t>
        </is>
      </c>
      <c r="D815" t="inlineStr">
        <is>
          <t xml:space="preserve">yes</t>
        </is>
      </c>
      <c r="E815" t="inlineStr">
        <is>
          <t xml:space="preserve">Oct</t>
        </is>
      </c>
      <c r="F815">
        <v>4</v>
      </c>
      <c r="G815">
        <v>2009</v>
      </c>
      <c r="H815" t="inlineStr">
        <is>
          <t xml:space="preserve">2009-10</t>
        </is>
      </c>
      <c r="I815" s="3">
        <f>INDEX(Monthly!$AA:$AA,MATCH(H815,Monthly!$A:$A,0))</f>
        <v>22.726129032258065</v>
      </c>
      <c r="J815" s="4">
        <f>INDEX(Monthly!$Z:$Z,MATCH(H815,Monthly!$A:$A,0))</f>
        <v>115.473</v>
      </c>
    </row>
    <row r="816">
      <c r="A816" t="inlineStr">
        <is>
          <t xml:space="preserve">Copán — Copán department, town of Santa Rosa de Copán</t>
        </is>
      </c>
      <c r="B816" t="inlineStr">
        <is>
          <t xml:space="preserve">2009/10</t>
        </is>
      </c>
      <c r="C816" t="inlineStr">
        <is>
          <t xml:space="preserve">El Niño</t>
        </is>
      </c>
      <c r="D816" t="inlineStr">
        <is>
          <t xml:space="preserve">yes</t>
        </is>
      </c>
      <c r="E816" t="inlineStr">
        <is>
          <t xml:space="preserve">Nov</t>
        </is>
      </c>
      <c r="F816">
        <v>5</v>
      </c>
      <c r="G816">
        <v>2009</v>
      </c>
      <c r="H816" t="inlineStr">
        <is>
          <t xml:space="preserve">2009-11</t>
        </is>
      </c>
      <c r="I816" s="3">
        <f>INDEX(Monthly!$AA:$AA,MATCH(H816,Monthly!$A:$A,0))</f>
        <v>20.509999999999998</v>
      </c>
      <c r="J816" s="4">
        <f>INDEX(Monthly!$Z:$Z,MATCH(H816,Monthly!$A:$A,0))</f>
        <v>84.1</v>
      </c>
    </row>
    <row r="817">
      <c r="A817" t="inlineStr">
        <is>
          <t xml:space="preserve">Copán — Copán department, town of Santa Rosa de Copán</t>
        </is>
      </c>
      <c r="B817" t="inlineStr">
        <is>
          <t xml:space="preserve">2009/10</t>
        </is>
      </c>
      <c r="C817" t="inlineStr">
        <is>
          <t xml:space="preserve">El Niño</t>
        </is>
      </c>
      <c r="D817" t="inlineStr">
        <is>
          <t xml:space="preserve">yes</t>
        </is>
      </c>
      <c r="E817" t="inlineStr">
        <is>
          <t xml:space="preserve">Dec</t>
        </is>
      </c>
      <c r="F817">
        <v>6</v>
      </c>
      <c r="G817">
        <v>2009</v>
      </c>
      <c r="H817" t="inlineStr">
        <is>
          <t xml:space="preserve">2009-12</t>
        </is>
      </c>
      <c r="I817" s="3">
        <f>INDEX(Monthly!$AA:$AA,MATCH(H817,Monthly!$A:$A,0))</f>
        <v>20.48870967741935</v>
      </c>
      <c r="J817" s="4">
        <f>INDEX(Monthly!$Z:$Z,MATCH(H817,Monthly!$A:$A,0))</f>
        <v>44.657</v>
      </c>
    </row>
    <row r="818">
      <c r="A818" t="inlineStr">
        <is>
          <t xml:space="preserve">Copán — Copán department, town of Santa Rosa de Copán</t>
        </is>
      </c>
      <c r="B818" t="inlineStr">
        <is>
          <t xml:space="preserve">2009/10</t>
        </is>
      </c>
      <c r="C818" t="inlineStr">
        <is>
          <t xml:space="preserve">El Niño</t>
        </is>
      </c>
      <c r="D818" t="inlineStr">
        <is>
          <t xml:space="preserve">yes</t>
        </is>
      </c>
      <c r="E818" t="inlineStr">
        <is>
          <t xml:space="preserve">Jan</t>
        </is>
      </c>
      <c r="F818">
        <v>7</v>
      </c>
      <c r="G818">
        <v>2010</v>
      </c>
      <c r="H818" t="inlineStr">
        <is>
          <t xml:space="preserve">2010-01</t>
        </is>
      </c>
      <c r="I818" s="3">
        <f>INDEX(Monthly!$AA:$AA,MATCH(H818,Monthly!$A:$A,0))</f>
        <v>18.9058064516129</v>
      </c>
      <c r="J818" s="4">
        <f>INDEX(Monthly!$Z:$Z,MATCH(H818,Monthly!$A:$A,0))</f>
        <v>41.859</v>
      </c>
    </row>
    <row r="819">
      <c r="A819" t="inlineStr">
        <is>
          <t xml:space="preserve">Copán — Copán department, town of Santa Rosa de Copán</t>
        </is>
      </c>
      <c r="B819" t="inlineStr">
        <is>
          <t xml:space="preserve">2009/10</t>
        </is>
      </c>
      <c r="C819" t="inlineStr">
        <is>
          <t xml:space="preserve">El Niño</t>
        </is>
      </c>
      <c r="D819" t="inlineStr">
        <is>
          <t xml:space="preserve">yes</t>
        </is>
      </c>
      <c r="E819" t="inlineStr">
        <is>
          <t xml:space="preserve">Feb</t>
        </is>
      </c>
      <c r="F819">
        <v>8</v>
      </c>
      <c r="G819">
        <v>2010</v>
      </c>
      <c r="H819" t="inlineStr">
        <is>
          <t xml:space="preserve">2010-02</t>
        </is>
      </c>
      <c r="I819" s="3">
        <f>INDEX(Monthly!$AA:$AA,MATCH(H819,Monthly!$A:$A,0))</f>
        <v>21.299285714285713</v>
      </c>
      <c r="J819" s="4">
        <f>INDEX(Monthly!$Z:$Z,MATCH(H819,Monthly!$A:$A,0))</f>
        <v>26.009</v>
      </c>
    </row>
    <row r="820">
      <c r="A820" t="inlineStr">
        <is>
          <t xml:space="preserve">Copán — Copán department, town of Santa Rosa de Copán</t>
        </is>
      </c>
      <c r="B820" t="inlineStr">
        <is>
          <t xml:space="preserve">2009/10</t>
        </is>
      </c>
      <c r="C820" t="inlineStr">
        <is>
          <t xml:space="preserve">El Niño</t>
        </is>
      </c>
      <c r="D820" t="inlineStr">
        <is>
          <t xml:space="preserve">yes</t>
        </is>
      </c>
      <c r="E820" t="inlineStr">
        <is>
          <t xml:space="preserve">Mar</t>
        </is>
      </c>
      <c r="F820">
        <v>9</v>
      </c>
      <c r="G820">
        <v>2010</v>
      </c>
      <c r="H820" t="inlineStr">
        <is>
          <t xml:space="preserve">2010-03</t>
        </is>
      </c>
      <c r="I820" s="3">
        <f>INDEX(Monthly!$AA:$AA,MATCH(H820,Monthly!$A:$A,0))</f>
        <v>22.70516129032258</v>
      </c>
      <c r="J820" s="4">
        <f>INDEX(Monthly!$Z:$Z,MATCH(H820,Monthly!$A:$A,0))</f>
        <v>1.796</v>
      </c>
    </row>
    <row r="821">
      <c r="A821" t="inlineStr">
        <is>
          <t xml:space="preserve">Copán — Copán department, town of Santa Rosa de Copán</t>
        </is>
      </c>
      <c r="B821" t="inlineStr">
        <is>
          <t xml:space="preserve">2009/10</t>
        </is>
      </c>
      <c r="C821" t="inlineStr">
        <is>
          <t xml:space="preserve">El Niño</t>
        </is>
      </c>
      <c r="D821" t="inlineStr">
        <is>
          <t xml:space="preserve">yes</t>
        </is>
      </c>
      <c r="E821" t="inlineStr">
        <is>
          <t xml:space="preserve">Apr</t>
        </is>
      </c>
      <c r="F821">
        <v>10</v>
      </c>
      <c r="G821">
        <v>2010</v>
      </c>
      <c r="H821" t="inlineStr">
        <is>
          <t xml:space="preserve">2010-04</t>
        </is>
      </c>
      <c r="I821" s="3">
        <f>INDEX(Monthly!$AA:$AA,MATCH(H821,Monthly!$A:$A,0))</f>
        <v>24.877333333333333</v>
      </c>
      <c r="J821" s="4">
        <f>INDEX(Monthly!$Z:$Z,MATCH(H821,Monthly!$A:$A,0))</f>
        <v>137.995</v>
      </c>
    </row>
    <row r="822">
      <c r="A822" t="inlineStr">
        <is>
          <t xml:space="preserve">Copán — Copán department, town of Santa Rosa de Copán</t>
        </is>
      </c>
      <c r="B822" t="inlineStr">
        <is>
          <t xml:space="preserve">2009/10</t>
        </is>
      </c>
      <c r="C822" t="inlineStr">
        <is>
          <t xml:space="preserve">El Niño</t>
        </is>
      </c>
      <c r="D822" t="inlineStr">
        <is>
          <t xml:space="preserve">yes</t>
        </is>
      </c>
      <c r="E822" t="inlineStr">
        <is>
          <t xml:space="preserve">May</t>
        </is>
      </c>
      <c r="F822">
        <v>11</v>
      </c>
      <c r="G822">
        <v>2010</v>
      </c>
      <c r="H822" t="inlineStr">
        <is>
          <t xml:space="preserve">2010-05</t>
        </is>
      </c>
      <c r="I822" s="3">
        <f>INDEX(Monthly!$AA:$AA,MATCH(H822,Monthly!$A:$A,0))</f>
        <v>24.568709677419356</v>
      </c>
      <c r="J822" s="4">
        <f>INDEX(Monthly!$Z:$Z,MATCH(H822,Monthly!$A:$A,0))</f>
        <v>271.476</v>
      </c>
    </row>
    <row r="823">
      <c r="A823" t="inlineStr">
        <is>
          <t xml:space="preserve">Copán — Copán department, town of Santa Rosa de Copán</t>
        </is>
      </c>
      <c r="B823" t="inlineStr">
        <is>
          <t xml:space="preserve">2009/10</t>
        </is>
      </c>
      <c r="C823" t="inlineStr">
        <is>
          <t xml:space="preserve">El Niño</t>
        </is>
      </c>
      <c r="D823" t="inlineStr">
        <is>
          <t xml:space="preserve">yes</t>
        </is>
      </c>
      <c r="E823" t="inlineStr">
        <is>
          <t xml:space="preserve">Jun</t>
        </is>
      </c>
      <c r="F823">
        <v>12</v>
      </c>
      <c r="G823">
        <v>2010</v>
      </c>
      <c r="H823" t="inlineStr">
        <is>
          <t xml:space="preserve">2010-06</t>
        </is>
      </c>
      <c r="I823" s="3">
        <f>INDEX(Monthly!$AA:$AA,MATCH(H823,Monthly!$A:$A,0))</f>
        <v>23.57066666666667</v>
      </c>
      <c r="J823" s="4">
        <f>INDEX(Monthly!$Z:$Z,MATCH(H823,Monthly!$A:$A,0))</f>
        <v>306.941</v>
      </c>
    </row>
    <row r="824">
      <c r="A824" t="inlineStr">
        <is>
          <t xml:space="preserve">Copán — Copán department, town of Santa Rosa de Copán</t>
        </is>
      </c>
      <c r="B824" t="inlineStr">
        <is>
          <t xml:space="preserve">2010/11</t>
        </is>
      </c>
      <c r="C824" t="inlineStr">
        <is>
          <t xml:space="preserve">La Niña</t>
        </is>
      </c>
      <c r="D824" t="inlineStr">
        <is>
          <t xml:space="preserve">yes</t>
        </is>
      </c>
      <c r="E824" t="inlineStr">
        <is>
          <t xml:space="preserve">Jul</t>
        </is>
      </c>
      <c r="F824">
        <v>1</v>
      </c>
      <c r="G824">
        <v>2010</v>
      </c>
      <c r="H824" t="inlineStr">
        <is>
          <t xml:space="preserve">2010-07</t>
        </is>
      </c>
      <c r="I824" s="3">
        <f>INDEX(Monthly!$AA:$AA,MATCH(H824,Monthly!$A:$A,0))</f>
        <v>23.024838709677415</v>
      </c>
      <c r="J824" s="4">
        <f>INDEX(Monthly!$Z:$Z,MATCH(H824,Monthly!$A:$A,0))</f>
        <v>123.154</v>
      </c>
    </row>
    <row r="825">
      <c r="A825" t="inlineStr">
        <is>
          <t xml:space="preserve">Copán — Copán department, town of Santa Rosa de Copán</t>
        </is>
      </c>
      <c r="B825" t="inlineStr">
        <is>
          <t xml:space="preserve">2010/11</t>
        </is>
      </c>
      <c r="C825" t="inlineStr">
        <is>
          <t xml:space="preserve">La Niña</t>
        </is>
      </c>
      <c r="D825" t="inlineStr">
        <is>
          <t xml:space="preserve">yes</t>
        </is>
      </c>
      <c r="E825" t="inlineStr">
        <is>
          <t xml:space="preserve">Aug</t>
        </is>
      </c>
      <c r="F825">
        <v>2</v>
      </c>
      <c r="G825">
        <v>2010</v>
      </c>
      <c r="H825" t="inlineStr">
        <is>
          <t xml:space="preserve">2010-08</t>
        </is>
      </c>
      <c r="I825" s="3">
        <f>INDEX(Monthly!$AA:$AA,MATCH(H825,Monthly!$A:$A,0))</f>
        <v>23.05806451612903</v>
      </c>
      <c r="J825" s="4">
        <f>INDEX(Monthly!$Z:$Z,MATCH(H825,Monthly!$A:$A,0))</f>
        <v>331.006</v>
      </c>
    </row>
    <row r="826">
      <c r="A826" t="inlineStr">
        <is>
          <t xml:space="preserve">Copán — Copán department, town of Santa Rosa de Copán</t>
        </is>
      </c>
      <c r="B826" t="inlineStr">
        <is>
          <t xml:space="preserve">2010/11</t>
        </is>
      </c>
      <c r="C826" t="inlineStr">
        <is>
          <t xml:space="preserve">La Niña</t>
        </is>
      </c>
      <c r="D826" t="inlineStr">
        <is>
          <t xml:space="preserve">yes</t>
        </is>
      </c>
      <c r="E826" t="inlineStr">
        <is>
          <t xml:space="preserve">Sep</t>
        </is>
      </c>
      <c r="F826">
        <v>3</v>
      </c>
      <c r="G826">
        <v>2010</v>
      </c>
      <c r="H826" t="inlineStr">
        <is>
          <t xml:space="preserve">2010-09</t>
        </is>
      </c>
      <c r="I826" s="3">
        <f>INDEX(Monthly!$AA:$AA,MATCH(H826,Monthly!$A:$A,0))</f>
        <v>22.667999999999996</v>
      </c>
      <c r="J826" s="4">
        <f>INDEX(Monthly!$Z:$Z,MATCH(H826,Monthly!$A:$A,0))</f>
        <v>190.439</v>
      </c>
    </row>
    <row r="827">
      <c r="A827" t="inlineStr">
        <is>
          <t xml:space="preserve">Copán — Copán department, town of Santa Rosa de Copán</t>
        </is>
      </c>
      <c r="B827" t="inlineStr">
        <is>
          <t xml:space="preserve">2010/11</t>
        </is>
      </c>
      <c r="C827" t="inlineStr">
        <is>
          <t xml:space="preserve">La Niña</t>
        </is>
      </c>
      <c r="D827" t="inlineStr">
        <is>
          <t xml:space="preserve">yes</t>
        </is>
      </c>
      <c r="E827" t="inlineStr">
        <is>
          <t xml:space="preserve">Oct</t>
        </is>
      </c>
      <c r="F827">
        <v>4</v>
      </c>
      <c r="G827">
        <v>2010</v>
      </c>
      <c r="H827" t="inlineStr">
        <is>
          <t xml:space="preserve">2010-10</t>
        </is>
      </c>
      <c r="I827" s="3">
        <f>INDEX(Monthly!$AA:$AA,MATCH(H827,Monthly!$A:$A,0))</f>
        <v>20.53870967741935</v>
      </c>
      <c r="J827" s="4">
        <f>INDEX(Monthly!$Z:$Z,MATCH(H827,Monthly!$A:$A,0))</f>
        <v>33.731</v>
      </c>
    </row>
    <row r="828">
      <c r="A828" t="inlineStr">
        <is>
          <t xml:space="preserve">Copán — Copán department, town of Santa Rosa de Copán</t>
        </is>
      </c>
      <c r="B828" t="inlineStr">
        <is>
          <t xml:space="preserve">2010/11</t>
        </is>
      </c>
      <c r="C828" t="inlineStr">
        <is>
          <t xml:space="preserve">La Niña</t>
        </is>
      </c>
      <c r="D828" t="inlineStr">
        <is>
          <t xml:space="preserve">yes</t>
        </is>
      </c>
      <c r="E828" t="inlineStr">
        <is>
          <t xml:space="preserve">Nov</t>
        </is>
      </c>
      <c r="F828">
        <v>5</v>
      </c>
      <c r="G828">
        <v>2010</v>
      </c>
      <c r="H828" t="inlineStr">
        <is>
          <t xml:space="preserve">2010-11</t>
        </is>
      </c>
      <c r="I828" s="3">
        <f>INDEX(Monthly!$AA:$AA,MATCH(H828,Monthly!$A:$A,0))</f>
        <v>19.387000000000004</v>
      </c>
      <c r="J828" s="4">
        <f>INDEX(Monthly!$Z:$Z,MATCH(H828,Monthly!$A:$A,0))</f>
        <v>34.399</v>
      </c>
    </row>
    <row r="829">
      <c r="A829" t="inlineStr">
        <is>
          <t xml:space="preserve">Copán — Copán department, town of Santa Rosa de Copán</t>
        </is>
      </c>
      <c r="B829" t="inlineStr">
        <is>
          <t xml:space="preserve">2010/11</t>
        </is>
      </c>
      <c r="C829" t="inlineStr">
        <is>
          <t xml:space="preserve">La Niña</t>
        </is>
      </c>
      <c r="D829" t="inlineStr">
        <is>
          <t xml:space="preserve">yes</t>
        </is>
      </c>
      <c r="E829" t="inlineStr">
        <is>
          <t xml:space="preserve">Dec</t>
        </is>
      </c>
      <c r="F829">
        <v>6</v>
      </c>
      <c r="G829">
        <v>2010</v>
      </c>
      <c r="H829" t="inlineStr">
        <is>
          <t xml:space="preserve">2010-12</t>
        </is>
      </c>
      <c r="I829" s="3">
        <f>INDEX(Monthly!$AA:$AA,MATCH(H829,Monthly!$A:$A,0))</f>
        <v>17.328387096774193</v>
      </c>
      <c r="J829" s="4">
        <f>INDEX(Monthly!$Z:$Z,MATCH(H829,Monthly!$A:$A,0))</f>
        <v>29.659</v>
      </c>
    </row>
    <row r="830">
      <c r="A830" t="inlineStr">
        <is>
          <t xml:space="preserve">Copán — Copán department, town of Santa Rosa de Copán</t>
        </is>
      </c>
      <c r="B830" t="inlineStr">
        <is>
          <t xml:space="preserve">2010/11</t>
        </is>
      </c>
      <c r="C830" t="inlineStr">
        <is>
          <t xml:space="preserve">La Niña</t>
        </is>
      </c>
      <c r="D830" t="inlineStr">
        <is>
          <t xml:space="preserve">yes</t>
        </is>
      </c>
      <c r="E830" t="inlineStr">
        <is>
          <t xml:space="preserve">Jan</t>
        </is>
      </c>
      <c r="F830">
        <v>7</v>
      </c>
      <c r="G830">
        <v>2011</v>
      </c>
      <c r="H830" t="inlineStr">
        <is>
          <t xml:space="preserve">2011-01</t>
        </is>
      </c>
      <c r="I830" s="3">
        <f>INDEX(Monthly!$AA:$AA,MATCH(H830,Monthly!$A:$A,0))</f>
        <v>19.68870967741935</v>
      </c>
      <c r="J830" s="4">
        <f>INDEX(Monthly!$Z:$Z,MATCH(H830,Monthly!$A:$A,0))</f>
        <v>29.628</v>
      </c>
    </row>
    <row r="831">
      <c r="A831" t="inlineStr">
        <is>
          <t xml:space="preserve">Copán — Copán department, town of Santa Rosa de Copán</t>
        </is>
      </c>
      <c r="B831" t="inlineStr">
        <is>
          <t xml:space="preserve">2010/11</t>
        </is>
      </c>
      <c r="C831" t="inlineStr">
        <is>
          <t xml:space="preserve">La Niña</t>
        </is>
      </c>
      <c r="D831" t="inlineStr">
        <is>
          <t xml:space="preserve">yes</t>
        </is>
      </c>
      <c r="E831" t="inlineStr">
        <is>
          <t xml:space="preserve">Feb</t>
        </is>
      </c>
      <c r="F831">
        <v>8</v>
      </c>
      <c r="G831">
        <v>2011</v>
      </c>
      <c r="H831" t="inlineStr">
        <is>
          <t xml:space="preserve">2011-02</t>
        </is>
      </c>
      <c r="I831" s="3">
        <f>INDEX(Monthly!$AA:$AA,MATCH(H831,Monthly!$A:$A,0))</f>
        <v>20.706428571428575</v>
      </c>
      <c r="J831" s="4">
        <f>INDEX(Monthly!$Z:$Z,MATCH(H831,Monthly!$A:$A,0))</f>
        <v>27.009</v>
      </c>
    </row>
    <row r="832">
      <c r="A832" t="inlineStr">
        <is>
          <t xml:space="preserve">Copán — Copán department, town of Santa Rosa de Copán</t>
        </is>
      </c>
      <c r="B832" t="inlineStr">
        <is>
          <t xml:space="preserve">2010/11</t>
        </is>
      </c>
      <c r="C832" t="inlineStr">
        <is>
          <t xml:space="preserve">La Niña</t>
        </is>
      </c>
      <c r="D832" t="inlineStr">
        <is>
          <t xml:space="preserve">yes</t>
        </is>
      </c>
      <c r="E832" t="inlineStr">
        <is>
          <t xml:space="preserve">Mar</t>
        </is>
      </c>
      <c r="F832">
        <v>9</v>
      </c>
      <c r="G832">
        <v>2011</v>
      </c>
      <c r="H832" t="inlineStr">
        <is>
          <t xml:space="preserve">2011-03</t>
        </is>
      </c>
      <c r="I832" s="3">
        <f>INDEX(Monthly!$AA:$AA,MATCH(H832,Monthly!$A:$A,0))</f>
        <v>21.930645161290325</v>
      </c>
      <c r="J832" s="4">
        <f>INDEX(Monthly!$Z:$Z,MATCH(H832,Monthly!$A:$A,0))</f>
        <v>13.181</v>
      </c>
    </row>
    <row r="833">
      <c r="A833" t="inlineStr">
        <is>
          <t xml:space="preserve">Copán — Copán department, town of Santa Rosa de Copán</t>
        </is>
      </c>
      <c r="B833" t="inlineStr">
        <is>
          <t xml:space="preserve">2010/11</t>
        </is>
      </c>
      <c r="C833" t="inlineStr">
        <is>
          <t xml:space="preserve">La Niña</t>
        </is>
      </c>
      <c r="D833" t="inlineStr">
        <is>
          <t xml:space="preserve">yes</t>
        </is>
      </c>
      <c r="E833" t="inlineStr">
        <is>
          <t xml:space="preserve">Apr</t>
        </is>
      </c>
      <c r="F833">
        <v>10</v>
      </c>
      <c r="G833">
        <v>2011</v>
      </c>
      <c r="H833" t="inlineStr">
        <is>
          <t xml:space="preserve">2011-04</t>
        </is>
      </c>
      <c r="I833" s="3">
        <f>INDEX(Monthly!$AA:$AA,MATCH(H833,Monthly!$A:$A,0))</f>
        <v>24.332333333333338</v>
      </c>
      <c r="J833" s="4">
        <f>INDEX(Monthly!$Z:$Z,MATCH(H833,Monthly!$A:$A,0))</f>
        <v>108.153</v>
      </c>
    </row>
    <row r="834">
      <c r="A834" t="inlineStr">
        <is>
          <t xml:space="preserve">Copán — Copán department, town of Santa Rosa de Copán</t>
        </is>
      </c>
      <c r="B834" t="inlineStr">
        <is>
          <t xml:space="preserve">2010/11</t>
        </is>
      </c>
      <c r="C834" t="inlineStr">
        <is>
          <t xml:space="preserve">La Niña</t>
        </is>
      </c>
      <c r="D834" t="inlineStr">
        <is>
          <t xml:space="preserve">yes</t>
        </is>
      </c>
      <c r="E834" t="inlineStr">
        <is>
          <t xml:space="preserve">May</t>
        </is>
      </c>
      <c r="F834">
        <v>11</v>
      </c>
      <c r="G834">
        <v>2011</v>
      </c>
      <c r="H834" t="inlineStr">
        <is>
          <t xml:space="preserve">2011-05</t>
        </is>
      </c>
      <c r="I834" s="3">
        <f>INDEX(Monthly!$AA:$AA,MATCH(H834,Monthly!$A:$A,0))</f>
        <v>24.11709677419355</v>
      </c>
      <c r="J834" s="4">
        <f>INDEX(Monthly!$Z:$Z,MATCH(H834,Monthly!$A:$A,0))</f>
        <v>165.297</v>
      </c>
    </row>
    <row r="835">
      <c r="A835" t="inlineStr">
        <is>
          <t xml:space="preserve">Copán — Copán department, town of Santa Rosa de Copán</t>
        </is>
      </c>
      <c r="B835" t="inlineStr">
        <is>
          <t xml:space="preserve">2010/11</t>
        </is>
      </c>
      <c r="C835" t="inlineStr">
        <is>
          <t xml:space="preserve">La Niña</t>
        </is>
      </c>
      <c r="D835" t="inlineStr">
        <is>
          <t xml:space="preserve">yes</t>
        </is>
      </c>
      <c r="E835" t="inlineStr">
        <is>
          <t xml:space="preserve">Jun</t>
        </is>
      </c>
      <c r="F835">
        <v>12</v>
      </c>
      <c r="G835">
        <v>2011</v>
      </c>
      <c r="H835" t="inlineStr">
        <is>
          <t xml:space="preserve">2011-06</t>
        </is>
      </c>
      <c r="I835" s="3">
        <f>INDEX(Monthly!$AA:$AA,MATCH(H835,Monthly!$A:$A,0))</f>
        <v>23.122333333333337</v>
      </c>
      <c r="J835" s="4">
        <f>INDEX(Monthly!$Z:$Z,MATCH(H835,Monthly!$A:$A,0))</f>
        <v>353.024</v>
      </c>
    </row>
    <row r="836">
      <c r="A836" t="inlineStr">
        <is>
          <t xml:space="preserve">Copán — Copán department, town of Santa Rosa de Copán</t>
        </is>
      </c>
      <c r="B836" t="inlineStr">
        <is>
          <t xml:space="preserve">2011/12</t>
        </is>
      </c>
      <c r="C836" t="inlineStr">
        <is>
          <t xml:space="preserve">La Niña</t>
        </is>
      </c>
      <c r="D836" t="inlineStr">
        <is>
          <t xml:space="preserve">yes</t>
        </is>
      </c>
      <c r="E836" t="inlineStr">
        <is>
          <t xml:space="preserve">Jul</t>
        </is>
      </c>
      <c r="F836">
        <v>1</v>
      </c>
      <c r="G836">
        <v>2011</v>
      </c>
      <c r="H836" t="inlineStr">
        <is>
          <t xml:space="preserve">2011-07</t>
        </is>
      </c>
      <c r="I836" s="3">
        <f>INDEX(Monthly!$AA:$AA,MATCH(H836,Monthly!$A:$A,0))</f>
        <v>22.646129032258067</v>
      </c>
      <c r="J836" s="4">
        <f>INDEX(Monthly!$Z:$Z,MATCH(H836,Monthly!$A:$A,0))</f>
        <v>349.576</v>
      </c>
    </row>
    <row r="837">
      <c r="A837" t="inlineStr">
        <is>
          <t xml:space="preserve">Copán — Copán department, town of Santa Rosa de Copán</t>
        </is>
      </c>
      <c r="B837" t="inlineStr">
        <is>
          <t xml:space="preserve">2011/12</t>
        </is>
      </c>
      <c r="C837" t="inlineStr">
        <is>
          <t xml:space="preserve">La Niña</t>
        </is>
      </c>
      <c r="D837" t="inlineStr">
        <is>
          <t xml:space="preserve">yes</t>
        </is>
      </c>
      <c r="E837" t="inlineStr">
        <is>
          <t xml:space="preserve">Aug</t>
        </is>
      </c>
      <c r="F837">
        <v>2</v>
      </c>
      <c r="G837">
        <v>2011</v>
      </c>
      <c r="H837" t="inlineStr">
        <is>
          <t xml:space="preserve">2011-08</t>
        </is>
      </c>
      <c r="I837" s="3">
        <f>INDEX(Monthly!$AA:$AA,MATCH(H837,Monthly!$A:$A,0))</f>
        <v>23.11032258064516</v>
      </c>
      <c r="J837" s="4">
        <f>INDEX(Monthly!$Z:$Z,MATCH(H837,Monthly!$A:$A,0))</f>
        <v>169.144</v>
      </c>
    </row>
    <row r="838">
      <c r="A838" t="inlineStr">
        <is>
          <t xml:space="preserve">Copán — Copán department, town of Santa Rosa de Copán</t>
        </is>
      </c>
      <c r="B838" t="inlineStr">
        <is>
          <t xml:space="preserve">2011/12</t>
        </is>
      </c>
      <c r="C838" t="inlineStr">
        <is>
          <t xml:space="preserve">La Niña</t>
        </is>
      </c>
      <c r="D838" t="inlineStr">
        <is>
          <t xml:space="preserve">yes</t>
        </is>
      </c>
      <c r="E838" t="inlineStr">
        <is>
          <t xml:space="preserve">Sep</t>
        </is>
      </c>
      <c r="F838">
        <v>3</v>
      </c>
      <c r="G838">
        <v>2011</v>
      </c>
      <c r="H838" t="inlineStr">
        <is>
          <t xml:space="preserve">2011-09</t>
        </is>
      </c>
      <c r="I838" s="3">
        <f>INDEX(Monthly!$AA:$AA,MATCH(H838,Monthly!$A:$A,0))</f>
        <v>22.59500000000001</v>
      </c>
      <c r="J838" s="4">
        <f>INDEX(Monthly!$Z:$Z,MATCH(H838,Monthly!$A:$A,0))</f>
        <v>273.497</v>
      </c>
    </row>
    <row r="839">
      <c r="A839" t="inlineStr">
        <is>
          <t xml:space="preserve">Copán — Copán department, town of Santa Rosa de Copán</t>
        </is>
      </c>
      <c r="B839" t="inlineStr">
        <is>
          <t xml:space="preserve">2011/12</t>
        </is>
      </c>
      <c r="C839" t="inlineStr">
        <is>
          <t xml:space="preserve">La Niña</t>
        </is>
      </c>
      <c r="D839" t="inlineStr">
        <is>
          <t xml:space="preserve">yes</t>
        </is>
      </c>
      <c r="E839" t="inlineStr">
        <is>
          <t xml:space="preserve">Oct</t>
        </is>
      </c>
      <c r="F839">
        <v>4</v>
      </c>
      <c r="G839">
        <v>2011</v>
      </c>
      <c r="H839" t="inlineStr">
        <is>
          <t xml:space="preserve">2011-10</t>
        </is>
      </c>
      <c r="I839" s="3">
        <f>INDEX(Monthly!$AA:$AA,MATCH(H839,Monthly!$A:$A,0))</f>
        <v>20.693870967741944</v>
      </c>
      <c r="J839" s="4">
        <f>INDEX(Monthly!$Z:$Z,MATCH(H839,Monthly!$A:$A,0))</f>
        <v>239.522</v>
      </c>
    </row>
    <row r="840">
      <c r="A840" t="inlineStr">
        <is>
          <t xml:space="preserve">Copán — Copán department, town of Santa Rosa de Copán</t>
        </is>
      </c>
      <c r="B840" t="inlineStr">
        <is>
          <t xml:space="preserve">2011/12</t>
        </is>
      </c>
      <c r="C840" t="inlineStr">
        <is>
          <t xml:space="preserve">La Niña</t>
        </is>
      </c>
      <c r="D840" t="inlineStr">
        <is>
          <t xml:space="preserve">yes</t>
        </is>
      </c>
      <c r="E840" t="inlineStr">
        <is>
          <t xml:space="preserve">Nov</t>
        </is>
      </c>
      <c r="F840">
        <v>5</v>
      </c>
      <c r="G840">
        <v>2011</v>
      </c>
      <c r="H840" t="inlineStr">
        <is>
          <t xml:space="preserve">2011-11</t>
        </is>
      </c>
      <c r="I840" s="3">
        <f>INDEX(Monthly!$AA:$AA,MATCH(H840,Monthly!$A:$A,0))</f>
        <v>19.68366666666667</v>
      </c>
      <c r="J840" s="4">
        <f>INDEX(Monthly!$Z:$Z,MATCH(H840,Monthly!$A:$A,0))</f>
        <v>48.808</v>
      </c>
    </row>
    <row r="841">
      <c r="A841" t="inlineStr">
        <is>
          <t xml:space="preserve">Copán — Copán department, town of Santa Rosa de Copán</t>
        </is>
      </c>
      <c r="B841" t="inlineStr">
        <is>
          <t xml:space="preserve">2011/12</t>
        </is>
      </c>
      <c r="C841" t="inlineStr">
        <is>
          <t xml:space="preserve">La Niña</t>
        </is>
      </c>
      <c r="D841" t="inlineStr">
        <is>
          <t xml:space="preserve">yes</t>
        </is>
      </c>
      <c r="E841" t="inlineStr">
        <is>
          <t xml:space="preserve">Dec</t>
        </is>
      </c>
      <c r="F841">
        <v>6</v>
      </c>
      <c r="G841">
        <v>2011</v>
      </c>
      <c r="H841" t="inlineStr">
        <is>
          <t xml:space="preserve">2011-12</t>
        </is>
      </c>
      <c r="I841" s="3">
        <f>INDEX(Monthly!$AA:$AA,MATCH(H841,Monthly!$A:$A,0))</f>
        <v>18.92290322580645</v>
      </c>
      <c r="J841" s="4">
        <f>INDEX(Monthly!$Z:$Z,MATCH(H841,Monthly!$A:$A,0))</f>
        <v>73.846</v>
      </c>
    </row>
    <row r="842">
      <c r="A842" t="inlineStr">
        <is>
          <t xml:space="preserve">Copán — Copán department, town of Santa Rosa de Copán</t>
        </is>
      </c>
      <c r="B842" t="inlineStr">
        <is>
          <t xml:space="preserve">2011/12</t>
        </is>
      </c>
      <c r="C842" t="inlineStr">
        <is>
          <t xml:space="preserve">La Niña</t>
        </is>
      </c>
      <c r="D842" t="inlineStr">
        <is>
          <t xml:space="preserve">yes</t>
        </is>
      </c>
      <c r="E842" t="inlineStr">
        <is>
          <t xml:space="preserve">Jan</t>
        </is>
      </c>
      <c r="F842">
        <v>7</v>
      </c>
      <c r="G842">
        <v>2012</v>
      </c>
      <c r="H842" t="inlineStr">
        <is>
          <t xml:space="preserve">2012-01</t>
        </is>
      </c>
      <c r="I842" s="3">
        <f>INDEX(Monthly!$AA:$AA,MATCH(H842,Monthly!$A:$A,0))</f>
        <v>19.39193548387097</v>
      </c>
      <c r="J842" s="4">
        <f>INDEX(Monthly!$Z:$Z,MATCH(H842,Monthly!$A:$A,0))</f>
        <v>22.599</v>
      </c>
    </row>
    <row r="843">
      <c r="A843" t="inlineStr">
        <is>
          <t xml:space="preserve">Copán — Copán department, town of Santa Rosa de Copán</t>
        </is>
      </c>
      <c r="B843" t="inlineStr">
        <is>
          <t xml:space="preserve">2011/12</t>
        </is>
      </c>
      <c r="C843" t="inlineStr">
        <is>
          <t xml:space="preserve">La Niña</t>
        </is>
      </c>
      <c r="D843" t="inlineStr">
        <is>
          <t xml:space="preserve">yes</t>
        </is>
      </c>
      <c r="E843" t="inlineStr">
        <is>
          <t xml:space="preserve">Feb</t>
        </is>
      </c>
      <c r="F843">
        <v>8</v>
      </c>
      <c r="G843">
        <v>2012</v>
      </c>
      <c r="H843" t="inlineStr">
        <is>
          <t xml:space="preserve">2012-02</t>
        </is>
      </c>
      <c r="I843" s="3">
        <f>INDEX(Monthly!$AA:$AA,MATCH(H843,Monthly!$A:$A,0))</f>
        <v>20.188275862068963</v>
      </c>
      <c r="J843" s="4">
        <f>INDEX(Monthly!$Z:$Z,MATCH(H843,Monthly!$A:$A,0))</f>
        <v>26.948</v>
      </c>
    </row>
    <row r="844">
      <c r="A844" t="inlineStr">
        <is>
          <t xml:space="preserve">Copán — Copán department, town of Santa Rosa de Copán</t>
        </is>
      </c>
      <c r="B844" t="inlineStr">
        <is>
          <t xml:space="preserve">2011/12</t>
        </is>
      </c>
      <c r="C844" t="inlineStr">
        <is>
          <t xml:space="preserve">La Niña</t>
        </is>
      </c>
      <c r="D844" t="inlineStr">
        <is>
          <t xml:space="preserve">yes</t>
        </is>
      </c>
      <c r="E844" t="inlineStr">
        <is>
          <t xml:space="preserve">Mar</t>
        </is>
      </c>
      <c r="F844">
        <v>9</v>
      </c>
      <c r="G844">
        <v>2012</v>
      </c>
      <c r="H844" t="inlineStr">
        <is>
          <t xml:space="preserve">2012-03</t>
        </is>
      </c>
      <c r="I844" s="3">
        <f>INDEX(Monthly!$AA:$AA,MATCH(H844,Monthly!$A:$A,0))</f>
        <v>20.88612903225807</v>
      </c>
      <c r="J844" s="4">
        <f>INDEX(Monthly!$Z:$Z,MATCH(H844,Monthly!$A:$A,0))</f>
        <v>34.221</v>
      </c>
    </row>
    <row r="845">
      <c r="A845" t="inlineStr">
        <is>
          <t xml:space="preserve">Copán — Copán department, town of Santa Rosa de Copán</t>
        </is>
      </c>
      <c r="B845" t="inlineStr">
        <is>
          <t xml:space="preserve">2011/12</t>
        </is>
      </c>
      <c r="C845" t="inlineStr">
        <is>
          <t xml:space="preserve">La Niña</t>
        </is>
      </c>
      <c r="D845" t="inlineStr">
        <is>
          <t xml:space="preserve">yes</t>
        </is>
      </c>
      <c r="E845" t="inlineStr">
        <is>
          <t xml:space="preserve">Apr</t>
        </is>
      </c>
      <c r="F845">
        <v>10</v>
      </c>
      <c r="G845">
        <v>2012</v>
      </c>
      <c r="H845" t="inlineStr">
        <is>
          <t xml:space="preserve">2012-04</t>
        </is>
      </c>
      <c r="I845" s="3">
        <f>INDEX(Monthly!$AA:$AA,MATCH(H845,Monthly!$A:$A,0))</f>
        <v>22.788</v>
      </c>
      <c r="J845" s="4">
        <f>INDEX(Monthly!$Z:$Z,MATCH(H845,Monthly!$A:$A,0))</f>
        <v>52.771</v>
      </c>
    </row>
    <row r="846">
      <c r="A846" t="inlineStr">
        <is>
          <t xml:space="preserve">Copán — Copán department, town of Santa Rosa de Copán</t>
        </is>
      </c>
      <c r="B846" t="inlineStr">
        <is>
          <t xml:space="preserve">2011/12</t>
        </is>
      </c>
      <c r="C846" t="inlineStr">
        <is>
          <t xml:space="preserve">La Niña</t>
        </is>
      </c>
      <c r="D846" t="inlineStr">
        <is>
          <t xml:space="preserve">yes</t>
        </is>
      </c>
      <c r="E846" t="inlineStr">
        <is>
          <t xml:space="preserve">May</t>
        </is>
      </c>
      <c r="F846">
        <v>11</v>
      </c>
      <c r="G846">
        <v>2012</v>
      </c>
      <c r="H846" t="inlineStr">
        <is>
          <t xml:space="preserve">2012-05</t>
        </is>
      </c>
      <c r="I846" s="3">
        <f>INDEX(Monthly!$AA:$AA,MATCH(H846,Monthly!$A:$A,0))</f>
        <v>23.780322580645162</v>
      </c>
      <c r="J846" s="4">
        <f>INDEX(Monthly!$Z:$Z,MATCH(H846,Monthly!$A:$A,0))</f>
        <v>217.114</v>
      </c>
    </row>
    <row r="847">
      <c r="A847" t="inlineStr">
        <is>
          <t xml:space="preserve">Copán — Copán department, town of Santa Rosa de Copán</t>
        </is>
      </c>
      <c r="B847" t="inlineStr">
        <is>
          <t xml:space="preserve">2011/12</t>
        </is>
      </c>
      <c r="C847" t="inlineStr">
        <is>
          <t xml:space="preserve">La Niña</t>
        </is>
      </c>
      <c r="D847" t="inlineStr">
        <is>
          <t xml:space="preserve">yes</t>
        </is>
      </c>
      <c r="E847" t="inlineStr">
        <is>
          <t xml:space="preserve">Jun</t>
        </is>
      </c>
      <c r="F847">
        <v>12</v>
      </c>
      <c r="G847">
        <v>2012</v>
      </c>
      <c r="H847" t="inlineStr">
        <is>
          <t xml:space="preserve">2012-06</t>
        </is>
      </c>
      <c r="I847" s="3">
        <f>INDEX(Monthly!$AA:$AA,MATCH(H847,Monthly!$A:$A,0))</f>
        <v>23.480000000000004</v>
      </c>
      <c r="J847" s="4">
        <f>INDEX(Monthly!$Z:$Z,MATCH(H847,Monthly!$A:$A,0))</f>
        <v>137.905</v>
      </c>
    </row>
    <row r="848">
      <c r="A848" t="inlineStr">
        <is>
          <t xml:space="preserve">Copán — Copán department, town of Santa Rosa de Copán</t>
        </is>
      </c>
      <c r="B848" t="inlineStr">
        <is>
          <t xml:space="preserve">2012/13</t>
        </is>
      </c>
      <c r="C848" t="inlineStr">
        <is>
          <t xml:space="preserve">Neutral</t>
        </is>
      </c>
      <c r="D848" t="inlineStr">
        <is>
          <t xml:space="preserve">yes</t>
        </is>
      </c>
      <c r="E848" t="inlineStr">
        <is>
          <t xml:space="preserve">Jul</t>
        </is>
      </c>
      <c r="F848">
        <v>1</v>
      </c>
      <c r="G848">
        <v>2012</v>
      </c>
      <c r="H848" t="inlineStr">
        <is>
          <t xml:space="preserve">2012-07</t>
        </is>
      </c>
      <c r="I848" s="3">
        <f>INDEX(Monthly!$AA:$AA,MATCH(H848,Monthly!$A:$A,0))</f>
        <v>22.546774193548384</v>
      </c>
      <c r="J848" s="4">
        <f>INDEX(Monthly!$Z:$Z,MATCH(H848,Monthly!$A:$A,0))</f>
        <v>160.3</v>
      </c>
    </row>
    <row r="849">
      <c r="A849" t="inlineStr">
        <is>
          <t xml:space="preserve">Copán — Copán department, town of Santa Rosa de Copán</t>
        </is>
      </c>
      <c r="B849" t="inlineStr">
        <is>
          <t xml:space="preserve">2012/13</t>
        </is>
      </c>
      <c r="C849" t="inlineStr">
        <is>
          <t xml:space="preserve">Neutral</t>
        </is>
      </c>
      <c r="D849" t="inlineStr">
        <is>
          <t xml:space="preserve">yes</t>
        </is>
      </c>
      <c r="E849" t="inlineStr">
        <is>
          <t xml:space="preserve">Aug</t>
        </is>
      </c>
      <c r="F849">
        <v>2</v>
      </c>
      <c r="G849">
        <v>2012</v>
      </c>
      <c r="H849" t="inlineStr">
        <is>
          <t xml:space="preserve">2012-08</t>
        </is>
      </c>
      <c r="I849" s="3">
        <f>INDEX(Monthly!$AA:$AA,MATCH(H849,Monthly!$A:$A,0))</f>
        <v>22.806774193548385</v>
      </c>
      <c r="J849" s="4">
        <f>INDEX(Monthly!$Z:$Z,MATCH(H849,Monthly!$A:$A,0))</f>
        <v>432.106</v>
      </c>
    </row>
    <row r="850">
      <c r="A850" t="inlineStr">
        <is>
          <t xml:space="preserve">Copán — Copán department, town of Santa Rosa de Copán</t>
        </is>
      </c>
      <c r="B850" t="inlineStr">
        <is>
          <t xml:space="preserve">2012/13</t>
        </is>
      </c>
      <c r="C850" t="inlineStr">
        <is>
          <t xml:space="preserve">Neutral</t>
        </is>
      </c>
      <c r="D850" t="inlineStr">
        <is>
          <t xml:space="preserve">yes</t>
        </is>
      </c>
      <c r="E850" t="inlineStr">
        <is>
          <t xml:space="preserve">Sep</t>
        </is>
      </c>
      <c r="F850">
        <v>3</v>
      </c>
      <c r="G850">
        <v>2012</v>
      </c>
      <c r="H850" t="inlineStr">
        <is>
          <t xml:space="preserve">2012-09</t>
        </is>
      </c>
      <c r="I850" s="3">
        <f>INDEX(Monthly!$AA:$AA,MATCH(H850,Monthly!$A:$A,0))</f>
        <v>22.484333333333336</v>
      </c>
      <c r="J850" s="4">
        <f>INDEX(Monthly!$Z:$Z,MATCH(H850,Monthly!$A:$A,0))</f>
        <v>171.05</v>
      </c>
    </row>
    <row r="851">
      <c r="A851" t="inlineStr">
        <is>
          <t xml:space="preserve">Copán — Copán department, town of Santa Rosa de Copán</t>
        </is>
      </c>
      <c r="B851" t="inlineStr">
        <is>
          <t xml:space="preserve">2012/13</t>
        </is>
      </c>
      <c r="C851" t="inlineStr">
        <is>
          <t xml:space="preserve">Neutral</t>
        </is>
      </c>
      <c r="D851" t="inlineStr">
        <is>
          <t xml:space="preserve">yes</t>
        </is>
      </c>
      <c r="E851" t="inlineStr">
        <is>
          <t xml:space="preserve">Oct</t>
        </is>
      </c>
      <c r="F851">
        <v>4</v>
      </c>
      <c r="G851">
        <v>2012</v>
      </c>
      <c r="H851" t="inlineStr">
        <is>
          <t xml:space="preserve">2012-10</t>
        </is>
      </c>
      <c r="I851" s="3">
        <f>INDEX(Monthly!$AA:$AA,MATCH(H851,Monthly!$A:$A,0))</f>
        <v>21.43516129032258</v>
      </c>
      <c r="J851" s="4">
        <f>INDEX(Monthly!$Z:$Z,MATCH(H851,Monthly!$A:$A,0))</f>
        <v>155.693</v>
      </c>
    </row>
    <row r="852">
      <c r="A852" t="inlineStr">
        <is>
          <t xml:space="preserve">Copán — Copán department, town of Santa Rosa de Copán</t>
        </is>
      </c>
      <c r="B852" t="inlineStr">
        <is>
          <t xml:space="preserve">2012/13</t>
        </is>
      </c>
      <c r="C852" t="inlineStr">
        <is>
          <t xml:space="preserve">Neutral</t>
        </is>
      </c>
      <c r="D852" t="inlineStr">
        <is>
          <t xml:space="preserve">yes</t>
        </is>
      </c>
      <c r="E852" t="inlineStr">
        <is>
          <t xml:space="preserve">Nov</t>
        </is>
      </c>
      <c r="F852">
        <v>5</v>
      </c>
      <c r="G852">
        <v>2012</v>
      </c>
      <c r="H852" t="inlineStr">
        <is>
          <t xml:space="preserve">2012-11</t>
        </is>
      </c>
      <c r="I852" s="3">
        <f>INDEX(Monthly!$AA:$AA,MATCH(H852,Monthly!$A:$A,0))</f>
        <v>18.862000000000002</v>
      </c>
      <c r="J852" s="4">
        <f>INDEX(Monthly!$Z:$Z,MATCH(H852,Monthly!$A:$A,0))</f>
        <v>65.07</v>
      </c>
    </row>
    <row r="853">
      <c r="A853" t="inlineStr">
        <is>
          <t xml:space="preserve">Copán — Copán department, town of Santa Rosa de Copán</t>
        </is>
      </c>
      <c r="B853" t="inlineStr">
        <is>
          <t xml:space="preserve">2012/13</t>
        </is>
      </c>
      <c r="C853" t="inlineStr">
        <is>
          <t xml:space="preserve">Neutral</t>
        </is>
      </c>
      <c r="D853" t="inlineStr">
        <is>
          <t xml:space="preserve">yes</t>
        </is>
      </c>
      <c r="E853" t="inlineStr">
        <is>
          <t xml:space="preserve">Dec</t>
        </is>
      </c>
      <c r="F853">
        <v>6</v>
      </c>
      <c r="G853">
        <v>2012</v>
      </c>
      <c r="H853" t="inlineStr">
        <is>
          <t xml:space="preserve">2012-12</t>
        </is>
      </c>
      <c r="I853" s="3">
        <f>INDEX(Monthly!$AA:$AA,MATCH(H853,Monthly!$A:$A,0))</f>
        <v>19.55516129032258</v>
      </c>
      <c r="J853" s="4">
        <f>INDEX(Monthly!$Z:$Z,MATCH(H853,Monthly!$A:$A,0))</f>
        <v>44.233</v>
      </c>
    </row>
    <row r="854">
      <c r="A854" t="inlineStr">
        <is>
          <t xml:space="preserve">Copán — Copán department, town of Santa Rosa de Copán</t>
        </is>
      </c>
      <c r="B854" t="inlineStr">
        <is>
          <t xml:space="preserve">2012/13</t>
        </is>
      </c>
      <c r="C854" t="inlineStr">
        <is>
          <t xml:space="preserve">Neutral</t>
        </is>
      </c>
      <c r="D854" t="inlineStr">
        <is>
          <t xml:space="preserve">yes</t>
        </is>
      </c>
      <c r="E854" t="inlineStr">
        <is>
          <t xml:space="preserve">Jan</t>
        </is>
      </c>
      <c r="F854">
        <v>7</v>
      </c>
      <c r="G854">
        <v>2013</v>
      </c>
      <c r="H854" t="inlineStr">
        <is>
          <t xml:space="preserve">2013-01</t>
        </is>
      </c>
      <c r="I854" s="3">
        <f>INDEX(Monthly!$AA:$AA,MATCH(H854,Monthly!$A:$A,0))</f>
        <v>19.49645161290323</v>
      </c>
      <c r="J854" s="4">
        <f>INDEX(Monthly!$Z:$Z,MATCH(H854,Monthly!$A:$A,0))</f>
        <v>39.416</v>
      </c>
    </row>
    <row r="855">
      <c r="A855" t="inlineStr">
        <is>
          <t xml:space="preserve">Copán — Copán department, town of Santa Rosa de Copán</t>
        </is>
      </c>
      <c r="B855" t="inlineStr">
        <is>
          <t xml:space="preserve">2012/13</t>
        </is>
      </c>
      <c r="C855" t="inlineStr">
        <is>
          <t xml:space="preserve">Neutral</t>
        </is>
      </c>
      <c r="D855" t="inlineStr">
        <is>
          <t xml:space="preserve">yes</t>
        </is>
      </c>
      <c r="E855" t="inlineStr">
        <is>
          <t xml:space="preserve">Feb</t>
        </is>
      </c>
      <c r="F855">
        <v>8</v>
      </c>
      <c r="G855">
        <v>2013</v>
      </c>
      <c r="H855" t="inlineStr">
        <is>
          <t xml:space="preserve">2013-02</t>
        </is>
      </c>
      <c r="I855" s="3">
        <f>INDEX(Monthly!$AA:$AA,MATCH(H855,Monthly!$A:$A,0))</f>
        <v>21.192142857142866</v>
      </c>
      <c r="J855" s="4">
        <f>INDEX(Monthly!$Z:$Z,MATCH(H855,Monthly!$A:$A,0))</f>
        <v>17.454</v>
      </c>
    </row>
    <row r="856">
      <c r="A856" t="inlineStr">
        <is>
          <t xml:space="preserve">Copán — Copán department, town of Santa Rosa de Copán</t>
        </is>
      </c>
      <c r="B856" t="inlineStr">
        <is>
          <t xml:space="preserve">2012/13</t>
        </is>
      </c>
      <c r="C856" t="inlineStr">
        <is>
          <t xml:space="preserve">Neutral</t>
        </is>
      </c>
      <c r="D856" t="inlineStr">
        <is>
          <t xml:space="preserve">yes</t>
        </is>
      </c>
      <c r="E856" t="inlineStr">
        <is>
          <t xml:space="preserve">Mar</t>
        </is>
      </c>
      <c r="F856">
        <v>9</v>
      </c>
      <c r="G856">
        <v>2013</v>
      </c>
      <c r="H856" t="inlineStr">
        <is>
          <t xml:space="preserve">2013-03</t>
        </is>
      </c>
      <c r="I856" s="3">
        <f>INDEX(Monthly!$AA:$AA,MATCH(H856,Monthly!$A:$A,0))</f>
        <v>21.17322580645161</v>
      </c>
      <c r="J856" s="4">
        <f>INDEX(Monthly!$Z:$Z,MATCH(H856,Monthly!$A:$A,0))</f>
        <v>43.138</v>
      </c>
    </row>
    <row r="857">
      <c r="A857" t="inlineStr">
        <is>
          <t xml:space="preserve">Copán — Copán department, town of Santa Rosa de Copán</t>
        </is>
      </c>
      <c r="B857" t="inlineStr">
        <is>
          <t xml:space="preserve">2012/13</t>
        </is>
      </c>
      <c r="C857" t="inlineStr">
        <is>
          <t xml:space="preserve">Neutral</t>
        </is>
      </c>
      <c r="D857" t="inlineStr">
        <is>
          <t xml:space="preserve">yes</t>
        </is>
      </c>
      <c r="E857" t="inlineStr">
        <is>
          <t xml:space="preserve">Apr</t>
        </is>
      </c>
      <c r="F857">
        <v>10</v>
      </c>
      <c r="G857">
        <v>2013</v>
      </c>
      <c r="H857" t="inlineStr">
        <is>
          <t xml:space="preserve">2013-04</t>
        </is>
      </c>
      <c r="I857" s="3">
        <f>INDEX(Monthly!$AA:$AA,MATCH(H857,Monthly!$A:$A,0))</f>
        <v>25.398999999999997</v>
      </c>
      <c r="J857" s="4">
        <f>INDEX(Monthly!$Z:$Z,MATCH(H857,Monthly!$A:$A,0))</f>
        <v>13.709</v>
      </c>
    </row>
    <row r="858">
      <c r="A858" t="inlineStr">
        <is>
          <t xml:space="preserve">Copán — Copán department, town of Santa Rosa de Copán</t>
        </is>
      </c>
      <c r="B858" t="inlineStr">
        <is>
          <t xml:space="preserve">2012/13</t>
        </is>
      </c>
      <c r="C858" t="inlineStr">
        <is>
          <t xml:space="preserve">Neutral</t>
        </is>
      </c>
      <c r="D858" t="inlineStr">
        <is>
          <t xml:space="preserve">yes</t>
        </is>
      </c>
      <c r="E858" t="inlineStr">
        <is>
          <t xml:space="preserve">May</t>
        </is>
      </c>
      <c r="F858">
        <v>11</v>
      </c>
      <c r="G858">
        <v>2013</v>
      </c>
      <c r="H858" t="inlineStr">
        <is>
          <t xml:space="preserve">2013-05</t>
        </is>
      </c>
      <c r="I858" s="3">
        <f>INDEX(Monthly!$AA:$AA,MATCH(H858,Monthly!$A:$A,0))</f>
        <v>24.28709677419354</v>
      </c>
      <c r="J858" s="4">
        <f>INDEX(Monthly!$Z:$Z,MATCH(H858,Monthly!$A:$A,0))</f>
        <v>142.103</v>
      </c>
    </row>
    <row r="859">
      <c r="A859" t="inlineStr">
        <is>
          <t xml:space="preserve">Copán — Copán department, town of Santa Rosa de Copán</t>
        </is>
      </c>
      <c r="B859" t="inlineStr">
        <is>
          <t xml:space="preserve">2012/13</t>
        </is>
      </c>
      <c r="C859" t="inlineStr">
        <is>
          <t xml:space="preserve">Neutral</t>
        </is>
      </c>
      <c r="D859" t="inlineStr">
        <is>
          <t xml:space="preserve">yes</t>
        </is>
      </c>
      <c r="E859" t="inlineStr">
        <is>
          <t xml:space="preserve">Jun</t>
        </is>
      </c>
      <c r="F859">
        <v>12</v>
      </c>
      <c r="G859">
        <v>2013</v>
      </c>
      <c r="H859" t="inlineStr">
        <is>
          <t xml:space="preserve">2013-06</t>
        </is>
      </c>
      <c r="I859" s="3">
        <f>INDEX(Monthly!$AA:$AA,MATCH(H859,Monthly!$A:$A,0))</f>
        <v>23.240666666666666</v>
      </c>
      <c r="J859" s="4">
        <f>INDEX(Monthly!$Z:$Z,MATCH(H859,Monthly!$A:$A,0))</f>
        <v>104.458</v>
      </c>
    </row>
    <row r="860">
      <c r="A860" t="inlineStr">
        <is>
          <t xml:space="preserve">Copán — Copán department, town of Santa Rosa de Copán</t>
        </is>
      </c>
      <c r="B860" t="inlineStr">
        <is>
          <t xml:space="preserve">2013/14</t>
        </is>
      </c>
      <c r="C860" t="inlineStr">
        <is>
          <t xml:space="preserve">Neutral</t>
        </is>
      </c>
      <c r="D860" t="inlineStr">
        <is>
          <t xml:space="preserve">yes</t>
        </is>
      </c>
      <c r="E860" t="inlineStr">
        <is>
          <t xml:space="preserve">Jul</t>
        </is>
      </c>
      <c r="F860">
        <v>1</v>
      </c>
      <c r="G860">
        <v>2013</v>
      </c>
      <c r="H860" t="inlineStr">
        <is>
          <t xml:space="preserve">2013-07</t>
        </is>
      </c>
      <c r="I860" s="3">
        <f>INDEX(Monthly!$AA:$AA,MATCH(H860,Monthly!$A:$A,0))</f>
        <v>22.602580645161293</v>
      </c>
      <c r="J860" s="4">
        <f>INDEX(Monthly!$Z:$Z,MATCH(H860,Monthly!$A:$A,0))</f>
        <v>215.164</v>
      </c>
    </row>
    <row r="861">
      <c r="A861" t="inlineStr">
        <is>
          <t xml:space="preserve">Copán — Copán department, town of Santa Rosa de Copán</t>
        </is>
      </c>
      <c r="B861" t="inlineStr">
        <is>
          <t xml:space="preserve">2013/14</t>
        </is>
      </c>
      <c r="C861" t="inlineStr">
        <is>
          <t xml:space="preserve">Neutral</t>
        </is>
      </c>
      <c r="D861" t="inlineStr">
        <is>
          <t xml:space="preserve">yes</t>
        </is>
      </c>
      <c r="E861" t="inlineStr">
        <is>
          <t xml:space="preserve">Aug</t>
        </is>
      </c>
      <c r="F861">
        <v>2</v>
      </c>
      <c r="G861">
        <v>2013</v>
      </c>
      <c r="H861" t="inlineStr">
        <is>
          <t xml:space="preserve">2013-08</t>
        </is>
      </c>
      <c r="I861" s="3">
        <f>INDEX(Monthly!$AA:$AA,MATCH(H861,Monthly!$A:$A,0))</f>
        <v>22.620645161290323</v>
      </c>
      <c r="J861" s="4">
        <f>INDEX(Monthly!$Z:$Z,MATCH(H861,Monthly!$A:$A,0))</f>
        <v>166.868</v>
      </c>
    </row>
    <row r="862">
      <c r="A862" t="inlineStr">
        <is>
          <t xml:space="preserve">Copán — Copán department, town of Santa Rosa de Copán</t>
        </is>
      </c>
      <c r="B862" t="inlineStr">
        <is>
          <t xml:space="preserve">2013/14</t>
        </is>
      </c>
      <c r="C862" t="inlineStr">
        <is>
          <t xml:space="preserve">Neutral</t>
        </is>
      </c>
      <c r="D862" t="inlineStr">
        <is>
          <t xml:space="preserve">yes</t>
        </is>
      </c>
      <c r="E862" t="inlineStr">
        <is>
          <t xml:space="preserve">Sep</t>
        </is>
      </c>
      <c r="F862">
        <v>3</v>
      </c>
      <c r="G862">
        <v>2013</v>
      </c>
      <c r="H862" t="inlineStr">
        <is>
          <t xml:space="preserve">2013-09</t>
        </is>
      </c>
      <c r="I862" s="3">
        <f>INDEX(Monthly!$AA:$AA,MATCH(H862,Monthly!$A:$A,0))</f>
        <v>22.664000000000005</v>
      </c>
      <c r="J862" s="4">
        <f>INDEX(Monthly!$Z:$Z,MATCH(H862,Monthly!$A:$A,0))</f>
        <v>242.385</v>
      </c>
    </row>
    <row r="863">
      <c r="A863" t="inlineStr">
        <is>
          <t xml:space="preserve">Copán — Copán department, town of Santa Rosa de Copán</t>
        </is>
      </c>
      <c r="B863" t="inlineStr">
        <is>
          <t xml:space="preserve">2013/14</t>
        </is>
      </c>
      <c r="C863" t="inlineStr">
        <is>
          <t xml:space="preserve">Neutral</t>
        </is>
      </c>
      <c r="D863" t="inlineStr">
        <is>
          <t xml:space="preserve">yes</t>
        </is>
      </c>
      <c r="E863" t="inlineStr">
        <is>
          <t xml:space="preserve">Oct</t>
        </is>
      </c>
      <c r="F863">
        <v>4</v>
      </c>
      <c r="G863">
        <v>2013</v>
      </c>
      <c r="H863" t="inlineStr">
        <is>
          <t xml:space="preserve">2013-10</t>
        </is>
      </c>
      <c r="I863" s="3">
        <f>INDEX(Monthly!$AA:$AA,MATCH(H863,Monthly!$A:$A,0))</f>
        <v>22.41838709677419</v>
      </c>
      <c r="J863" s="4">
        <f>INDEX(Monthly!$Z:$Z,MATCH(H863,Monthly!$A:$A,0))</f>
        <v>213.047</v>
      </c>
    </row>
    <row r="864">
      <c r="A864" t="inlineStr">
        <is>
          <t xml:space="preserve">Copán — Copán department, town of Santa Rosa de Copán</t>
        </is>
      </c>
      <c r="B864" t="inlineStr">
        <is>
          <t xml:space="preserve">2013/14</t>
        </is>
      </c>
      <c r="C864" t="inlineStr">
        <is>
          <t xml:space="preserve">Neutral</t>
        </is>
      </c>
      <c r="D864" t="inlineStr">
        <is>
          <t xml:space="preserve">yes</t>
        </is>
      </c>
      <c r="E864" t="inlineStr">
        <is>
          <t xml:space="preserve">Nov</t>
        </is>
      </c>
      <c r="F864">
        <v>5</v>
      </c>
      <c r="G864">
        <v>2013</v>
      </c>
      <c r="H864" t="inlineStr">
        <is>
          <t xml:space="preserve">2013-11</t>
        </is>
      </c>
      <c r="I864" s="3">
        <f>INDEX(Monthly!$AA:$AA,MATCH(H864,Monthly!$A:$A,0))</f>
        <v>20.65233333333333</v>
      </c>
      <c r="J864" s="4">
        <f>INDEX(Monthly!$Z:$Z,MATCH(H864,Monthly!$A:$A,0))</f>
        <v>72.308</v>
      </c>
    </row>
    <row r="865">
      <c r="A865" t="inlineStr">
        <is>
          <t xml:space="preserve">Copán — Copán department, town of Santa Rosa de Copán</t>
        </is>
      </c>
      <c r="B865" t="inlineStr">
        <is>
          <t xml:space="preserve">2013/14</t>
        </is>
      </c>
      <c r="C865" t="inlineStr">
        <is>
          <t xml:space="preserve">Neutral</t>
        </is>
      </c>
      <c r="D865" t="inlineStr">
        <is>
          <t xml:space="preserve">yes</t>
        </is>
      </c>
      <c r="E865" t="inlineStr">
        <is>
          <t xml:space="preserve">Dec</t>
        </is>
      </c>
      <c r="F865">
        <v>6</v>
      </c>
      <c r="G865">
        <v>2013</v>
      </c>
      <c r="H865" t="inlineStr">
        <is>
          <t xml:space="preserve">2013-12</t>
        </is>
      </c>
      <c r="I865" s="3">
        <f>INDEX(Monthly!$AA:$AA,MATCH(H865,Monthly!$A:$A,0))</f>
        <v>20.016774193548386</v>
      </c>
      <c r="J865" s="4">
        <f>INDEX(Monthly!$Z:$Z,MATCH(H865,Monthly!$A:$A,0))</f>
        <v>45.244</v>
      </c>
    </row>
    <row r="866">
      <c r="A866" t="inlineStr">
        <is>
          <t xml:space="preserve">Copán — Copán department, town of Santa Rosa de Copán</t>
        </is>
      </c>
      <c r="B866" t="inlineStr">
        <is>
          <t xml:space="preserve">2013/14</t>
        </is>
      </c>
      <c r="C866" t="inlineStr">
        <is>
          <t xml:space="preserve">Neutral</t>
        </is>
      </c>
      <c r="D866" t="inlineStr">
        <is>
          <t xml:space="preserve">yes</t>
        </is>
      </c>
      <c r="E866" t="inlineStr">
        <is>
          <t xml:space="preserve">Jan</t>
        </is>
      </c>
      <c r="F866">
        <v>7</v>
      </c>
      <c r="G866">
        <v>2014</v>
      </c>
      <c r="H866" t="inlineStr">
        <is>
          <t xml:space="preserve">2014-01</t>
        </is>
      </c>
      <c r="I866" s="3">
        <f>INDEX(Monthly!$AA:$AA,MATCH(H866,Monthly!$A:$A,0))</f>
        <v>18.43548387096774</v>
      </c>
      <c r="J866" s="4">
        <f>INDEX(Monthly!$Z:$Z,MATCH(H866,Monthly!$A:$A,0))</f>
        <v>54.136</v>
      </c>
    </row>
    <row r="867">
      <c r="A867" t="inlineStr">
        <is>
          <t xml:space="preserve">Copán — Copán department, town of Santa Rosa de Copán</t>
        </is>
      </c>
      <c r="B867" t="inlineStr">
        <is>
          <t xml:space="preserve">2013/14</t>
        </is>
      </c>
      <c r="C867" t="inlineStr">
        <is>
          <t xml:space="preserve">Neutral</t>
        </is>
      </c>
      <c r="D867" t="inlineStr">
        <is>
          <t xml:space="preserve">yes</t>
        </is>
      </c>
      <c r="E867" t="inlineStr">
        <is>
          <t xml:space="preserve">Feb</t>
        </is>
      </c>
      <c r="F867">
        <v>8</v>
      </c>
      <c r="G867">
        <v>2014</v>
      </c>
      <c r="H867" t="inlineStr">
        <is>
          <t xml:space="preserve">2014-02</t>
        </is>
      </c>
      <c r="I867" s="3">
        <f>INDEX(Monthly!$AA:$AA,MATCH(H867,Monthly!$A:$A,0))</f>
        <v>20.676428571428577</v>
      </c>
      <c r="J867" s="4">
        <f>INDEX(Monthly!$Z:$Z,MATCH(H867,Monthly!$A:$A,0))</f>
        <v>22.302</v>
      </c>
    </row>
    <row r="868">
      <c r="A868" t="inlineStr">
        <is>
          <t xml:space="preserve">Copán — Copán department, town of Santa Rosa de Copán</t>
        </is>
      </c>
      <c r="B868" t="inlineStr">
        <is>
          <t xml:space="preserve">2013/14</t>
        </is>
      </c>
      <c r="C868" t="inlineStr">
        <is>
          <t xml:space="preserve">Neutral</t>
        </is>
      </c>
      <c r="D868" t="inlineStr">
        <is>
          <t xml:space="preserve">yes</t>
        </is>
      </c>
      <c r="E868" t="inlineStr">
        <is>
          <t xml:space="preserve">Mar</t>
        </is>
      </c>
      <c r="F868">
        <v>9</v>
      </c>
      <c r="G868">
        <v>2014</v>
      </c>
      <c r="H868" t="inlineStr">
        <is>
          <t xml:space="preserve">2014-03</t>
        </is>
      </c>
      <c r="I868" s="3">
        <f>INDEX(Monthly!$AA:$AA,MATCH(H868,Monthly!$A:$A,0))</f>
        <v>22.173548387096776</v>
      </c>
      <c r="J868" s="4">
        <f>INDEX(Monthly!$Z:$Z,MATCH(H868,Monthly!$A:$A,0))</f>
        <v>65.599</v>
      </c>
    </row>
    <row r="869">
      <c r="A869" t="inlineStr">
        <is>
          <t xml:space="preserve">Copán — Copán department, town of Santa Rosa de Copán</t>
        </is>
      </c>
      <c r="B869" t="inlineStr">
        <is>
          <t xml:space="preserve">2013/14</t>
        </is>
      </c>
      <c r="C869" t="inlineStr">
        <is>
          <t xml:space="preserve">Neutral</t>
        </is>
      </c>
      <c r="D869" t="inlineStr">
        <is>
          <t xml:space="preserve">yes</t>
        </is>
      </c>
      <c r="E869" t="inlineStr">
        <is>
          <t xml:space="preserve">Apr</t>
        </is>
      </c>
      <c r="F869">
        <v>10</v>
      </c>
      <c r="G869">
        <v>2014</v>
      </c>
      <c r="H869" t="inlineStr">
        <is>
          <t xml:space="preserve">2014-04</t>
        </is>
      </c>
      <c r="I869" s="3">
        <f>INDEX(Monthly!$AA:$AA,MATCH(H869,Monthly!$A:$A,0))</f>
        <v>23.643333333333334</v>
      </c>
      <c r="J869" s="4">
        <f>INDEX(Monthly!$Z:$Z,MATCH(H869,Monthly!$A:$A,0))</f>
        <v>14.354</v>
      </c>
    </row>
    <row r="870">
      <c r="A870" t="inlineStr">
        <is>
          <t xml:space="preserve">Copán — Copán department, town of Santa Rosa de Copán</t>
        </is>
      </c>
      <c r="B870" t="inlineStr">
        <is>
          <t xml:space="preserve">2013/14</t>
        </is>
      </c>
      <c r="C870" t="inlineStr">
        <is>
          <t xml:space="preserve">Neutral</t>
        </is>
      </c>
      <c r="D870" t="inlineStr">
        <is>
          <t xml:space="preserve">yes</t>
        </is>
      </c>
      <c r="E870" t="inlineStr">
        <is>
          <t xml:space="preserve">May</t>
        </is>
      </c>
      <c r="F870">
        <v>11</v>
      </c>
      <c r="G870">
        <v>2014</v>
      </c>
      <c r="H870" t="inlineStr">
        <is>
          <t xml:space="preserve">2014-05</t>
        </is>
      </c>
      <c r="I870" s="3">
        <f>INDEX(Monthly!$AA:$AA,MATCH(H870,Monthly!$A:$A,0))</f>
        <v>23.326129032258063</v>
      </c>
      <c r="J870" s="4">
        <f>INDEX(Monthly!$Z:$Z,MATCH(H870,Monthly!$A:$A,0))</f>
        <v>142.846</v>
      </c>
    </row>
    <row r="871">
      <c r="A871" t="inlineStr">
        <is>
          <t xml:space="preserve">Copán — Copán department, town of Santa Rosa de Copán</t>
        </is>
      </c>
      <c r="B871" t="inlineStr">
        <is>
          <t xml:space="preserve">2013/14</t>
        </is>
      </c>
      <c r="C871" t="inlineStr">
        <is>
          <t xml:space="preserve">Neutral</t>
        </is>
      </c>
      <c r="D871" t="inlineStr">
        <is>
          <t xml:space="preserve">yes</t>
        </is>
      </c>
      <c r="E871" t="inlineStr">
        <is>
          <t xml:space="preserve">Jun</t>
        </is>
      </c>
      <c r="F871">
        <v>12</v>
      </c>
      <c r="G871">
        <v>2014</v>
      </c>
      <c r="H871" t="inlineStr">
        <is>
          <t xml:space="preserve">2014-06</t>
        </is>
      </c>
      <c r="I871" s="3">
        <f>INDEX(Monthly!$AA:$AA,MATCH(H871,Monthly!$A:$A,0))</f>
        <v>23.01466666666666</v>
      </c>
      <c r="J871" s="4">
        <f>INDEX(Monthly!$Z:$Z,MATCH(H871,Monthly!$A:$A,0))</f>
        <v>203.678</v>
      </c>
    </row>
    <row r="872">
      <c r="A872" t="inlineStr">
        <is>
          <t xml:space="preserve">Copán — Copán department, town of Santa Rosa de Copán</t>
        </is>
      </c>
      <c r="B872" t="inlineStr">
        <is>
          <t xml:space="preserve">2014/15</t>
        </is>
      </c>
      <c r="C872" t="inlineStr">
        <is>
          <t xml:space="preserve">El Niño</t>
        </is>
      </c>
      <c r="D872" t="inlineStr">
        <is>
          <t xml:space="preserve">yes</t>
        </is>
      </c>
      <c r="E872" t="inlineStr">
        <is>
          <t xml:space="preserve">Jul</t>
        </is>
      </c>
      <c r="F872">
        <v>1</v>
      </c>
      <c r="G872">
        <v>2014</v>
      </c>
      <c r="H872" t="inlineStr">
        <is>
          <t xml:space="preserve">2014-07</t>
        </is>
      </c>
      <c r="I872" s="3">
        <f>INDEX(Monthly!$AA:$AA,MATCH(H872,Monthly!$A:$A,0))</f>
        <v>22.99258064516129</v>
      </c>
      <c r="J872" s="4">
        <f>INDEX(Monthly!$Z:$Z,MATCH(H872,Monthly!$A:$A,0))</f>
        <v>65.469</v>
      </c>
    </row>
    <row r="873">
      <c r="A873" t="inlineStr">
        <is>
          <t xml:space="preserve">Copán — Copán department, town of Santa Rosa de Copán</t>
        </is>
      </c>
      <c r="B873" t="inlineStr">
        <is>
          <t xml:space="preserve">2014/15</t>
        </is>
      </c>
      <c r="C873" t="inlineStr">
        <is>
          <t xml:space="preserve">El Niño</t>
        </is>
      </c>
      <c r="D873" t="inlineStr">
        <is>
          <t xml:space="preserve">yes</t>
        </is>
      </c>
      <c r="E873" t="inlineStr">
        <is>
          <t xml:space="preserve">Aug</t>
        </is>
      </c>
      <c r="F873">
        <v>2</v>
      </c>
      <c r="G873">
        <v>2014</v>
      </c>
      <c r="H873" t="inlineStr">
        <is>
          <t xml:space="preserve">2014-08</t>
        </is>
      </c>
      <c r="I873" s="3">
        <f>INDEX(Monthly!$AA:$AA,MATCH(H873,Monthly!$A:$A,0))</f>
        <v>22.634193548387103</v>
      </c>
      <c r="J873" s="4">
        <f>INDEX(Monthly!$Z:$Z,MATCH(H873,Monthly!$A:$A,0))</f>
        <v>284.291</v>
      </c>
    </row>
    <row r="874">
      <c r="A874" t="inlineStr">
        <is>
          <t xml:space="preserve">Copán — Copán department, town of Santa Rosa de Copán</t>
        </is>
      </c>
      <c r="B874" t="inlineStr">
        <is>
          <t xml:space="preserve">2014/15</t>
        </is>
      </c>
      <c r="C874" t="inlineStr">
        <is>
          <t xml:space="preserve">El Niño</t>
        </is>
      </c>
      <c r="D874" t="inlineStr">
        <is>
          <t xml:space="preserve">yes</t>
        </is>
      </c>
      <c r="E874" t="inlineStr">
        <is>
          <t xml:space="preserve">Sep</t>
        </is>
      </c>
      <c r="F874">
        <v>3</v>
      </c>
      <c r="G874">
        <v>2014</v>
      </c>
      <c r="H874" t="inlineStr">
        <is>
          <t xml:space="preserve">2014-09</t>
        </is>
      </c>
      <c r="I874" s="3">
        <f>INDEX(Monthly!$AA:$AA,MATCH(H874,Monthly!$A:$A,0))</f>
        <v>22.487666666666666</v>
      </c>
      <c r="J874" s="4">
        <f>INDEX(Monthly!$Z:$Z,MATCH(H874,Monthly!$A:$A,0))</f>
        <v>297.636</v>
      </c>
    </row>
    <row r="875">
      <c r="A875" t="inlineStr">
        <is>
          <t xml:space="preserve">Copán — Copán department, town of Santa Rosa de Copán</t>
        </is>
      </c>
      <c r="B875" t="inlineStr">
        <is>
          <t xml:space="preserve">2014/15</t>
        </is>
      </c>
      <c r="C875" t="inlineStr">
        <is>
          <t xml:space="preserve">El Niño</t>
        </is>
      </c>
      <c r="D875" t="inlineStr">
        <is>
          <t xml:space="preserve">yes</t>
        </is>
      </c>
      <c r="E875" t="inlineStr">
        <is>
          <t xml:space="preserve">Oct</t>
        </is>
      </c>
      <c r="F875">
        <v>4</v>
      </c>
      <c r="G875">
        <v>2014</v>
      </c>
      <c r="H875" t="inlineStr">
        <is>
          <t xml:space="preserve">2014-10</t>
        </is>
      </c>
      <c r="I875" s="3">
        <f>INDEX(Monthly!$AA:$AA,MATCH(H875,Monthly!$A:$A,0))</f>
        <v>21.813870967741938</v>
      </c>
      <c r="J875" s="4">
        <f>INDEX(Monthly!$Z:$Z,MATCH(H875,Monthly!$A:$A,0))</f>
        <v>272.222</v>
      </c>
    </row>
    <row r="876">
      <c r="A876" t="inlineStr">
        <is>
          <t xml:space="preserve">Copán — Copán department, town of Santa Rosa de Copán</t>
        </is>
      </c>
      <c r="B876" t="inlineStr">
        <is>
          <t xml:space="preserve">2014/15</t>
        </is>
      </c>
      <c r="C876" t="inlineStr">
        <is>
          <t xml:space="preserve">El Niño</t>
        </is>
      </c>
      <c r="D876" t="inlineStr">
        <is>
          <t xml:space="preserve">yes</t>
        </is>
      </c>
      <c r="E876" t="inlineStr">
        <is>
          <t xml:space="preserve">Nov</t>
        </is>
      </c>
      <c r="F876">
        <v>5</v>
      </c>
      <c r="G876">
        <v>2014</v>
      </c>
      <c r="H876" t="inlineStr">
        <is>
          <t xml:space="preserve">2014-11</t>
        </is>
      </c>
      <c r="I876" s="3">
        <f>INDEX(Monthly!$AA:$AA,MATCH(H876,Monthly!$A:$A,0))</f>
        <v>19.786666666666665</v>
      </c>
      <c r="J876" s="4">
        <f>INDEX(Monthly!$Z:$Z,MATCH(H876,Monthly!$A:$A,0))</f>
        <v>113.902</v>
      </c>
    </row>
    <row r="877">
      <c r="A877" t="inlineStr">
        <is>
          <t xml:space="preserve">Copán — Copán department, town of Santa Rosa de Copán</t>
        </is>
      </c>
      <c r="B877" t="inlineStr">
        <is>
          <t xml:space="preserve">2014/15</t>
        </is>
      </c>
      <c r="C877" t="inlineStr">
        <is>
          <t xml:space="preserve">El Niño</t>
        </is>
      </c>
      <c r="D877" t="inlineStr">
        <is>
          <t xml:space="preserve">yes</t>
        </is>
      </c>
      <c r="E877" t="inlineStr">
        <is>
          <t xml:space="preserve">Dec</t>
        </is>
      </c>
      <c r="F877">
        <v>6</v>
      </c>
      <c r="G877">
        <v>2014</v>
      </c>
      <c r="H877" t="inlineStr">
        <is>
          <t xml:space="preserve">2014-12</t>
        </is>
      </c>
      <c r="I877" s="3">
        <f>INDEX(Monthly!$AA:$AA,MATCH(H877,Monthly!$A:$A,0))</f>
        <v>18.970967741935482</v>
      </c>
      <c r="J877" s="4">
        <f>INDEX(Monthly!$Z:$Z,MATCH(H877,Monthly!$A:$A,0))</f>
        <v>91.953</v>
      </c>
    </row>
    <row r="878">
      <c r="A878" t="inlineStr">
        <is>
          <t xml:space="preserve">Copán — Copán department, town of Santa Rosa de Copán</t>
        </is>
      </c>
      <c r="B878" t="inlineStr">
        <is>
          <t xml:space="preserve">2014/15</t>
        </is>
      </c>
      <c r="C878" t="inlineStr">
        <is>
          <t xml:space="preserve">El Niño</t>
        </is>
      </c>
      <c r="D878" t="inlineStr">
        <is>
          <t xml:space="preserve">yes</t>
        </is>
      </c>
      <c r="E878" t="inlineStr">
        <is>
          <t xml:space="preserve">Jan</t>
        </is>
      </c>
      <c r="F878">
        <v>7</v>
      </c>
      <c r="G878">
        <v>2015</v>
      </c>
      <c r="H878" t="inlineStr">
        <is>
          <t xml:space="preserve">2015-01</t>
        </is>
      </c>
      <c r="I878" s="3">
        <f>INDEX(Monthly!$AA:$AA,MATCH(H878,Monthly!$A:$A,0))</f>
        <v>18.875483870967738</v>
      </c>
      <c r="J878" s="4">
        <f>INDEX(Monthly!$Z:$Z,MATCH(H878,Monthly!$A:$A,0))</f>
        <v>37.503</v>
      </c>
    </row>
    <row r="879">
      <c r="A879" t="inlineStr">
        <is>
          <t xml:space="preserve">Copán — Copán department, town of Santa Rosa de Copán</t>
        </is>
      </c>
      <c r="B879" t="inlineStr">
        <is>
          <t xml:space="preserve">2014/15</t>
        </is>
      </c>
      <c r="C879" t="inlineStr">
        <is>
          <t xml:space="preserve">El Niño</t>
        </is>
      </c>
      <c r="D879" t="inlineStr">
        <is>
          <t xml:space="preserve">yes</t>
        </is>
      </c>
      <c r="E879" t="inlineStr">
        <is>
          <t xml:space="preserve">Feb</t>
        </is>
      </c>
      <c r="F879">
        <v>8</v>
      </c>
      <c r="G879">
        <v>2015</v>
      </c>
      <c r="H879" t="inlineStr">
        <is>
          <t xml:space="preserve">2015-02</t>
        </is>
      </c>
      <c r="I879" s="3">
        <f>INDEX(Monthly!$AA:$AA,MATCH(H879,Monthly!$A:$A,0))</f>
        <v>18.947499999999994</v>
      </c>
      <c r="J879" s="4">
        <f>INDEX(Monthly!$Z:$Z,MATCH(H879,Monthly!$A:$A,0))</f>
        <v>35.568</v>
      </c>
    </row>
    <row r="880">
      <c r="A880" t="inlineStr">
        <is>
          <t xml:space="preserve">Copán — Copán department, town of Santa Rosa de Copán</t>
        </is>
      </c>
      <c r="B880" t="inlineStr">
        <is>
          <t xml:space="preserve">2014/15</t>
        </is>
      </c>
      <c r="C880" t="inlineStr">
        <is>
          <t xml:space="preserve">El Niño</t>
        </is>
      </c>
      <c r="D880" t="inlineStr">
        <is>
          <t xml:space="preserve">yes</t>
        </is>
      </c>
      <c r="E880" t="inlineStr">
        <is>
          <t xml:space="preserve">Mar</t>
        </is>
      </c>
      <c r="F880">
        <v>9</v>
      </c>
      <c r="G880">
        <v>2015</v>
      </c>
      <c r="H880" t="inlineStr">
        <is>
          <t xml:space="preserve">2015-03</t>
        </is>
      </c>
      <c r="I880" s="3">
        <f>INDEX(Monthly!$AA:$AA,MATCH(H880,Monthly!$A:$A,0))</f>
        <v>20.931935483870966</v>
      </c>
      <c r="J880" s="4">
        <f>INDEX(Monthly!$Z:$Z,MATCH(H880,Monthly!$A:$A,0))</f>
        <v>34.61</v>
      </c>
    </row>
    <row r="881">
      <c r="A881" t="inlineStr">
        <is>
          <t xml:space="preserve">Copán — Copán department, town of Santa Rosa de Copán</t>
        </is>
      </c>
      <c r="B881" t="inlineStr">
        <is>
          <t xml:space="preserve">2014/15</t>
        </is>
      </c>
      <c r="C881" t="inlineStr">
        <is>
          <t xml:space="preserve">El Niño</t>
        </is>
      </c>
      <c r="D881" t="inlineStr">
        <is>
          <t xml:space="preserve">yes</t>
        </is>
      </c>
      <c r="E881" t="inlineStr">
        <is>
          <t xml:space="preserve">Apr</t>
        </is>
      </c>
      <c r="F881">
        <v>10</v>
      </c>
      <c r="G881">
        <v>2015</v>
      </c>
      <c r="H881" t="inlineStr">
        <is>
          <t xml:space="preserve">2015-04</t>
        </is>
      </c>
      <c r="I881" s="3">
        <f>INDEX(Monthly!$AA:$AA,MATCH(H881,Monthly!$A:$A,0))</f>
        <v>23.86766666666667</v>
      </c>
      <c r="J881" s="4">
        <f>INDEX(Monthly!$Z:$Z,MATCH(H881,Monthly!$A:$A,0))</f>
        <v>21.681</v>
      </c>
    </row>
    <row r="882">
      <c r="A882" t="inlineStr">
        <is>
          <t xml:space="preserve">Copán — Copán department, town of Santa Rosa de Copán</t>
        </is>
      </c>
      <c r="B882" t="inlineStr">
        <is>
          <t xml:space="preserve">2014/15</t>
        </is>
      </c>
      <c r="C882" t="inlineStr">
        <is>
          <t xml:space="preserve">El Niño</t>
        </is>
      </c>
      <c r="D882" t="inlineStr">
        <is>
          <t xml:space="preserve">yes</t>
        </is>
      </c>
      <c r="E882" t="inlineStr">
        <is>
          <t xml:space="preserve">May</t>
        </is>
      </c>
      <c r="F882">
        <v>11</v>
      </c>
      <c r="G882">
        <v>2015</v>
      </c>
      <c r="H882" t="inlineStr">
        <is>
          <t xml:space="preserve">2015-05</t>
        </is>
      </c>
      <c r="I882" s="3">
        <f>INDEX(Monthly!$AA:$AA,MATCH(H882,Monthly!$A:$A,0))</f>
        <v>23.62064516129032</v>
      </c>
      <c r="J882" s="4">
        <f>INDEX(Monthly!$Z:$Z,MATCH(H882,Monthly!$A:$A,0))</f>
        <v>46.324</v>
      </c>
    </row>
    <row r="883">
      <c r="A883" t="inlineStr">
        <is>
          <t xml:space="preserve">Copán — Copán department, town of Santa Rosa de Copán</t>
        </is>
      </c>
      <c r="B883" t="inlineStr">
        <is>
          <t xml:space="preserve">2014/15</t>
        </is>
      </c>
      <c r="C883" t="inlineStr">
        <is>
          <t xml:space="preserve">El Niño</t>
        </is>
      </c>
      <c r="D883" t="inlineStr">
        <is>
          <t xml:space="preserve">yes</t>
        </is>
      </c>
      <c r="E883" t="inlineStr">
        <is>
          <t xml:space="preserve">Jun</t>
        </is>
      </c>
      <c r="F883">
        <v>12</v>
      </c>
      <c r="G883">
        <v>2015</v>
      </c>
      <c r="H883" t="inlineStr">
        <is>
          <t xml:space="preserve">2015-06</t>
        </is>
      </c>
      <c r="I883" s="3">
        <f>INDEX(Monthly!$AA:$AA,MATCH(H883,Monthly!$A:$A,0))</f>
        <v>22.972</v>
      </c>
      <c r="J883" s="4">
        <f>INDEX(Monthly!$Z:$Z,MATCH(H883,Monthly!$A:$A,0))</f>
        <v>166.379</v>
      </c>
    </row>
    <row r="884">
      <c r="A884" t="inlineStr">
        <is>
          <t xml:space="preserve">Copán — Copán department, town of Santa Rosa de Copán</t>
        </is>
      </c>
      <c r="B884" t="inlineStr">
        <is>
          <t xml:space="preserve">2015/16</t>
        </is>
      </c>
      <c r="C884" t="inlineStr">
        <is>
          <t xml:space="preserve">El Niño</t>
        </is>
      </c>
      <c r="D884" t="inlineStr">
        <is>
          <t xml:space="preserve">yes</t>
        </is>
      </c>
      <c r="E884" t="inlineStr">
        <is>
          <t xml:space="preserve">Jul</t>
        </is>
      </c>
      <c r="F884">
        <v>1</v>
      </c>
      <c r="G884">
        <v>2015</v>
      </c>
      <c r="H884" t="inlineStr">
        <is>
          <t xml:space="preserve">2015-07</t>
        </is>
      </c>
      <c r="I884" s="3">
        <f>INDEX(Monthly!$AA:$AA,MATCH(H884,Monthly!$A:$A,0))</f>
        <v>23.734838709677422</v>
      </c>
      <c r="J884" s="4">
        <f>INDEX(Monthly!$Z:$Z,MATCH(H884,Monthly!$A:$A,0))</f>
        <v>44.525</v>
      </c>
    </row>
    <row r="885">
      <c r="A885" t="inlineStr">
        <is>
          <t xml:space="preserve">Copán — Copán department, town of Santa Rosa de Copán</t>
        </is>
      </c>
      <c r="B885" t="inlineStr">
        <is>
          <t xml:space="preserve">2015/16</t>
        </is>
      </c>
      <c r="C885" t="inlineStr">
        <is>
          <t xml:space="preserve">El Niño</t>
        </is>
      </c>
      <c r="D885" t="inlineStr">
        <is>
          <t xml:space="preserve">yes</t>
        </is>
      </c>
      <c r="E885" t="inlineStr">
        <is>
          <t xml:space="preserve">Aug</t>
        </is>
      </c>
      <c r="F885">
        <v>2</v>
      </c>
      <c r="G885">
        <v>2015</v>
      </c>
      <c r="H885" t="inlineStr">
        <is>
          <t xml:space="preserve">2015-08</t>
        </is>
      </c>
      <c r="I885" s="3">
        <f>INDEX(Monthly!$AA:$AA,MATCH(H885,Monthly!$A:$A,0))</f>
        <v>24.120967741935484</v>
      </c>
      <c r="J885" s="4">
        <f>INDEX(Monthly!$Z:$Z,MATCH(H885,Monthly!$A:$A,0))</f>
        <v>119.271</v>
      </c>
    </row>
    <row r="886">
      <c r="A886" t="inlineStr">
        <is>
          <t xml:space="preserve">Copán — Copán department, town of Santa Rosa de Copán</t>
        </is>
      </c>
      <c r="B886" t="inlineStr">
        <is>
          <t xml:space="preserve">2015/16</t>
        </is>
      </c>
      <c r="C886" t="inlineStr">
        <is>
          <t xml:space="preserve">El Niño</t>
        </is>
      </c>
      <c r="D886" t="inlineStr">
        <is>
          <t xml:space="preserve">yes</t>
        </is>
      </c>
      <c r="E886" t="inlineStr">
        <is>
          <t xml:space="preserve">Sep</t>
        </is>
      </c>
      <c r="F886">
        <v>3</v>
      </c>
      <c r="G886">
        <v>2015</v>
      </c>
      <c r="H886" t="inlineStr">
        <is>
          <t xml:space="preserve">2015-09</t>
        </is>
      </c>
      <c r="I886" s="3">
        <f>INDEX(Monthly!$AA:$AA,MATCH(H886,Monthly!$A:$A,0))</f>
        <v>23.13133333333333</v>
      </c>
      <c r="J886" s="4">
        <f>INDEX(Monthly!$Z:$Z,MATCH(H886,Monthly!$A:$A,0))</f>
        <v>455.048</v>
      </c>
    </row>
    <row r="887">
      <c r="A887" t="inlineStr">
        <is>
          <t xml:space="preserve">Copán — Copán department, town of Santa Rosa de Copán</t>
        </is>
      </c>
      <c r="B887" t="inlineStr">
        <is>
          <t xml:space="preserve">2015/16</t>
        </is>
      </c>
      <c r="C887" t="inlineStr">
        <is>
          <t xml:space="preserve">El Niño</t>
        </is>
      </c>
      <c r="D887" t="inlineStr">
        <is>
          <t xml:space="preserve">yes</t>
        </is>
      </c>
      <c r="E887" t="inlineStr">
        <is>
          <t xml:space="preserve">Oct</t>
        </is>
      </c>
      <c r="F887">
        <v>4</v>
      </c>
      <c r="G887">
        <v>2015</v>
      </c>
      <c r="H887" t="inlineStr">
        <is>
          <t xml:space="preserve">2015-10</t>
        </is>
      </c>
      <c r="I887" s="3">
        <f>INDEX(Monthly!$AA:$AA,MATCH(H887,Monthly!$A:$A,0))</f>
        <v>22.69483870967742</v>
      </c>
      <c r="J887" s="4">
        <f>INDEX(Monthly!$Z:$Z,MATCH(H887,Monthly!$A:$A,0))</f>
        <v>252.865</v>
      </c>
    </row>
    <row r="888">
      <c r="A888" t="inlineStr">
        <is>
          <t xml:space="preserve">Copán — Copán department, town of Santa Rosa de Copán</t>
        </is>
      </c>
      <c r="B888" t="inlineStr">
        <is>
          <t xml:space="preserve">2015/16</t>
        </is>
      </c>
      <c r="C888" t="inlineStr">
        <is>
          <t xml:space="preserve">El Niño</t>
        </is>
      </c>
      <c r="D888" t="inlineStr">
        <is>
          <t xml:space="preserve">yes</t>
        </is>
      </c>
      <c r="E888" t="inlineStr">
        <is>
          <t xml:space="preserve">Nov</t>
        </is>
      </c>
      <c r="F888">
        <v>5</v>
      </c>
      <c r="G888">
        <v>2015</v>
      </c>
      <c r="H888" t="inlineStr">
        <is>
          <t xml:space="preserve">2015-11</t>
        </is>
      </c>
      <c r="I888" s="3">
        <f>INDEX(Monthly!$AA:$AA,MATCH(H888,Monthly!$A:$A,0))</f>
        <v>21.771</v>
      </c>
      <c r="J888" s="4">
        <f>INDEX(Monthly!$Z:$Z,MATCH(H888,Monthly!$A:$A,0))</f>
        <v>90.873</v>
      </c>
    </row>
    <row r="889">
      <c r="A889" t="inlineStr">
        <is>
          <t xml:space="preserve">Copán — Copán department, town of Santa Rosa de Copán</t>
        </is>
      </c>
      <c r="B889" t="inlineStr">
        <is>
          <t xml:space="preserve">2015/16</t>
        </is>
      </c>
      <c r="C889" t="inlineStr">
        <is>
          <t xml:space="preserve">El Niño</t>
        </is>
      </c>
      <c r="D889" t="inlineStr">
        <is>
          <t xml:space="preserve">yes</t>
        </is>
      </c>
      <c r="E889" t="inlineStr">
        <is>
          <t xml:space="preserve">Dec</t>
        </is>
      </c>
      <c r="F889">
        <v>6</v>
      </c>
      <c r="G889">
        <v>2015</v>
      </c>
      <c r="H889" t="inlineStr">
        <is>
          <t xml:space="preserve">2015-12</t>
        </is>
      </c>
      <c r="I889" s="3">
        <f>INDEX(Monthly!$AA:$AA,MATCH(H889,Monthly!$A:$A,0))</f>
        <v>21.388064516129027</v>
      </c>
      <c r="J889" s="4">
        <f>INDEX(Monthly!$Z:$Z,MATCH(H889,Monthly!$A:$A,0))</f>
        <v>40.298</v>
      </c>
    </row>
    <row r="890">
      <c r="A890" t="inlineStr">
        <is>
          <t xml:space="preserve">Copán — Copán department, town of Santa Rosa de Copán</t>
        </is>
      </c>
      <c r="B890" t="inlineStr">
        <is>
          <t xml:space="preserve">2015/16</t>
        </is>
      </c>
      <c r="C890" t="inlineStr">
        <is>
          <t xml:space="preserve">El Niño</t>
        </is>
      </c>
      <c r="D890" t="inlineStr">
        <is>
          <t xml:space="preserve">yes</t>
        </is>
      </c>
      <c r="E890" t="inlineStr">
        <is>
          <t xml:space="preserve">Jan</t>
        </is>
      </c>
      <c r="F890">
        <v>7</v>
      </c>
      <c r="G890">
        <v>2016</v>
      </c>
      <c r="H890" t="inlineStr">
        <is>
          <t xml:space="preserve">2016-01</t>
        </is>
      </c>
      <c r="I890" s="3">
        <f>INDEX(Monthly!$AA:$AA,MATCH(H890,Monthly!$A:$A,0))</f>
        <v>19.824516129032265</v>
      </c>
      <c r="J890" s="4">
        <f>INDEX(Monthly!$Z:$Z,MATCH(H890,Monthly!$A:$A,0))</f>
        <v>21.122</v>
      </c>
    </row>
    <row r="891">
      <c r="A891" t="inlineStr">
        <is>
          <t xml:space="preserve">Copán — Copán department, town of Santa Rosa de Copán</t>
        </is>
      </c>
      <c r="B891" t="inlineStr">
        <is>
          <t xml:space="preserve">2015/16</t>
        </is>
      </c>
      <c r="C891" t="inlineStr">
        <is>
          <t xml:space="preserve">El Niño</t>
        </is>
      </c>
      <c r="D891" t="inlineStr">
        <is>
          <t xml:space="preserve">yes</t>
        </is>
      </c>
      <c r="E891" t="inlineStr">
        <is>
          <t xml:space="preserve">Feb</t>
        </is>
      </c>
      <c r="F891">
        <v>8</v>
      </c>
      <c r="G891">
        <v>2016</v>
      </c>
      <c r="H891" t="inlineStr">
        <is>
          <t xml:space="preserve">2016-02</t>
        </is>
      </c>
      <c r="I891" s="3">
        <f>INDEX(Monthly!$AA:$AA,MATCH(H891,Monthly!$A:$A,0))</f>
        <v>19.470344827586207</v>
      </c>
      <c r="J891" s="4">
        <f>INDEX(Monthly!$Z:$Z,MATCH(H891,Monthly!$A:$A,0))</f>
        <v>39.453</v>
      </c>
    </row>
    <row r="892">
      <c r="A892" t="inlineStr">
        <is>
          <t xml:space="preserve">Copán — Copán department, town of Santa Rosa de Copán</t>
        </is>
      </c>
      <c r="B892" t="inlineStr">
        <is>
          <t xml:space="preserve">2015/16</t>
        </is>
      </c>
      <c r="C892" t="inlineStr">
        <is>
          <t xml:space="preserve">El Niño</t>
        </is>
      </c>
      <c r="D892" t="inlineStr">
        <is>
          <t xml:space="preserve">yes</t>
        </is>
      </c>
      <c r="E892" t="inlineStr">
        <is>
          <t xml:space="preserve">Mar</t>
        </is>
      </c>
      <c r="F892">
        <v>9</v>
      </c>
      <c r="G892">
        <v>2016</v>
      </c>
      <c r="H892" t="inlineStr">
        <is>
          <t xml:space="preserve">2016-03</t>
        </is>
      </c>
      <c r="I892" s="3">
        <f>INDEX(Monthly!$AA:$AA,MATCH(H892,Monthly!$A:$A,0))</f>
        <v>23.79290322580646</v>
      </c>
      <c r="J892" s="4">
        <f>INDEX(Monthly!$Z:$Z,MATCH(H892,Monthly!$A:$A,0))</f>
        <v>18.195</v>
      </c>
    </row>
    <row r="893">
      <c r="A893" t="inlineStr">
        <is>
          <t xml:space="preserve">Copán — Copán department, town of Santa Rosa de Copán</t>
        </is>
      </c>
      <c r="B893" t="inlineStr">
        <is>
          <t xml:space="preserve">2015/16</t>
        </is>
      </c>
      <c r="C893" t="inlineStr">
        <is>
          <t xml:space="preserve">El Niño</t>
        </is>
      </c>
      <c r="D893" t="inlineStr">
        <is>
          <t xml:space="preserve">yes</t>
        </is>
      </c>
      <c r="E893" t="inlineStr">
        <is>
          <t xml:space="preserve">Apr</t>
        </is>
      </c>
      <c r="F893">
        <v>10</v>
      </c>
      <c r="G893">
        <v>2016</v>
      </c>
      <c r="H893" t="inlineStr">
        <is>
          <t xml:space="preserve">2016-04</t>
        </is>
      </c>
      <c r="I893" s="3">
        <f>INDEX(Monthly!$AA:$AA,MATCH(H893,Monthly!$A:$A,0))</f>
        <v>24.731666666666673</v>
      </c>
      <c r="J893" s="4">
        <f>INDEX(Monthly!$Z:$Z,MATCH(H893,Monthly!$A:$A,0))</f>
        <v>15.951</v>
      </c>
    </row>
    <row r="894">
      <c r="A894" t="inlineStr">
        <is>
          <t xml:space="preserve">Copán — Copán department, town of Santa Rosa de Copán</t>
        </is>
      </c>
      <c r="B894" t="inlineStr">
        <is>
          <t xml:space="preserve">2015/16</t>
        </is>
      </c>
      <c r="C894" t="inlineStr">
        <is>
          <t xml:space="preserve">El Niño</t>
        </is>
      </c>
      <c r="D894" t="inlineStr">
        <is>
          <t xml:space="preserve">yes</t>
        </is>
      </c>
      <c r="E894" t="inlineStr">
        <is>
          <t xml:space="preserve">May</t>
        </is>
      </c>
      <c r="F894">
        <v>11</v>
      </c>
      <c r="G894">
        <v>2016</v>
      </c>
      <c r="H894" t="inlineStr">
        <is>
          <t xml:space="preserve">2016-05</t>
        </is>
      </c>
      <c r="I894" s="3">
        <f>INDEX(Monthly!$AA:$AA,MATCH(H894,Monthly!$A:$A,0))</f>
        <v>25.559032258064512</v>
      </c>
      <c r="J894" s="4">
        <f>INDEX(Monthly!$Z:$Z,MATCH(H894,Monthly!$A:$A,0))</f>
        <v>42.623</v>
      </c>
    </row>
    <row r="895">
      <c r="A895" t="inlineStr">
        <is>
          <t xml:space="preserve">Copán — Copán department, town of Santa Rosa de Copán</t>
        </is>
      </c>
      <c r="B895" t="inlineStr">
        <is>
          <t xml:space="preserve">2015/16</t>
        </is>
      </c>
      <c r="C895" t="inlineStr">
        <is>
          <t xml:space="preserve">El Niño</t>
        </is>
      </c>
      <c r="D895" t="inlineStr">
        <is>
          <t xml:space="preserve">yes</t>
        </is>
      </c>
      <c r="E895" t="inlineStr">
        <is>
          <t xml:space="preserve">Jun</t>
        </is>
      </c>
      <c r="F895">
        <v>12</v>
      </c>
      <c r="G895">
        <v>2016</v>
      </c>
      <c r="H895" t="inlineStr">
        <is>
          <t xml:space="preserve">2016-06</t>
        </is>
      </c>
      <c r="I895" s="3">
        <f>INDEX(Monthly!$AA:$AA,MATCH(H895,Monthly!$A:$A,0))</f>
        <v>23.56866666666667</v>
      </c>
      <c r="J895" s="4">
        <f>INDEX(Monthly!$Z:$Z,MATCH(H895,Monthly!$A:$A,0))</f>
        <v>278.205</v>
      </c>
    </row>
    <row r="896">
      <c r="A896" t="inlineStr">
        <is>
          <t xml:space="preserve">Copán — Copán department, town of Santa Rosa de Copán</t>
        </is>
      </c>
      <c r="B896" t="inlineStr">
        <is>
          <t xml:space="preserve">2016/17</t>
        </is>
      </c>
      <c r="C896" t="inlineStr">
        <is>
          <t xml:space="preserve">Neutral</t>
        </is>
      </c>
      <c r="D896" t="inlineStr">
        <is>
          <t xml:space="preserve">yes</t>
        </is>
      </c>
      <c r="E896" t="inlineStr">
        <is>
          <t xml:space="preserve">Jul</t>
        </is>
      </c>
      <c r="F896">
        <v>1</v>
      </c>
      <c r="G896">
        <v>2016</v>
      </c>
      <c r="H896" t="inlineStr">
        <is>
          <t xml:space="preserve">2016-07</t>
        </is>
      </c>
      <c r="I896" s="3">
        <f>INDEX(Monthly!$AA:$AA,MATCH(H896,Monthly!$A:$A,0))</f>
        <v>23.367419354838706</v>
      </c>
      <c r="J896" s="4">
        <f>INDEX(Monthly!$Z:$Z,MATCH(H896,Monthly!$A:$A,0))</f>
        <v>113.312</v>
      </c>
    </row>
    <row r="897">
      <c r="A897" t="inlineStr">
        <is>
          <t xml:space="preserve">Copán — Copán department, town of Santa Rosa de Copán</t>
        </is>
      </c>
      <c r="B897" t="inlineStr">
        <is>
          <t xml:space="preserve">2016/17</t>
        </is>
      </c>
      <c r="C897" t="inlineStr">
        <is>
          <t xml:space="preserve">Neutral</t>
        </is>
      </c>
      <c r="D897" t="inlineStr">
        <is>
          <t xml:space="preserve">yes</t>
        </is>
      </c>
      <c r="E897" t="inlineStr">
        <is>
          <t xml:space="preserve">Aug</t>
        </is>
      </c>
      <c r="F897">
        <v>2</v>
      </c>
      <c r="G897">
        <v>2016</v>
      </c>
      <c r="H897" t="inlineStr">
        <is>
          <t xml:space="preserve">2016-08</t>
        </is>
      </c>
      <c r="I897" s="3">
        <f>INDEX(Monthly!$AA:$AA,MATCH(H897,Monthly!$A:$A,0))</f>
        <v>23.217096774193546</v>
      </c>
      <c r="J897" s="4">
        <f>INDEX(Monthly!$Z:$Z,MATCH(H897,Monthly!$A:$A,0))</f>
        <v>182.094</v>
      </c>
    </row>
    <row r="898">
      <c r="A898" t="inlineStr">
        <is>
          <t xml:space="preserve">Copán — Copán department, town of Santa Rosa de Copán</t>
        </is>
      </c>
      <c r="B898" t="inlineStr">
        <is>
          <t xml:space="preserve">2016/17</t>
        </is>
      </c>
      <c r="C898" t="inlineStr">
        <is>
          <t xml:space="preserve">Neutral</t>
        </is>
      </c>
      <c r="D898" t="inlineStr">
        <is>
          <t xml:space="preserve">yes</t>
        </is>
      </c>
      <c r="E898" t="inlineStr">
        <is>
          <t xml:space="preserve">Sep</t>
        </is>
      </c>
      <c r="F898">
        <v>3</v>
      </c>
      <c r="G898">
        <v>2016</v>
      </c>
      <c r="H898" t="inlineStr">
        <is>
          <t xml:space="preserve">2016-09</t>
        </is>
      </c>
      <c r="I898" s="3">
        <f>INDEX(Monthly!$AA:$AA,MATCH(H898,Monthly!$A:$A,0))</f>
        <v>22.86966666666667</v>
      </c>
      <c r="J898" s="4">
        <f>INDEX(Monthly!$Z:$Z,MATCH(H898,Monthly!$A:$A,0))</f>
        <v>309.184</v>
      </c>
    </row>
    <row r="899">
      <c r="A899" t="inlineStr">
        <is>
          <t xml:space="preserve">Copán — Copán department, town of Santa Rosa de Copán</t>
        </is>
      </c>
      <c r="B899" t="inlineStr">
        <is>
          <t xml:space="preserve">2016/17</t>
        </is>
      </c>
      <c r="C899" t="inlineStr">
        <is>
          <t xml:space="preserve">Neutral</t>
        </is>
      </c>
      <c r="D899" t="inlineStr">
        <is>
          <t xml:space="preserve">yes</t>
        </is>
      </c>
      <c r="E899" t="inlineStr">
        <is>
          <t xml:space="preserve">Oct</t>
        </is>
      </c>
      <c r="F899">
        <v>4</v>
      </c>
      <c r="G899">
        <v>2016</v>
      </c>
      <c r="H899" t="inlineStr">
        <is>
          <t xml:space="preserve">2016-10</t>
        </is>
      </c>
      <c r="I899" s="3">
        <f>INDEX(Monthly!$AA:$AA,MATCH(H899,Monthly!$A:$A,0))</f>
        <v>21.60806451612903</v>
      </c>
      <c r="J899" s="4">
        <f>INDEX(Monthly!$Z:$Z,MATCH(H899,Monthly!$A:$A,0))</f>
        <v>54.179</v>
      </c>
    </row>
    <row r="900">
      <c r="A900" t="inlineStr">
        <is>
          <t xml:space="preserve">Copán — Copán department, town of Santa Rosa de Copán</t>
        </is>
      </c>
      <c r="B900" t="inlineStr">
        <is>
          <t xml:space="preserve">2016/17</t>
        </is>
      </c>
      <c r="C900" t="inlineStr">
        <is>
          <t xml:space="preserve">Neutral</t>
        </is>
      </c>
      <c r="D900" t="inlineStr">
        <is>
          <t xml:space="preserve">yes</t>
        </is>
      </c>
      <c r="E900" t="inlineStr">
        <is>
          <t xml:space="preserve">Nov</t>
        </is>
      </c>
      <c r="F900">
        <v>5</v>
      </c>
      <c r="G900">
        <v>2016</v>
      </c>
      <c r="H900" t="inlineStr">
        <is>
          <t xml:space="preserve">2016-11</t>
        </is>
      </c>
      <c r="I900" s="3">
        <f>INDEX(Monthly!$AA:$AA,MATCH(H900,Monthly!$A:$A,0))</f>
        <v>20.36766666666666</v>
      </c>
      <c r="J900" s="4">
        <f>INDEX(Monthly!$Z:$Z,MATCH(H900,Monthly!$A:$A,0))</f>
        <v>79.954</v>
      </c>
    </row>
    <row r="901">
      <c r="A901" t="inlineStr">
        <is>
          <t xml:space="preserve">Copán — Copán department, town of Santa Rosa de Copán</t>
        </is>
      </c>
      <c r="B901" t="inlineStr">
        <is>
          <t xml:space="preserve">2016/17</t>
        </is>
      </c>
      <c r="C901" t="inlineStr">
        <is>
          <t xml:space="preserve">Neutral</t>
        </is>
      </c>
      <c r="D901" t="inlineStr">
        <is>
          <t xml:space="preserve">yes</t>
        </is>
      </c>
      <c r="E901" t="inlineStr">
        <is>
          <t xml:space="preserve">Dec</t>
        </is>
      </c>
      <c r="F901">
        <v>6</v>
      </c>
      <c r="G901">
        <v>2016</v>
      </c>
      <c r="H901" t="inlineStr">
        <is>
          <t xml:space="preserve">2016-12</t>
        </is>
      </c>
      <c r="I901" s="3">
        <f>INDEX(Monthly!$AA:$AA,MATCH(H901,Monthly!$A:$A,0))</f>
        <v>20.938709677419357</v>
      </c>
      <c r="J901" s="4">
        <f>INDEX(Monthly!$Z:$Z,MATCH(H901,Monthly!$A:$A,0))</f>
        <v>50.416</v>
      </c>
    </row>
    <row r="902">
      <c r="A902" t="inlineStr">
        <is>
          <t xml:space="preserve">Copán — Copán department, town of Santa Rosa de Copán</t>
        </is>
      </c>
      <c r="B902" t="inlineStr">
        <is>
          <t xml:space="preserve">2016/17</t>
        </is>
      </c>
      <c r="C902" t="inlineStr">
        <is>
          <t xml:space="preserve">Neutral</t>
        </is>
      </c>
      <c r="D902" t="inlineStr">
        <is>
          <t xml:space="preserve">yes</t>
        </is>
      </c>
      <c r="E902" t="inlineStr">
        <is>
          <t xml:space="preserve">Jan</t>
        </is>
      </c>
      <c r="F902">
        <v>7</v>
      </c>
      <c r="G902">
        <v>2017</v>
      </c>
      <c r="H902" t="inlineStr">
        <is>
          <t xml:space="preserve">2017-01</t>
        </is>
      </c>
      <c r="I902" s="3">
        <f>INDEX(Monthly!$AA:$AA,MATCH(H902,Monthly!$A:$A,0))</f>
        <v>19.95645161290323</v>
      </c>
      <c r="J902" s="4">
        <f>INDEX(Monthly!$Z:$Z,MATCH(H902,Monthly!$A:$A,0))</f>
        <v>32.38</v>
      </c>
    </row>
    <row r="903">
      <c r="A903" t="inlineStr">
        <is>
          <t xml:space="preserve">Copán — Copán department, town of Santa Rosa de Copán</t>
        </is>
      </c>
      <c r="B903" t="inlineStr">
        <is>
          <t xml:space="preserve">2016/17</t>
        </is>
      </c>
      <c r="C903" t="inlineStr">
        <is>
          <t xml:space="preserve">Neutral</t>
        </is>
      </c>
      <c r="D903" t="inlineStr">
        <is>
          <t xml:space="preserve">yes</t>
        </is>
      </c>
      <c r="E903" t="inlineStr">
        <is>
          <t xml:space="preserve">Feb</t>
        </is>
      </c>
      <c r="F903">
        <v>8</v>
      </c>
      <c r="G903">
        <v>2017</v>
      </c>
      <c r="H903" t="inlineStr">
        <is>
          <t xml:space="preserve">2017-02</t>
        </is>
      </c>
      <c r="I903" s="3">
        <f>INDEX(Monthly!$AA:$AA,MATCH(H903,Monthly!$A:$A,0))</f>
        <v>22.02214285714286</v>
      </c>
      <c r="J903" s="4">
        <f>INDEX(Monthly!$Z:$Z,MATCH(H903,Monthly!$A:$A,0))</f>
        <v>6.274</v>
      </c>
    </row>
    <row r="904">
      <c r="A904" t="inlineStr">
        <is>
          <t xml:space="preserve">Copán — Copán department, town of Santa Rosa de Copán</t>
        </is>
      </c>
      <c r="B904" t="inlineStr">
        <is>
          <t xml:space="preserve">2016/17</t>
        </is>
      </c>
      <c r="C904" t="inlineStr">
        <is>
          <t xml:space="preserve">Neutral</t>
        </is>
      </c>
      <c r="D904" t="inlineStr">
        <is>
          <t xml:space="preserve">yes</t>
        </is>
      </c>
      <c r="E904" t="inlineStr">
        <is>
          <t xml:space="preserve">Mar</t>
        </is>
      </c>
      <c r="F904">
        <v>9</v>
      </c>
      <c r="G904">
        <v>2017</v>
      </c>
      <c r="H904" t="inlineStr">
        <is>
          <t xml:space="preserve">2017-03</t>
        </is>
      </c>
      <c r="I904" s="3">
        <f>INDEX(Monthly!$AA:$AA,MATCH(H904,Monthly!$A:$A,0))</f>
        <v>21.580322580645166</v>
      </c>
      <c r="J904" s="4">
        <f>INDEX(Monthly!$Z:$Z,MATCH(H904,Monthly!$A:$A,0))</f>
        <v>38.13</v>
      </c>
    </row>
    <row r="905">
      <c r="A905" t="inlineStr">
        <is>
          <t xml:space="preserve">Copán — Copán department, town of Santa Rosa de Copán</t>
        </is>
      </c>
      <c r="B905" t="inlineStr">
        <is>
          <t xml:space="preserve">2016/17</t>
        </is>
      </c>
      <c r="C905" t="inlineStr">
        <is>
          <t xml:space="preserve">Neutral</t>
        </is>
      </c>
      <c r="D905" t="inlineStr">
        <is>
          <t xml:space="preserve">yes</t>
        </is>
      </c>
      <c r="E905" t="inlineStr">
        <is>
          <t xml:space="preserve">Apr</t>
        </is>
      </c>
      <c r="F905">
        <v>10</v>
      </c>
      <c r="G905">
        <v>2017</v>
      </c>
      <c r="H905" t="inlineStr">
        <is>
          <t xml:space="preserve">2017-04</t>
        </is>
      </c>
      <c r="I905" s="3">
        <f>INDEX(Monthly!$AA:$AA,MATCH(H905,Monthly!$A:$A,0))</f>
        <v>24.765</v>
      </c>
      <c r="J905" s="4">
        <f>INDEX(Monthly!$Z:$Z,MATCH(H905,Monthly!$A:$A,0))</f>
        <v>74.726</v>
      </c>
    </row>
    <row r="906">
      <c r="A906" t="inlineStr">
        <is>
          <t xml:space="preserve">Copán — Copán department, town of Santa Rosa de Copán</t>
        </is>
      </c>
      <c r="B906" t="inlineStr">
        <is>
          <t xml:space="preserve">2016/17</t>
        </is>
      </c>
      <c r="C906" t="inlineStr">
        <is>
          <t xml:space="preserve">Neutral</t>
        </is>
      </c>
      <c r="D906" t="inlineStr">
        <is>
          <t xml:space="preserve">yes</t>
        </is>
      </c>
      <c r="E906" t="inlineStr">
        <is>
          <t xml:space="preserve">May</t>
        </is>
      </c>
      <c r="F906">
        <v>11</v>
      </c>
      <c r="G906">
        <v>2017</v>
      </c>
      <c r="H906" t="inlineStr">
        <is>
          <t xml:space="preserve">2017-05</t>
        </is>
      </c>
      <c r="I906" s="3">
        <f>INDEX(Monthly!$AA:$AA,MATCH(H906,Monthly!$A:$A,0))</f>
        <v>24.477096774193548</v>
      </c>
      <c r="J906" s="4">
        <f>INDEX(Monthly!$Z:$Z,MATCH(H906,Monthly!$A:$A,0))</f>
        <v>264.116</v>
      </c>
    </row>
    <row r="907">
      <c r="A907" t="inlineStr">
        <is>
          <t xml:space="preserve">Copán — Copán department, town of Santa Rosa de Copán</t>
        </is>
      </c>
      <c r="B907" t="inlineStr">
        <is>
          <t xml:space="preserve">2016/17</t>
        </is>
      </c>
      <c r="C907" t="inlineStr">
        <is>
          <t xml:space="preserve">Neutral</t>
        </is>
      </c>
      <c r="D907" t="inlineStr">
        <is>
          <t xml:space="preserve">yes</t>
        </is>
      </c>
      <c r="E907" t="inlineStr">
        <is>
          <t xml:space="preserve">Jun</t>
        </is>
      </c>
      <c r="F907">
        <v>12</v>
      </c>
      <c r="G907">
        <v>2017</v>
      </c>
      <c r="H907" t="inlineStr">
        <is>
          <t xml:space="preserve">2017-06</t>
        </is>
      </c>
      <c r="I907" s="3">
        <f>INDEX(Monthly!$AA:$AA,MATCH(H907,Monthly!$A:$A,0))</f>
        <v>23.465333333333334</v>
      </c>
      <c r="J907" s="4">
        <f>INDEX(Monthly!$Z:$Z,MATCH(H907,Monthly!$A:$A,0))</f>
        <v>432.015</v>
      </c>
    </row>
    <row r="908">
      <c r="A908" t="inlineStr">
        <is>
          <t xml:space="preserve">Copán — Copán department, town of Santa Rosa de Copán</t>
        </is>
      </c>
      <c r="B908" t="inlineStr">
        <is>
          <t xml:space="preserve">2017/18</t>
        </is>
      </c>
      <c r="C908" t="inlineStr">
        <is>
          <t xml:space="preserve">La Niña</t>
        </is>
      </c>
      <c r="D908" t="inlineStr">
        <is>
          <t xml:space="preserve">yes</t>
        </is>
      </c>
      <c r="E908" t="inlineStr">
        <is>
          <t xml:space="preserve">Jul</t>
        </is>
      </c>
      <c r="F908">
        <v>1</v>
      </c>
      <c r="G908">
        <v>2017</v>
      </c>
      <c r="H908" t="inlineStr">
        <is>
          <t xml:space="preserve">2017-07</t>
        </is>
      </c>
      <c r="I908" s="3">
        <f>INDEX(Monthly!$AA:$AA,MATCH(H908,Monthly!$A:$A,0))</f>
        <v>22.77387096774193</v>
      </c>
      <c r="J908" s="4">
        <f>INDEX(Monthly!$Z:$Z,MATCH(H908,Monthly!$A:$A,0))</f>
        <v>340.568</v>
      </c>
    </row>
    <row r="909">
      <c r="A909" t="inlineStr">
        <is>
          <t xml:space="preserve">Copán — Copán department, town of Santa Rosa de Copán</t>
        </is>
      </c>
      <c r="B909" t="inlineStr">
        <is>
          <t xml:space="preserve">2017/18</t>
        </is>
      </c>
      <c r="C909" t="inlineStr">
        <is>
          <t xml:space="preserve">La Niña</t>
        </is>
      </c>
      <c r="D909" t="inlineStr">
        <is>
          <t xml:space="preserve">yes</t>
        </is>
      </c>
      <c r="E909" t="inlineStr">
        <is>
          <t xml:space="preserve">Aug</t>
        </is>
      </c>
      <c r="F909">
        <v>2</v>
      </c>
      <c r="G909">
        <v>2017</v>
      </c>
      <c r="H909" t="inlineStr">
        <is>
          <t xml:space="preserve">2017-08</t>
        </is>
      </c>
      <c r="I909" s="3">
        <f>INDEX(Monthly!$AA:$AA,MATCH(H909,Monthly!$A:$A,0))</f>
        <v>23.207419354838706</v>
      </c>
      <c r="J909" s="4">
        <f>INDEX(Monthly!$Z:$Z,MATCH(H909,Monthly!$A:$A,0))</f>
        <v>169.206</v>
      </c>
    </row>
    <row r="910">
      <c r="A910" t="inlineStr">
        <is>
          <t xml:space="preserve">Copán — Copán department, town of Santa Rosa de Copán</t>
        </is>
      </c>
      <c r="B910" t="inlineStr">
        <is>
          <t xml:space="preserve">2017/18</t>
        </is>
      </c>
      <c r="C910" t="inlineStr">
        <is>
          <t xml:space="preserve">La Niña</t>
        </is>
      </c>
      <c r="D910" t="inlineStr">
        <is>
          <t xml:space="preserve">yes</t>
        </is>
      </c>
      <c r="E910" t="inlineStr">
        <is>
          <t xml:space="preserve">Sep</t>
        </is>
      </c>
      <c r="F910">
        <v>3</v>
      </c>
      <c r="G910">
        <v>2017</v>
      </c>
      <c r="H910" t="inlineStr">
        <is>
          <t xml:space="preserve">2017-09</t>
        </is>
      </c>
      <c r="I910" s="3">
        <f>INDEX(Monthly!$AA:$AA,MATCH(H910,Monthly!$A:$A,0))</f>
        <v>23.282</v>
      </c>
      <c r="J910" s="4">
        <f>INDEX(Monthly!$Z:$Z,MATCH(H910,Monthly!$A:$A,0))</f>
        <v>283.865</v>
      </c>
    </row>
    <row r="911">
      <c r="A911" t="inlineStr">
        <is>
          <t xml:space="preserve">Copán — Copán department, town of Santa Rosa de Copán</t>
        </is>
      </c>
      <c r="B911" t="inlineStr">
        <is>
          <t xml:space="preserve">2017/18</t>
        </is>
      </c>
      <c r="C911" t="inlineStr">
        <is>
          <t xml:space="preserve">La Niña</t>
        </is>
      </c>
      <c r="D911" t="inlineStr">
        <is>
          <t xml:space="preserve">yes</t>
        </is>
      </c>
      <c r="E911" t="inlineStr">
        <is>
          <t xml:space="preserve">Oct</t>
        </is>
      </c>
      <c r="F911">
        <v>4</v>
      </c>
      <c r="G911">
        <v>2017</v>
      </c>
      <c r="H911" t="inlineStr">
        <is>
          <t xml:space="preserve">2017-10</t>
        </is>
      </c>
      <c r="I911" s="3">
        <f>INDEX(Monthly!$AA:$AA,MATCH(H911,Monthly!$A:$A,0))</f>
        <v>21.77645161290323</v>
      </c>
      <c r="J911" s="4">
        <f>INDEX(Monthly!$Z:$Z,MATCH(H911,Monthly!$A:$A,0))</f>
        <v>248.724</v>
      </c>
    </row>
    <row r="912">
      <c r="A912" t="inlineStr">
        <is>
          <t xml:space="preserve">Copán — Copán department, town of Santa Rosa de Copán</t>
        </is>
      </c>
      <c r="B912" t="inlineStr">
        <is>
          <t xml:space="preserve">2017/18</t>
        </is>
      </c>
      <c r="C912" t="inlineStr">
        <is>
          <t xml:space="preserve">La Niña</t>
        </is>
      </c>
      <c r="D912" t="inlineStr">
        <is>
          <t xml:space="preserve">yes</t>
        </is>
      </c>
      <c r="E912" t="inlineStr">
        <is>
          <t xml:space="preserve">Nov</t>
        </is>
      </c>
      <c r="F912">
        <v>5</v>
      </c>
      <c r="G912">
        <v>2017</v>
      </c>
      <c r="H912" t="inlineStr">
        <is>
          <t xml:space="preserve">2017-11</t>
        </is>
      </c>
      <c r="I912" s="3">
        <f>INDEX(Monthly!$AA:$AA,MATCH(H912,Monthly!$A:$A,0))</f>
        <v>19.79566666666666</v>
      </c>
      <c r="J912" s="4">
        <f>INDEX(Monthly!$Z:$Z,MATCH(H912,Monthly!$A:$A,0))</f>
        <v>56.539</v>
      </c>
    </row>
    <row r="913">
      <c r="A913" t="inlineStr">
        <is>
          <t xml:space="preserve">Copán — Copán department, town of Santa Rosa de Copán</t>
        </is>
      </c>
      <c r="B913" t="inlineStr">
        <is>
          <t xml:space="preserve">2017/18</t>
        </is>
      </c>
      <c r="C913" t="inlineStr">
        <is>
          <t xml:space="preserve">La Niña</t>
        </is>
      </c>
      <c r="D913" t="inlineStr">
        <is>
          <t xml:space="preserve">yes</t>
        </is>
      </c>
      <c r="E913" t="inlineStr">
        <is>
          <t xml:space="preserve">Dec</t>
        </is>
      </c>
      <c r="F913">
        <v>6</v>
      </c>
      <c r="G913">
        <v>2017</v>
      </c>
      <c r="H913" t="inlineStr">
        <is>
          <t xml:space="preserve">2017-12</t>
        </is>
      </c>
      <c r="I913" s="3">
        <f>INDEX(Monthly!$AA:$AA,MATCH(H913,Monthly!$A:$A,0))</f>
        <v>19.00516129032258</v>
      </c>
      <c r="J913" s="4">
        <f>INDEX(Monthly!$Z:$Z,MATCH(H913,Monthly!$A:$A,0))</f>
        <v>39.412</v>
      </c>
    </row>
    <row r="914">
      <c r="A914" t="inlineStr">
        <is>
          <t xml:space="preserve">Copán — Copán department, town of Santa Rosa de Copán</t>
        </is>
      </c>
      <c r="B914" t="inlineStr">
        <is>
          <t xml:space="preserve">2017/18</t>
        </is>
      </c>
      <c r="C914" t="inlineStr">
        <is>
          <t xml:space="preserve">La Niña</t>
        </is>
      </c>
      <c r="D914" t="inlineStr">
        <is>
          <t xml:space="preserve">yes</t>
        </is>
      </c>
      <c r="E914" t="inlineStr">
        <is>
          <t xml:space="preserve">Jan</t>
        </is>
      </c>
      <c r="F914">
        <v>7</v>
      </c>
      <c r="G914">
        <v>2018</v>
      </c>
      <c r="H914" t="inlineStr">
        <is>
          <t xml:space="preserve">2018-01</t>
        </is>
      </c>
      <c r="I914" s="3">
        <f>INDEX(Monthly!$AA:$AA,MATCH(H914,Monthly!$A:$A,0))</f>
        <v>17.944516129032255</v>
      </c>
      <c r="J914" s="4">
        <f>INDEX(Monthly!$Z:$Z,MATCH(H914,Monthly!$A:$A,0))</f>
        <v>68.178</v>
      </c>
    </row>
    <row r="915">
      <c r="A915" t="inlineStr">
        <is>
          <t xml:space="preserve">Copán — Copán department, town of Santa Rosa de Copán</t>
        </is>
      </c>
      <c r="B915" t="inlineStr">
        <is>
          <t xml:space="preserve">2017/18</t>
        </is>
      </c>
      <c r="C915" t="inlineStr">
        <is>
          <t xml:space="preserve">La Niña</t>
        </is>
      </c>
      <c r="D915" t="inlineStr">
        <is>
          <t xml:space="preserve">yes</t>
        </is>
      </c>
      <c r="E915" t="inlineStr">
        <is>
          <t xml:space="preserve">Feb</t>
        </is>
      </c>
      <c r="F915">
        <v>8</v>
      </c>
      <c r="G915">
        <v>2018</v>
      </c>
      <c r="H915" t="inlineStr">
        <is>
          <t xml:space="preserve">2018-02</t>
        </is>
      </c>
      <c r="I915" s="3">
        <f>INDEX(Monthly!$AA:$AA,MATCH(H915,Monthly!$A:$A,0))</f>
        <v>20.2425</v>
      </c>
      <c r="J915" s="4">
        <f>INDEX(Monthly!$Z:$Z,MATCH(H915,Monthly!$A:$A,0))</f>
        <v>19.481</v>
      </c>
    </row>
    <row r="916">
      <c r="A916" t="inlineStr">
        <is>
          <t xml:space="preserve">Copán — Copán department, town of Santa Rosa de Copán</t>
        </is>
      </c>
      <c r="B916" t="inlineStr">
        <is>
          <t xml:space="preserve">2017/18</t>
        </is>
      </c>
      <c r="C916" t="inlineStr">
        <is>
          <t xml:space="preserve">La Niña</t>
        </is>
      </c>
      <c r="D916" t="inlineStr">
        <is>
          <t xml:space="preserve">yes</t>
        </is>
      </c>
      <c r="E916" t="inlineStr">
        <is>
          <t xml:space="preserve">Mar</t>
        </is>
      </c>
      <c r="F916">
        <v>9</v>
      </c>
      <c r="G916">
        <v>2018</v>
      </c>
      <c r="H916" t="inlineStr">
        <is>
          <t xml:space="preserve">2018-03</t>
        </is>
      </c>
      <c r="I916" s="3">
        <f>INDEX(Monthly!$AA:$AA,MATCH(H916,Monthly!$A:$A,0))</f>
        <v>22.602903225806454</v>
      </c>
      <c r="J916" s="4">
        <f>INDEX(Monthly!$Z:$Z,MATCH(H916,Monthly!$A:$A,0))</f>
        <v>14.403</v>
      </c>
    </row>
    <row r="917">
      <c r="A917" t="inlineStr">
        <is>
          <t xml:space="preserve">Copán — Copán department, town of Santa Rosa de Copán</t>
        </is>
      </c>
      <c r="B917" t="inlineStr">
        <is>
          <t xml:space="preserve">2017/18</t>
        </is>
      </c>
      <c r="C917" t="inlineStr">
        <is>
          <t xml:space="preserve">La Niña</t>
        </is>
      </c>
      <c r="D917" t="inlineStr">
        <is>
          <t xml:space="preserve">yes</t>
        </is>
      </c>
      <c r="E917" t="inlineStr">
        <is>
          <t xml:space="preserve">Apr</t>
        </is>
      </c>
      <c r="F917">
        <v>10</v>
      </c>
      <c r="G917">
        <v>2018</v>
      </c>
      <c r="H917" t="inlineStr">
        <is>
          <t xml:space="preserve">2018-04</t>
        </is>
      </c>
      <c r="I917" s="3">
        <f>INDEX(Monthly!$AA:$AA,MATCH(H917,Monthly!$A:$A,0))</f>
        <v>24.23866666666667</v>
      </c>
      <c r="J917" s="4">
        <f>INDEX(Monthly!$Z:$Z,MATCH(H917,Monthly!$A:$A,0))</f>
        <v>47.433</v>
      </c>
    </row>
    <row r="918">
      <c r="A918" t="inlineStr">
        <is>
          <t xml:space="preserve">Copán — Copán department, town of Santa Rosa de Copán</t>
        </is>
      </c>
      <c r="B918" t="inlineStr">
        <is>
          <t xml:space="preserve">2017/18</t>
        </is>
      </c>
      <c r="C918" t="inlineStr">
        <is>
          <t xml:space="preserve">La Niña</t>
        </is>
      </c>
      <c r="D918" t="inlineStr">
        <is>
          <t xml:space="preserve">yes</t>
        </is>
      </c>
      <c r="E918" t="inlineStr">
        <is>
          <t xml:space="preserve">May</t>
        </is>
      </c>
      <c r="F918">
        <v>11</v>
      </c>
      <c r="G918">
        <v>2018</v>
      </c>
      <c r="H918" t="inlineStr">
        <is>
          <t xml:space="preserve">2018-05</t>
        </is>
      </c>
      <c r="I918" s="3">
        <f>INDEX(Monthly!$AA:$AA,MATCH(H918,Monthly!$A:$A,0))</f>
        <v>24.839999999999993</v>
      </c>
      <c r="J918" s="4">
        <f>INDEX(Monthly!$Z:$Z,MATCH(H918,Monthly!$A:$A,0))</f>
        <v>142.19</v>
      </c>
    </row>
    <row r="919">
      <c r="A919" t="inlineStr">
        <is>
          <t xml:space="preserve">Copán — Copán department, town of Santa Rosa de Copán</t>
        </is>
      </c>
      <c r="B919" t="inlineStr">
        <is>
          <t xml:space="preserve">2017/18</t>
        </is>
      </c>
      <c r="C919" t="inlineStr">
        <is>
          <t xml:space="preserve">La Niña</t>
        </is>
      </c>
      <c r="D919" t="inlineStr">
        <is>
          <t xml:space="preserve">yes</t>
        </is>
      </c>
      <c r="E919" t="inlineStr">
        <is>
          <t xml:space="preserve">Jun</t>
        </is>
      </c>
      <c r="F919">
        <v>12</v>
      </c>
      <c r="G919">
        <v>2018</v>
      </c>
      <c r="H919" t="inlineStr">
        <is>
          <t xml:space="preserve">2018-06</t>
        </is>
      </c>
      <c r="I919" s="3">
        <f>INDEX(Monthly!$AA:$AA,MATCH(H919,Monthly!$A:$A,0))</f>
        <v>23.07333333333333</v>
      </c>
      <c r="J919" s="4">
        <f>INDEX(Monthly!$Z:$Z,MATCH(H919,Monthly!$A:$A,0))</f>
        <v>303.535</v>
      </c>
    </row>
    <row r="920">
      <c r="A920" t="inlineStr">
        <is>
          <t xml:space="preserve">Copán — Copán department, town of Santa Rosa de Copán</t>
        </is>
      </c>
      <c r="B920" t="inlineStr">
        <is>
          <t xml:space="preserve">2018/19</t>
        </is>
      </c>
      <c r="C920" t="inlineStr">
        <is>
          <t xml:space="preserve">El Niño</t>
        </is>
      </c>
      <c r="D920" t="inlineStr">
        <is>
          <t xml:space="preserve">yes</t>
        </is>
      </c>
      <c r="E920" t="inlineStr">
        <is>
          <t xml:space="preserve">Jul</t>
        </is>
      </c>
      <c r="F920">
        <v>1</v>
      </c>
      <c r="G920">
        <v>2018</v>
      </c>
      <c r="H920" t="inlineStr">
        <is>
          <t xml:space="preserve">2018-07</t>
        </is>
      </c>
      <c r="I920" s="3">
        <f>INDEX(Monthly!$AA:$AA,MATCH(H920,Monthly!$A:$A,0))</f>
        <v>23.158709677419353</v>
      </c>
      <c r="J920" s="4">
        <f>INDEX(Monthly!$Z:$Z,MATCH(H920,Monthly!$A:$A,0))</f>
        <v>102.399</v>
      </c>
    </row>
    <row r="921">
      <c r="A921" t="inlineStr">
        <is>
          <t xml:space="preserve">Copán — Copán department, town of Santa Rosa de Copán</t>
        </is>
      </c>
      <c r="B921" t="inlineStr">
        <is>
          <t xml:space="preserve">2018/19</t>
        </is>
      </c>
      <c r="C921" t="inlineStr">
        <is>
          <t xml:space="preserve">El Niño</t>
        </is>
      </c>
      <c r="D921" t="inlineStr">
        <is>
          <t xml:space="preserve">yes</t>
        </is>
      </c>
      <c r="E921" t="inlineStr">
        <is>
          <t xml:space="preserve">Aug</t>
        </is>
      </c>
      <c r="F921">
        <v>2</v>
      </c>
      <c r="G921">
        <v>2018</v>
      </c>
      <c r="H921" t="inlineStr">
        <is>
          <t xml:space="preserve">2018-08</t>
        </is>
      </c>
      <c r="I921" s="3">
        <f>INDEX(Monthly!$AA:$AA,MATCH(H921,Monthly!$A:$A,0))</f>
        <v>22.94741935483871</v>
      </c>
      <c r="J921" s="4">
        <f>INDEX(Monthly!$Z:$Z,MATCH(H921,Monthly!$A:$A,0))</f>
        <v>126.959</v>
      </c>
    </row>
    <row r="922">
      <c r="A922" t="inlineStr">
        <is>
          <t xml:space="preserve">Copán — Copán department, town of Santa Rosa de Copán</t>
        </is>
      </c>
      <c r="B922" t="inlineStr">
        <is>
          <t xml:space="preserve">2018/19</t>
        </is>
      </c>
      <c r="C922" t="inlineStr">
        <is>
          <t xml:space="preserve">El Niño</t>
        </is>
      </c>
      <c r="D922" t="inlineStr">
        <is>
          <t xml:space="preserve">yes</t>
        </is>
      </c>
      <c r="E922" t="inlineStr">
        <is>
          <t xml:space="preserve">Sep</t>
        </is>
      </c>
      <c r="F922">
        <v>3</v>
      </c>
      <c r="G922">
        <v>2018</v>
      </c>
      <c r="H922" t="inlineStr">
        <is>
          <t xml:space="preserve">2018-09</t>
        </is>
      </c>
      <c r="I922" s="3">
        <f>INDEX(Monthly!$AA:$AA,MATCH(H922,Monthly!$A:$A,0))</f>
        <v>23.094666666666665</v>
      </c>
      <c r="J922" s="4">
        <f>INDEX(Monthly!$Z:$Z,MATCH(H922,Monthly!$A:$A,0))</f>
        <v>168.533</v>
      </c>
    </row>
    <row r="923">
      <c r="A923" t="inlineStr">
        <is>
          <t xml:space="preserve">Copán — Copán department, town of Santa Rosa de Copán</t>
        </is>
      </c>
      <c r="B923" t="inlineStr">
        <is>
          <t xml:space="preserve">2018/19</t>
        </is>
      </c>
      <c r="C923" t="inlineStr">
        <is>
          <t xml:space="preserve">El Niño</t>
        </is>
      </c>
      <c r="D923" t="inlineStr">
        <is>
          <t xml:space="preserve">yes</t>
        </is>
      </c>
      <c r="E923" t="inlineStr">
        <is>
          <t xml:space="preserve">Oct</t>
        </is>
      </c>
      <c r="F923">
        <v>4</v>
      </c>
      <c r="G923">
        <v>2018</v>
      </c>
      <c r="H923" t="inlineStr">
        <is>
          <t xml:space="preserve">2018-10</t>
        </is>
      </c>
      <c r="I923" s="3">
        <f>INDEX(Monthly!$AA:$AA,MATCH(H923,Monthly!$A:$A,0))</f>
        <v>22.406451612903226</v>
      </c>
      <c r="J923" s="4">
        <f>INDEX(Monthly!$Z:$Z,MATCH(H923,Monthly!$A:$A,0))</f>
        <v>95.923</v>
      </c>
    </row>
    <row r="924">
      <c r="A924" t="inlineStr">
        <is>
          <t xml:space="preserve">Copán — Copán department, town of Santa Rosa de Copán</t>
        </is>
      </c>
      <c r="B924" t="inlineStr">
        <is>
          <t xml:space="preserve">2018/19</t>
        </is>
      </c>
      <c r="C924" t="inlineStr">
        <is>
          <t xml:space="preserve">El Niño</t>
        </is>
      </c>
      <c r="D924" t="inlineStr">
        <is>
          <t xml:space="preserve">yes</t>
        </is>
      </c>
      <c r="E924" t="inlineStr">
        <is>
          <t xml:space="preserve">Nov</t>
        </is>
      </c>
      <c r="F924">
        <v>5</v>
      </c>
      <c r="G924">
        <v>2018</v>
      </c>
      <c r="H924" t="inlineStr">
        <is>
          <t xml:space="preserve">2018-11</t>
        </is>
      </c>
      <c r="I924" s="3">
        <f>INDEX(Monthly!$AA:$AA,MATCH(H924,Monthly!$A:$A,0))</f>
        <v>22.479000000000006</v>
      </c>
      <c r="J924" s="4">
        <f>INDEX(Monthly!$Z:$Z,MATCH(H924,Monthly!$A:$A,0))</f>
        <v>13.58</v>
      </c>
    </row>
    <row r="925">
      <c r="A925" t="inlineStr">
        <is>
          <t xml:space="preserve">Copán — Copán department, town of Santa Rosa de Copán</t>
        </is>
      </c>
      <c r="B925" t="inlineStr">
        <is>
          <t xml:space="preserve">2018/19</t>
        </is>
      </c>
      <c r="C925" t="inlineStr">
        <is>
          <t xml:space="preserve">El Niño</t>
        </is>
      </c>
      <c r="D925" t="inlineStr">
        <is>
          <t xml:space="preserve">yes</t>
        </is>
      </c>
      <c r="E925" t="inlineStr">
        <is>
          <t xml:space="preserve">Dec</t>
        </is>
      </c>
      <c r="F925">
        <v>6</v>
      </c>
      <c r="G925">
        <v>2018</v>
      </c>
      <c r="H925" t="inlineStr">
        <is>
          <t xml:space="preserve">2018-12</t>
        </is>
      </c>
      <c r="I925" s="3">
        <f>INDEX(Monthly!$AA:$AA,MATCH(H925,Monthly!$A:$A,0))</f>
        <v>21.02645161290322</v>
      </c>
      <c r="J925" s="4">
        <f>INDEX(Monthly!$Z:$Z,MATCH(H925,Monthly!$A:$A,0))</f>
        <v>32.916</v>
      </c>
    </row>
    <row r="926">
      <c r="A926" t="inlineStr">
        <is>
          <t xml:space="preserve">Copán — Copán department, town of Santa Rosa de Copán</t>
        </is>
      </c>
      <c r="B926" t="inlineStr">
        <is>
          <t xml:space="preserve">2018/19</t>
        </is>
      </c>
      <c r="C926" t="inlineStr">
        <is>
          <t xml:space="preserve">El Niño</t>
        </is>
      </c>
      <c r="D926" t="inlineStr">
        <is>
          <t xml:space="preserve">yes</t>
        </is>
      </c>
      <c r="E926" t="inlineStr">
        <is>
          <t xml:space="preserve">Jan</t>
        </is>
      </c>
      <c r="F926">
        <v>7</v>
      </c>
      <c r="G926">
        <v>2019</v>
      </c>
      <c r="H926" t="inlineStr">
        <is>
          <t xml:space="preserve">2019-01</t>
        </is>
      </c>
      <c r="I926" s="3">
        <f>INDEX(Monthly!$AA:$AA,MATCH(H926,Monthly!$A:$A,0))</f>
        <v>20.460322580645165</v>
      </c>
      <c r="J926" s="4">
        <f>INDEX(Monthly!$Z:$Z,MATCH(H926,Monthly!$A:$A,0))</f>
        <v>43.216</v>
      </c>
    </row>
    <row r="927">
      <c r="A927" t="inlineStr">
        <is>
          <t xml:space="preserve">Copán — Copán department, town of Santa Rosa de Copán</t>
        </is>
      </c>
      <c r="B927" t="inlineStr">
        <is>
          <t xml:space="preserve">2018/19</t>
        </is>
      </c>
      <c r="C927" t="inlineStr">
        <is>
          <t xml:space="preserve">El Niño</t>
        </is>
      </c>
      <c r="D927" t="inlineStr">
        <is>
          <t xml:space="preserve">yes</t>
        </is>
      </c>
      <c r="E927" t="inlineStr">
        <is>
          <t xml:space="preserve">Feb</t>
        </is>
      </c>
      <c r="F927">
        <v>8</v>
      </c>
      <c r="G927">
        <v>2019</v>
      </c>
      <c r="H927" t="inlineStr">
        <is>
          <t xml:space="preserve">2019-02</t>
        </is>
      </c>
      <c r="I927" s="3">
        <f>INDEX(Monthly!$AA:$AA,MATCH(H927,Monthly!$A:$A,0))</f>
        <v>23.35821428571428</v>
      </c>
      <c r="J927" s="4">
        <f>INDEX(Monthly!$Z:$Z,MATCH(H927,Monthly!$A:$A,0))</f>
        <v>11.173</v>
      </c>
    </row>
    <row r="928">
      <c r="A928" t="inlineStr">
        <is>
          <t xml:space="preserve">Copán — Copán department, town of Santa Rosa de Copán</t>
        </is>
      </c>
      <c r="B928" t="inlineStr">
        <is>
          <t xml:space="preserve">2018/19</t>
        </is>
      </c>
      <c r="C928" t="inlineStr">
        <is>
          <t xml:space="preserve">El Niño</t>
        </is>
      </c>
      <c r="D928" t="inlineStr">
        <is>
          <t xml:space="preserve">yes</t>
        </is>
      </c>
      <c r="E928" t="inlineStr">
        <is>
          <t xml:space="preserve">Mar</t>
        </is>
      </c>
      <c r="F928">
        <v>9</v>
      </c>
      <c r="G928">
        <v>2019</v>
      </c>
      <c r="H928" t="inlineStr">
        <is>
          <t xml:space="preserve">2019-03</t>
        </is>
      </c>
      <c r="I928" s="3">
        <f>INDEX(Monthly!$AA:$AA,MATCH(H928,Monthly!$A:$A,0))</f>
        <v>23.172258064516125</v>
      </c>
      <c r="J928" s="4">
        <f>INDEX(Monthly!$Z:$Z,MATCH(H928,Monthly!$A:$A,0))</f>
        <v>3.197</v>
      </c>
    </row>
    <row r="929">
      <c r="A929" t="inlineStr">
        <is>
          <t xml:space="preserve">Copán — Copán department, town of Santa Rosa de Copán</t>
        </is>
      </c>
      <c r="B929" t="inlineStr">
        <is>
          <t xml:space="preserve">2018/19</t>
        </is>
      </c>
      <c r="C929" t="inlineStr">
        <is>
          <t xml:space="preserve">El Niño</t>
        </is>
      </c>
      <c r="D929" t="inlineStr">
        <is>
          <t xml:space="preserve">yes</t>
        </is>
      </c>
      <c r="E929" t="inlineStr">
        <is>
          <t xml:space="preserve">Apr</t>
        </is>
      </c>
      <c r="F929">
        <v>10</v>
      </c>
      <c r="G929">
        <v>2019</v>
      </c>
      <c r="H929" t="inlineStr">
        <is>
          <t xml:space="preserve">2019-04</t>
        </is>
      </c>
      <c r="I929" s="3">
        <f>INDEX(Monthly!$AA:$AA,MATCH(H929,Monthly!$A:$A,0))</f>
        <v>25.486666666666665</v>
      </c>
      <c r="J929" s="4">
        <f>INDEX(Monthly!$Z:$Z,MATCH(H929,Monthly!$A:$A,0))</f>
        <v>15.457</v>
      </c>
    </row>
    <row r="930">
      <c r="A930" t="inlineStr">
        <is>
          <t xml:space="preserve">Copán — Copán department, town of Santa Rosa de Copán</t>
        </is>
      </c>
      <c r="B930" t="inlineStr">
        <is>
          <t xml:space="preserve">2018/19</t>
        </is>
      </c>
      <c r="C930" t="inlineStr">
        <is>
          <t xml:space="preserve">El Niño</t>
        </is>
      </c>
      <c r="D930" t="inlineStr">
        <is>
          <t xml:space="preserve">yes</t>
        </is>
      </c>
      <c r="E930" t="inlineStr">
        <is>
          <t xml:space="preserve">May</t>
        </is>
      </c>
      <c r="F930">
        <v>11</v>
      </c>
      <c r="G930">
        <v>2019</v>
      </c>
      <c r="H930" t="inlineStr">
        <is>
          <t xml:space="preserve">2019-05</t>
        </is>
      </c>
      <c r="I930" s="3">
        <f>INDEX(Monthly!$AA:$AA,MATCH(H930,Monthly!$A:$A,0))</f>
        <v>25.378709677419348</v>
      </c>
      <c r="J930" s="4">
        <f>INDEX(Monthly!$Z:$Z,MATCH(H930,Monthly!$A:$A,0))</f>
        <v>239.585</v>
      </c>
    </row>
    <row r="931">
      <c r="A931" t="inlineStr">
        <is>
          <t xml:space="preserve">Copán — Copán department, town of Santa Rosa de Copán</t>
        </is>
      </c>
      <c r="B931" t="inlineStr">
        <is>
          <t xml:space="preserve">2018/19</t>
        </is>
      </c>
      <c r="C931" t="inlineStr">
        <is>
          <t xml:space="preserve">El Niño</t>
        </is>
      </c>
      <c r="D931" t="inlineStr">
        <is>
          <t xml:space="preserve">yes</t>
        </is>
      </c>
      <c r="E931" t="inlineStr">
        <is>
          <t xml:space="preserve">Jun</t>
        </is>
      </c>
      <c r="F931">
        <v>12</v>
      </c>
      <c r="G931">
        <v>2019</v>
      </c>
      <c r="H931" t="inlineStr">
        <is>
          <t xml:space="preserve">2019-06</t>
        </is>
      </c>
      <c r="I931" s="3">
        <f>INDEX(Monthly!$AA:$AA,MATCH(H931,Monthly!$A:$A,0))</f>
        <v>24.531999999999996</v>
      </c>
      <c r="J931" s="4">
        <f>INDEX(Monthly!$Z:$Z,MATCH(H931,Monthly!$A:$A,0))</f>
        <v>168.26</v>
      </c>
    </row>
    <row r="932">
      <c r="A932" t="inlineStr">
        <is>
          <t xml:space="preserve">Copán — Copán department, town of Santa Rosa de Copán</t>
        </is>
      </c>
      <c r="B932" t="inlineStr">
        <is>
          <t xml:space="preserve">2019/20</t>
        </is>
      </c>
      <c r="C932" t="inlineStr">
        <is>
          <t xml:space="preserve">El Niño</t>
        </is>
      </c>
      <c r="D932" t="inlineStr">
        <is>
          <t xml:space="preserve">yes</t>
        </is>
      </c>
      <c r="E932" t="inlineStr">
        <is>
          <t xml:space="preserve">Jul</t>
        </is>
      </c>
      <c r="F932">
        <v>1</v>
      </c>
      <c r="G932">
        <v>2019</v>
      </c>
      <c r="H932" t="inlineStr">
        <is>
          <t xml:space="preserve">2019-07</t>
        </is>
      </c>
      <c r="I932" s="3">
        <f>INDEX(Monthly!$AA:$AA,MATCH(H932,Monthly!$A:$A,0))</f>
        <v>24.186129032258073</v>
      </c>
      <c r="J932" s="4">
        <f>INDEX(Monthly!$Z:$Z,MATCH(H932,Monthly!$A:$A,0))</f>
        <v>72.657</v>
      </c>
    </row>
    <row r="933">
      <c r="A933" t="inlineStr">
        <is>
          <t xml:space="preserve">Copán — Copán department, town of Santa Rosa de Copán</t>
        </is>
      </c>
      <c r="B933" t="inlineStr">
        <is>
          <t xml:space="preserve">2019/20</t>
        </is>
      </c>
      <c r="C933" t="inlineStr">
        <is>
          <t xml:space="preserve">El Niño</t>
        </is>
      </c>
      <c r="D933" t="inlineStr">
        <is>
          <t xml:space="preserve">yes</t>
        </is>
      </c>
      <c r="E933" t="inlineStr">
        <is>
          <t xml:space="preserve">Aug</t>
        </is>
      </c>
      <c r="F933">
        <v>2</v>
      </c>
      <c r="G933">
        <v>2019</v>
      </c>
      <c r="H933" t="inlineStr">
        <is>
          <t xml:space="preserve">2019-08</t>
        </is>
      </c>
      <c r="I933" s="3">
        <f>INDEX(Monthly!$AA:$AA,MATCH(H933,Monthly!$A:$A,0))</f>
        <v>24.41483870967742</v>
      </c>
      <c r="J933" s="4">
        <f>INDEX(Monthly!$Z:$Z,MATCH(H933,Monthly!$A:$A,0))</f>
        <v>224.37</v>
      </c>
    </row>
    <row r="934">
      <c r="A934" t="inlineStr">
        <is>
          <t xml:space="preserve">Copán — Copán department, town of Santa Rosa de Copán</t>
        </is>
      </c>
      <c r="B934" t="inlineStr">
        <is>
          <t xml:space="preserve">2019/20</t>
        </is>
      </c>
      <c r="C934" t="inlineStr">
        <is>
          <t xml:space="preserve">El Niño</t>
        </is>
      </c>
      <c r="D934" t="inlineStr">
        <is>
          <t xml:space="preserve">yes</t>
        </is>
      </c>
      <c r="E934" t="inlineStr">
        <is>
          <t xml:space="preserve">Sep</t>
        </is>
      </c>
      <c r="F934">
        <v>3</v>
      </c>
      <c r="G934">
        <v>2019</v>
      </c>
      <c r="H934" t="inlineStr">
        <is>
          <t xml:space="preserve">2019-09</t>
        </is>
      </c>
      <c r="I934" s="3">
        <f>INDEX(Monthly!$AA:$AA,MATCH(H934,Monthly!$A:$A,0))</f>
        <v>23.577000000000005</v>
      </c>
      <c r="J934" s="4">
        <f>INDEX(Monthly!$Z:$Z,MATCH(H934,Monthly!$A:$A,0))</f>
        <v>229.74</v>
      </c>
    </row>
    <row r="935">
      <c r="A935" t="inlineStr">
        <is>
          <t xml:space="preserve">Copán — Copán department, town of Santa Rosa de Copán</t>
        </is>
      </c>
      <c r="B935" t="inlineStr">
        <is>
          <t xml:space="preserve">2019/20</t>
        </is>
      </c>
      <c r="C935" t="inlineStr">
        <is>
          <t xml:space="preserve">El Niño</t>
        </is>
      </c>
      <c r="D935" t="inlineStr">
        <is>
          <t xml:space="preserve">yes</t>
        </is>
      </c>
      <c r="E935" t="inlineStr">
        <is>
          <t xml:space="preserve">Oct</t>
        </is>
      </c>
      <c r="F935">
        <v>4</v>
      </c>
      <c r="G935">
        <v>2019</v>
      </c>
      <c r="H935" t="inlineStr">
        <is>
          <t xml:space="preserve">2019-10</t>
        </is>
      </c>
      <c r="I935" s="3">
        <f>INDEX(Monthly!$AA:$AA,MATCH(H935,Monthly!$A:$A,0))</f>
        <v>22.910322580645154</v>
      </c>
      <c r="J935" s="4">
        <f>INDEX(Monthly!$Z:$Z,MATCH(H935,Monthly!$A:$A,0))</f>
        <v>409.218</v>
      </c>
    </row>
    <row r="936">
      <c r="A936" t="inlineStr">
        <is>
          <t xml:space="preserve">Copán — Copán department, town of Santa Rosa de Copán</t>
        </is>
      </c>
      <c r="B936" t="inlineStr">
        <is>
          <t xml:space="preserve">2019/20</t>
        </is>
      </c>
      <c r="C936" t="inlineStr">
        <is>
          <t xml:space="preserve">El Niño</t>
        </is>
      </c>
      <c r="D936" t="inlineStr">
        <is>
          <t xml:space="preserve">yes</t>
        </is>
      </c>
      <c r="E936" t="inlineStr">
        <is>
          <t xml:space="preserve">Nov</t>
        </is>
      </c>
      <c r="F936">
        <v>5</v>
      </c>
      <c r="G936">
        <v>2019</v>
      </c>
      <c r="H936" t="inlineStr">
        <is>
          <t xml:space="preserve">2019-11</t>
        </is>
      </c>
      <c r="I936" s="3">
        <f>INDEX(Monthly!$AA:$AA,MATCH(H936,Monthly!$A:$A,0))</f>
        <v>20.967</v>
      </c>
      <c r="J936" s="4">
        <f>INDEX(Monthly!$Z:$Z,MATCH(H936,Monthly!$A:$A,0))</f>
        <v>71.93</v>
      </c>
    </row>
    <row r="937">
      <c r="A937" t="inlineStr">
        <is>
          <t xml:space="preserve">Copán — Copán department, town of Santa Rosa de Copán</t>
        </is>
      </c>
      <c r="B937" t="inlineStr">
        <is>
          <t xml:space="preserve">2019/20</t>
        </is>
      </c>
      <c r="C937" t="inlineStr">
        <is>
          <t xml:space="preserve">El Niño</t>
        </is>
      </c>
      <c r="D937" t="inlineStr">
        <is>
          <t xml:space="preserve">yes</t>
        </is>
      </c>
      <c r="E937" t="inlineStr">
        <is>
          <t xml:space="preserve">Dec</t>
        </is>
      </c>
      <c r="F937">
        <v>6</v>
      </c>
      <c r="G937">
        <v>2019</v>
      </c>
      <c r="H937" t="inlineStr">
        <is>
          <t xml:space="preserve">2019-12</t>
        </is>
      </c>
      <c r="I937" s="3">
        <f>INDEX(Monthly!$AA:$AA,MATCH(H937,Monthly!$A:$A,0))</f>
        <v>20.186774193548384</v>
      </c>
      <c r="J937" s="4">
        <f>INDEX(Monthly!$Z:$Z,MATCH(H937,Monthly!$A:$A,0))</f>
        <v>49.262</v>
      </c>
    </row>
    <row r="938">
      <c r="A938" t="inlineStr">
        <is>
          <t xml:space="preserve">Copán — Copán department, town of Santa Rosa de Copán</t>
        </is>
      </c>
      <c r="B938" t="inlineStr">
        <is>
          <t xml:space="preserve">2019/20</t>
        </is>
      </c>
      <c r="C938" t="inlineStr">
        <is>
          <t xml:space="preserve">El Niño</t>
        </is>
      </c>
      <c r="D938" t="inlineStr">
        <is>
          <t xml:space="preserve">yes</t>
        </is>
      </c>
      <c r="E938" t="inlineStr">
        <is>
          <t xml:space="preserve">Jan</t>
        </is>
      </c>
      <c r="F938">
        <v>7</v>
      </c>
      <c r="G938">
        <v>2020</v>
      </c>
      <c r="H938" t="inlineStr">
        <is>
          <t xml:space="preserve">2020-01</t>
        </is>
      </c>
      <c r="I938" s="3">
        <f>INDEX(Monthly!$AA:$AA,MATCH(H938,Monthly!$A:$A,0))</f>
        <v>21.063870967741938</v>
      </c>
      <c r="J938" s="4">
        <f>INDEX(Monthly!$Z:$Z,MATCH(H938,Monthly!$A:$A,0))</f>
        <v>51.669</v>
      </c>
    </row>
    <row r="939">
      <c r="A939" t="inlineStr">
        <is>
          <t xml:space="preserve">Copán — Copán department, town of Santa Rosa de Copán</t>
        </is>
      </c>
      <c r="B939" t="inlineStr">
        <is>
          <t xml:space="preserve">2019/20</t>
        </is>
      </c>
      <c r="C939" t="inlineStr">
        <is>
          <t xml:space="preserve">El Niño</t>
        </is>
      </c>
      <c r="D939" t="inlineStr">
        <is>
          <t xml:space="preserve">yes</t>
        </is>
      </c>
      <c r="E939" t="inlineStr">
        <is>
          <t xml:space="preserve">Feb</t>
        </is>
      </c>
      <c r="F939">
        <v>8</v>
      </c>
      <c r="G939">
        <v>2020</v>
      </c>
      <c r="H939" t="inlineStr">
        <is>
          <t xml:space="preserve">2020-02</t>
        </is>
      </c>
      <c r="I939" s="3">
        <f>INDEX(Monthly!$AA:$AA,MATCH(H939,Monthly!$A:$A,0))</f>
        <v>22.206896551724142</v>
      </c>
      <c r="J939" s="4">
        <f>INDEX(Monthly!$Z:$Z,MATCH(H939,Monthly!$A:$A,0))</f>
        <v>34.539</v>
      </c>
    </row>
    <row r="940">
      <c r="A940" t="inlineStr">
        <is>
          <t xml:space="preserve">Copán — Copán department, town of Santa Rosa de Copán</t>
        </is>
      </c>
      <c r="B940" t="inlineStr">
        <is>
          <t xml:space="preserve">2019/20</t>
        </is>
      </c>
      <c r="C940" t="inlineStr">
        <is>
          <t xml:space="preserve">El Niño</t>
        </is>
      </c>
      <c r="D940" t="inlineStr">
        <is>
          <t xml:space="preserve">yes</t>
        </is>
      </c>
      <c r="E940" t="inlineStr">
        <is>
          <t xml:space="preserve">Mar</t>
        </is>
      </c>
      <c r="F940">
        <v>9</v>
      </c>
      <c r="G940">
        <v>2020</v>
      </c>
      <c r="H940" t="inlineStr">
        <is>
          <t xml:space="preserve">2020-03</t>
        </is>
      </c>
      <c r="I940" s="3">
        <f>INDEX(Monthly!$AA:$AA,MATCH(H940,Monthly!$A:$A,0))</f>
        <v>23.119999999999994</v>
      </c>
      <c r="J940" s="4">
        <f>INDEX(Monthly!$Z:$Z,MATCH(H940,Monthly!$A:$A,0))</f>
        <v>29.557</v>
      </c>
    </row>
    <row r="941">
      <c r="A941" t="inlineStr">
        <is>
          <t xml:space="preserve">Copán — Copán department, town of Santa Rosa de Copán</t>
        </is>
      </c>
      <c r="B941" t="inlineStr">
        <is>
          <t xml:space="preserve">2019/20</t>
        </is>
      </c>
      <c r="C941" t="inlineStr">
        <is>
          <t xml:space="preserve">El Niño</t>
        </is>
      </c>
      <c r="D941" t="inlineStr">
        <is>
          <t xml:space="preserve">yes</t>
        </is>
      </c>
      <c r="E941" t="inlineStr">
        <is>
          <t xml:space="preserve">Apr</t>
        </is>
      </c>
      <c r="F941">
        <v>10</v>
      </c>
      <c r="G941">
        <v>2020</v>
      </c>
      <c r="H941" t="inlineStr">
        <is>
          <t xml:space="preserve">2020-04</t>
        </is>
      </c>
      <c r="I941" s="3">
        <f>INDEX(Monthly!$AA:$AA,MATCH(H941,Monthly!$A:$A,0))</f>
        <v>26.868333333333336</v>
      </c>
      <c r="J941" s="4">
        <f>INDEX(Monthly!$Z:$Z,MATCH(H941,Monthly!$A:$A,0))</f>
        <v>16.928</v>
      </c>
    </row>
    <row r="942">
      <c r="A942" t="inlineStr">
        <is>
          <t xml:space="preserve">Copán — Copán department, town of Santa Rosa de Copán</t>
        </is>
      </c>
      <c r="B942" t="inlineStr">
        <is>
          <t xml:space="preserve">2019/20</t>
        </is>
      </c>
      <c r="C942" t="inlineStr">
        <is>
          <t xml:space="preserve">El Niño</t>
        </is>
      </c>
      <c r="D942" t="inlineStr">
        <is>
          <t xml:space="preserve">yes</t>
        </is>
      </c>
      <c r="E942" t="inlineStr">
        <is>
          <t xml:space="preserve">May</t>
        </is>
      </c>
      <c r="F942">
        <v>11</v>
      </c>
      <c r="G942">
        <v>2020</v>
      </c>
      <c r="H942" t="inlineStr">
        <is>
          <t xml:space="preserve">2020-05</t>
        </is>
      </c>
      <c r="I942" s="3">
        <f>INDEX(Monthly!$AA:$AA,MATCH(H942,Monthly!$A:$A,0))</f>
        <v>25.002580645161288</v>
      </c>
      <c r="J942" s="4">
        <f>INDEX(Monthly!$Z:$Z,MATCH(H942,Monthly!$A:$A,0))</f>
        <v>196.588</v>
      </c>
    </row>
    <row r="943">
      <c r="A943" t="inlineStr">
        <is>
          <t xml:space="preserve">Copán — Copán department, town of Santa Rosa de Copán</t>
        </is>
      </c>
      <c r="B943" t="inlineStr">
        <is>
          <t xml:space="preserve">2019/20</t>
        </is>
      </c>
      <c r="C943" t="inlineStr">
        <is>
          <t xml:space="preserve">El Niño</t>
        </is>
      </c>
      <c r="D943" t="inlineStr">
        <is>
          <t xml:space="preserve">yes</t>
        </is>
      </c>
      <c r="E943" t="inlineStr">
        <is>
          <t xml:space="preserve">Jun</t>
        </is>
      </c>
      <c r="F943">
        <v>12</v>
      </c>
      <c r="G943">
        <v>2020</v>
      </c>
      <c r="H943" t="inlineStr">
        <is>
          <t xml:space="preserve">2020-06</t>
        </is>
      </c>
      <c r="I943" s="3">
        <f>INDEX(Monthly!$AA:$AA,MATCH(H943,Monthly!$A:$A,0))</f>
        <v>23.81466666666666</v>
      </c>
      <c r="J943" s="4">
        <f>INDEX(Monthly!$Z:$Z,MATCH(H943,Monthly!$A:$A,0))</f>
        <v>93.36</v>
      </c>
    </row>
    <row r="944">
      <c r="A944" t="inlineStr">
        <is>
          <t xml:space="preserve">Copán — Copán department, town of Santa Rosa de Copán</t>
        </is>
      </c>
      <c r="B944" t="inlineStr">
        <is>
          <t xml:space="preserve">2020/21</t>
        </is>
      </c>
      <c r="C944" t="inlineStr">
        <is>
          <t xml:space="preserve">La Niña</t>
        </is>
      </c>
      <c r="D944" t="inlineStr">
        <is>
          <t xml:space="preserve">yes</t>
        </is>
      </c>
      <c r="E944" t="inlineStr">
        <is>
          <t xml:space="preserve">Jul</t>
        </is>
      </c>
      <c r="F944">
        <v>1</v>
      </c>
      <c r="G944">
        <v>2020</v>
      </c>
      <c r="H944" t="inlineStr">
        <is>
          <t xml:space="preserve">2020-07</t>
        </is>
      </c>
      <c r="I944" s="3">
        <f>INDEX(Monthly!$AA:$AA,MATCH(H944,Monthly!$A:$A,0))</f>
        <v>23.77903225806451</v>
      </c>
      <c r="J944" s="4">
        <f>INDEX(Monthly!$Z:$Z,MATCH(H944,Monthly!$A:$A,0))</f>
        <v>209.743</v>
      </c>
    </row>
    <row r="945">
      <c r="A945" t="inlineStr">
        <is>
          <t xml:space="preserve">Copán — Copán department, town of Santa Rosa de Copán</t>
        </is>
      </c>
      <c r="B945" t="inlineStr">
        <is>
          <t xml:space="preserve">2020/21</t>
        </is>
      </c>
      <c r="C945" t="inlineStr">
        <is>
          <t xml:space="preserve">La Niña</t>
        </is>
      </c>
      <c r="D945" t="inlineStr">
        <is>
          <t xml:space="preserve">yes</t>
        </is>
      </c>
      <c r="E945" t="inlineStr">
        <is>
          <t xml:space="preserve">Aug</t>
        </is>
      </c>
      <c r="F945">
        <v>2</v>
      </c>
      <c r="G945">
        <v>2020</v>
      </c>
      <c r="H945" t="inlineStr">
        <is>
          <t xml:space="preserve">2020-08</t>
        </is>
      </c>
      <c r="I945" s="3">
        <f>INDEX(Monthly!$AA:$AA,MATCH(H945,Monthly!$A:$A,0))</f>
        <v>23.26709677419355</v>
      </c>
      <c r="J945" s="4">
        <f>INDEX(Monthly!$Z:$Z,MATCH(H945,Monthly!$A:$A,0))</f>
        <v>278.427</v>
      </c>
    </row>
    <row r="946">
      <c r="A946" t="inlineStr">
        <is>
          <t xml:space="preserve">Copán — Copán department, town of Santa Rosa de Copán</t>
        </is>
      </c>
      <c r="B946" t="inlineStr">
        <is>
          <t xml:space="preserve">2020/21</t>
        </is>
      </c>
      <c r="C946" t="inlineStr">
        <is>
          <t xml:space="preserve">La Niña</t>
        </is>
      </c>
      <c r="D946" t="inlineStr">
        <is>
          <t xml:space="preserve">yes</t>
        </is>
      </c>
      <c r="E946" t="inlineStr">
        <is>
          <t xml:space="preserve">Sep</t>
        </is>
      </c>
      <c r="F946">
        <v>3</v>
      </c>
      <c r="G946">
        <v>2020</v>
      </c>
      <c r="H946" t="inlineStr">
        <is>
          <t xml:space="preserve">2020-09</t>
        </is>
      </c>
      <c r="I946" s="3">
        <f>INDEX(Monthly!$AA:$AA,MATCH(H946,Monthly!$A:$A,0))</f>
        <v>23.247666666666667</v>
      </c>
      <c r="J946" s="4">
        <f>INDEX(Monthly!$Z:$Z,MATCH(H946,Monthly!$A:$A,0))</f>
        <v>492.964</v>
      </c>
    </row>
    <row r="947">
      <c r="A947" t="inlineStr">
        <is>
          <t xml:space="preserve">Copán — Copán department, town of Santa Rosa de Copán</t>
        </is>
      </c>
      <c r="B947" t="inlineStr">
        <is>
          <t xml:space="preserve">2020/21</t>
        </is>
      </c>
      <c r="C947" t="inlineStr">
        <is>
          <t xml:space="preserve">La Niña</t>
        </is>
      </c>
      <c r="D947" t="inlineStr">
        <is>
          <t xml:space="preserve">yes</t>
        </is>
      </c>
      <c r="E947" t="inlineStr">
        <is>
          <t xml:space="preserve">Oct</t>
        </is>
      </c>
      <c r="F947">
        <v>4</v>
      </c>
      <c r="G947">
        <v>2020</v>
      </c>
      <c r="H947" t="inlineStr">
        <is>
          <t xml:space="preserve">2020-10</t>
        </is>
      </c>
      <c r="I947" s="3">
        <f>INDEX(Monthly!$AA:$AA,MATCH(H947,Monthly!$A:$A,0))</f>
        <v>22.286774193548382</v>
      </c>
      <c r="J947" s="4">
        <f>INDEX(Monthly!$Z:$Z,MATCH(H947,Monthly!$A:$A,0))</f>
        <v>246.973</v>
      </c>
    </row>
    <row r="948">
      <c r="A948" t="inlineStr">
        <is>
          <t xml:space="preserve">Copán — Copán department, town of Santa Rosa de Copán</t>
        </is>
      </c>
      <c r="B948" t="inlineStr">
        <is>
          <t xml:space="preserve">2020/21</t>
        </is>
      </c>
      <c r="C948" t="inlineStr">
        <is>
          <t xml:space="preserve">La Niña</t>
        </is>
      </c>
      <c r="D948" t="inlineStr">
        <is>
          <t xml:space="preserve">yes</t>
        </is>
      </c>
      <c r="E948" t="inlineStr">
        <is>
          <t xml:space="preserve">Nov</t>
        </is>
      </c>
      <c r="F948">
        <v>5</v>
      </c>
      <c r="G948">
        <v>2020</v>
      </c>
      <c r="H948" t="inlineStr">
        <is>
          <t xml:space="preserve">2020-11</t>
        </is>
      </c>
      <c r="I948" s="3">
        <f>INDEX(Monthly!$AA:$AA,MATCH(H948,Monthly!$A:$A,0))</f>
        <v>21.212333333333326</v>
      </c>
      <c r="J948" s="4">
        <f>INDEX(Monthly!$Z:$Z,MATCH(H948,Monthly!$A:$A,0))</f>
        <v>439.708</v>
      </c>
    </row>
    <row r="949">
      <c r="A949" t="inlineStr">
        <is>
          <t xml:space="preserve">Copán — Copán department, town of Santa Rosa de Copán</t>
        </is>
      </c>
      <c r="B949" t="inlineStr">
        <is>
          <t xml:space="preserve">2020/21</t>
        </is>
      </c>
      <c r="C949" t="inlineStr">
        <is>
          <t xml:space="preserve">La Niña</t>
        </is>
      </c>
      <c r="D949" t="inlineStr">
        <is>
          <t xml:space="preserve">yes</t>
        </is>
      </c>
      <c r="E949" t="inlineStr">
        <is>
          <t xml:space="preserve">Dec</t>
        </is>
      </c>
      <c r="F949">
        <v>6</v>
      </c>
      <c r="G949">
        <v>2020</v>
      </c>
      <c r="H949" t="inlineStr">
        <is>
          <t xml:space="preserve">2020-12</t>
        </is>
      </c>
      <c r="I949" s="3">
        <f>INDEX(Monthly!$AA:$AA,MATCH(H949,Monthly!$A:$A,0))</f>
        <v>19.490322580645167</v>
      </c>
      <c r="J949" s="4">
        <f>INDEX(Monthly!$Z:$Z,MATCH(H949,Monthly!$A:$A,0))</f>
        <v>25.996</v>
      </c>
    </row>
    <row r="950">
      <c r="A950" t="inlineStr">
        <is>
          <t xml:space="preserve">Copán — Copán department, town of Santa Rosa de Copán</t>
        </is>
      </c>
      <c r="B950" t="inlineStr">
        <is>
          <t xml:space="preserve">2020/21</t>
        </is>
      </c>
      <c r="C950" t="inlineStr">
        <is>
          <t xml:space="preserve">La Niña</t>
        </is>
      </c>
      <c r="D950" t="inlineStr">
        <is>
          <t xml:space="preserve">yes</t>
        </is>
      </c>
      <c r="E950" t="inlineStr">
        <is>
          <t xml:space="preserve">Jan</t>
        </is>
      </c>
      <c r="F950">
        <v>7</v>
      </c>
      <c r="G950">
        <v>2021</v>
      </c>
      <c r="H950" t="inlineStr">
        <is>
          <t xml:space="preserve">2021-01</t>
        </is>
      </c>
      <c r="I950" s="3">
        <f>INDEX(Monthly!$AA:$AA,MATCH(H950,Monthly!$A:$A,0))</f>
        <v>19.88290322580645</v>
      </c>
      <c r="J950" s="4">
        <f>INDEX(Monthly!$Z:$Z,MATCH(H950,Monthly!$A:$A,0))</f>
        <v>35.406</v>
      </c>
    </row>
    <row r="951">
      <c r="A951" t="inlineStr">
        <is>
          <t xml:space="preserve">Copán — Copán department, town of Santa Rosa de Copán</t>
        </is>
      </c>
      <c r="B951" t="inlineStr">
        <is>
          <t xml:space="preserve">2020/21</t>
        </is>
      </c>
      <c r="C951" t="inlineStr">
        <is>
          <t xml:space="preserve">La Niña</t>
        </is>
      </c>
      <c r="D951" t="inlineStr">
        <is>
          <t xml:space="preserve">yes</t>
        </is>
      </c>
      <c r="E951" t="inlineStr">
        <is>
          <t xml:space="preserve">Feb</t>
        </is>
      </c>
      <c r="F951">
        <v>8</v>
      </c>
      <c r="G951">
        <v>2021</v>
      </c>
      <c r="H951" t="inlineStr">
        <is>
          <t xml:space="preserve">2021-02</t>
        </is>
      </c>
      <c r="I951" s="3">
        <f>INDEX(Monthly!$AA:$AA,MATCH(H951,Monthly!$A:$A,0))</f>
        <v>20.203928571428573</v>
      </c>
      <c r="J951" s="4">
        <f>INDEX(Monthly!$Z:$Z,MATCH(H951,Monthly!$A:$A,0))</f>
        <v>35.748</v>
      </c>
    </row>
    <row r="952">
      <c r="A952" t="inlineStr">
        <is>
          <t xml:space="preserve">Copán — Copán department, town of Santa Rosa de Copán</t>
        </is>
      </c>
      <c r="B952" t="inlineStr">
        <is>
          <t xml:space="preserve">2020/21</t>
        </is>
      </c>
      <c r="C952" t="inlineStr">
        <is>
          <t xml:space="preserve">La Niña</t>
        </is>
      </c>
      <c r="D952" t="inlineStr">
        <is>
          <t xml:space="preserve">yes</t>
        </is>
      </c>
      <c r="E952" t="inlineStr">
        <is>
          <t xml:space="preserve">Mar</t>
        </is>
      </c>
      <c r="F952">
        <v>9</v>
      </c>
      <c r="G952">
        <v>2021</v>
      </c>
      <c r="H952" t="inlineStr">
        <is>
          <t xml:space="preserve">2021-03</t>
        </is>
      </c>
      <c r="I952" s="3">
        <f>INDEX(Monthly!$AA:$AA,MATCH(H952,Monthly!$A:$A,0))</f>
        <v>20.999032258064513</v>
      </c>
      <c r="J952" s="4">
        <f>INDEX(Monthly!$Z:$Z,MATCH(H952,Monthly!$A:$A,0))</f>
        <v>24.869</v>
      </c>
    </row>
    <row r="953">
      <c r="A953" t="inlineStr">
        <is>
          <t xml:space="preserve">Copán — Copán department, town of Santa Rosa de Copán</t>
        </is>
      </c>
      <c r="B953" t="inlineStr">
        <is>
          <t xml:space="preserve">2020/21</t>
        </is>
      </c>
      <c r="C953" t="inlineStr">
        <is>
          <t xml:space="preserve">La Niña</t>
        </is>
      </c>
      <c r="D953" t="inlineStr">
        <is>
          <t xml:space="preserve">yes</t>
        </is>
      </c>
      <c r="E953" t="inlineStr">
        <is>
          <t xml:space="preserve">Apr</t>
        </is>
      </c>
      <c r="F953">
        <v>10</v>
      </c>
      <c r="G953">
        <v>2021</v>
      </c>
      <c r="H953" t="inlineStr">
        <is>
          <t xml:space="preserve">2021-04</t>
        </is>
      </c>
      <c r="I953" s="3">
        <f>INDEX(Monthly!$AA:$AA,MATCH(H953,Monthly!$A:$A,0))</f>
        <v>22.90966666666667</v>
      </c>
      <c r="J953" s="4">
        <f>INDEX(Monthly!$Z:$Z,MATCH(H953,Monthly!$A:$A,0))</f>
        <v>113.47</v>
      </c>
    </row>
    <row r="954">
      <c r="A954" t="inlineStr">
        <is>
          <t xml:space="preserve">Copán — Copán department, town of Santa Rosa de Copán</t>
        </is>
      </c>
      <c r="B954" t="inlineStr">
        <is>
          <t xml:space="preserve">2020/21</t>
        </is>
      </c>
      <c r="C954" t="inlineStr">
        <is>
          <t xml:space="preserve">La Niña</t>
        </is>
      </c>
      <c r="D954" t="inlineStr">
        <is>
          <t xml:space="preserve">yes</t>
        </is>
      </c>
      <c r="E954" t="inlineStr">
        <is>
          <t xml:space="preserve">May</t>
        </is>
      </c>
      <c r="F954">
        <v>11</v>
      </c>
      <c r="G954">
        <v>2021</v>
      </c>
      <c r="H954" t="inlineStr">
        <is>
          <t xml:space="preserve">2021-05</t>
        </is>
      </c>
      <c r="I954" s="3">
        <f>INDEX(Monthly!$AA:$AA,MATCH(H954,Monthly!$A:$A,0))</f>
        <v>23.690645161290327</v>
      </c>
      <c r="J954" s="4">
        <f>INDEX(Monthly!$Z:$Z,MATCH(H954,Monthly!$A:$A,0))</f>
        <v>75.194</v>
      </c>
    </row>
    <row r="955">
      <c r="A955" t="inlineStr">
        <is>
          <t xml:space="preserve">Copán — Copán department, town of Santa Rosa de Copán</t>
        </is>
      </c>
      <c r="B955" t="inlineStr">
        <is>
          <t xml:space="preserve">2020/21</t>
        </is>
      </c>
      <c r="C955" t="inlineStr">
        <is>
          <t xml:space="preserve">La Niña</t>
        </is>
      </c>
      <c r="D955" t="inlineStr">
        <is>
          <t xml:space="preserve">yes</t>
        </is>
      </c>
      <c r="E955" t="inlineStr">
        <is>
          <t xml:space="preserve">Jun</t>
        </is>
      </c>
      <c r="F955">
        <v>12</v>
      </c>
      <c r="G955">
        <v>2021</v>
      </c>
      <c r="H955" t="inlineStr">
        <is>
          <t xml:space="preserve">2021-06</t>
        </is>
      </c>
      <c r="I955" s="3">
        <f>INDEX(Monthly!$AA:$AA,MATCH(H955,Monthly!$A:$A,0))</f>
        <v>23.198333333333334</v>
      </c>
      <c r="J955" s="4">
        <f>INDEX(Monthly!$Z:$Z,MATCH(H955,Monthly!$A:$A,0))</f>
        <v>450.436</v>
      </c>
    </row>
    <row r="956">
      <c r="A956" t="inlineStr">
        <is>
          <t xml:space="preserve">Copán — Copán department, town of Santa Rosa de Copán</t>
        </is>
      </c>
      <c r="B956" t="inlineStr">
        <is>
          <t xml:space="preserve">2021/22</t>
        </is>
      </c>
      <c r="C956" t="inlineStr">
        <is>
          <t xml:space="preserve">La Niña</t>
        </is>
      </c>
      <c r="D956" t="inlineStr">
        <is>
          <t xml:space="preserve">yes</t>
        </is>
      </c>
      <c r="E956" t="inlineStr">
        <is>
          <t xml:space="preserve">Jul</t>
        </is>
      </c>
      <c r="F956">
        <v>1</v>
      </c>
      <c r="G956">
        <v>2021</v>
      </c>
      <c r="H956" t="inlineStr">
        <is>
          <t xml:space="preserve">2021-07</t>
        </is>
      </c>
      <c r="I956" s="3">
        <f>INDEX(Monthly!$AA:$AA,MATCH(H956,Monthly!$A:$A,0))</f>
        <v>22.979677419354836</v>
      </c>
      <c r="J956" s="4">
        <f>INDEX(Monthly!$Z:$Z,MATCH(H956,Monthly!$A:$A,0))</f>
        <v>115.291</v>
      </c>
    </row>
    <row r="957">
      <c r="A957" t="inlineStr">
        <is>
          <t xml:space="preserve">Copán — Copán department, town of Santa Rosa de Copán</t>
        </is>
      </c>
      <c r="B957" t="inlineStr">
        <is>
          <t xml:space="preserve">2021/22</t>
        </is>
      </c>
      <c r="C957" t="inlineStr">
        <is>
          <t xml:space="preserve">La Niña</t>
        </is>
      </c>
      <c r="D957" t="inlineStr">
        <is>
          <t xml:space="preserve">yes</t>
        </is>
      </c>
      <c r="E957" t="inlineStr">
        <is>
          <t xml:space="preserve">Aug</t>
        </is>
      </c>
      <c r="F957">
        <v>2</v>
      </c>
      <c r="G957">
        <v>2021</v>
      </c>
      <c r="H957" t="inlineStr">
        <is>
          <t xml:space="preserve">2021-08</t>
        </is>
      </c>
      <c r="I957" s="3">
        <f>INDEX(Monthly!$AA:$AA,MATCH(H957,Monthly!$A:$A,0))</f>
        <v>22.99806451612903</v>
      </c>
      <c r="J957" s="4">
        <f>INDEX(Monthly!$Z:$Z,MATCH(H957,Monthly!$A:$A,0))</f>
        <v>374.078</v>
      </c>
    </row>
    <row r="958">
      <c r="A958" t="inlineStr">
        <is>
          <t xml:space="preserve">Copán — Copán department, town of Santa Rosa de Copán</t>
        </is>
      </c>
      <c r="B958" t="inlineStr">
        <is>
          <t xml:space="preserve">2021/22</t>
        </is>
      </c>
      <c r="C958" t="inlineStr">
        <is>
          <t xml:space="preserve">La Niña</t>
        </is>
      </c>
      <c r="D958" t="inlineStr">
        <is>
          <t xml:space="preserve">yes</t>
        </is>
      </c>
      <c r="E958" t="inlineStr">
        <is>
          <t xml:space="preserve">Sep</t>
        </is>
      </c>
      <c r="F958">
        <v>3</v>
      </c>
      <c r="G958">
        <v>2021</v>
      </c>
      <c r="H958" t="inlineStr">
        <is>
          <t xml:space="preserve">2021-09</t>
        </is>
      </c>
      <c r="I958" s="3">
        <f>INDEX(Monthly!$AA:$AA,MATCH(H958,Monthly!$A:$A,0))</f>
        <v>23.101999999999997</v>
      </c>
      <c r="J958" s="4">
        <f>INDEX(Monthly!$Z:$Z,MATCH(H958,Monthly!$A:$A,0))</f>
        <v>131.503</v>
      </c>
    </row>
    <row r="959">
      <c r="A959" t="inlineStr">
        <is>
          <t xml:space="preserve">Copán — Copán department, town of Santa Rosa de Copán</t>
        </is>
      </c>
      <c r="B959" t="inlineStr">
        <is>
          <t xml:space="preserve">2021/22</t>
        </is>
      </c>
      <c r="C959" t="inlineStr">
        <is>
          <t xml:space="preserve">La Niña</t>
        </is>
      </c>
      <c r="D959" t="inlineStr">
        <is>
          <t xml:space="preserve">yes</t>
        </is>
      </c>
      <c r="E959" t="inlineStr">
        <is>
          <t xml:space="preserve">Oct</t>
        </is>
      </c>
      <c r="F959">
        <v>4</v>
      </c>
      <c r="G959">
        <v>2021</v>
      </c>
      <c r="H959" t="inlineStr">
        <is>
          <t xml:space="preserve">2021-10</t>
        </is>
      </c>
      <c r="I959" s="3">
        <f>INDEX(Monthly!$AA:$AA,MATCH(H959,Monthly!$A:$A,0))</f>
        <v>22.82129032258064</v>
      </c>
      <c r="J959" s="4">
        <f>INDEX(Monthly!$Z:$Z,MATCH(H959,Monthly!$A:$A,0))</f>
        <v>239.776</v>
      </c>
    </row>
    <row r="960">
      <c r="A960" t="inlineStr">
        <is>
          <t xml:space="preserve">Copán — Copán department, town of Santa Rosa de Copán</t>
        </is>
      </c>
      <c r="B960" t="inlineStr">
        <is>
          <t xml:space="preserve">2021/22</t>
        </is>
      </c>
      <c r="C960" t="inlineStr">
        <is>
          <t xml:space="preserve">La Niña</t>
        </is>
      </c>
      <c r="D960" t="inlineStr">
        <is>
          <t xml:space="preserve">yes</t>
        </is>
      </c>
      <c r="E960" t="inlineStr">
        <is>
          <t xml:space="preserve">Nov</t>
        </is>
      </c>
      <c r="F960">
        <v>5</v>
      </c>
      <c r="G960">
        <v>2021</v>
      </c>
      <c r="H960" t="inlineStr">
        <is>
          <t xml:space="preserve">2021-11</t>
        </is>
      </c>
      <c r="I960" s="3">
        <f>INDEX(Monthly!$AA:$AA,MATCH(H960,Monthly!$A:$A,0))</f>
        <v>19.707333333333334</v>
      </c>
      <c r="J960" s="4">
        <f>INDEX(Monthly!$Z:$Z,MATCH(H960,Monthly!$A:$A,0))</f>
        <v>55.094</v>
      </c>
    </row>
    <row r="961">
      <c r="A961" t="inlineStr">
        <is>
          <t xml:space="preserve">Copán — Copán department, town of Santa Rosa de Copán</t>
        </is>
      </c>
      <c r="B961" t="inlineStr">
        <is>
          <t xml:space="preserve">2021/22</t>
        </is>
      </c>
      <c r="C961" t="inlineStr">
        <is>
          <t xml:space="preserve">La Niña</t>
        </is>
      </c>
      <c r="D961" t="inlineStr">
        <is>
          <t xml:space="preserve">yes</t>
        </is>
      </c>
      <c r="E961" t="inlineStr">
        <is>
          <t xml:space="preserve">Dec</t>
        </is>
      </c>
      <c r="F961">
        <v>6</v>
      </c>
      <c r="G961">
        <v>2021</v>
      </c>
      <c r="H961" t="inlineStr">
        <is>
          <t xml:space="preserve">2021-12</t>
        </is>
      </c>
      <c r="I961" s="3">
        <f>INDEX(Monthly!$AA:$AA,MATCH(H961,Monthly!$A:$A,0))</f>
        <v>20.249354838709678</v>
      </c>
      <c r="J961" s="4">
        <f>INDEX(Monthly!$Z:$Z,MATCH(H961,Monthly!$A:$A,0))</f>
        <v>14.776</v>
      </c>
    </row>
    <row r="962">
      <c r="A962" t="inlineStr">
        <is>
          <t xml:space="preserve">Copán — Copán department, town of Santa Rosa de Copán</t>
        </is>
      </c>
      <c r="B962" t="inlineStr">
        <is>
          <t xml:space="preserve">2021/22</t>
        </is>
      </c>
      <c r="C962" t="inlineStr">
        <is>
          <t xml:space="preserve">La Niña</t>
        </is>
      </c>
      <c r="D962" t="inlineStr">
        <is>
          <t xml:space="preserve">yes</t>
        </is>
      </c>
      <c r="E962" t="inlineStr">
        <is>
          <t xml:space="preserve">Jan</t>
        </is>
      </c>
      <c r="F962">
        <v>7</v>
      </c>
      <c r="G962">
        <v>2022</v>
      </c>
      <c r="H962" t="inlineStr">
        <is>
          <t xml:space="preserve">2022-01</t>
        </is>
      </c>
      <c r="I962" s="3">
        <f>INDEX(Monthly!$AA:$AA,MATCH(H962,Monthly!$A:$A,0))</f>
        <v>19.288709677419355</v>
      </c>
      <c r="J962" s="4">
        <f>INDEX(Monthly!$Z:$Z,MATCH(H962,Monthly!$A:$A,0))</f>
        <v>48.5</v>
      </c>
    </row>
    <row r="963">
      <c r="A963" t="inlineStr">
        <is>
          <t xml:space="preserve">Copán — Copán department, town of Santa Rosa de Copán</t>
        </is>
      </c>
      <c r="B963" t="inlineStr">
        <is>
          <t xml:space="preserve">2021/22</t>
        </is>
      </c>
      <c r="C963" t="inlineStr">
        <is>
          <t xml:space="preserve">La Niña</t>
        </is>
      </c>
      <c r="D963" t="inlineStr">
        <is>
          <t xml:space="preserve">yes</t>
        </is>
      </c>
      <c r="E963" t="inlineStr">
        <is>
          <t xml:space="preserve">Feb</t>
        </is>
      </c>
      <c r="F963">
        <v>8</v>
      </c>
      <c r="G963">
        <v>2022</v>
      </c>
      <c r="H963" t="inlineStr">
        <is>
          <t xml:space="preserve">2022-02</t>
        </is>
      </c>
      <c r="I963" s="3">
        <f>INDEX(Monthly!$AA:$AA,MATCH(H963,Monthly!$A:$A,0))</f>
        <v>19.83535714285714</v>
      </c>
      <c r="J963" s="4">
        <f>INDEX(Monthly!$Z:$Z,MATCH(H963,Monthly!$A:$A,0))</f>
        <v>61.149</v>
      </c>
    </row>
    <row r="964">
      <c r="A964" t="inlineStr">
        <is>
          <t xml:space="preserve">Copán — Copán department, town of Santa Rosa de Copán</t>
        </is>
      </c>
      <c r="B964" t="inlineStr">
        <is>
          <t xml:space="preserve">2021/22</t>
        </is>
      </c>
      <c r="C964" t="inlineStr">
        <is>
          <t xml:space="preserve">La Niña</t>
        </is>
      </c>
      <c r="D964" t="inlineStr">
        <is>
          <t xml:space="preserve">yes</t>
        </is>
      </c>
      <c r="E964" t="inlineStr">
        <is>
          <t xml:space="preserve">Mar</t>
        </is>
      </c>
      <c r="F964">
        <v>9</v>
      </c>
      <c r="G964">
        <v>2022</v>
      </c>
      <c r="H964" t="inlineStr">
        <is>
          <t xml:space="preserve">2022-03</t>
        </is>
      </c>
      <c r="I964" s="3">
        <f>INDEX(Monthly!$AA:$AA,MATCH(H964,Monthly!$A:$A,0))</f>
        <v>21.470645161290324</v>
      </c>
      <c r="J964" s="4">
        <f>INDEX(Monthly!$Z:$Z,MATCH(H964,Monthly!$A:$A,0))</f>
        <v>24.79</v>
      </c>
    </row>
    <row r="965">
      <c r="A965" t="inlineStr">
        <is>
          <t xml:space="preserve">Copán — Copán department, town of Santa Rosa de Copán</t>
        </is>
      </c>
      <c r="B965" t="inlineStr">
        <is>
          <t xml:space="preserve">2021/22</t>
        </is>
      </c>
      <c r="C965" t="inlineStr">
        <is>
          <t xml:space="preserve">La Niña</t>
        </is>
      </c>
      <c r="D965" t="inlineStr">
        <is>
          <t xml:space="preserve">yes</t>
        </is>
      </c>
      <c r="E965" t="inlineStr">
        <is>
          <t xml:space="preserve">Apr</t>
        </is>
      </c>
      <c r="F965">
        <v>10</v>
      </c>
      <c r="G965">
        <v>2022</v>
      </c>
      <c r="H965" t="inlineStr">
        <is>
          <t xml:space="preserve">2022-04</t>
        </is>
      </c>
      <c r="I965" s="3">
        <f>INDEX(Monthly!$AA:$AA,MATCH(H965,Monthly!$A:$A,0))</f>
        <v>23.311</v>
      </c>
      <c r="J965" s="4">
        <f>INDEX(Monthly!$Z:$Z,MATCH(H965,Monthly!$A:$A,0))</f>
        <v>63.915</v>
      </c>
    </row>
    <row r="966">
      <c r="A966" t="inlineStr">
        <is>
          <t xml:space="preserve">Copán — Copán department, town of Santa Rosa de Copán</t>
        </is>
      </c>
      <c r="B966" t="inlineStr">
        <is>
          <t xml:space="preserve">2021/22</t>
        </is>
      </c>
      <c r="C966" t="inlineStr">
        <is>
          <t xml:space="preserve">La Niña</t>
        </is>
      </c>
      <c r="D966" t="inlineStr">
        <is>
          <t xml:space="preserve">yes</t>
        </is>
      </c>
      <c r="E966" t="inlineStr">
        <is>
          <t xml:space="preserve">May</t>
        </is>
      </c>
      <c r="F966">
        <v>11</v>
      </c>
      <c r="G966">
        <v>2022</v>
      </c>
      <c r="H966" t="inlineStr">
        <is>
          <t xml:space="preserve">2022-05</t>
        </is>
      </c>
      <c r="I966" s="3">
        <f>INDEX(Monthly!$AA:$AA,MATCH(H966,Monthly!$A:$A,0))</f>
        <v>23.197741935483865</v>
      </c>
      <c r="J966" s="4">
        <f>INDEX(Monthly!$Z:$Z,MATCH(H966,Monthly!$A:$A,0))</f>
        <v>188.41</v>
      </c>
    </row>
    <row r="967">
      <c r="A967" t="inlineStr">
        <is>
          <t xml:space="preserve">Copán — Copán department, town of Santa Rosa de Copán</t>
        </is>
      </c>
      <c r="B967" t="inlineStr">
        <is>
          <t xml:space="preserve">2021/22</t>
        </is>
      </c>
      <c r="C967" t="inlineStr">
        <is>
          <t xml:space="preserve">La Niña</t>
        </is>
      </c>
      <c r="D967" t="inlineStr">
        <is>
          <t xml:space="preserve">yes</t>
        </is>
      </c>
      <c r="E967" t="inlineStr">
        <is>
          <t xml:space="preserve">Jun</t>
        </is>
      </c>
      <c r="F967">
        <v>12</v>
      </c>
      <c r="G967">
        <v>2022</v>
      </c>
      <c r="H967" t="inlineStr">
        <is>
          <t xml:space="preserve">2022-06</t>
        </is>
      </c>
      <c r="I967" s="3">
        <f>INDEX(Monthly!$AA:$AA,MATCH(H967,Monthly!$A:$A,0))</f>
        <v>22.44033333333333</v>
      </c>
      <c r="J967" s="4">
        <f>INDEX(Monthly!$Z:$Z,MATCH(H967,Monthly!$A:$A,0))</f>
        <v>363.358</v>
      </c>
    </row>
    <row r="968">
      <c r="A968" t="inlineStr">
        <is>
          <t xml:space="preserve">Copán — Copán department, town of Santa Rosa de Copán</t>
        </is>
      </c>
      <c r="B968" t="inlineStr">
        <is>
          <t xml:space="preserve">2022/23</t>
        </is>
      </c>
      <c r="C968" t="inlineStr">
        <is>
          <t xml:space="preserve">La Niña</t>
        </is>
      </c>
      <c r="D968" t="inlineStr">
        <is>
          <t xml:space="preserve">yes</t>
        </is>
      </c>
      <c r="E968" t="inlineStr">
        <is>
          <t xml:space="preserve">Jul</t>
        </is>
      </c>
      <c r="F968">
        <v>1</v>
      </c>
      <c r="G968">
        <v>2022</v>
      </c>
      <c r="H968" t="inlineStr">
        <is>
          <t xml:space="preserve">2022-07</t>
        </is>
      </c>
      <c r="I968" s="3">
        <f>INDEX(Monthly!$AA:$AA,MATCH(H968,Monthly!$A:$A,0))</f>
        <v>22.712903225806446</v>
      </c>
      <c r="J968" s="4">
        <f>INDEX(Monthly!$Z:$Z,MATCH(H968,Monthly!$A:$A,0))</f>
        <v>166.353</v>
      </c>
    </row>
    <row r="969">
      <c r="A969" t="inlineStr">
        <is>
          <t xml:space="preserve">Copán — Copán department, town of Santa Rosa de Copán</t>
        </is>
      </c>
      <c r="B969" t="inlineStr">
        <is>
          <t xml:space="preserve">2022/23</t>
        </is>
      </c>
      <c r="C969" t="inlineStr">
        <is>
          <t xml:space="preserve">La Niña</t>
        </is>
      </c>
      <c r="D969" t="inlineStr">
        <is>
          <t xml:space="preserve">yes</t>
        </is>
      </c>
      <c r="E969" t="inlineStr">
        <is>
          <t xml:space="preserve">Aug</t>
        </is>
      </c>
      <c r="F969">
        <v>2</v>
      </c>
      <c r="G969">
        <v>2022</v>
      </c>
      <c r="H969" t="inlineStr">
        <is>
          <t xml:space="preserve">2022-08</t>
        </is>
      </c>
      <c r="I969" s="3">
        <f>INDEX(Monthly!$AA:$AA,MATCH(H969,Monthly!$A:$A,0))</f>
        <v>22.896774193548385</v>
      </c>
      <c r="J969" s="4">
        <f>INDEX(Monthly!$Z:$Z,MATCH(H969,Monthly!$A:$A,0))</f>
        <v>370.203</v>
      </c>
    </row>
    <row r="970">
      <c r="A970" t="inlineStr">
        <is>
          <t xml:space="preserve">Copán — Copán department, town of Santa Rosa de Copán</t>
        </is>
      </c>
      <c r="B970" t="inlineStr">
        <is>
          <t xml:space="preserve">2022/23</t>
        </is>
      </c>
      <c r="C970" t="inlineStr">
        <is>
          <t xml:space="preserve">La Niña</t>
        </is>
      </c>
      <c r="D970" t="inlineStr">
        <is>
          <t xml:space="preserve">yes</t>
        </is>
      </c>
      <c r="E970" t="inlineStr">
        <is>
          <t xml:space="preserve">Sep</t>
        </is>
      </c>
      <c r="F970">
        <v>3</v>
      </c>
      <c r="G970">
        <v>2022</v>
      </c>
      <c r="H970" t="inlineStr">
        <is>
          <t xml:space="preserve">2022-09</t>
        </is>
      </c>
      <c r="I970" s="3">
        <f>INDEX(Monthly!$AA:$AA,MATCH(H970,Monthly!$A:$A,0))</f>
        <v>22.60333333333333</v>
      </c>
      <c r="J970" s="4">
        <f>INDEX(Monthly!$Z:$Z,MATCH(H970,Monthly!$A:$A,0))</f>
        <v>459.506</v>
      </c>
    </row>
    <row r="971">
      <c r="A971" t="inlineStr">
        <is>
          <t xml:space="preserve">Copán — Copán department, town of Santa Rosa de Copán</t>
        </is>
      </c>
      <c r="B971" t="inlineStr">
        <is>
          <t xml:space="preserve">2022/23</t>
        </is>
      </c>
      <c r="C971" t="inlineStr">
        <is>
          <t xml:space="preserve">La Niña</t>
        </is>
      </c>
      <c r="D971" t="inlineStr">
        <is>
          <t xml:space="preserve">yes</t>
        </is>
      </c>
      <c r="E971" t="inlineStr">
        <is>
          <t xml:space="preserve">Oct</t>
        </is>
      </c>
      <c r="F971">
        <v>4</v>
      </c>
      <c r="G971">
        <v>2022</v>
      </c>
      <c r="H971" t="inlineStr">
        <is>
          <t xml:space="preserve">2022-10</t>
        </is>
      </c>
      <c r="I971" s="3">
        <f>INDEX(Monthly!$AA:$AA,MATCH(H971,Monthly!$A:$A,0))</f>
        <v>22.089999999999996</v>
      </c>
      <c r="J971" s="4">
        <f>INDEX(Monthly!$Z:$Z,MATCH(H971,Monthly!$A:$A,0))</f>
        <v>278.868</v>
      </c>
    </row>
    <row r="972">
      <c r="A972" t="inlineStr">
        <is>
          <t xml:space="preserve">Copán — Copán department, town of Santa Rosa de Copán</t>
        </is>
      </c>
      <c r="B972" t="inlineStr">
        <is>
          <t xml:space="preserve">2022/23</t>
        </is>
      </c>
      <c r="C972" t="inlineStr">
        <is>
          <t xml:space="preserve">La Niña</t>
        </is>
      </c>
      <c r="D972" t="inlineStr">
        <is>
          <t xml:space="preserve">yes</t>
        </is>
      </c>
      <c r="E972" t="inlineStr">
        <is>
          <t xml:space="preserve">Nov</t>
        </is>
      </c>
      <c r="F972">
        <v>5</v>
      </c>
      <c r="G972">
        <v>2022</v>
      </c>
      <c r="H972" t="inlineStr">
        <is>
          <t xml:space="preserve">2022-11</t>
        </is>
      </c>
      <c r="I972" s="3">
        <f>INDEX(Monthly!$AA:$AA,MATCH(H972,Monthly!$A:$A,0))</f>
        <v>21.426666666666666</v>
      </c>
      <c r="J972" s="4">
        <f>INDEX(Monthly!$Z:$Z,MATCH(H972,Monthly!$A:$A,0))</f>
        <v>93.887</v>
      </c>
    </row>
    <row r="973">
      <c r="A973" t="inlineStr">
        <is>
          <t xml:space="preserve">Copán — Copán department, town of Santa Rosa de Copán</t>
        </is>
      </c>
      <c r="B973" t="inlineStr">
        <is>
          <t xml:space="preserve">2022/23</t>
        </is>
      </c>
      <c r="C973" t="inlineStr">
        <is>
          <t xml:space="preserve">La Niña</t>
        </is>
      </c>
      <c r="D973" t="inlineStr">
        <is>
          <t xml:space="preserve">yes</t>
        </is>
      </c>
      <c r="E973" t="inlineStr">
        <is>
          <t xml:space="preserve">Dec</t>
        </is>
      </c>
      <c r="F973">
        <v>6</v>
      </c>
      <c r="G973">
        <v>2022</v>
      </c>
      <c r="H973" t="inlineStr">
        <is>
          <t xml:space="preserve">2022-12</t>
        </is>
      </c>
      <c r="I973" s="3">
        <f>INDEX(Monthly!$AA:$AA,MATCH(H973,Monthly!$A:$A,0))</f>
        <v>19.912258064516127</v>
      </c>
      <c r="J973" s="4">
        <f>INDEX(Monthly!$Z:$Z,MATCH(H973,Monthly!$A:$A,0))</f>
        <v>13.804</v>
      </c>
    </row>
    <row r="974">
      <c r="A974" t="inlineStr">
        <is>
          <t xml:space="preserve">Copán — Copán department, town of Santa Rosa de Copán</t>
        </is>
      </c>
      <c r="B974" t="inlineStr">
        <is>
          <t xml:space="preserve">2022/23</t>
        </is>
      </c>
      <c r="C974" t="inlineStr">
        <is>
          <t xml:space="preserve">La Niña</t>
        </is>
      </c>
      <c r="D974" t="inlineStr">
        <is>
          <t xml:space="preserve">yes</t>
        </is>
      </c>
      <c r="E974" t="inlineStr">
        <is>
          <t xml:space="preserve">Jan</t>
        </is>
      </c>
      <c r="F974">
        <v>7</v>
      </c>
      <c r="G974">
        <v>2023</v>
      </c>
      <c r="H974" t="inlineStr">
        <is>
          <t xml:space="preserve">2023-01</t>
        </is>
      </c>
      <c r="I974" s="3">
        <f>INDEX(Monthly!$AA:$AA,MATCH(H974,Monthly!$A:$A,0))</f>
        <v>19.92677419354838</v>
      </c>
      <c r="J974" s="4">
        <f>INDEX(Monthly!$Z:$Z,MATCH(H974,Monthly!$A:$A,0))</f>
        <v>20.348</v>
      </c>
    </row>
    <row r="975">
      <c r="A975" t="inlineStr">
        <is>
          <t xml:space="preserve">Copán — Copán department, town of Santa Rosa de Copán</t>
        </is>
      </c>
      <c r="B975" t="inlineStr">
        <is>
          <t xml:space="preserve">2022/23</t>
        </is>
      </c>
      <c r="C975" t="inlineStr">
        <is>
          <t xml:space="preserve">La Niña</t>
        </is>
      </c>
      <c r="D975" t="inlineStr">
        <is>
          <t xml:space="preserve">yes</t>
        </is>
      </c>
      <c r="E975" t="inlineStr">
        <is>
          <t xml:space="preserve">Feb</t>
        </is>
      </c>
      <c r="F975">
        <v>8</v>
      </c>
      <c r="G975">
        <v>2023</v>
      </c>
      <c r="H975" t="inlineStr">
        <is>
          <t xml:space="preserve">2023-02</t>
        </is>
      </c>
      <c r="I975" s="3">
        <f>INDEX(Monthly!$AA:$AA,MATCH(H975,Monthly!$A:$A,0))</f>
        <v>20.363214285714285</v>
      </c>
      <c r="J975" s="4">
        <f>INDEX(Monthly!$Z:$Z,MATCH(H975,Monthly!$A:$A,0))</f>
        <v>7.792</v>
      </c>
    </row>
    <row r="976">
      <c r="A976" t="inlineStr">
        <is>
          <t xml:space="preserve">Copán — Copán department, town of Santa Rosa de Copán</t>
        </is>
      </c>
      <c r="B976" t="inlineStr">
        <is>
          <t xml:space="preserve">2022/23</t>
        </is>
      </c>
      <c r="C976" t="inlineStr">
        <is>
          <t xml:space="preserve">La Niña</t>
        </is>
      </c>
      <c r="D976" t="inlineStr">
        <is>
          <t xml:space="preserve">yes</t>
        </is>
      </c>
      <c r="E976" t="inlineStr">
        <is>
          <t xml:space="preserve">Mar</t>
        </is>
      </c>
      <c r="F976">
        <v>9</v>
      </c>
      <c r="G976">
        <v>2023</v>
      </c>
      <c r="H976" t="inlineStr">
        <is>
          <t xml:space="preserve">2023-03</t>
        </is>
      </c>
      <c r="I976" s="3">
        <f>INDEX(Monthly!$AA:$AA,MATCH(H976,Monthly!$A:$A,0))</f>
        <v>22.27129032258064</v>
      </c>
      <c r="J976" s="4">
        <f>INDEX(Monthly!$Z:$Z,MATCH(H976,Monthly!$A:$A,0))</f>
        <v>27.712</v>
      </c>
    </row>
    <row r="977">
      <c r="A977" t="inlineStr">
        <is>
          <t xml:space="preserve">Copán — Copán department, town of Santa Rosa de Copán</t>
        </is>
      </c>
      <c r="B977" t="inlineStr">
        <is>
          <t xml:space="preserve">2022/23</t>
        </is>
      </c>
      <c r="C977" t="inlineStr">
        <is>
          <t xml:space="preserve">La Niña</t>
        </is>
      </c>
      <c r="D977" t="inlineStr">
        <is>
          <t xml:space="preserve">yes</t>
        </is>
      </c>
      <c r="E977" t="inlineStr">
        <is>
          <t xml:space="preserve">Apr</t>
        </is>
      </c>
      <c r="F977">
        <v>10</v>
      </c>
      <c r="G977">
        <v>2023</v>
      </c>
      <c r="H977" t="inlineStr">
        <is>
          <t xml:space="preserve">2023-04</t>
        </is>
      </c>
      <c r="I977" s="3">
        <f>INDEX(Monthly!$AA:$AA,MATCH(H977,Monthly!$A:$A,0))</f>
        <v>24.240666666666666</v>
      </c>
      <c r="J977" s="4">
        <f>INDEX(Monthly!$Z:$Z,MATCH(H977,Monthly!$A:$A,0))</f>
        <v>14.734</v>
      </c>
    </row>
    <row r="978">
      <c r="A978" t="inlineStr">
        <is>
          <t xml:space="preserve">Copán — Copán department, town of Santa Rosa de Copán</t>
        </is>
      </c>
      <c r="B978" t="inlineStr">
        <is>
          <t xml:space="preserve">2022/23</t>
        </is>
      </c>
      <c r="C978" t="inlineStr">
        <is>
          <t xml:space="preserve">La Niña</t>
        </is>
      </c>
      <c r="D978" t="inlineStr">
        <is>
          <t xml:space="preserve">yes</t>
        </is>
      </c>
      <c r="E978" t="inlineStr">
        <is>
          <t xml:space="preserve">May</t>
        </is>
      </c>
      <c r="F978">
        <v>11</v>
      </c>
      <c r="G978">
        <v>2023</v>
      </c>
      <c r="H978" t="inlineStr">
        <is>
          <t xml:space="preserve">2023-05</t>
        </is>
      </c>
      <c r="I978" s="3">
        <f>INDEX(Monthly!$AA:$AA,MATCH(H978,Monthly!$A:$A,0))</f>
        <v>25.25129032258064</v>
      </c>
      <c r="J978" s="4">
        <f>INDEX(Monthly!$Z:$Z,MATCH(H978,Monthly!$A:$A,0))</f>
        <v>89.98</v>
      </c>
    </row>
    <row r="979">
      <c r="A979" t="inlineStr">
        <is>
          <t xml:space="preserve">Copán — Copán department, town of Santa Rosa de Copán</t>
        </is>
      </c>
      <c r="B979" t="inlineStr">
        <is>
          <t xml:space="preserve">2022/23</t>
        </is>
      </c>
      <c r="C979" t="inlineStr">
        <is>
          <t xml:space="preserve">La Niña</t>
        </is>
      </c>
      <c r="D979" t="inlineStr">
        <is>
          <t xml:space="preserve">yes</t>
        </is>
      </c>
      <c r="E979" t="inlineStr">
        <is>
          <t xml:space="preserve">Jun</t>
        </is>
      </c>
      <c r="F979">
        <v>12</v>
      </c>
      <c r="G979">
        <v>2023</v>
      </c>
      <c r="H979" t="inlineStr">
        <is>
          <t xml:space="preserve">2023-06</t>
        </is>
      </c>
      <c r="I979" s="3">
        <f>INDEX(Monthly!$AA:$AA,MATCH(H979,Monthly!$A:$A,0))</f>
        <v>25.236333333333334</v>
      </c>
      <c r="J979" s="4">
        <f>INDEX(Monthly!$Z:$Z,MATCH(H979,Monthly!$A:$A,0))</f>
        <v>174.312</v>
      </c>
    </row>
    <row r="980">
      <c r="A980" t="inlineStr">
        <is>
          <t xml:space="preserve">Copán — Copán department, town of Santa Rosa de Copán</t>
        </is>
      </c>
      <c r="B980" t="inlineStr">
        <is>
          <t xml:space="preserve">2023/24</t>
        </is>
      </c>
      <c r="C980" t="inlineStr">
        <is>
          <t xml:space="preserve">El Niño</t>
        </is>
      </c>
      <c r="D980" t="inlineStr">
        <is>
          <t xml:space="preserve">yes</t>
        </is>
      </c>
      <c r="E980" t="inlineStr">
        <is>
          <t xml:space="preserve">Jul</t>
        </is>
      </c>
      <c r="F980">
        <v>1</v>
      </c>
      <c r="G980">
        <v>2023</v>
      </c>
      <c r="H980" t="inlineStr">
        <is>
          <t xml:space="preserve">2023-07</t>
        </is>
      </c>
      <c r="I980" s="3">
        <f>INDEX(Monthly!$AA:$AA,MATCH(H980,Monthly!$A:$A,0))</f>
        <v>24.007096774193553</v>
      </c>
      <c r="J980" s="4">
        <f>INDEX(Monthly!$Z:$Z,MATCH(H980,Monthly!$A:$A,0))</f>
        <v>283.012</v>
      </c>
    </row>
    <row r="981">
      <c r="A981" t="inlineStr">
        <is>
          <t xml:space="preserve">Copán — Copán department, town of Santa Rosa de Copán</t>
        </is>
      </c>
      <c r="B981" t="inlineStr">
        <is>
          <t xml:space="preserve">2023/24</t>
        </is>
      </c>
      <c r="C981" t="inlineStr">
        <is>
          <t xml:space="preserve">El Niño</t>
        </is>
      </c>
      <c r="D981" t="inlineStr">
        <is>
          <t xml:space="preserve">yes</t>
        </is>
      </c>
      <c r="E981" t="inlineStr">
        <is>
          <t xml:space="preserve">Aug</t>
        </is>
      </c>
      <c r="F981">
        <v>2</v>
      </c>
      <c r="G981">
        <v>2023</v>
      </c>
      <c r="H981" t="inlineStr">
        <is>
          <t xml:space="preserve">2023-08</t>
        </is>
      </c>
      <c r="I981" s="3">
        <f>INDEX(Monthly!$AA:$AA,MATCH(H981,Monthly!$A:$A,0))</f>
        <v>24.14741935483871</v>
      </c>
      <c r="J981" s="4">
        <f>INDEX(Monthly!$Z:$Z,MATCH(H981,Monthly!$A:$A,0))</f>
        <v>141.624</v>
      </c>
    </row>
    <row r="982">
      <c r="A982" t="inlineStr">
        <is>
          <t xml:space="preserve">Copán — Copán department, town of Santa Rosa de Copán</t>
        </is>
      </c>
      <c r="B982" t="inlineStr">
        <is>
          <t xml:space="preserve">2023/24</t>
        </is>
      </c>
      <c r="C982" t="inlineStr">
        <is>
          <t xml:space="preserve">El Niño</t>
        </is>
      </c>
      <c r="D982" t="inlineStr">
        <is>
          <t xml:space="preserve">yes</t>
        </is>
      </c>
      <c r="E982" t="inlineStr">
        <is>
          <t xml:space="preserve">Sep</t>
        </is>
      </c>
      <c r="F982">
        <v>3</v>
      </c>
      <c r="G982">
        <v>2023</v>
      </c>
      <c r="H982" t="inlineStr">
        <is>
          <t xml:space="preserve">2023-09</t>
        </is>
      </c>
      <c r="I982" s="3">
        <f>INDEX(Monthly!$AA:$AA,MATCH(H982,Monthly!$A:$A,0))</f>
        <v>24.149999999999995</v>
      </c>
      <c r="J982" s="4">
        <f>INDEX(Monthly!$Z:$Z,MATCH(H982,Monthly!$A:$A,0))</f>
        <v>121.638</v>
      </c>
    </row>
    <row r="983">
      <c r="A983" t="inlineStr">
        <is>
          <t xml:space="preserve">Copán — Copán department, town of Santa Rosa de Copán</t>
        </is>
      </c>
      <c r="B983" t="inlineStr">
        <is>
          <t xml:space="preserve">2023/24</t>
        </is>
      </c>
      <c r="C983" t="inlineStr">
        <is>
          <t xml:space="preserve">El Niño</t>
        </is>
      </c>
      <c r="D983" t="inlineStr">
        <is>
          <t xml:space="preserve">yes</t>
        </is>
      </c>
      <c r="E983" t="inlineStr">
        <is>
          <t xml:space="preserve">Oct</t>
        </is>
      </c>
      <c r="F983">
        <v>4</v>
      </c>
      <c r="G983">
        <v>2023</v>
      </c>
      <c r="H983" t="inlineStr">
        <is>
          <t xml:space="preserve">2023-10</t>
        </is>
      </c>
      <c r="I983" s="3">
        <f>INDEX(Monthly!$AA:$AA,MATCH(H983,Monthly!$A:$A,0))</f>
        <v>23.166129032258066</v>
      </c>
      <c r="J983" s="4">
        <f>INDEX(Monthly!$Z:$Z,MATCH(H983,Monthly!$A:$A,0))</f>
        <v>167.643</v>
      </c>
    </row>
    <row r="984">
      <c r="A984" t="inlineStr">
        <is>
          <t xml:space="preserve">Copán — Copán department, town of Santa Rosa de Copán</t>
        </is>
      </c>
      <c r="B984" t="inlineStr">
        <is>
          <t xml:space="preserve">2023/24</t>
        </is>
      </c>
      <c r="C984" t="inlineStr">
        <is>
          <t xml:space="preserve">El Niño</t>
        </is>
      </c>
      <c r="D984" t="inlineStr">
        <is>
          <t xml:space="preserve">yes</t>
        </is>
      </c>
      <c r="E984" t="inlineStr">
        <is>
          <t xml:space="preserve">Nov</t>
        </is>
      </c>
      <c r="F984">
        <v>5</v>
      </c>
      <c r="G984">
        <v>2023</v>
      </c>
      <c r="H984" t="inlineStr">
        <is>
          <t xml:space="preserve">2023-11</t>
        </is>
      </c>
      <c r="I984" s="3">
        <f>INDEX(Monthly!$AA:$AA,MATCH(H984,Monthly!$A:$A,0))</f>
        <v>21.655000000000005</v>
      </c>
      <c r="J984" s="4">
        <f>INDEX(Monthly!$Z:$Z,MATCH(H984,Monthly!$A:$A,0))</f>
        <v>110.812</v>
      </c>
    </row>
    <row r="985">
      <c r="A985" t="inlineStr">
        <is>
          <t xml:space="preserve">Copán — Copán department, town of Santa Rosa de Copán</t>
        </is>
      </c>
      <c r="B985" t="inlineStr">
        <is>
          <t xml:space="preserve">2023/24</t>
        </is>
      </c>
      <c r="C985" t="inlineStr">
        <is>
          <t xml:space="preserve">El Niño</t>
        </is>
      </c>
      <c r="D985" t="inlineStr">
        <is>
          <t xml:space="preserve">yes</t>
        </is>
      </c>
      <c r="E985" t="inlineStr">
        <is>
          <t xml:space="preserve">Dec</t>
        </is>
      </c>
      <c r="F985">
        <v>6</v>
      </c>
      <c r="G985">
        <v>2023</v>
      </c>
      <c r="H985" t="inlineStr">
        <is>
          <t xml:space="preserve">2023-12</t>
        </is>
      </c>
      <c r="I985" s="3">
        <f>INDEX(Monthly!$AA:$AA,MATCH(H985,Monthly!$A:$A,0))</f>
        <v>20.344193548387096</v>
      </c>
      <c r="J985" s="4">
        <f>INDEX(Monthly!$Z:$Z,MATCH(H985,Monthly!$A:$A,0))</f>
        <v>62.826</v>
      </c>
    </row>
    <row r="986">
      <c r="A986" t="inlineStr">
        <is>
          <t xml:space="preserve">Copán — Copán department, town of Santa Rosa de Copán</t>
        </is>
      </c>
      <c r="B986" t="inlineStr">
        <is>
          <t xml:space="preserve">2023/24</t>
        </is>
      </c>
      <c r="C986" t="inlineStr">
        <is>
          <t xml:space="preserve">El Niño</t>
        </is>
      </c>
      <c r="D986" t="inlineStr">
        <is>
          <t xml:space="preserve">yes</t>
        </is>
      </c>
      <c r="E986" t="inlineStr">
        <is>
          <t xml:space="preserve">Jan</t>
        </is>
      </c>
      <c r="F986">
        <v>7</v>
      </c>
      <c r="G986">
        <v>2024</v>
      </c>
      <c r="H986" t="inlineStr">
        <is>
          <t xml:space="preserve">2024-01</t>
        </is>
      </c>
      <c r="I986" s="3">
        <f>INDEX(Monthly!$AA:$AA,MATCH(H986,Monthly!$A:$A,0))</f>
        <v>21.06967741935484</v>
      </c>
      <c r="J986" s="4">
        <f>INDEX(Monthly!$Z:$Z,MATCH(H986,Monthly!$A:$A,0))</f>
        <v>15.23732580193336</v>
      </c>
    </row>
    <row r="987">
      <c r="A987" t="inlineStr">
        <is>
          <t xml:space="preserve">Copán — Copán department, town of Santa Rosa de Copán</t>
        </is>
      </c>
      <c r="B987" t="inlineStr">
        <is>
          <t xml:space="preserve">2023/24</t>
        </is>
      </c>
      <c r="C987" t="inlineStr">
        <is>
          <t xml:space="preserve">El Niño</t>
        </is>
      </c>
      <c r="D987" t="inlineStr">
        <is>
          <t xml:space="preserve">yes</t>
        </is>
      </c>
      <c r="E987" t="inlineStr">
        <is>
          <t xml:space="preserve">Feb</t>
        </is>
      </c>
      <c r="F987">
        <v>8</v>
      </c>
      <c r="G987">
        <v>2024</v>
      </c>
      <c r="H987" t="inlineStr">
        <is>
          <t xml:space="preserve">2024-02</t>
        </is>
      </c>
      <c r="I987" s="3">
        <f>INDEX(Monthly!$AA:$AA,MATCH(H987,Monthly!$A:$A,0))</f>
        <v>20.753103448275862</v>
      </c>
      <c r="J987" s="4">
        <f>INDEX(Monthly!$Z:$Z,MATCH(H987,Monthly!$A:$A,0))</f>
        <v>8.937985826470024</v>
      </c>
    </row>
    <row r="988">
      <c r="A988" t="inlineStr">
        <is>
          <t xml:space="preserve">Copán — Copán department, town of Santa Rosa de Copán</t>
        </is>
      </c>
      <c r="B988" t="inlineStr">
        <is>
          <t xml:space="preserve">2023/24</t>
        </is>
      </c>
      <c r="C988" t="inlineStr">
        <is>
          <t xml:space="preserve">El Niño</t>
        </is>
      </c>
      <c r="D988" t="inlineStr">
        <is>
          <t xml:space="preserve">yes</t>
        </is>
      </c>
      <c r="E988" t="inlineStr">
        <is>
          <t xml:space="preserve">Mar</t>
        </is>
      </c>
      <c r="F988">
        <v>9</v>
      </c>
      <c r="G988">
        <v>2024</v>
      </c>
      <c r="H988" t="inlineStr">
        <is>
          <t xml:space="preserve">2024-03</t>
        </is>
      </c>
      <c r="I988" s="3">
        <f>INDEX(Monthly!$AA:$AA,MATCH(H988,Monthly!$A:$A,0))</f>
        <v>24.82806451612903</v>
      </c>
      <c r="J988" s="4">
        <f>INDEX(Monthly!$Z:$Z,MATCH(H988,Monthly!$A:$A,0))</f>
        <v>3.919019349845201</v>
      </c>
    </row>
    <row r="989">
      <c r="A989" t="inlineStr">
        <is>
          <t xml:space="preserve">Copán — Copán department, town of Santa Rosa de Copán</t>
        </is>
      </c>
      <c r="B989" t="inlineStr">
        <is>
          <t xml:space="preserve">2023/24</t>
        </is>
      </c>
      <c r="C989" t="inlineStr">
        <is>
          <t xml:space="preserve">El Niño</t>
        </is>
      </c>
      <c r="D989" t="inlineStr">
        <is>
          <t xml:space="preserve">yes</t>
        </is>
      </c>
      <c r="E989" t="inlineStr">
        <is>
          <t xml:space="preserve">Apr</t>
        </is>
      </c>
      <c r="F989">
        <v>10</v>
      </c>
      <c r="G989">
        <v>2024</v>
      </c>
      <c r="H989" t="inlineStr">
        <is>
          <t xml:space="preserve">2024-04</t>
        </is>
      </c>
      <c r="I989" s="3">
        <f>INDEX(Monthly!$AA:$AA,MATCH(H989,Monthly!$A:$A,0))</f>
        <v>25.44599999999999</v>
      </c>
      <c r="J989" s="4">
        <f>INDEX(Monthly!$Z:$Z,MATCH(H989,Monthly!$A:$A,0))</f>
        <v>25.48886672571143</v>
      </c>
    </row>
    <row r="990">
      <c r="A990" t="inlineStr">
        <is>
          <t xml:space="preserve">Copán — Copán department, town of Santa Rosa de Copán</t>
        </is>
      </c>
      <c r="B990" t="inlineStr">
        <is>
          <t xml:space="preserve">2023/24</t>
        </is>
      </c>
      <c r="C990" t="inlineStr">
        <is>
          <t xml:space="preserve">El Niño</t>
        </is>
      </c>
      <c r="D990" t="inlineStr">
        <is>
          <t xml:space="preserve">yes</t>
        </is>
      </c>
      <c r="E990" t="inlineStr">
        <is>
          <t xml:space="preserve">May</t>
        </is>
      </c>
      <c r="F990">
        <v>11</v>
      </c>
      <c r="G990">
        <v>2024</v>
      </c>
      <c r="H990" t="inlineStr">
        <is>
          <t xml:space="preserve">2024-05</t>
        </is>
      </c>
      <c r="I990" s="3">
        <f>INDEX(Monthly!$AA:$AA,MATCH(H990,Monthly!$A:$A,0))</f>
        <v>28.03516129032258</v>
      </c>
      <c r="J990" s="4">
        <f>INDEX(Monthly!$Z:$Z,MATCH(H990,Monthly!$A:$A,0))</f>
        <v>41.54777662205984</v>
      </c>
    </row>
    <row r="991">
      <c r="A991" t="inlineStr">
        <is>
          <t xml:space="preserve">Copán — Copán department, town of Santa Rosa de Copán</t>
        </is>
      </c>
      <c r="B991" t="inlineStr">
        <is>
          <t xml:space="preserve">2023/24</t>
        </is>
      </c>
      <c r="C991" t="inlineStr">
        <is>
          <t xml:space="preserve">El Niño</t>
        </is>
      </c>
      <c r="D991" t="inlineStr">
        <is>
          <t xml:space="preserve">yes</t>
        </is>
      </c>
      <c r="E991" t="inlineStr">
        <is>
          <t xml:space="preserve">Jun</t>
        </is>
      </c>
      <c r="F991">
        <v>12</v>
      </c>
      <c r="G991">
        <v>2024</v>
      </c>
      <c r="H991" t="inlineStr">
        <is>
          <t xml:space="preserve">2024-06</t>
        </is>
      </c>
      <c r="I991" s="3">
        <f>INDEX(Monthly!$AA:$AA,MATCH(H991,Monthly!$A:$A,0))</f>
        <v>24.71566666666667</v>
      </c>
      <c r="J991" s="4">
        <f>INDEX(Monthly!$Z:$Z,MATCH(H991,Monthly!$A:$A,0))</f>
        <v>341.08085828125144</v>
      </c>
    </row>
    <row r="992">
      <c r="A992" t="inlineStr">
        <is>
          <t xml:space="preserve">Copán — Copán department, town of Santa Rosa de Copán</t>
        </is>
      </c>
      <c r="B992" t="inlineStr">
        <is>
          <t xml:space="preserve">2024/25</t>
        </is>
      </c>
      <c r="C992" t="inlineStr">
        <is>
          <t xml:space="preserve">Neutral</t>
        </is>
      </c>
      <c r="D992" t="inlineStr">
        <is>
          <t xml:space="preserve">yes</t>
        </is>
      </c>
      <c r="E992" t="inlineStr">
        <is>
          <t xml:space="preserve">Jul</t>
        </is>
      </c>
      <c r="F992">
        <v>1</v>
      </c>
      <c r="G992">
        <v>2024</v>
      </c>
      <c r="H992" t="inlineStr">
        <is>
          <t xml:space="preserve">2024-07</t>
        </is>
      </c>
      <c r="I992" s="3">
        <f>INDEX(Monthly!$AA:$AA,MATCH(H992,Monthly!$A:$A,0))</f>
        <v>23.55677419354839</v>
      </c>
      <c r="J992" s="4">
        <f>INDEX(Monthly!$Z:$Z,MATCH(H992,Monthly!$A:$A,0))</f>
        <v>202.26287402579305</v>
      </c>
    </row>
    <row r="993">
      <c r="A993" t="inlineStr">
        <is>
          <t xml:space="preserve">Copán — Copán department, town of Santa Rosa de Copán</t>
        </is>
      </c>
      <c r="B993" t="inlineStr">
        <is>
          <t xml:space="preserve">2024/25</t>
        </is>
      </c>
      <c r="C993" t="inlineStr">
        <is>
          <t xml:space="preserve">Neutral</t>
        </is>
      </c>
      <c r="D993" t="inlineStr">
        <is>
          <t xml:space="preserve">yes</t>
        </is>
      </c>
      <c r="E993" t="inlineStr">
        <is>
          <t xml:space="preserve">Aug</t>
        </is>
      </c>
      <c r="F993">
        <v>2</v>
      </c>
      <c r="G993">
        <v>2024</v>
      </c>
      <c r="H993" t="inlineStr">
        <is>
          <t xml:space="preserve">2024-08</t>
        </is>
      </c>
      <c r="I993" s="3">
        <f>INDEX(Monthly!$AA:$AA,MATCH(H993,Monthly!$A:$A,0))</f>
        <v>23.67419354838709</v>
      </c>
      <c r="J993" s="4">
        <f>INDEX(Monthly!$Z:$Z,MATCH(H993,Monthly!$A:$A,0))</f>
        <v>153.3569251364185</v>
      </c>
    </row>
    <row r="994">
      <c r="A994" t="inlineStr">
        <is>
          <t xml:space="preserve">Copán — Copán department, town of Santa Rosa de Copán</t>
        </is>
      </c>
      <c r="B994" t="inlineStr">
        <is>
          <t xml:space="preserve">2024/25</t>
        </is>
      </c>
      <c r="C994" t="inlineStr">
        <is>
          <t xml:space="preserve">Neutral</t>
        </is>
      </c>
      <c r="D994" t="inlineStr">
        <is>
          <t xml:space="preserve">yes</t>
        </is>
      </c>
      <c r="E994" t="inlineStr">
        <is>
          <t xml:space="preserve">Sep</t>
        </is>
      </c>
      <c r="F994">
        <v>3</v>
      </c>
      <c r="G994">
        <v>2024</v>
      </c>
      <c r="H994" t="inlineStr">
        <is>
          <t xml:space="preserve">2024-09</t>
        </is>
      </c>
      <c r="I994" s="3">
        <f>INDEX(Monthly!$AA:$AA,MATCH(H994,Monthly!$A:$A,0))</f>
        <v>24.032999999999994</v>
      </c>
      <c r="J994" s="4">
        <f>INDEX(Monthly!$Z:$Z,MATCH(H994,Monthly!$A:$A,0))</f>
        <v>270.2506058828964</v>
      </c>
    </row>
    <row r="995">
      <c r="A995" t="inlineStr">
        <is>
          <t xml:space="preserve">Copán — Copán department, town of Santa Rosa de Copán</t>
        </is>
      </c>
      <c r="B995" t="inlineStr">
        <is>
          <t xml:space="preserve">2024/25</t>
        </is>
      </c>
      <c r="C995" t="inlineStr">
        <is>
          <t xml:space="preserve">Neutral</t>
        </is>
      </c>
      <c r="D995" t="inlineStr">
        <is>
          <t xml:space="preserve">yes</t>
        </is>
      </c>
      <c r="E995" t="inlineStr">
        <is>
          <t xml:space="preserve">Oct</t>
        </is>
      </c>
      <c r="F995">
        <v>4</v>
      </c>
      <c r="G995">
        <v>2024</v>
      </c>
      <c r="H995" t="inlineStr">
        <is>
          <t xml:space="preserve">2024-10</t>
        </is>
      </c>
      <c r="I995" s="3">
        <f>INDEX(Monthly!$AA:$AA,MATCH(H995,Monthly!$A:$A,0))</f>
        <v>22.353225806451622</v>
      </c>
      <c r="J995" s="4">
        <f>INDEX(Monthly!$Z:$Z,MATCH(H995,Monthly!$A:$A,0))</f>
        <v>69.746438273006</v>
      </c>
    </row>
    <row r="996">
      <c r="A996" t="inlineStr">
        <is>
          <t xml:space="preserve">Copán — Copán department, town of Santa Rosa de Copán</t>
        </is>
      </c>
      <c r="B996" t="inlineStr">
        <is>
          <t xml:space="preserve">2024/25</t>
        </is>
      </c>
      <c r="C996" t="inlineStr">
        <is>
          <t xml:space="preserve">Neutral</t>
        </is>
      </c>
      <c r="D996" t="inlineStr">
        <is>
          <t xml:space="preserve">yes</t>
        </is>
      </c>
      <c r="E996" t="inlineStr">
        <is>
          <t xml:space="preserve">Nov</t>
        </is>
      </c>
      <c r="F996">
        <v>5</v>
      </c>
      <c r="G996">
        <v>2024</v>
      </c>
      <c r="H996" t="inlineStr">
        <is>
          <t xml:space="preserve">2024-11</t>
        </is>
      </c>
      <c r="I996" s="3">
        <f>INDEX(Monthly!$AA:$AA,MATCH(H996,Monthly!$A:$A,0))</f>
        <v>21.31066666666667</v>
      </c>
      <c r="J996" s="4">
        <f>INDEX(Monthly!$Z:$Z,MATCH(H996,Monthly!$A:$A,0))</f>
        <v>156.09056808820733</v>
      </c>
    </row>
    <row r="997">
      <c r="A997" t="inlineStr">
        <is>
          <t xml:space="preserve">Copán — Copán department, town of Santa Rosa de Copán</t>
        </is>
      </c>
      <c r="B997" t="inlineStr">
        <is>
          <t xml:space="preserve">2024/25</t>
        </is>
      </c>
      <c r="C997" t="inlineStr">
        <is>
          <t xml:space="preserve">Neutral</t>
        </is>
      </c>
      <c r="D997" t="inlineStr">
        <is>
          <t xml:space="preserve">yes</t>
        </is>
      </c>
      <c r="E997" t="inlineStr">
        <is>
          <t xml:space="preserve">Dec</t>
        </is>
      </c>
      <c r="F997">
        <v>6</v>
      </c>
      <c r="G997">
        <v>2024</v>
      </c>
      <c r="H997" t="inlineStr">
        <is>
          <t xml:space="preserve">2024-12</t>
        </is>
      </c>
      <c r="I997" s="3">
        <f>INDEX(Monthly!$AA:$AA,MATCH(H997,Monthly!$A:$A,0))</f>
        <v>20.112903225806452</v>
      </c>
      <c r="J997" s="4">
        <f>INDEX(Monthly!$Z:$Z,MATCH(H997,Monthly!$A:$A,0))</f>
        <v>71.72774608026265</v>
      </c>
    </row>
    <row r="998">
      <c r="A998" t="inlineStr">
        <is>
          <t xml:space="preserve">Copán — Copán department, town of Santa Rosa de Copán</t>
        </is>
      </c>
      <c r="B998" t="inlineStr">
        <is>
          <t xml:space="preserve">2024/25</t>
        </is>
      </c>
      <c r="C998" t="inlineStr">
        <is>
          <t xml:space="preserve">Neutral</t>
        </is>
      </c>
      <c r="D998" t="inlineStr">
        <is>
          <t xml:space="preserve">yes</t>
        </is>
      </c>
      <c r="E998" t="inlineStr">
        <is>
          <t xml:space="preserve">Jan</t>
        </is>
      </c>
      <c r="F998">
        <v>7</v>
      </c>
      <c r="G998">
        <v>2025</v>
      </c>
      <c r="H998" t="inlineStr">
        <is>
          <t xml:space="preserve">2025-01</t>
        </is>
      </c>
      <c r="I998" s="3">
        <f>INDEX(Monthly!$AA:$AA,MATCH(H998,Monthly!$A:$A,0))</f>
        <v>20.204516129032257</v>
      </c>
      <c r="J998" s="4">
        <f>INDEX(Monthly!$Z:$Z,MATCH(H998,Monthly!$A:$A,0))</f>
        <v>37.72360469334802</v>
      </c>
    </row>
    <row r="999">
      <c r="A999" t="inlineStr">
        <is>
          <t xml:space="preserve">Copán — Copán department, town of Santa Rosa de Copán</t>
        </is>
      </c>
      <c r="B999" t="inlineStr">
        <is>
          <t xml:space="preserve">2024/25</t>
        </is>
      </c>
      <c r="C999" t="inlineStr">
        <is>
          <t xml:space="preserve">Neutral</t>
        </is>
      </c>
      <c r="D999" t="inlineStr">
        <is>
          <t xml:space="preserve">yes</t>
        </is>
      </c>
      <c r="E999" t="inlineStr">
        <is>
          <t xml:space="preserve">Feb</t>
        </is>
      </c>
      <c r="F999">
        <v>8</v>
      </c>
      <c r="G999">
        <v>2025</v>
      </c>
      <c r="H999" t="inlineStr">
        <is>
          <t xml:space="preserve">2025-02</t>
        </is>
      </c>
      <c r="I999" s="3">
        <f>INDEX(Monthly!$AA:$AA,MATCH(H999,Monthly!$A:$A,0))</f>
        <v>21.38821428571429</v>
      </c>
      <c r="J999" s="4">
        <f>INDEX(Monthly!$Z:$Z,MATCH(H999,Monthly!$A:$A,0))</f>
        <v>19.643369980208135</v>
      </c>
    </row>
    <row r="1000">
      <c r="A1000" t="inlineStr">
        <is>
          <t xml:space="preserve">Copán — Copán department, town of Santa Rosa de Copán</t>
        </is>
      </c>
      <c r="B1000" t="inlineStr">
        <is>
          <t xml:space="preserve">2024/25</t>
        </is>
      </c>
      <c r="C1000" t="inlineStr">
        <is>
          <t xml:space="preserve">Neutral</t>
        </is>
      </c>
      <c r="D1000" t="inlineStr">
        <is>
          <t xml:space="preserve">yes</t>
        </is>
      </c>
      <c r="E1000" t="inlineStr">
        <is>
          <t xml:space="preserve">Mar</t>
        </is>
      </c>
      <c r="F1000">
        <v>9</v>
      </c>
      <c r="G1000">
        <v>2025</v>
      </c>
      <c r="H1000" t="inlineStr">
        <is>
          <t xml:space="preserve">2025-03</t>
        </is>
      </c>
      <c r="I1000" s="3">
        <f>INDEX(Monthly!$AA:$AA,MATCH(H1000,Monthly!$A:$A,0))</f>
        <v>22.78548387096774</v>
      </c>
      <c r="J1000" s="4">
        <f>INDEX(Monthly!$Z:$Z,MATCH(H1000,Monthly!$A:$A,0))</f>
        <v>14.559485294117646</v>
      </c>
    </row>
    <row r="1001">
      <c r="A1001" t="inlineStr">
        <is>
          <t xml:space="preserve">Copán — Copán department, town of Santa Rosa de Copán</t>
        </is>
      </c>
      <c r="B1001" t="inlineStr">
        <is>
          <t xml:space="preserve">2024/25</t>
        </is>
      </c>
      <c r="C1001" t="inlineStr">
        <is>
          <t xml:space="preserve">Neutral</t>
        </is>
      </c>
      <c r="D1001" t="inlineStr">
        <is>
          <t xml:space="preserve">yes</t>
        </is>
      </c>
      <c r="E1001" t="inlineStr">
        <is>
          <t xml:space="preserve">Apr</t>
        </is>
      </c>
      <c r="F1001">
        <v>10</v>
      </c>
      <c r="G1001">
        <v>2025</v>
      </c>
      <c r="H1001" t="inlineStr">
        <is>
          <t xml:space="preserve">2025-04</t>
        </is>
      </c>
      <c r="I1001" s="3">
        <f>INDEX(Monthly!$AA:$AA,MATCH(H1001,Monthly!$A:$A,0))</f>
        <v>23.113999999999997</v>
      </c>
      <c r="J1001" s="4">
        <f>INDEX(Monthly!$Z:$Z,MATCH(H1001,Monthly!$A:$A,0))</f>
        <v>36.10011167160847</v>
      </c>
    </row>
    <row r="1002">
      <c r="A1002" t="inlineStr">
        <is>
          <t xml:space="preserve">Copán — Copán department, town of Santa Rosa de Copán</t>
        </is>
      </c>
      <c r="B1002" t="inlineStr">
        <is>
          <t xml:space="preserve">2024/25</t>
        </is>
      </c>
      <c r="C1002" t="inlineStr">
        <is>
          <t xml:space="preserve">Neutral</t>
        </is>
      </c>
      <c r="D1002" t="inlineStr">
        <is>
          <t xml:space="preserve">yes</t>
        </is>
      </c>
      <c r="E1002" t="inlineStr">
        <is>
          <t xml:space="preserve">May</t>
        </is>
      </c>
      <c r="F1002">
        <v>11</v>
      </c>
      <c r="G1002">
        <v>2025</v>
      </c>
      <c r="H1002" t="inlineStr">
        <is>
          <t xml:space="preserve">2025-05</t>
        </is>
      </c>
      <c r="I1002" s="3">
        <f>INDEX(Monthly!$AA:$AA,MATCH(H1002,Monthly!$A:$A,0))</f>
        <v>26.40225806451613</v>
      </c>
      <c r="J1002" s="4">
        <f>INDEX(Monthly!$Z:$Z,MATCH(H1002,Monthly!$A:$A,0))</f>
        <v>80.8816573811043</v>
      </c>
    </row>
    <row r="1003">
      <c r="A1003" t="inlineStr">
        <is>
          <t xml:space="preserve">Copán — Copán department, town of Santa Rosa de Copán</t>
        </is>
      </c>
      <c r="B1003" t="inlineStr">
        <is>
          <t xml:space="preserve">2024/25</t>
        </is>
      </c>
      <c r="C1003" t="inlineStr">
        <is>
          <t xml:space="preserve">Neutral</t>
        </is>
      </c>
      <c r="D1003" t="inlineStr">
        <is>
          <t xml:space="preserve">yes</t>
        </is>
      </c>
      <c r="E1003" t="inlineStr">
        <is>
          <t xml:space="preserve">Jun</t>
        </is>
      </c>
      <c r="F1003">
        <v>12</v>
      </c>
      <c r="G1003">
        <v>2025</v>
      </c>
      <c r="H1003" t="inlineStr">
        <is>
          <t xml:space="preserve">2025-06</t>
        </is>
      </c>
      <c r="I1003" s="3">
        <f>INDEX(Monthly!$AA:$AA,MATCH(H1003,Monthly!$A:$A,0))</f>
        <v>23.736333333333334</v>
      </c>
      <c r="J1003" s="4">
        <f>INDEX(Monthly!$Z:$Z,MATCH(H1003,Monthly!$A:$A,0))</f>
        <v>410.257467432984</v>
      </c>
    </row>
    <row r="1004">
      <c r="A1004" t="inlineStr">
        <is>
          <t xml:space="preserve">Copán — Copán department, town of Santa Rosa de Copán</t>
        </is>
      </c>
      <c r="B1004" t="inlineStr">
        <is>
          <t xml:space="preserve">2025/26</t>
        </is>
      </c>
      <c r="C1004" t="inlineStr">
        <is>
          <t xml:space="preserve">Neutral</t>
        </is>
      </c>
      <c r="D1004" t="inlineStr">
        <is>
          <t xml:space="preserve">no</t>
        </is>
      </c>
      <c r="E1004" t="inlineStr">
        <is>
          <t xml:space="preserve">Jul</t>
        </is>
      </c>
      <c r="F1004">
        <v>1</v>
      </c>
      <c r="G1004">
        <v>2025</v>
      </c>
      <c r="H1004" t="inlineStr">
        <is>
          <t xml:space="preserve">2025-07</t>
        </is>
      </c>
      <c r="I1004" s="3">
        <f>INDEX(Monthly!$AA:$AA,MATCH(H1004,Monthly!$A:$A,0))</f>
        <v>23.640967741935487</v>
      </c>
      <c r="J1004" s="4">
        <f>INDEX(Monthly!$Z:$Z,MATCH(H1004,Monthly!$A:$A,0))</f>
        <v>185.66192649449872</v>
      </c>
    </row>
    <row r="1005">
      <c r="A1005" t="inlineStr">
        <is>
          <t xml:space="preserve">Copán — Copán department, town of Santa Rosa de Copán</t>
        </is>
      </c>
      <c r="B1005" t="inlineStr">
        <is>
          <t xml:space="preserve">2025/26</t>
        </is>
      </c>
      <c r="C1005" t="inlineStr">
        <is>
          <t xml:space="preserve">Neutral</t>
        </is>
      </c>
      <c r="D1005" t="inlineStr">
        <is>
          <t xml:space="preserve">no</t>
        </is>
      </c>
      <c r="E1005" t="inlineStr">
        <is>
          <t xml:space="preserve">Aug</t>
        </is>
      </c>
      <c r="F1005">
        <v>2</v>
      </c>
      <c r="G1005">
        <v>2025</v>
      </c>
      <c r="H1005" t="inlineStr">
        <is>
          <t xml:space="preserve">2025-08</t>
        </is>
      </c>
      <c r="I1005" s="3">
        <f>INDEX(Monthly!$AA:$AA,MATCH(H1005,Monthly!$A:$A,0))</f>
        <v>24.345806451612912</v>
      </c>
      <c r="J1005" s="4">
        <f>INDEX(Monthly!$Z:$Z,MATCH(H1005,Monthly!$A:$A,0))</f>
        <v>155.02470636859707</v>
      </c>
    </row>
    <row r="1006">
      <c r="A1006" t="inlineStr">
        <is>
          <t xml:space="preserve">Copán — Copán department, town of Santa Rosa de Copán</t>
        </is>
      </c>
      <c r="B1006" t="inlineStr">
        <is>
          <t xml:space="preserve">2025/26</t>
        </is>
      </c>
      <c r="C1006" t="inlineStr">
        <is>
          <t xml:space="preserve">Neutral</t>
        </is>
      </c>
      <c r="D1006" t="inlineStr">
        <is>
          <t xml:space="preserve">no</t>
        </is>
      </c>
      <c r="E1006" t="inlineStr">
        <is>
          <t xml:space="preserve">Sep</t>
        </is>
      </c>
      <c r="F1006">
        <v>3</v>
      </c>
      <c r="G1006">
        <v>2025</v>
      </c>
      <c r="H1006" t="inlineStr">
        <is>
          <t xml:space="preserve">2025-09</t>
        </is>
      </c>
      <c r="I1006" s="3">
        <f>INDEX(Monthly!$AA:$AA,MATCH(H1006,Monthly!$A:$A,0))</f>
        <v>24.004666666666672</v>
      </c>
      <c r="J1006" s="4">
        <f>INDEX(Monthly!$Z:$Z,MATCH(H1006,Monthly!$A:$A,0))</f>
        <v>304.86830427730354</v>
      </c>
    </row>
    <row r="1007">
      <c r="A1007" t="inlineStr">
        <is>
          <t xml:space="preserve">Copán — Copán department, town of Santa Rosa de Copán</t>
        </is>
      </c>
      <c r="B1007" t="inlineStr">
        <is>
          <t xml:space="preserve">2025/26</t>
        </is>
      </c>
      <c r="C1007" t="inlineStr">
        <is>
          <t xml:space="preserve">Neutral</t>
        </is>
      </c>
      <c r="D1007" t="inlineStr">
        <is>
          <t xml:space="preserve">no</t>
        </is>
      </c>
      <c r="E1007" t="inlineStr">
        <is>
          <t xml:space="preserve">Oct</t>
        </is>
      </c>
      <c r="F1007">
        <v>4</v>
      </c>
      <c r="G1007">
        <v>2025</v>
      </c>
      <c r="H1007" t="inlineStr">
        <is>
          <t xml:space="preserve">2025-10</t>
        </is>
      </c>
      <c r="I1007" s="3">
        <f>INDEX(Monthly!$AA:$AA,MATCH(H1007,Monthly!$A:$A,0))</f>
        <v>22.47290322580645</v>
      </c>
      <c r="J1007" s="4">
        <f>INDEX(Monthly!$Z:$Z,MATCH(H1007,Monthly!$A:$A,0))</f>
        <v>190.62378777889464</v>
      </c>
    </row>
    <row r="1008">
      <c r="A1008" t="inlineStr">
        <is>
          <t xml:space="preserve">Copán — Copán department, town of Santa Rosa de Copán</t>
        </is>
      </c>
      <c r="B1008" t="inlineStr">
        <is>
          <t xml:space="preserve">2025/26</t>
        </is>
      </c>
      <c r="C1008" t="inlineStr">
        <is>
          <t xml:space="preserve">Neutral</t>
        </is>
      </c>
      <c r="D1008" t="inlineStr">
        <is>
          <t xml:space="preserve">no</t>
        </is>
      </c>
      <c r="E1008" t="inlineStr">
        <is>
          <t xml:space="preserve">Nov</t>
        </is>
      </c>
      <c r="F1008">
        <v>5</v>
      </c>
      <c r="G1008">
        <v>2025</v>
      </c>
      <c r="H1008" t="inlineStr">
        <is>
          <t xml:space="preserve">2025-11</t>
        </is>
      </c>
      <c r="I1008" s="3">
        <f>INDEX(Monthly!$AA:$AA,MATCH(H1008,Monthly!$A:$A,0))</f>
        <v>21.063000000000002</v>
      </c>
      <c r="J1008" s="4">
        <f>INDEX(Monthly!$Z:$Z,MATCH(H1008,Monthly!$A:$A,0))</f>
        <v>36.89326717782988</v>
      </c>
    </row>
    <row r="1009">
      <c r="A1009" t="inlineStr">
        <is>
          <t xml:space="preserve">Copán — Copán department, town of Santa Rosa de Copán</t>
        </is>
      </c>
      <c r="B1009" t="inlineStr">
        <is>
          <t xml:space="preserve">2025/26</t>
        </is>
      </c>
      <c r="C1009" t="inlineStr">
        <is>
          <t xml:space="preserve">Neutral</t>
        </is>
      </c>
      <c r="D1009" t="inlineStr">
        <is>
          <t xml:space="preserve">no</t>
        </is>
      </c>
      <c r="E1009" t="inlineStr">
        <is>
          <t xml:space="preserve">Dec</t>
        </is>
      </c>
      <c r="F1009">
        <v>6</v>
      </c>
      <c r="G1009">
        <v>2025</v>
      </c>
      <c r="H1009" t="inlineStr">
        <is>
          <t xml:space="preserve">2025-12</t>
        </is>
      </c>
      <c r="I1009" s="3">
        <f>INDEX(Monthly!$AA:$AA,MATCH(H1009,Monthly!$A:$A,0))</f>
        <v>21.145483870967738</v>
      </c>
      <c r="J1009" s="4">
        <f>INDEX(Monthly!$Z:$Z,MATCH(H1009,Monthly!$A:$A,0))</f>
        <v>62.13650251882041</v>
      </c>
    </row>
    <row r="1010">
      <c r="A1010" t="inlineStr">
        <is>
          <t xml:space="preserve">Copán — Copán department, town of Santa Rosa de Copán</t>
        </is>
      </c>
      <c r="B1010" t="inlineStr">
        <is>
          <t xml:space="preserve">2025/26</t>
        </is>
      </c>
      <c r="C1010" t="inlineStr">
        <is>
          <t xml:space="preserve">Neutral</t>
        </is>
      </c>
      <c r="D1010" t="inlineStr">
        <is>
          <t xml:space="preserve">no</t>
        </is>
      </c>
      <c r="E1010" t="inlineStr">
        <is>
          <t xml:space="preserve">Jan</t>
        </is>
      </c>
      <c r="F1010">
        <v>7</v>
      </c>
      <c r="G1010">
        <v>2026</v>
      </c>
      <c r="H1010" t="inlineStr">
        <is>
          <t xml:space="preserve">2026-01</t>
        </is>
      </c>
      <c r="I1010" s="3">
        <f>INDEX(Monthly!$AA:$AA,MATCH(H1010,Monthly!$A:$A,0))</f>
        <v>19.326451612903227</v>
      </c>
      <c r="J1010" s="4">
        <f>INDEX(Monthly!$Z:$Z,MATCH(H1010,Monthly!$A:$A,0))</f>
        <v>66.86466019149961</v>
      </c>
    </row>
    <row r="1011">
      <c r="A1011" t="inlineStr">
        <is>
          <t xml:space="preserve">Copán — Copán department, town of Santa Rosa de Copán</t>
        </is>
      </c>
      <c r="B1011" t="inlineStr">
        <is>
          <t xml:space="preserve">2025/26</t>
        </is>
      </c>
      <c r="C1011" t="inlineStr">
        <is>
          <t xml:space="preserve">Neutral</t>
        </is>
      </c>
      <c r="D1011" t="inlineStr">
        <is>
          <t xml:space="preserve">no</t>
        </is>
      </c>
      <c r="E1011" t="inlineStr">
        <is>
          <t xml:space="preserve">Feb</t>
        </is>
      </c>
      <c r="F1011">
        <v>8</v>
      </c>
      <c r="G1011">
        <v>2026</v>
      </c>
      <c r="H1011" t="inlineStr">
        <is>
          <t xml:space="preserve">2026-02</t>
        </is>
      </c>
      <c r="I1011" s="3">
        <f>INDEX(Monthly!$AA:$AA,MATCH(H1011,Monthly!$A:$A,0))</f>
        <v>19.017499999999995</v>
      </c>
      <c r="J1011" s="4">
        <f>INDEX(Monthly!$Z:$Z,MATCH(H1011,Monthly!$A:$A,0))</f>
        <v>27.82389938070612</v>
      </c>
    </row>
    <row r="1012">
      <c r="A1012" t="inlineStr">
        <is>
          <t xml:space="preserve">Copán — Copán department, town of Santa Rosa de Copán</t>
        </is>
      </c>
      <c r="B1012" t="inlineStr">
        <is>
          <t xml:space="preserve">2025/26</t>
        </is>
      </c>
      <c r="C1012" t="inlineStr">
        <is>
          <t xml:space="preserve">Neutral</t>
        </is>
      </c>
      <c r="D1012" t="inlineStr">
        <is>
          <t xml:space="preserve">no</t>
        </is>
      </c>
      <c r="E1012" t="inlineStr">
        <is>
          <t xml:space="preserve">Mar</t>
        </is>
      </c>
      <c r="F1012">
        <v>9</v>
      </c>
      <c r="G1012">
        <v>2026</v>
      </c>
      <c r="H1012" t="inlineStr">
        <is>
          <t xml:space="preserve">2026-03</t>
        </is>
      </c>
      <c r="I1012" s="3">
        <f>INDEX(Monthly!$AA:$AA,MATCH(H1012,Monthly!$A:$A,0))</f>
        <v>21.511612903225807</v>
      </c>
      <c r="J1012" s="4">
        <f>INDEX(Monthly!$Z:$Z,MATCH(H1012,Monthly!$A:$A,0))</f>
        <v>34.19836996904024</v>
      </c>
    </row>
    <row r="1013">
      <c r="A1013" t="inlineStr">
        <is>
          <t xml:space="preserve">Copán — Copán department, town of Santa Rosa de Copán</t>
        </is>
      </c>
      <c r="B1013" t="inlineStr">
        <is>
          <t xml:space="preserve">2025/26</t>
        </is>
      </c>
      <c r="C1013" t="inlineStr">
        <is>
          <t xml:space="preserve">Neutral</t>
        </is>
      </c>
      <c r="D1013" t="inlineStr">
        <is>
          <t xml:space="preserve">no</t>
        </is>
      </c>
      <c r="E1013" t="inlineStr">
        <is>
          <t xml:space="preserve">Apr</t>
        </is>
      </c>
      <c r="F1013">
        <v>10</v>
      </c>
      <c r="G1013">
        <v>2026</v>
      </c>
      <c r="H1013" t="inlineStr">
        <is>
          <t xml:space="preserve">2026-04</t>
        </is>
      </c>
      <c r="I1013" s="3">
        <f>INDEX(Monthly!$AA:$AA,MATCH(H1013,Monthly!$A:$A,0))</f>
        <v>23.073999999999998</v>
      </c>
      <c r="J1013" s="4">
        <f>INDEX(Monthly!$Z:$Z,MATCH(H1013,Monthly!$A:$A,0))</f>
        <v>56.78474636425483</v>
      </c>
    </row>
    <row r="1014">
      <c r="A1014" t="inlineStr">
        <is>
          <t xml:space="preserve">Copán — Copán department, town of Santa Rosa de Copán</t>
        </is>
      </c>
      <c r="B1014" t="inlineStr">
        <is>
          <t xml:space="preserve">2025/26</t>
        </is>
      </c>
      <c r="C1014" t="inlineStr">
        <is>
          <t xml:space="preserve">Neutral</t>
        </is>
      </c>
      <c r="D1014" t="inlineStr">
        <is>
          <t xml:space="preserve">no</t>
        </is>
      </c>
      <c r="E1014" t="inlineStr">
        <is>
          <t xml:space="preserve">May</t>
        </is>
      </c>
      <c r="F1014">
        <v>11</v>
      </c>
      <c r="G1014">
        <v>2026</v>
      </c>
      <c r="H1014" t="inlineStr">
        <is>
          <t xml:space="preserve">2026-05</t>
        </is>
      </c>
      <c r="I1014" s="3">
        <f>INDEX(Monthly!$AA:$AA,MATCH(H1014,Monthly!$A:$A,0))</f>
        <v>25.889032258064518</v>
      </c>
      <c r="J1014" s="4">
        <f>INDEX(Monthly!$Z:$Z,MATCH(H1014,Monthly!$A:$A,0))</f>
        <v>112.48179429580358</v>
      </c>
    </row>
    <row r="1015">
      <c r="A1015" t="inlineStr">
        <is>
          <t xml:space="preserve">Copán — Copán department, town of Santa Rosa de Copán</t>
        </is>
      </c>
      <c r="B1015" t="inlineStr">
        <is>
          <t xml:space="preserve">2025/26</t>
        </is>
      </c>
      <c r="C1015" t="inlineStr">
        <is>
          <t xml:space="preserve">Neutral</t>
        </is>
      </c>
      <c r="D1015" t="inlineStr">
        <is>
          <t xml:space="preserve">no</t>
        </is>
      </c>
      <c r="E1015" t="inlineStr">
        <is>
          <t xml:space="preserve">Jun</t>
        </is>
      </c>
      <c r="F1015">
        <v>12</v>
      </c>
      <c r="G1015">
        <v>2026</v>
      </c>
      <c r="H1015" t="inlineStr">
        <is>
          <t xml:space="preserve">2026-06</t>
        </is>
      </c>
      <c r="I1015" s="3">
        <f>INDEX(Monthly!$AA:$AA,MATCH(H1015,Monthly!$A:$A,0))</f>
        <v>24.60166666666667</v>
      </c>
      <c r="J1015" s="4">
        <f>INDEX(Monthly!$Z:$Z,MATCH(H1015,Monthly!$A:$A,0))</f>
        <v>192.28628245609397</v>
      </c>
    </row>
    <row r="1016">
      <c r="A1016" t="inlineStr">
        <is>
          <t xml:space="preserve">Copán — Copán department, town of Santa Rosa de Copán</t>
        </is>
      </c>
      <c r="B1016" t="inlineStr">
        <is>
          <t xml:space="preserve">2026/27</t>
        </is>
      </c>
      <c r="C1016" t="inlineStr">
        <is>
          <t xml:space="preserve">El Niño (in progress)</t>
        </is>
      </c>
      <c r="D1016" t="inlineStr">
        <is>
          <t xml:space="preserve">no</t>
        </is>
      </c>
      <c r="E1016" t="inlineStr">
        <is>
          <t xml:space="preserve">Jul</t>
        </is>
      </c>
      <c r="F1016">
        <v>1</v>
      </c>
      <c r="G1016">
        <v>2026</v>
      </c>
      <c r="H1016" t="inlineStr">
        <is>
          <t xml:space="preserve">2026-07</t>
        </is>
      </c>
      <c r="I1016" s="3">
        <f>INDEX(Monthly!$AA:$AA,MATCH(H1016,Monthly!$A:$A,0))</f>
        <v>24.821935483870966</v>
      </c>
      <c r="J1016" s="4">
        <f>INDEX(Monthly!$Z:$Z,MATCH(H1016,Monthly!$A:$A,0))</f>
        <v>123.82579592128445</v>
      </c>
    </row>
    <row r="1017">
      <c r="A1017" t="inlineStr">
        <is>
          <t xml:space="preserve">Copán — Copán department, town of Santa Rosa de Copán</t>
        </is>
      </c>
      <c r="B1017" t="inlineStr">
        <is>
          <t xml:space="preserve">2026/27</t>
        </is>
      </c>
      <c r="C1017" t="inlineStr">
        <is>
          <t xml:space="preserve">El Niño (in progress)</t>
        </is>
      </c>
      <c r="D1017" t="inlineStr">
        <is>
          <t xml:space="preserve">no</t>
        </is>
      </c>
      <c r="E1017" t="inlineStr">
        <is>
          <t xml:space="preserve">Aug</t>
        </is>
      </c>
      <c r="F1017">
        <v>2</v>
      </c>
      <c r="G1017">
        <v>2026</v>
      </c>
      <c r="H1017" t="inlineStr">
        <is>
          <t xml:space="preserve">2026-08</t>
        </is>
      </c>
      <c r="I1017" s="3">
        <f>INDEX(Monthly!$AA:$AA,MATCH(H1017,Monthly!$A:$A,0))</f>
        <v>24.86</v>
      </c>
      <c r="J1017" s="4">
        <f>INDEX(Monthly!$Z:$Z,MATCH(H1017,Monthly!$A:$A,0))</f>
        <v>69.3362777354232</v>
      </c>
    </row>
  </sheetData>
</worksheet>
</file>

<file path=xl/worksheets/sheet7.xml><?xml version="1.0" encoding="utf-8"?>
<worksheet xmlns="http://schemas.openxmlformats.org/spreadsheetml/2006/main" xmlns:r="http://schemas.openxmlformats.org/officeDocument/2006/relationships">
  <sheetViews>
    <sheetView workbookViewId="0">
      <pane xSplit="1" ySplit="1" topLeftCell="B2" activePane="bottomRight" state="frozen"/>
    </sheetView>
  </sheetViews>
  <sheetFormatPr defaultRowHeight="13.2"/>
  <cols>
    <col min="1" max="1" width="10" customWidth="1"/>
    <col min="2" max="2" width="11" customWidth="1"/>
    <col min="3" max="3" width="11" customWidth="1"/>
    <col min="4" max="4" width="8.5" customWidth="1"/>
    <col min="5" max="5" width="8.5" customWidth="1"/>
    <col min="6" max="6" width="8.5" customWidth="1"/>
    <col min="7" max="7" width="8.5" customWidth="1"/>
    <col min="8" max="8" width="8.5" customWidth="1"/>
    <col min="9" max="9" width="8.5" customWidth="1"/>
    <col min="10" max="10" width="8.5" customWidth="1"/>
    <col min="11" max="11" width="8.5" customWidth="1"/>
    <col min="12" max="12" width="8.5" customWidth="1"/>
    <col min="13" max="13" width="8.5" customWidth="1"/>
    <col min="14" max="14" width="8.5" customWidth="1"/>
    <col min="15" max="15" width="8.5" customWidth="1"/>
    <col min="16" max="16" width="10" customWidth="1"/>
    <col min="17" max="17" width="10" customWidth="1"/>
    <col min="18" max="18" width="10" customWidth="1"/>
    <col min="19" max="19" width="10" customWidth="1"/>
    <col min="20" max="20" width="16" customWidth="1"/>
    <col min="21" max="21" width="14" customWidth="1"/>
    <col min="22" max="22" width="11" customWidth="1"/>
    <col min="23" max="23" width="11" customWidth="1"/>
    <col min="24" max="24" width="70" customWidth="1"/>
  </cols>
  <sheetData>
    <row r="1">
      <c r="A1" s="1" t="inlineStr">
        <is>
          <t xml:space="preserve">Season (Jul–Jun)</t>
        </is>
      </c>
      <c r="B1" s="1" t="inlineStr">
        <is>
          <t xml:space="preserve">First day</t>
        </is>
      </c>
      <c r="C1" s="1" t="inlineStr">
        <is>
          <t xml:space="preserve">Last day</t>
        </is>
      </c>
      <c r="D1" s="1" t="inlineStr">
        <is>
          <t xml:space="preserve">ONI JJA (centre Jul)</t>
        </is>
      </c>
      <c r="E1" s="1" t="inlineStr">
        <is>
          <t xml:space="preserve">ONI JAS (centre Aug)</t>
        </is>
      </c>
      <c r="F1" s="1" t="inlineStr">
        <is>
          <t xml:space="preserve">ONI ASO (centre Sep)</t>
        </is>
      </c>
      <c r="G1" s="1" t="inlineStr">
        <is>
          <t xml:space="preserve">ONI SON (centre Oct)</t>
        </is>
      </c>
      <c r="H1" s="1" t="inlineStr">
        <is>
          <t xml:space="preserve">ONI OND (centre Nov)</t>
        </is>
      </c>
      <c r="I1" s="1" t="inlineStr">
        <is>
          <t xml:space="preserve">ONI NDJ (centre Dec)</t>
        </is>
      </c>
      <c r="J1" s="1" t="inlineStr">
        <is>
          <t xml:space="preserve">ONI DJF (centre Jan)</t>
        </is>
      </c>
      <c r="K1" s="1" t="inlineStr">
        <is>
          <t xml:space="preserve">ONI JFM (centre Feb)</t>
        </is>
      </c>
      <c r="L1" s="1" t="inlineStr">
        <is>
          <t xml:space="preserve">ONI FMA (centre Mar)</t>
        </is>
      </c>
      <c r="M1" s="1" t="inlineStr">
        <is>
          <t xml:space="preserve">ONI MAM (centre Apr)</t>
        </is>
      </c>
      <c r="N1" s="1" t="inlineStr">
        <is>
          <t xml:space="preserve">ONI AMJ (centre May)</t>
        </is>
      </c>
      <c r="O1" s="1" t="inlineStr">
        <is>
          <t xml:space="preserve">ONI MJJ (centre Jun)</t>
        </is>
      </c>
      <c r="P1" s="1" t="inlineStr">
        <is>
          <t xml:space="preserve">Periods in an El Niño episode</t>
        </is>
      </c>
      <c r="Q1" s="1" t="inlineStr">
        <is>
          <t xml:space="preserve">Periods in a La Niña episode</t>
        </is>
      </c>
      <c r="R1" s="1" t="inlineStr">
        <is>
          <t xml:space="preserve">ONI Nov–Jan (NDJ, peak season)</t>
        </is>
      </c>
      <c r="S1" s="1" t="inlineStr">
        <is>
          <t xml:space="preserve">Largest ONI of the season (sign kept)</t>
        </is>
      </c>
      <c r="T1" s="1" t="inlineStr">
        <is>
          <t xml:space="preserve">Official episode at NDJ</t>
        </is>
      </c>
      <c r="U1" s="1" t="inlineStr">
        <is>
          <t xml:space="preserve">SEASON PHASE (used in the charts)</t>
        </is>
      </c>
      <c r="V1" s="1" t="inlineStr">
        <is>
          <t xml:space="preserve">Strength (largest |ONI|)</t>
        </is>
      </c>
      <c r="W1" s="1" t="inlineStr">
        <is>
          <t xml:space="preserve">In the photo window 2005/06–2024/25</t>
        </is>
      </c>
      <c r="X1" s="1" t="inlineStr">
        <is>
          <t xml:space="preserve">Note</t>
        </is>
      </c>
    </row>
    <row r="2">
      <c r="A2" s="8" t="inlineStr">
        <is>
          <t xml:space="preserve">1981/82</t>
        </is>
      </c>
      <c r="B2" s="9">
        <v>29768</v>
      </c>
      <c r="C2" s="9">
        <v>30132</v>
      </c>
      <c r="D2" s="3">
        <f>INDEX(ENSO_monthly!$F:$F,MATCH("1981-07",ENSO_monthly!$A:$A,0))</f>
        <v>-0.28</v>
      </c>
      <c r="E2" s="3">
        <f>INDEX(ENSO_monthly!$F:$F,MATCH("1981-08",ENSO_monthly!$A:$A,0))</f>
        <v>-0.23</v>
      </c>
      <c r="F2" s="3">
        <f>INDEX(ENSO_monthly!$F:$F,MATCH("1981-09",ENSO_monthly!$A:$A,0))</f>
        <v>-0.08</v>
      </c>
      <c r="G2" s="3">
        <f>INDEX(ENSO_monthly!$F:$F,MATCH("1981-10",ENSO_monthly!$A:$A,0))</f>
        <v>-0.16</v>
      </c>
      <c r="H2" s="3">
        <f>INDEX(ENSO_monthly!$F:$F,MATCH("1981-11",ENSO_monthly!$A:$A,0))</f>
        <v>-0.19</v>
      </c>
      <c r="I2" s="3">
        <f>INDEX(ENSO_monthly!$F:$F,MATCH("1981-12",ENSO_monthly!$A:$A,0))</f>
        <v>-0.14</v>
      </c>
      <c r="J2" s="3">
        <f>INDEX(ENSO_monthly!$F:$F,MATCH("1982-01",ENSO_monthly!$A:$A,0))</f>
        <v>-0.05</v>
      </c>
      <c r="K2" s="3">
        <f>INDEX(ENSO_monthly!$F:$F,MATCH("1982-02",ENSO_monthly!$A:$A,0))</f>
        <v>0.02</v>
      </c>
      <c r="L2" s="3">
        <f>INDEX(ENSO_monthly!$F:$F,MATCH("1982-03",ENSO_monthly!$A:$A,0))</f>
        <v>0.07</v>
      </c>
      <c r="M2" s="3">
        <f>INDEX(ENSO_monthly!$F:$F,MATCH("1982-04",ENSO_monthly!$A:$A,0))</f>
        <v>0.34</v>
      </c>
      <c r="N2" s="10">
        <f>INDEX(ENSO_monthly!$F:$F,MATCH("1982-05",ENSO_monthly!$A:$A,0))</f>
        <v>0.65</v>
      </c>
      <c r="O2" s="10">
        <f>INDEX(ENSO_monthly!$F:$F,MATCH("1982-06",ENSO_monthly!$A:$A,0))</f>
        <v>0.73</v>
      </c>
      <c r="P2" s="2">
        <f>COUNTIFS(ENSO_monthly!$M:$M,A2,ENSO_monthly!$L:$L,"El Niño*")</f>
        <v>2</v>
      </c>
      <c r="Q2" s="2">
        <f>COUNTIFS(ENSO_monthly!$M:$M,A2,ENSO_monthly!$L:$L,"La Niña*")</f>
        <v>0</v>
      </c>
      <c r="R2" s="3">
        <f>I2</f>
        <v>-0.14</v>
      </c>
      <c r="S2" s="3">
        <f>IF(MAX(D2:O2)&gt;=-MIN(D2:O2),MAX(D2:O2),MIN(D2:O2))</f>
        <v>0.73</v>
      </c>
      <c r="T2" s="2" t="str">
        <f>INDEX(ENSO_monthly!$L:$L,MATCH("1981-12",ENSO_monthly!$A:$A,0))</f>
        <v>—</v>
      </c>
      <c r="U2" s="8" t="str">
        <f>IF(LEFT(T2,7)="El Niño","El Niño",IF(LEFT(T2,7)="La Niña","La Niña","Neutral"))</f>
        <v>Neutral</v>
      </c>
      <c r="V2" s="2" t="str">
        <f>IF(U2="Neutral","",IF(ABS(ROUND(S2,1))&lt;1,"weak",IF(ABS(ROUND(S2,1))&lt;1.5,"moderate",IF(ABS(ROUND(S2,1))&lt;2,"strong","very strong"))))</f>
        <v/>
      </c>
      <c r="W2" s="2" t="inlineStr">
        <is>
          <t xml:space="preserve">no</t>
        </is>
      </c>
      <c r="X2" t="inlineStr">
        <is>
          <t xml:space="preserve"/>
        </is>
      </c>
    </row>
    <row r="3">
      <c r="A3" s="11" t="inlineStr">
        <is>
          <t xml:space="preserve">1982/83</t>
        </is>
      </c>
      <c r="B3" s="9">
        <v>30133</v>
      </c>
      <c r="C3" s="9">
        <v>30497</v>
      </c>
      <c r="D3" s="10">
        <f>INDEX(ENSO_monthly!$F:$F,MATCH("1982-07",ENSO_monthly!$A:$A,0))</f>
        <v>0.78</v>
      </c>
      <c r="E3" s="10">
        <f>INDEX(ENSO_monthly!$F:$F,MATCH("1982-08",ENSO_monthly!$A:$A,0))</f>
        <v>0.99</v>
      </c>
      <c r="F3" s="10">
        <f>INDEX(ENSO_monthly!$F:$F,MATCH("1982-09",ENSO_monthly!$A:$A,0))</f>
        <v>1.45</v>
      </c>
      <c r="G3" s="10">
        <f>INDEX(ENSO_monthly!$F:$F,MATCH("1982-10",ENSO_monthly!$A:$A,0))</f>
        <v>1.82</v>
      </c>
      <c r="H3" s="10">
        <f>INDEX(ENSO_monthly!$F:$F,MATCH("1982-11",ENSO_monthly!$A:$A,0))</f>
        <v>2.03</v>
      </c>
      <c r="I3" s="10">
        <f>INDEX(ENSO_monthly!$F:$F,MATCH("1982-12",ENSO_monthly!$A:$A,0))</f>
        <v>2.12</v>
      </c>
      <c r="J3" s="10">
        <f>INDEX(ENSO_monthly!$F:$F,MATCH("1983-01",ENSO_monthly!$A:$A,0))</f>
        <v>2.14</v>
      </c>
      <c r="K3" s="10">
        <f>INDEX(ENSO_monthly!$F:$F,MATCH("1983-02",ENSO_monthly!$A:$A,0))</f>
        <v>1.91</v>
      </c>
      <c r="L3" s="10">
        <f>INDEX(ENSO_monthly!$F:$F,MATCH("1983-03",ENSO_monthly!$A:$A,0))</f>
        <v>1.52</v>
      </c>
      <c r="M3" s="10">
        <f>INDEX(ENSO_monthly!$F:$F,MATCH("1983-04",ENSO_monthly!$A:$A,0))</f>
        <v>1.23</v>
      </c>
      <c r="N3" s="10">
        <f>INDEX(ENSO_monthly!$F:$F,MATCH("1983-05",ENSO_monthly!$A:$A,0))</f>
        <v>0.95</v>
      </c>
      <c r="O3" s="10">
        <f>INDEX(ENSO_monthly!$F:$F,MATCH("1983-06",ENSO_monthly!$A:$A,0))</f>
        <v>0.62</v>
      </c>
      <c r="P3" s="2">
        <f>COUNTIFS(ENSO_monthly!$M:$M,A3,ENSO_monthly!$L:$L,"El Niño*")</f>
        <v>12</v>
      </c>
      <c r="Q3" s="2">
        <f>COUNTIFS(ENSO_monthly!$M:$M,A3,ENSO_monthly!$L:$L,"La Niña*")</f>
        <v>0</v>
      </c>
      <c r="R3" s="3">
        <f>I3</f>
        <v>2.12</v>
      </c>
      <c r="S3" s="3">
        <f>IF(MAX(D3:O3)&gt;=-MIN(D3:O3),MAX(D3:O3),MIN(D3:O3))</f>
        <v>2.14</v>
      </c>
      <c r="T3" s="2" t="str">
        <f>INDEX(ENSO_monthly!$L:$L,MATCH("1982-12",ENSO_monthly!$A:$A,0))</f>
        <v>El Niño</v>
      </c>
      <c r="U3" s="11" t="str">
        <f>IF(LEFT(T3,7)="El Niño","El Niño",IF(LEFT(T3,7)="La Niña","La Niña","Neutral"))</f>
        <v>El Niño</v>
      </c>
      <c r="V3" s="2" t="str">
        <f>IF(U3="Neutral","",IF(ABS(ROUND(S3,1))&lt;1,"weak",IF(ABS(ROUND(S3,1))&lt;1.5,"moderate",IF(ABS(ROUND(S3,1))&lt;2,"strong","very strong"))))</f>
        <v>very strong</v>
      </c>
      <c r="W3" s="2" t="inlineStr">
        <is>
          <t xml:space="preserve">no</t>
        </is>
      </c>
      <c r="X3" t="inlineStr">
        <is>
          <t xml:space="preserve"/>
        </is>
      </c>
    </row>
    <row r="4">
      <c r="A4" s="12" t="inlineStr">
        <is>
          <t xml:space="preserve">1983/84</t>
        </is>
      </c>
      <c r="B4" s="9">
        <v>30498</v>
      </c>
      <c r="C4" s="9">
        <v>30863</v>
      </c>
      <c r="D4" s="3">
        <f>INDEX(ENSO_monthly!$F:$F,MATCH("1983-07",ENSO_monthly!$A:$A,0))</f>
        <v>0.25</v>
      </c>
      <c r="E4" s="3">
        <f>INDEX(ENSO_monthly!$F:$F,MATCH("1983-08",ENSO_monthly!$A:$A,0))</f>
        <v>-0.06</v>
      </c>
      <c r="F4" s="3">
        <f>INDEX(ENSO_monthly!$F:$F,MATCH("1983-09",ENSO_monthly!$A:$A,0))</f>
        <v>-0.43</v>
      </c>
      <c r="G4" s="13">
        <f>INDEX(ENSO_monthly!$F:$F,MATCH("1983-10",ENSO_monthly!$A:$A,0))</f>
        <v>-0.76</v>
      </c>
      <c r="H4" s="13">
        <f>INDEX(ENSO_monthly!$F:$F,MATCH("1983-11",ENSO_monthly!$A:$A,0))</f>
        <v>-0.96</v>
      </c>
      <c r="I4" s="13">
        <f>INDEX(ENSO_monthly!$F:$F,MATCH("1983-12",ENSO_monthly!$A:$A,0))</f>
        <v>-0.89</v>
      </c>
      <c r="J4" s="13">
        <f>INDEX(ENSO_monthly!$F:$F,MATCH("1984-01",ENSO_monthly!$A:$A,0))</f>
        <v>-0.63</v>
      </c>
      <c r="K4" s="13">
        <f>INDEX(ENSO_monthly!$F:$F,MATCH("1984-02",ENSO_monthly!$A:$A,0))</f>
        <v>-0.51</v>
      </c>
      <c r="L4" s="3">
        <f>INDEX(ENSO_monthly!$F:$F,MATCH("1984-03",ENSO_monthly!$A:$A,0))</f>
        <v>-0.38</v>
      </c>
      <c r="M4" s="3">
        <f>INDEX(ENSO_monthly!$F:$F,MATCH("1984-04",ENSO_monthly!$A:$A,0))</f>
        <v>-0.47</v>
      </c>
      <c r="N4" s="3">
        <f>INDEX(ENSO_monthly!$F:$F,MATCH("1984-05",ENSO_monthly!$A:$A,0))</f>
        <v>-0.55</v>
      </c>
      <c r="O4" s="3">
        <f>INDEX(ENSO_monthly!$F:$F,MATCH("1984-06",ENSO_monthly!$A:$A,0))</f>
        <v>-0.52</v>
      </c>
      <c r="P4" s="2">
        <f>COUNTIFS(ENSO_monthly!$M:$M,A4,ENSO_monthly!$L:$L,"El Niño*")</f>
        <v>0</v>
      </c>
      <c r="Q4" s="2">
        <f>COUNTIFS(ENSO_monthly!$M:$M,A4,ENSO_monthly!$L:$L,"La Niña*")</f>
        <v>5</v>
      </c>
      <c r="R4" s="3">
        <f>I4</f>
        <v>-0.89</v>
      </c>
      <c r="S4" s="3">
        <f>IF(MAX(D4:O4)&gt;=-MIN(D4:O4),MAX(D4:O4),MIN(D4:O4))</f>
        <v>-0.96</v>
      </c>
      <c r="T4" s="2" t="str">
        <f>INDEX(ENSO_monthly!$L:$L,MATCH("1983-12",ENSO_monthly!$A:$A,0))</f>
        <v>La Niña</v>
      </c>
      <c r="U4" s="12" t="str">
        <f>IF(LEFT(T4,7)="El Niño","El Niño",IF(LEFT(T4,7)="La Niña","La Niña","Neutral"))</f>
        <v>La Niña</v>
      </c>
      <c r="V4" s="2" t="str">
        <f>IF(U4="Neutral","",IF(ABS(ROUND(S4,1))&lt;1,"weak",IF(ABS(ROUND(S4,1))&lt;1.5,"moderate",IF(ABS(ROUND(S4,1))&lt;2,"strong","very strong"))))</f>
        <v>moderate</v>
      </c>
      <c r="W4" s="2" t="inlineStr">
        <is>
          <t xml:space="preserve">no</t>
        </is>
      </c>
      <c r="X4" t="inlineStr">
        <is>
          <t xml:space="preserve"/>
        </is>
      </c>
    </row>
    <row r="5">
      <c r="A5" s="12" t="inlineStr">
        <is>
          <t xml:space="preserve">1984/85</t>
        </is>
      </c>
      <c r="B5" s="9">
        <v>30864</v>
      </c>
      <c r="C5" s="9">
        <v>31228</v>
      </c>
      <c r="D5" s="3">
        <f>INDEX(ENSO_monthly!$F:$F,MATCH("1984-07",ENSO_monthly!$A:$A,0))</f>
        <v>-0.39</v>
      </c>
      <c r="E5" s="3">
        <f>INDEX(ENSO_monthly!$F:$F,MATCH("1984-08",ENSO_monthly!$A:$A,0))</f>
        <v>-0.22</v>
      </c>
      <c r="F5" s="3">
        <f>INDEX(ENSO_monthly!$F:$F,MATCH("1984-09",ENSO_monthly!$A:$A,0))</f>
        <v>-0.32</v>
      </c>
      <c r="G5" s="13">
        <f>INDEX(ENSO_monthly!$F:$F,MATCH("1984-10",ENSO_monthly!$A:$A,0))</f>
        <v>-0.62</v>
      </c>
      <c r="H5" s="13">
        <f>INDEX(ENSO_monthly!$F:$F,MATCH("1984-11",ENSO_monthly!$A:$A,0))</f>
        <v>-0.95</v>
      </c>
      <c r="I5" s="13">
        <f>INDEX(ENSO_monthly!$F:$F,MATCH("1984-12",ENSO_monthly!$A:$A,0))</f>
        <v>-1.06</v>
      </c>
      <c r="J5" s="13">
        <f>INDEX(ENSO_monthly!$F:$F,MATCH("1985-01",ENSO_monthly!$A:$A,0))</f>
        <v>-1.01</v>
      </c>
      <c r="K5" s="13">
        <f>INDEX(ENSO_monthly!$F:$F,MATCH("1985-02",ENSO_monthly!$A:$A,0))</f>
        <v>-0.86</v>
      </c>
      <c r="L5" s="13">
        <f>INDEX(ENSO_monthly!$F:$F,MATCH("1985-03",ENSO_monthly!$A:$A,0))</f>
        <v>-0.85</v>
      </c>
      <c r="M5" s="13">
        <f>INDEX(ENSO_monthly!$F:$F,MATCH("1985-04",ENSO_monthly!$A:$A,0))</f>
        <v>-0.8</v>
      </c>
      <c r="N5" s="13">
        <f>INDEX(ENSO_monthly!$F:$F,MATCH("1985-05",ENSO_monthly!$A:$A,0))</f>
        <v>-0.79</v>
      </c>
      <c r="O5" s="13">
        <f>INDEX(ENSO_monthly!$F:$F,MATCH("1985-06",ENSO_monthly!$A:$A,0))</f>
        <v>-0.6</v>
      </c>
      <c r="P5" s="2">
        <f>COUNTIFS(ENSO_monthly!$M:$M,A5,ENSO_monthly!$L:$L,"El Niño*")</f>
        <v>0</v>
      </c>
      <c r="Q5" s="2">
        <f>COUNTIFS(ENSO_monthly!$M:$M,A5,ENSO_monthly!$L:$L,"La Niña*")</f>
        <v>9</v>
      </c>
      <c r="R5" s="3">
        <f>I5</f>
        <v>-1.06</v>
      </c>
      <c r="S5" s="3">
        <f>IF(MAX(D5:O5)&gt;=-MIN(D5:O5),MAX(D5:O5),MIN(D5:O5))</f>
        <v>-1.06</v>
      </c>
      <c r="T5" s="2" t="str">
        <f>INDEX(ENSO_monthly!$L:$L,MATCH("1984-12",ENSO_monthly!$A:$A,0))</f>
        <v>La Niña</v>
      </c>
      <c r="U5" s="12" t="str">
        <f>IF(LEFT(T5,7)="El Niño","El Niño",IF(LEFT(T5,7)="La Niña","La Niña","Neutral"))</f>
        <v>La Niña</v>
      </c>
      <c r="V5" s="2" t="str">
        <f>IF(U5="Neutral","",IF(ABS(ROUND(S5,1))&lt;1,"weak",IF(ABS(ROUND(S5,1))&lt;1.5,"moderate",IF(ABS(ROUND(S5,1))&lt;2,"strong","very strong"))))</f>
        <v>moderate</v>
      </c>
      <c r="W5" s="2" t="inlineStr">
        <is>
          <t xml:space="preserve">no</t>
        </is>
      </c>
      <c r="X5" t="inlineStr">
        <is>
          <t xml:space="preserve"/>
        </is>
      </c>
    </row>
    <row r="6">
      <c r="A6" s="8" t="inlineStr">
        <is>
          <t xml:space="preserve">1985/86</t>
        </is>
      </c>
      <c r="B6" s="9">
        <v>31229</v>
      </c>
      <c r="C6" s="9">
        <v>31593</v>
      </c>
      <c r="D6" s="3">
        <f>INDEX(ENSO_monthly!$F:$F,MATCH("1985-07",ENSO_monthly!$A:$A,0))</f>
        <v>-0.44</v>
      </c>
      <c r="E6" s="3">
        <f>INDEX(ENSO_monthly!$F:$F,MATCH("1985-08",ENSO_monthly!$A:$A,0))</f>
        <v>-0.33</v>
      </c>
      <c r="F6" s="3">
        <f>INDEX(ENSO_monthly!$F:$F,MATCH("1985-09",ENSO_monthly!$A:$A,0))</f>
        <v>-0.31</v>
      </c>
      <c r="G6" s="3">
        <f>INDEX(ENSO_monthly!$F:$F,MATCH("1985-10",ENSO_monthly!$A:$A,0))</f>
        <v>-0.3</v>
      </c>
      <c r="H6" s="3">
        <f>INDEX(ENSO_monthly!$F:$F,MATCH("1985-11",ENSO_monthly!$A:$A,0))</f>
        <v>-0.28</v>
      </c>
      <c r="I6" s="3">
        <f>INDEX(ENSO_monthly!$F:$F,MATCH("1985-12",ENSO_monthly!$A:$A,0))</f>
        <v>-0.36</v>
      </c>
      <c r="J6" s="3">
        <f>INDEX(ENSO_monthly!$F:$F,MATCH("1986-01",ENSO_monthly!$A:$A,0))</f>
        <v>-0.4</v>
      </c>
      <c r="K6" s="3">
        <f>INDEX(ENSO_monthly!$F:$F,MATCH("1986-02",ENSO_monthly!$A:$A,0))</f>
        <v>-0.38</v>
      </c>
      <c r="L6" s="3">
        <f>INDEX(ENSO_monthly!$F:$F,MATCH("1986-03",ENSO_monthly!$A:$A,0))</f>
        <v>-0.25</v>
      </c>
      <c r="M6" s="3">
        <f>INDEX(ENSO_monthly!$F:$F,MATCH("1986-04",ENSO_monthly!$A:$A,0))</f>
        <v>-0.17</v>
      </c>
      <c r="N6" s="3">
        <f>INDEX(ENSO_monthly!$F:$F,MATCH("1986-05",ENSO_monthly!$A:$A,0))</f>
        <v>-0.09</v>
      </c>
      <c r="O6" s="3">
        <f>INDEX(ENSO_monthly!$F:$F,MATCH("1986-06",ENSO_monthly!$A:$A,0))</f>
        <v>0.02</v>
      </c>
      <c r="P6" s="2">
        <f>COUNTIFS(ENSO_monthly!$M:$M,A6,ENSO_monthly!$L:$L,"El Niño*")</f>
        <v>0</v>
      </c>
      <c r="Q6" s="2">
        <f>COUNTIFS(ENSO_monthly!$M:$M,A6,ENSO_monthly!$L:$L,"La Niña*")</f>
        <v>0</v>
      </c>
      <c r="R6" s="3">
        <f>I6</f>
        <v>-0.36</v>
      </c>
      <c r="S6" s="3">
        <f>IF(MAX(D6:O6)&gt;=-MIN(D6:O6),MAX(D6:O6),MIN(D6:O6))</f>
        <v>-0.44</v>
      </c>
      <c r="T6" s="2" t="str">
        <f>INDEX(ENSO_monthly!$L:$L,MATCH("1985-12",ENSO_monthly!$A:$A,0))</f>
        <v>—</v>
      </c>
      <c r="U6" s="8" t="str">
        <f>IF(LEFT(T6,7)="El Niño","El Niño",IF(LEFT(T6,7)="La Niña","La Niña","Neutral"))</f>
        <v>Neutral</v>
      </c>
      <c r="V6" s="2" t="str">
        <f>IF(U6="Neutral","",IF(ABS(ROUND(S6,1))&lt;1,"weak",IF(ABS(ROUND(S6,1))&lt;1.5,"moderate",IF(ABS(ROUND(S6,1))&lt;2,"strong","very strong"))))</f>
        <v/>
      </c>
      <c r="W6" s="2" t="inlineStr">
        <is>
          <t xml:space="preserve">no</t>
        </is>
      </c>
      <c r="X6" t="inlineStr">
        <is>
          <t xml:space="preserve"/>
        </is>
      </c>
    </row>
    <row r="7">
      <c r="A7" s="11" t="inlineStr">
        <is>
          <t xml:space="preserve">1986/87</t>
        </is>
      </c>
      <c r="B7" s="9">
        <v>31594</v>
      </c>
      <c r="C7" s="9">
        <v>31958</v>
      </c>
      <c r="D7" s="3">
        <f>INDEX(ENSO_monthly!$F:$F,MATCH("1986-07",ENSO_monthly!$A:$A,0))</f>
        <v>0.24</v>
      </c>
      <c r="E7" s="10">
        <f>INDEX(ENSO_monthly!$F:$F,MATCH("1986-08",ENSO_monthly!$A:$A,0))</f>
        <v>0.46</v>
      </c>
      <c r="F7" s="10">
        <f>INDEX(ENSO_monthly!$F:$F,MATCH("1986-09",ENSO_monthly!$A:$A,0))</f>
        <v>0.64</v>
      </c>
      <c r="G7" s="10">
        <f>INDEX(ENSO_monthly!$F:$F,MATCH("1986-10",ENSO_monthly!$A:$A,0))</f>
        <v>0.86</v>
      </c>
      <c r="H7" s="10">
        <f>INDEX(ENSO_monthly!$F:$F,MATCH("1986-11",ENSO_monthly!$A:$A,0))</f>
        <v>1.06</v>
      </c>
      <c r="I7" s="10">
        <f>INDEX(ENSO_monthly!$F:$F,MATCH("1986-12",ENSO_monthly!$A:$A,0))</f>
        <v>1.21</v>
      </c>
      <c r="J7" s="10">
        <f>INDEX(ENSO_monthly!$F:$F,MATCH("1987-01",ENSO_monthly!$A:$A,0))</f>
        <v>1.18</v>
      </c>
      <c r="K7" s="10">
        <f>INDEX(ENSO_monthly!$F:$F,MATCH("1987-02",ENSO_monthly!$A:$A,0))</f>
        <v>1.13</v>
      </c>
      <c r="L7" s="10">
        <f>INDEX(ENSO_monthly!$F:$F,MATCH("1987-03",ENSO_monthly!$A:$A,0))</f>
        <v>1.02</v>
      </c>
      <c r="M7" s="10">
        <f>INDEX(ENSO_monthly!$F:$F,MATCH("1987-04",ENSO_monthly!$A:$A,0))</f>
        <v>0.94</v>
      </c>
      <c r="N7" s="10">
        <f>INDEX(ENSO_monthly!$F:$F,MATCH("1987-05",ENSO_monthly!$A:$A,0))</f>
        <v>0.95</v>
      </c>
      <c r="O7" s="10">
        <f>INDEX(ENSO_monthly!$F:$F,MATCH("1987-06",ENSO_monthly!$A:$A,0))</f>
        <v>1.11</v>
      </c>
      <c r="P7" s="2">
        <f>COUNTIFS(ENSO_monthly!$M:$M,A7,ENSO_monthly!$L:$L,"El Niño*")</f>
        <v>11</v>
      </c>
      <c r="Q7" s="2">
        <f>COUNTIFS(ENSO_monthly!$M:$M,A7,ENSO_monthly!$L:$L,"La Niña*")</f>
        <v>0</v>
      </c>
      <c r="R7" s="3">
        <f>I7</f>
        <v>1.21</v>
      </c>
      <c r="S7" s="3">
        <f>IF(MAX(D7:O7)&gt;=-MIN(D7:O7),MAX(D7:O7),MIN(D7:O7))</f>
        <v>1.21</v>
      </c>
      <c r="T7" s="2" t="str">
        <f>INDEX(ENSO_monthly!$L:$L,MATCH("1986-12",ENSO_monthly!$A:$A,0))</f>
        <v>El Niño</v>
      </c>
      <c r="U7" s="11" t="str">
        <f>IF(LEFT(T7,7)="El Niño","El Niño",IF(LEFT(T7,7)="La Niña","La Niña","Neutral"))</f>
        <v>El Niño</v>
      </c>
      <c r="V7" s="2" t="str">
        <f>IF(U7="Neutral","",IF(ABS(ROUND(S7,1))&lt;1,"weak",IF(ABS(ROUND(S7,1))&lt;1.5,"moderate",IF(ABS(ROUND(S7,1))&lt;2,"strong","very strong"))))</f>
        <v>moderate</v>
      </c>
      <c r="W7" s="2" t="inlineStr">
        <is>
          <t xml:space="preserve">no</t>
        </is>
      </c>
      <c r="X7" t="inlineStr">
        <is>
          <t xml:space="preserve"/>
        </is>
      </c>
    </row>
    <row r="8">
      <c r="A8" s="11" t="inlineStr">
        <is>
          <t xml:space="preserve">1987/88</t>
        </is>
      </c>
      <c r="B8" s="9">
        <v>31959</v>
      </c>
      <c r="C8" s="9">
        <v>32324</v>
      </c>
      <c r="D8" s="10">
        <f>INDEX(ENSO_monthly!$F:$F,MATCH("1987-07",ENSO_monthly!$A:$A,0))</f>
        <v>1.3</v>
      </c>
      <c r="E8" s="10">
        <f>INDEX(ENSO_monthly!$F:$F,MATCH("1987-08",ENSO_monthly!$A:$A,0))</f>
        <v>1.46</v>
      </c>
      <c r="F8" s="10">
        <f>INDEX(ENSO_monthly!$F:$F,MATCH("1987-09",ENSO_monthly!$A:$A,0))</f>
        <v>1.49</v>
      </c>
      <c r="G8" s="10">
        <f>INDEX(ENSO_monthly!$F:$F,MATCH("1987-10",ENSO_monthly!$A:$A,0))</f>
        <v>1.41</v>
      </c>
      <c r="H8" s="10">
        <f>INDEX(ENSO_monthly!$F:$F,MATCH("1987-11",ENSO_monthly!$A:$A,0))</f>
        <v>1.2</v>
      </c>
      <c r="I8" s="10">
        <f>INDEX(ENSO_monthly!$F:$F,MATCH("1987-12",ENSO_monthly!$A:$A,0))</f>
        <v>1.0</v>
      </c>
      <c r="J8" s="10">
        <f>INDEX(ENSO_monthly!$F:$F,MATCH("1988-01",ENSO_monthly!$A:$A,0))</f>
        <v>0.63</v>
      </c>
      <c r="K8" s="3">
        <f>INDEX(ENSO_monthly!$F:$F,MATCH("1988-02",ENSO_monthly!$A:$A,0))</f>
        <v>0.37</v>
      </c>
      <c r="L8" s="3">
        <f>INDEX(ENSO_monthly!$F:$F,MATCH("1988-03",ENSO_monthly!$A:$A,0))</f>
        <v>-0.03</v>
      </c>
      <c r="M8" s="13">
        <f>INDEX(ENSO_monthly!$F:$F,MATCH("1988-04",ENSO_monthly!$A:$A,0))</f>
        <v>-0.45</v>
      </c>
      <c r="N8" s="13">
        <f>INDEX(ENSO_monthly!$F:$F,MATCH("1988-05",ENSO_monthly!$A:$A,0))</f>
        <v>-0.99</v>
      </c>
      <c r="O8" s="13">
        <f>INDEX(ENSO_monthly!$F:$F,MATCH("1988-06",ENSO_monthly!$A:$A,0))</f>
        <v>-1.3</v>
      </c>
      <c r="P8" s="2">
        <f>COUNTIFS(ENSO_monthly!$M:$M,A8,ENSO_monthly!$L:$L,"El Niño*")</f>
        <v>7</v>
      </c>
      <c r="Q8" s="2">
        <f>COUNTIFS(ENSO_monthly!$M:$M,A8,ENSO_monthly!$L:$L,"La Niña*")</f>
        <v>3</v>
      </c>
      <c r="R8" s="3">
        <f>I8</f>
        <v>1.0</v>
      </c>
      <c r="S8" s="3">
        <f>IF(MAX(D8:O8)&gt;=-MIN(D8:O8),MAX(D8:O8),MIN(D8:O8))</f>
        <v>1.49</v>
      </c>
      <c r="T8" s="2" t="str">
        <f>INDEX(ENSO_monthly!$L:$L,MATCH("1987-12",ENSO_monthly!$A:$A,0))</f>
        <v>El Niño</v>
      </c>
      <c r="U8" s="11" t="str">
        <f>IF(LEFT(T8,7)="El Niño","El Niño",IF(LEFT(T8,7)="La Niña","La Niña","Neutral"))</f>
        <v>El Niño</v>
      </c>
      <c r="V8" s="2" t="str">
        <f>IF(U8="Neutral","",IF(ABS(ROUND(S8,1))&lt;1,"weak",IF(ABS(ROUND(S8,1))&lt;1.5,"moderate",IF(ABS(ROUND(S8,1))&lt;2,"strong","very strong"))))</f>
        <v>strong</v>
      </c>
      <c r="W8" s="2" t="inlineStr">
        <is>
          <t xml:space="preserve">no</t>
        </is>
      </c>
      <c r="X8" t="inlineStr">
        <is>
          <t xml:space="preserve"/>
        </is>
      </c>
    </row>
    <row r="9">
      <c r="A9" s="12" t="inlineStr">
        <is>
          <t xml:space="preserve">1988/89</t>
        </is>
      </c>
      <c r="B9" s="9">
        <v>32325</v>
      </c>
      <c r="C9" s="9">
        <v>32689</v>
      </c>
      <c r="D9" s="13">
        <f>INDEX(ENSO_monthly!$F:$F,MATCH("1988-07",ENSO_monthly!$A:$A,0))</f>
        <v>-1.3</v>
      </c>
      <c r="E9" s="13">
        <f>INDEX(ENSO_monthly!$F:$F,MATCH("1988-08",ENSO_monthly!$A:$A,0))</f>
        <v>-1.14</v>
      </c>
      <c r="F9" s="13">
        <f>INDEX(ENSO_monthly!$F:$F,MATCH("1988-09",ENSO_monthly!$A:$A,0))</f>
        <v>-1.27</v>
      </c>
      <c r="G9" s="13">
        <f>INDEX(ENSO_monthly!$F:$F,MATCH("1988-10",ENSO_monthly!$A:$A,0))</f>
        <v>-1.54</v>
      </c>
      <c r="H9" s="13">
        <f>INDEX(ENSO_monthly!$F:$F,MATCH("1988-11",ENSO_monthly!$A:$A,0))</f>
        <v>-1.81</v>
      </c>
      <c r="I9" s="13">
        <f>INDEX(ENSO_monthly!$F:$F,MATCH("1988-12",ENSO_monthly!$A:$A,0))</f>
        <v>-1.85</v>
      </c>
      <c r="J9" s="13">
        <f>INDEX(ENSO_monthly!$F:$F,MATCH("1989-01",ENSO_monthly!$A:$A,0))</f>
        <v>-1.64</v>
      </c>
      <c r="K9" s="13">
        <f>INDEX(ENSO_monthly!$F:$F,MATCH("1989-02",ENSO_monthly!$A:$A,0))</f>
        <v>-1.38</v>
      </c>
      <c r="L9" s="13">
        <f>INDEX(ENSO_monthly!$F:$F,MATCH("1989-03",ENSO_monthly!$A:$A,0))</f>
        <v>-1.09</v>
      </c>
      <c r="M9" s="13">
        <f>INDEX(ENSO_monthly!$F:$F,MATCH("1989-04",ENSO_monthly!$A:$A,0))</f>
        <v>-0.85</v>
      </c>
      <c r="N9" s="13">
        <f>INDEX(ENSO_monthly!$F:$F,MATCH("1989-05",ENSO_monthly!$A:$A,0))</f>
        <v>-0.61</v>
      </c>
      <c r="O9" s="3">
        <f>INDEX(ENSO_monthly!$F:$F,MATCH("1989-06",ENSO_monthly!$A:$A,0))</f>
        <v>-0.4</v>
      </c>
      <c r="P9" s="2">
        <f>COUNTIFS(ENSO_monthly!$M:$M,A9,ENSO_monthly!$L:$L,"El Niño*")</f>
        <v>0</v>
      </c>
      <c r="Q9" s="2">
        <f>COUNTIFS(ENSO_monthly!$M:$M,A9,ENSO_monthly!$L:$L,"La Niña*")</f>
        <v>11</v>
      </c>
      <c r="R9" s="3">
        <f>I9</f>
        <v>-1.85</v>
      </c>
      <c r="S9" s="3">
        <f>IF(MAX(D9:O9)&gt;=-MIN(D9:O9),MAX(D9:O9),MIN(D9:O9))</f>
        <v>-1.85</v>
      </c>
      <c r="T9" s="2" t="str">
        <f>INDEX(ENSO_monthly!$L:$L,MATCH("1988-12",ENSO_monthly!$A:$A,0))</f>
        <v>La Niña</v>
      </c>
      <c r="U9" s="12" t="str">
        <f>IF(LEFT(T9,7)="El Niño","El Niño",IF(LEFT(T9,7)="La Niña","La Niña","Neutral"))</f>
        <v>La Niña</v>
      </c>
      <c r="V9" s="2" t="str">
        <f>IF(U9="Neutral","",IF(ABS(ROUND(S9,1))&lt;1,"weak",IF(ABS(ROUND(S9,1))&lt;1.5,"moderate",IF(ABS(ROUND(S9,1))&lt;2,"strong","very strong"))))</f>
        <v>strong</v>
      </c>
      <c r="W9" s="2" t="inlineStr">
        <is>
          <t xml:space="preserve">no</t>
        </is>
      </c>
      <c r="X9" t="inlineStr">
        <is>
          <t xml:space="preserve"/>
        </is>
      </c>
    </row>
    <row r="10">
      <c r="A10" s="8" t="inlineStr">
        <is>
          <t xml:space="preserve">1989/90</t>
        </is>
      </c>
      <c r="B10" s="9">
        <v>32690</v>
      </c>
      <c r="C10" s="9">
        <v>33054</v>
      </c>
      <c r="D10" s="3">
        <f>INDEX(ENSO_monthly!$F:$F,MATCH("1989-07",ENSO_monthly!$A:$A,0))</f>
        <v>-0.37</v>
      </c>
      <c r="E10" s="3">
        <f>INDEX(ENSO_monthly!$F:$F,MATCH("1989-08",ENSO_monthly!$A:$A,0))</f>
        <v>-0.36</v>
      </c>
      <c r="F10" s="3">
        <f>INDEX(ENSO_monthly!$F:$F,MATCH("1989-09",ENSO_monthly!$A:$A,0))</f>
        <v>-0.33</v>
      </c>
      <c r="G10" s="3">
        <f>INDEX(ENSO_monthly!$F:$F,MATCH("1989-10",ENSO_monthly!$A:$A,0))</f>
        <v>-0.25</v>
      </c>
      <c r="H10" s="3">
        <f>INDEX(ENSO_monthly!$F:$F,MATCH("1989-11",ENSO_monthly!$A:$A,0))</f>
        <v>-0.12</v>
      </c>
      <c r="I10" s="3">
        <f>INDEX(ENSO_monthly!$F:$F,MATCH("1989-12",ENSO_monthly!$A:$A,0))</f>
        <v>-0.04</v>
      </c>
      <c r="J10" s="3">
        <f>INDEX(ENSO_monthly!$F:$F,MATCH("1990-01",ENSO_monthly!$A:$A,0))</f>
        <v>0.18</v>
      </c>
      <c r="K10" s="3">
        <f>INDEX(ENSO_monthly!$F:$F,MATCH("1990-02",ENSO_monthly!$A:$A,0))</f>
        <v>0.19</v>
      </c>
      <c r="L10" s="3">
        <f>INDEX(ENSO_monthly!$F:$F,MATCH("1990-03",ENSO_monthly!$A:$A,0))</f>
        <v>0.3</v>
      </c>
      <c r="M10" s="3">
        <f>INDEX(ENSO_monthly!$F:$F,MATCH("1990-04",ENSO_monthly!$A:$A,0))</f>
        <v>0.27</v>
      </c>
      <c r="N10" s="3">
        <f>INDEX(ENSO_monthly!$F:$F,MATCH("1990-05",ENSO_monthly!$A:$A,0))</f>
        <v>0.25</v>
      </c>
      <c r="O10" s="3">
        <f>INDEX(ENSO_monthly!$F:$F,MATCH("1990-06",ENSO_monthly!$A:$A,0))</f>
        <v>0.25</v>
      </c>
      <c r="P10" s="2">
        <f>COUNTIFS(ENSO_monthly!$M:$M,A10,ENSO_monthly!$L:$L,"El Niño*")</f>
        <v>0</v>
      </c>
      <c r="Q10" s="2">
        <f>COUNTIFS(ENSO_monthly!$M:$M,A10,ENSO_monthly!$L:$L,"La Niña*")</f>
        <v>0</v>
      </c>
      <c r="R10" s="3">
        <f>I10</f>
        <v>-0.04</v>
      </c>
      <c r="S10" s="3">
        <f>IF(MAX(D10:O10)&gt;=-MIN(D10:O10),MAX(D10:O10),MIN(D10:O10))</f>
        <v>-0.37</v>
      </c>
      <c r="T10" s="2" t="str">
        <f>INDEX(ENSO_monthly!$L:$L,MATCH("1989-12",ENSO_monthly!$A:$A,0))</f>
        <v>—</v>
      </c>
      <c r="U10" s="8" t="str">
        <f>IF(LEFT(T10,7)="El Niño","El Niño",IF(LEFT(T10,7)="La Niña","La Niña","Neutral"))</f>
        <v>Neutral</v>
      </c>
      <c r="V10" s="2" t="str">
        <f>IF(U10="Neutral","",IF(ABS(ROUND(S10,1))&lt;1,"weak",IF(ABS(ROUND(S10,1))&lt;1.5,"moderate",IF(ABS(ROUND(S10,1))&lt;2,"strong","very strong"))))</f>
        <v/>
      </c>
      <c r="W10" s="2" t="inlineStr">
        <is>
          <t xml:space="preserve">no</t>
        </is>
      </c>
      <c r="X10" t="inlineStr">
        <is>
          <t xml:space="preserve"/>
        </is>
      </c>
    </row>
    <row r="11">
      <c r="A11" s="8" t="inlineStr">
        <is>
          <t xml:space="preserve">1990/91</t>
        </is>
      </c>
      <c r="B11" s="9">
        <v>33055</v>
      </c>
      <c r="C11" s="9">
        <v>33419</v>
      </c>
      <c r="D11" s="3">
        <f>INDEX(ENSO_monthly!$F:$F,MATCH("1990-07",ENSO_monthly!$A:$A,0))</f>
        <v>0.26</v>
      </c>
      <c r="E11" s="3">
        <f>INDEX(ENSO_monthly!$F:$F,MATCH("1990-08",ENSO_monthly!$A:$A,0))</f>
        <v>0.32</v>
      </c>
      <c r="F11" s="3">
        <f>INDEX(ENSO_monthly!$F:$F,MATCH("1990-09",ENSO_monthly!$A:$A,0))</f>
        <v>0.31</v>
      </c>
      <c r="G11" s="3">
        <f>INDEX(ENSO_monthly!$F:$F,MATCH("1990-10",ENSO_monthly!$A:$A,0))</f>
        <v>0.27</v>
      </c>
      <c r="H11" s="3">
        <f>INDEX(ENSO_monthly!$F:$F,MATCH("1990-11",ENSO_monthly!$A:$A,0))</f>
        <v>0.31</v>
      </c>
      <c r="I11" s="3">
        <f>INDEX(ENSO_monthly!$F:$F,MATCH("1990-12",ENSO_monthly!$A:$A,0))</f>
        <v>0.34</v>
      </c>
      <c r="J11" s="3">
        <f>INDEX(ENSO_monthly!$F:$F,MATCH("1991-01",ENSO_monthly!$A:$A,0))</f>
        <v>0.35</v>
      </c>
      <c r="K11" s="3">
        <f>INDEX(ENSO_monthly!$F:$F,MATCH("1991-02",ENSO_monthly!$A:$A,0))</f>
        <v>0.26</v>
      </c>
      <c r="L11" s="3">
        <f>INDEX(ENSO_monthly!$F:$F,MATCH("1991-03",ENSO_monthly!$A:$A,0))</f>
        <v>0.23</v>
      </c>
      <c r="M11" s="3">
        <f>INDEX(ENSO_monthly!$F:$F,MATCH("1991-04",ENSO_monthly!$A:$A,0))</f>
        <v>0.29</v>
      </c>
      <c r="N11" s="10">
        <f>INDEX(ENSO_monthly!$F:$F,MATCH("1991-05",ENSO_monthly!$A:$A,0))</f>
        <v>0.49</v>
      </c>
      <c r="O11" s="10">
        <f>INDEX(ENSO_monthly!$F:$F,MATCH("1991-06",ENSO_monthly!$A:$A,0))</f>
        <v>0.63</v>
      </c>
      <c r="P11" s="2">
        <f>COUNTIFS(ENSO_monthly!$M:$M,A11,ENSO_monthly!$L:$L,"El Niño*")</f>
        <v>2</v>
      </c>
      <c r="Q11" s="2">
        <f>COUNTIFS(ENSO_monthly!$M:$M,A11,ENSO_monthly!$L:$L,"La Niña*")</f>
        <v>0</v>
      </c>
      <c r="R11" s="3">
        <f>I11</f>
        <v>0.34</v>
      </c>
      <c r="S11" s="3">
        <f>IF(MAX(D11:O11)&gt;=-MIN(D11:O11),MAX(D11:O11),MIN(D11:O11))</f>
        <v>0.63</v>
      </c>
      <c r="T11" s="2" t="str">
        <f>INDEX(ENSO_monthly!$L:$L,MATCH("1990-12",ENSO_monthly!$A:$A,0))</f>
        <v>—</v>
      </c>
      <c r="U11" s="8" t="str">
        <f>IF(LEFT(T11,7)="El Niño","El Niño",IF(LEFT(T11,7)="La Niña","La Niña","Neutral"))</f>
        <v>Neutral</v>
      </c>
      <c r="V11" s="2" t="str">
        <f>IF(U11="Neutral","",IF(ABS(ROUND(S11,1))&lt;1,"weak",IF(ABS(ROUND(S11,1))&lt;1.5,"moderate",IF(ABS(ROUND(S11,1))&lt;2,"strong","very strong"))))</f>
        <v/>
      </c>
      <c r="W11" s="2" t="inlineStr">
        <is>
          <t xml:space="preserve">no</t>
        </is>
      </c>
      <c r="X11" t="inlineStr">
        <is>
          <t xml:space="preserve"/>
        </is>
      </c>
    </row>
    <row r="12">
      <c r="A12" s="11" t="inlineStr">
        <is>
          <t xml:space="preserve">1991/92</t>
        </is>
      </c>
      <c r="B12" s="9">
        <v>33420</v>
      </c>
      <c r="C12" s="9">
        <v>33785</v>
      </c>
      <c r="D12" s="10">
        <f>INDEX(ENSO_monthly!$F:$F,MATCH("1991-07",ENSO_monthly!$A:$A,0))</f>
        <v>0.77</v>
      </c>
      <c r="E12" s="10">
        <f>INDEX(ENSO_monthly!$F:$F,MATCH("1991-08",ENSO_monthly!$A:$A,0))</f>
        <v>0.67</v>
      </c>
      <c r="F12" s="10">
        <f>INDEX(ENSO_monthly!$F:$F,MATCH("1991-09",ENSO_monthly!$A:$A,0))</f>
        <v>0.72</v>
      </c>
      <c r="G12" s="10">
        <f>INDEX(ENSO_monthly!$F:$F,MATCH("1991-10",ENSO_monthly!$A:$A,0))</f>
        <v>0.83</v>
      </c>
      <c r="H12" s="10">
        <f>INDEX(ENSO_monthly!$F:$F,MATCH("1991-11",ENSO_monthly!$A:$A,0))</f>
        <v>1.18</v>
      </c>
      <c r="I12" s="10">
        <f>INDEX(ENSO_monthly!$F:$F,MATCH("1991-12",ENSO_monthly!$A:$A,0))</f>
        <v>1.43</v>
      </c>
      <c r="J12" s="10">
        <f>INDEX(ENSO_monthly!$F:$F,MATCH("1992-01",ENSO_monthly!$A:$A,0))</f>
        <v>1.54</v>
      </c>
      <c r="K12" s="10">
        <f>INDEX(ENSO_monthly!$F:$F,MATCH("1992-02",ENSO_monthly!$A:$A,0))</f>
        <v>1.5</v>
      </c>
      <c r="L12" s="10">
        <f>INDEX(ENSO_monthly!$F:$F,MATCH("1992-03",ENSO_monthly!$A:$A,0))</f>
        <v>1.4</v>
      </c>
      <c r="M12" s="10">
        <f>INDEX(ENSO_monthly!$F:$F,MATCH("1992-04",ENSO_monthly!$A:$A,0))</f>
        <v>1.3</v>
      </c>
      <c r="N12" s="10">
        <f>INDEX(ENSO_monthly!$F:$F,MATCH("1992-05",ENSO_monthly!$A:$A,0))</f>
        <v>1.08</v>
      </c>
      <c r="O12" s="10">
        <f>INDEX(ENSO_monthly!$F:$F,MATCH("1992-06",ENSO_monthly!$A:$A,0))</f>
        <v>0.72</v>
      </c>
      <c r="P12" s="2">
        <f>COUNTIFS(ENSO_monthly!$M:$M,A12,ENSO_monthly!$L:$L,"El Niño*")</f>
        <v>12</v>
      </c>
      <c r="Q12" s="2">
        <f>COUNTIFS(ENSO_monthly!$M:$M,A12,ENSO_monthly!$L:$L,"La Niña*")</f>
        <v>0</v>
      </c>
      <c r="R12" s="3">
        <f>I12</f>
        <v>1.43</v>
      </c>
      <c r="S12" s="3">
        <f>IF(MAX(D12:O12)&gt;=-MIN(D12:O12),MAX(D12:O12),MIN(D12:O12))</f>
        <v>1.54</v>
      </c>
      <c r="T12" s="2" t="str">
        <f>INDEX(ENSO_monthly!$L:$L,MATCH("1991-12",ENSO_monthly!$A:$A,0))</f>
        <v>El Niño</v>
      </c>
      <c r="U12" s="11" t="str">
        <f>IF(LEFT(T12,7)="El Niño","El Niño",IF(LEFT(T12,7)="La Niña","La Niña","Neutral"))</f>
        <v>El Niño</v>
      </c>
      <c r="V12" s="2" t="str">
        <f>IF(U12="Neutral","",IF(ABS(ROUND(S12,1))&lt;1,"weak",IF(ABS(ROUND(S12,1))&lt;1.5,"moderate",IF(ABS(ROUND(S12,1))&lt;2,"strong","very strong"))))</f>
        <v>strong</v>
      </c>
      <c r="W12" s="2" t="inlineStr">
        <is>
          <t xml:space="preserve">no</t>
        </is>
      </c>
      <c r="X12" t="inlineStr">
        <is>
          <t xml:space="preserve"/>
        </is>
      </c>
    </row>
    <row r="13">
      <c r="A13" s="8" t="inlineStr">
        <is>
          <t xml:space="preserve">1992/93</t>
        </is>
      </c>
      <c r="B13" s="9">
        <v>33786</v>
      </c>
      <c r="C13" s="9">
        <v>34150</v>
      </c>
      <c r="D13" s="3">
        <f>INDEX(ENSO_monthly!$F:$F,MATCH("1992-07",ENSO_monthly!$A:$A,0))</f>
        <v>0.35</v>
      </c>
      <c r="E13" s="3">
        <f>INDEX(ENSO_monthly!$F:$F,MATCH("1992-08",ENSO_monthly!$A:$A,0))</f>
        <v>0.08</v>
      </c>
      <c r="F13" s="3">
        <f>INDEX(ENSO_monthly!$F:$F,MATCH("1992-09",ENSO_monthly!$A:$A,0))</f>
        <v>-0.15</v>
      </c>
      <c r="G13" s="3">
        <f>INDEX(ENSO_monthly!$F:$F,MATCH("1992-10",ENSO_monthly!$A:$A,0))</f>
        <v>-0.22</v>
      </c>
      <c r="H13" s="3">
        <f>INDEX(ENSO_monthly!$F:$F,MATCH("1992-11",ENSO_monthly!$A:$A,0))</f>
        <v>-0.24</v>
      </c>
      <c r="I13" s="3">
        <f>INDEX(ENSO_monthly!$F:$F,MATCH("1992-12",ENSO_monthly!$A:$A,0))</f>
        <v>-0.05</v>
      </c>
      <c r="J13" s="3">
        <f>INDEX(ENSO_monthly!$F:$F,MATCH("1993-01",ENSO_monthly!$A:$A,0))</f>
        <v>0.13</v>
      </c>
      <c r="K13" s="3">
        <f>INDEX(ENSO_monthly!$F:$F,MATCH("1993-02",ENSO_monthly!$A:$A,0))</f>
        <v>0.31</v>
      </c>
      <c r="L13" s="3">
        <f>INDEX(ENSO_monthly!$F:$F,MATCH("1993-03",ENSO_monthly!$A:$A,0))</f>
        <v>0.5</v>
      </c>
      <c r="M13" s="3">
        <f>INDEX(ENSO_monthly!$F:$F,MATCH("1993-04",ENSO_monthly!$A:$A,0))</f>
        <v>0.73</v>
      </c>
      <c r="N13" s="3">
        <f>INDEX(ENSO_monthly!$F:$F,MATCH("1993-05",ENSO_monthly!$A:$A,0))</f>
        <v>0.76</v>
      </c>
      <c r="O13" s="3">
        <f>INDEX(ENSO_monthly!$F:$F,MATCH("1993-06",ENSO_monthly!$A:$A,0))</f>
        <v>0.56</v>
      </c>
      <c r="P13" s="2">
        <f>COUNTIFS(ENSO_monthly!$M:$M,A13,ENSO_monthly!$L:$L,"El Niño*")</f>
        <v>0</v>
      </c>
      <c r="Q13" s="2">
        <f>COUNTIFS(ENSO_monthly!$M:$M,A13,ENSO_monthly!$L:$L,"La Niña*")</f>
        <v>0</v>
      </c>
      <c r="R13" s="3">
        <f>I13</f>
        <v>-0.05</v>
      </c>
      <c r="S13" s="3">
        <f>IF(MAX(D13:O13)&gt;=-MIN(D13:O13),MAX(D13:O13),MIN(D13:O13))</f>
        <v>0.76</v>
      </c>
      <c r="T13" s="2" t="str">
        <f>INDEX(ENSO_monthly!$L:$L,MATCH("1992-12",ENSO_monthly!$A:$A,0))</f>
        <v>—</v>
      </c>
      <c r="U13" s="8" t="str">
        <f>IF(LEFT(T13,7)="El Niño","El Niño",IF(LEFT(T13,7)="La Niña","La Niña","Neutral"))</f>
        <v>Neutral</v>
      </c>
      <c r="V13" s="2" t="str">
        <f>IF(U13="Neutral","",IF(ABS(ROUND(S13,1))&lt;1,"weak",IF(ABS(ROUND(S13,1))&lt;1.5,"moderate",IF(ABS(ROUND(S13,1))&lt;2,"strong","very strong"))))</f>
        <v/>
      </c>
      <c r="W13" s="2" t="inlineStr">
        <is>
          <t xml:space="preserve">no</t>
        </is>
      </c>
      <c r="X13" t="inlineStr">
        <is>
          <t xml:space="preserve"/>
        </is>
      </c>
    </row>
    <row r="14">
      <c r="A14" s="8" t="inlineStr">
        <is>
          <t xml:space="preserve">1993/94</t>
        </is>
      </c>
      <c r="B14" s="9">
        <v>34151</v>
      </c>
      <c r="C14" s="9">
        <v>34515</v>
      </c>
      <c r="D14" s="3">
        <f>INDEX(ENSO_monthly!$F:$F,MATCH("1993-07",ENSO_monthly!$A:$A,0))</f>
        <v>0.28</v>
      </c>
      <c r="E14" s="3">
        <f>INDEX(ENSO_monthly!$F:$F,MATCH("1993-08",ENSO_monthly!$A:$A,0))</f>
        <v>0.22</v>
      </c>
      <c r="F14" s="3">
        <f>INDEX(ENSO_monthly!$F:$F,MATCH("1993-09",ENSO_monthly!$A:$A,0))</f>
        <v>0.2</v>
      </c>
      <c r="G14" s="3">
        <f>INDEX(ENSO_monthly!$F:$F,MATCH("1993-10",ENSO_monthly!$A:$A,0))</f>
        <v>0.2</v>
      </c>
      <c r="H14" s="3">
        <f>INDEX(ENSO_monthly!$F:$F,MATCH("1993-11",ENSO_monthly!$A:$A,0))</f>
        <v>0.2</v>
      </c>
      <c r="I14" s="3">
        <f>INDEX(ENSO_monthly!$F:$F,MATCH("1993-12",ENSO_monthly!$A:$A,0))</f>
        <v>0.19</v>
      </c>
      <c r="J14" s="3">
        <f>INDEX(ENSO_monthly!$F:$F,MATCH("1994-01",ENSO_monthly!$A:$A,0))</f>
        <v>0.07</v>
      </c>
      <c r="K14" s="3">
        <f>INDEX(ENSO_monthly!$F:$F,MATCH("1994-02",ENSO_monthly!$A:$A,0))</f>
        <v>0.0</v>
      </c>
      <c r="L14" s="3">
        <f>INDEX(ENSO_monthly!$F:$F,MATCH("1994-03",ENSO_monthly!$A:$A,0))</f>
        <v>0.04</v>
      </c>
      <c r="M14" s="3">
        <f>INDEX(ENSO_monthly!$F:$F,MATCH("1994-04",ENSO_monthly!$A:$A,0))</f>
        <v>0.17</v>
      </c>
      <c r="N14" s="3">
        <f>INDEX(ENSO_monthly!$F:$F,MATCH("1994-05",ENSO_monthly!$A:$A,0))</f>
        <v>0.25</v>
      </c>
      <c r="O14" s="3">
        <f>INDEX(ENSO_monthly!$F:$F,MATCH("1994-06",ENSO_monthly!$A:$A,0))</f>
        <v>0.23</v>
      </c>
      <c r="P14" s="2">
        <f>COUNTIFS(ENSO_monthly!$M:$M,A14,ENSO_monthly!$L:$L,"El Niño*")</f>
        <v>0</v>
      </c>
      <c r="Q14" s="2">
        <f>COUNTIFS(ENSO_monthly!$M:$M,A14,ENSO_monthly!$L:$L,"La Niña*")</f>
        <v>0</v>
      </c>
      <c r="R14" s="3">
        <f>I14</f>
        <v>0.19</v>
      </c>
      <c r="S14" s="3">
        <f>IF(MAX(D14:O14)&gt;=-MIN(D14:O14),MAX(D14:O14),MIN(D14:O14))</f>
        <v>0.28</v>
      </c>
      <c r="T14" s="2" t="str">
        <f>INDEX(ENSO_monthly!$L:$L,MATCH("1993-12",ENSO_monthly!$A:$A,0))</f>
        <v>—</v>
      </c>
      <c r="U14" s="8" t="str">
        <f>IF(LEFT(T14,7)="El Niño","El Niño",IF(LEFT(T14,7)="La Niña","La Niña","Neutral"))</f>
        <v>Neutral</v>
      </c>
      <c r="V14" s="2" t="str">
        <f>IF(U14="Neutral","",IF(ABS(ROUND(S14,1))&lt;1,"weak",IF(ABS(ROUND(S14,1))&lt;1.5,"moderate",IF(ABS(ROUND(S14,1))&lt;2,"strong","very strong"))))</f>
        <v/>
      </c>
      <c r="W14" s="2" t="inlineStr">
        <is>
          <t xml:space="preserve">no</t>
        </is>
      </c>
      <c r="X14" t="inlineStr">
        <is>
          <t xml:space="preserve"/>
        </is>
      </c>
    </row>
    <row r="15">
      <c r="A15" s="11" t="inlineStr">
        <is>
          <t xml:space="preserve">1994/95</t>
        </is>
      </c>
      <c r="B15" s="9">
        <v>34516</v>
      </c>
      <c r="C15" s="9">
        <v>34880</v>
      </c>
      <c r="D15" s="3">
        <f>INDEX(ENSO_monthly!$F:$F,MATCH("1994-07",ENSO_monthly!$A:$A,0))</f>
        <v>0.3</v>
      </c>
      <c r="E15" s="3">
        <f>INDEX(ENSO_monthly!$F:$F,MATCH("1994-08",ENSO_monthly!$A:$A,0))</f>
        <v>0.3</v>
      </c>
      <c r="F15" s="10">
        <f>INDEX(ENSO_monthly!$F:$F,MATCH("1994-09",ENSO_monthly!$A:$A,0))</f>
        <v>0.47</v>
      </c>
      <c r="G15" s="10">
        <f>INDEX(ENSO_monthly!$F:$F,MATCH("1994-10",ENSO_monthly!$A:$A,0))</f>
        <v>0.66</v>
      </c>
      <c r="H15" s="10">
        <f>INDEX(ENSO_monthly!$F:$F,MATCH("1994-11",ENSO_monthly!$A:$A,0))</f>
        <v>0.93</v>
      </c>
      <c r="I15" s="10">
        <f>INDEX(ENSO_monthly!$F:$F,MATCH("1994-12",ENSO_monthly!$A:$A,0))</f>
        <v>0.97</v>
      </c>
      <c r="J15" s="10">
        <f>INDEX(ENSO_monthly!$F:$F,MATCH("1995-01",ENSO_monthly!$A:$A,0))</f>
        <v>0.88</v>
      </c>
      <c r="K15" s="10">
        <f>INDEX(ENSO_monthly!$F:$F,MATCH("1995-02",ENSO_monthly!$A:$A,0))</f>
        <v>0.65</v>
      </c>
      <c r="L15" s="10">
        <f>INDEX(ENSO_monthly!$F:$F,MATCH("1995-03",ENSO_monthly!$A:$A,0))</f>
        <v>0.46</v>
      </c>
      <c r="M15" s="3">
        <f>INDEX(ENSO_monthly!$F:$F,MATCH("1995-04",ENSO_monthly!$A:$A,0))</f>
        <v>0.19</v>
      </c>
      <c r="N15" s="3">
        <f>INDEX(ENSO_monthly!$F:$F,MATCH("1995-05",ENSO_monthly!$A:$A,0))</f>
        <v>0.03</v>
      </c>
      <c r="O15" s="3">
        <f>INDEX(ENSO_monthly!$F:$F,MATCH("1995-06",ENSO_monthly!$A:$A,0))</f>
        <v>-0.11</v>
      </c>
      <c r="P15" s="2">
        <f>COUNTIFS(ENSO_monthly!$M:$M,A15,ENSO_monthly!$L:$L,"El Niño*")</f>
        <v>7</v>
      </c>
      <c r="Q15" s="2">
        <f>COUNTIFS(ENSO_monthly!$M:$M,A15,ENSO_monthly!$L:$L,"La Niña*")</f>
        <v>0</v>
      </c>
      <c r="R15" s="3">
        <f>I15</f>
        <v>0.97</v>
      </c>
      <c r="S15" s="3">
        <f>IF(MAX(D15:O15)&gt;=-MIN(D15:O15),MAX(D15:O15),MIN(D15:O15))</f>
        <v>0.97</v>
      </c>
      <c r="T15" s="2" t="str">
        <f>INDEX(ENSO_monthly!$L:$L,MATCH("1994-12",ENSO_monthly!$A:$A,0))</f>
        <v>El Niño</v>
      </c>
      <c r="U15" s="11" t="str">
        <f>IF(LEFT(T15,7)="El Niño","El Niño",IF(LEFT(T15,7)="La Niña","La Niña","Neutral"))</f>
        <v>El Niño</v>
      </c>
      <c r="V15" s="2" t="str">
        <f>IF(U15="Neutral","",IF(ABS(ROUND(S15,1))&lt;1,"weak",IF(ABS(ROUND(S15,1))&lt;1.5,"moderate",IF(ABS(ROUND(S15,1))&lt;2,"strong","very strong"))))</f>
        <v>moderate</v>
      </c>
      <c r="W15" s="2" t="inlineStr">
        <is>
          <t xml:space="preserve">no</t>
        </is>
      </c>
      <c r="X15" t="inlineStr">
        <is>
          <t xml:space="preserve"/>
        </is>
      </c>
    </row>
    <row r="16">
      <c r="A16" s="12" t="inlineStr">
        <is>
          <t xml:space="preserve">1995/96</t>
        </is>
      </c>
      <c r="B16" s="9">
        <v>34881</v>
      </c>
      <c r="C16" s="9">
        <v>35246</v>
      </c>
      <c r="D16" s="3">
        <f>INDEX(ENSO_monthly!$F:$F,MATCH("1995-07",ENSO_monthly!$A:$A,0))</f>
        <v>-0.3</v>
      </c>
      <c r="E16" s="13">
        <f>INDEX(ENSO_monthly!$F:$F,MATCH("1995-08",ENSO_monthly!$A:$A,0))</f>
        <v>-0.55</v>
      </c>
      <c r="F16" s="13">
        <f>INDEX(ENSO_monthly!$F:$F,MATCH("1995-09",ENSO_monthly!$A:$A,0))</f>
        <v>-0.81</v>
      </c>
      <c r="G16" s="13">
        <f>INDEX(ENSO_monthly!$F:$F,MATCH("1995-10",ENSO_monthly!$A:$A,0))</f>
        <v>-0.97</v>
      </c>
      <c r="H16" s="13">
        <f>INDEX(ENSO_monthly!$F:$F,MATCH("1995-11",ENSO_monthly!$A:$A,0))</f>
        <v>-1.05</v>
      </c>
      <c r="I16" s="13">
        <f>INDEX(ENSO_monthly!$F:$F,MATCH("1995-12",ENSO_monthly!$A:$A,0))</f>
        <v>-1.01</v>
      </c>
      <c r="J16" s="13">
        <f>INDEX(ENSO_monthly!$F:$F,MATCH("1996-01",ENSO_monthly!$A:$A,0))</f>
        <v>-0.88</v>
      </c>
      <c r="K16" s="13">
        <f>INDEX(ENSO_monthly!$F:$F,MATCH("1996-02",ENSO_monthly!$A:$A,0))</f>
        <v>-0.7</v>
      </c>
      <c r="L16" s="13">
        <f>INDEX(ENSO_monthly!$F:$F,MATCH("1996-03",ENSO_monthly!$A:$A,0))</f>
        <v>-0.52</v>
      </c>
      <c r="M16" s="3">
        <f>INDEX(ENSO_monthly!$F:$F,MATCH("1996-04",ENSO_monthly!$A:$A,0))</f>
        <v>-0.36</v>
      </c>
      <c r="N16" s="3">
        <f>INDEX(ENSO_monthly!$F:$F,MATCH("1996-05",ENSO_monthly!$A:$A,0))</f>
        <v>-0.25</v>
      </c>
      <c r="O16" s="3">
        <f>INDEX(ENSO_monthly!$F:$F,MATCH("1996-06",ENSO_monthly!$A:$A,0))</f>
        <v>-0.24</v>
      </c>
      <c r="P16" s="2">
        <f>COUNTIFS(ENSO_monthly!$M:$M,A16,ENSO_monthly!$L:$L,"El Niño*")</f>
        <v>0</v>
      </c>
      <c r="Q16" s="2">
        <f>COUNTIFS(ENSO_monthly!$M:$M,A16,ENSO_monthly!$L:$L,"La Niña*")</f>
        <v>8</v>
      </c>
      <c r="R16" s="3">
        <f>I16</f>
        <v>-1.01</v>
      </c>
      <c r="S16" s="3">
        <f>IF(MAX(D16:O16)&gt;=-MIN(D16:O16),MAX(D16:O16),MIN(D16:O16))</f>
        <v>-1.05</v>
      </c>
      <c r="T16" s="2" t="str">
        <f>INDEX(ENSO_monthly!$L:$L,MATCH("1995-12",ENSO_monthly!$A:$A,0))</f>
        <v>La Niña</v>
      </c>
      <c r="U16" s="12" t="str">
        <f>IF(LEFT(T16,7)="El Niño","El Niño",IF(LEFT(T16,7)="La Niña","La Niña","Neutral"))</f>
        <v>La Niña</v>
      </c>
      <c r="V16" s="2" t="str">
        <f>IF(U16="Neutral","",IF(ABS(ROUND(S16,1))&lt;1,"weak",IF(ABS(ROUND(S16,1))&lt;1.5,"moderate",IF(ABS(ROUND(S16,1))&lt;2,"strong","very strong"))))</f>
        <v>moderate</v>
      </c>
      <c r="W16" s="2" t="inlineStr">
        <is>
          <t xml:space="preserve">no</t>
        </is>
      </c>
      <c r="X16" t="inlineStr">
        <is>
          <t xml:space="preserve"/>
        </is>
      </c>
    </row>
    <row r="17">
      <c r="A17" s="8" t="inlineStr">
        <is>
          <t xml:space="preserve">1996/97</t>
        </is>
      </c>
      <c r="B17" s="9">
        <v>35247</v>
      </c>
      <c r="C17" s="9">
        <v>35611</v>
      </c>
      <c r="D17" s="3">
        <f>INDEX(ENSO_monthly!$F:$F,MATCH("1996-07",ENSO_monthly!$A:$A,0))</f>
        <v>-0.22</v>
      </c>
      <c r="E17" s="3">
        <f>INDEX(ENSO_monthly!$F:$F,MATCH("1996-08",ENSO_monthly!$A:$A,0))</f>
        <v>-0.27</v>
      </c>
      <c r="F17" s="3">
        <f>INDEX(ENSO_monthly!$F:$F,MATCH("1996-09",ENSO_monthly!$A:$A,0))</f>
        <v>-0.3</v>
      </c>
      <c r="G17" s="3">
        <f>INDEX(ENSO_monthly!$F:$F,MATCH("1996-10",ENSO_monthly!$A:$A,0))</f>
        <v>-0.33</v>
      </c>
      <c r="H17" s="3">
        <f>INDEX(ENSO_monthly!$F:$F,MATCH("1996-11",ENSO_monthly!$A:$A,0))</f>
        <v>-0.39</v>
      </c>
      <c r="I17" s="3">
        <f>INDEX(ENSO_monthly!$F:$F,MATCH("1996-12",ENSO_monthly!$A:$A,0))</f>
        <v>-0.41</v>
      </c>
      <c r="J17" s="3">
        <f>INDEX(ENSO_monthly!$F:$F,MATCH("1997-01",ENSO_monthly!$A:$A,0))</f>
        <v>-0.41</v>
      </c>
      <c r="K17" s="3">
        <f>INDEX(ENSO_monthly!$F:$F,MATCH("1997-02",ENSO_monthly!$A:$A,0))</f>
        <v>-0.26</v>
      </c>
      <c r="L17" s="3">
        <f>INDEX(ENSO_monthly!$F:$F,MATCH("1997-03",ENSO_monthly!$A:$A,0))</f>
        <v>-0.03</v>
      </c>
      <c r="M17" s="3">
        <f>INDEX(ENSO_monthly!$F:$F,MATCH("1997-04",ENSO_monthly!$A:$A,0))</f>
        <v>0.3</v>
      </c>
      <c r="N17" s="10">
        <f>INDEX(ENSO_monthly!$F:$F,MATCH("1997-05",ENSO_monthly!$A:$A,0))</f>
        <v>0.71</v>
      </c>
      <c r="O17" s="10">
        <f>INDEX(ENSO_monthly!$F:$F,MATCH("1997-06",ENSO_monthly!$A:$A,0))</f>
        <v>1.13</v>
      </c>
      <c r="P17" s="2">
        <f>COUNTIFS(ENSO_monthly!$M:$M,A17,ENSO_monthly!$L:$L,"El Niño*")</f>
        <v>2</v>
      </c>
      <c r="Q17" s="2">
        <f>COUNTIFS(ENSO_monthly!$M:$M,A17,ENSO_monthly!$L:$L,"La Niña*")</f>
        <v>0</v>
      </c>
      <c r="R17" s="3">
        <f>I17</f>
        <v>-0.41</v>
      </c>
      <c r="S17" s="3">
        <f>IF(MAX(D17:O17)&gt;=-MIN(D17:O17),MAX(D17:O17),MIN(D17:O17))</f>
        <v>1.13</v>
      </c>
      <c r="T17" s="2" t="str">
        <f>INDEX(ENSO_monthly!$L:$L,MATCH("1996-12",ENSO_monthly!$A:$A,0))</f>
        <v>—</v>
      </c>
      <c r="U17" s="8" t="str">
        <f>IF(LEFT(T17,7)="El Niño","El Niño",IF(LEFT(T17,7)="La Niña","La Niña","Neutral"))</f>
        <v>Neutral</v>
      </c>
      <c r="V17" s="2" t="str">
        <f>IF(U17="Neutral","",IF(ABS(ROUND(S17,1))&lt;1,"weak",IF(ABS(ROUND(S17,1))&lt;1.5,"moderate",IF(ABS(ROUND(S17,1))&lt;2,"strong","very strong"))))</f>
        <v/>
      </c>
      <c r="W17" s="2" t="inlineStr">
        <is>
          <t xml:space="preserve">no</t>
        </is>
      </c>
      <c r="X17" t="inlineStr">
        <is>
          <t xml:space="preserve"/>
        </is>
      </c>
    </row>
    <row r="18">
      <c r="A18" s="11" t="inlineStr">
        <is>
          <t xml:space="preserve">1997/98</t>
        </is>
      </c>
      <c r="B18" s="9">
        <v>35612</v>
      </c>
      <c r="C18" s="9">
        <v>35976</v>
      </c>
      <c r="D18" s="10">
        <f>INDEX(ENSO_monthly!$F:$F,MATCH("1997-07",ENSO_monthly!$A:$A,0))</f>
        <v>1.48</v>
      </c>
      <c r="E18" s="10">
        <f>INDEX(ENSO_monthly!$F:$F,MATCH("1997-08",ENSO_monthly!$A:$A,0))</f>
        <v>1.79</v>
      </c>
      <c r="F18" s="10">
        <f>INDEX(ENSO_monthly!$F:$F,MATCH("1997-09",ENSO_monthly!$A:$A,0))</f>
        <v>2.04</v>
      </c>
      <c r="G18" s="10">
        <f>INDEX(ENSO_monthly!$F:$F,MATCH("1997-10",ENSO_monthly!$A:$A,0))</f>
        <v>2.24</v>
      </c>
      <c r="H18" s="10">
        <f>INDEX(ENSO_monthly!$F:$F,MATCH("1997-11",ENSO_monthly!$A:$A,0))</f>
        <v>2.34</v>
      </c>
      <c r="I18" s="10">
        <f>INDEX(ENSO_monthly!$F:$F,MATCH("1997-12",ENSO_monthly!$A:$A,0))</f>
        <v>2.37</v>
      </c>
      <c r="J18" s="10">
        <f>INDEX(ENSO_monthly!$F:$F,MATCH("1998-01",ENSO_monthly!$A:$A,0))</f>
        <v>2.22</v>
      </c>
      <c r="K18" s="10">
        <f>INDEX(ENSO_monthly!$F:$F,MATCH("1998-02",ENSO_monthly!$A:$A,0))</f>
        <v>1.91</v>
      </c>
      <c r="L18" s="10">
        <f>INDEX(ENSO_monthly!$F:$F,MATCH("1998-03",ENSO_monthly!$A:$A,0))</f>
        <v>1.4</v>
      </c>
      <c r="M18" s="10">
        <f>INDEX(ENSO_monthly!$F:$F,MATCH("1998-04",ENSO_monthly!$A:$A,0))</f>
        <v>1.03</v>
      </c>
      <c r="N18" s="3">
        <f>INDEX(ENSO_monthly!$F:$F,MATCH("1998-05",ENSO_monthly!$A:$A,0))</f>
        <v>0.4</v>
      </c>
      <c r="O18" s="3">
        <f>INDEX(ENSO_monthly!$F:$F,MATCH("1998-06",ENSO_monthly!$A:$A,0))</f>
        <v>-0.08</v>
      </c>
      <c r="P18" s="2">
        <f>COUNTIFS(ENSO_monthly!$M:$M,A18,ENSO_monthly!$L:$L,"El Niño*")</f>
        <v>10</v>
      </c>
      <c r="Q18" s="2">
        <f>COUNTIFS(ENSO_monthly!$M:$M,A18,ENSO_monthly!$L:$L,"La Niña*")</f>
        <v>0</v>
      </c>
      <c r="R18" s="3">
        <f>I18</f>
        <v>2.37</v>
      </c>
      <c r="S18" s="3">
        <f>IF(MAX(D18:O18)&gt;=-MIN(D18:O18),MAX(D18:O18),MIN(D18:O18))</f>
        <v>2.37</v>
      </c>
      <c r="T18" s="2" t="str">
        <f>INDEX(ENSO_monthly!$L:$L,MATCH("1997-12",ENSO_monthly!$A:$A,0))</f>
        <v>El Niño</v>
      </c>
      <c r="U18" s="11" t="str">
        <f>IF(LEFT(T18,7)="El Niño","El Niño",IF(LEFT(T18,7)="La Niña","La Niña","Neutral"))</f>
        <v>El Niño</v>
      </c>
      <c r="V18" s="2" t="str">
        <f>IF(U18="Neutral","",IF(ABS(ROUND(S18,1))&lt;1,"weak",IF(ABS(ROUND(S18,1))&lt;1.5,"moderate",IF(ABS(ROUND(S18,1))&lt;2,"strong","very strong"))))</f>
        <v>very strong</v>
      </c>
      <c r="W18" s="2" t="inlineStr">
        <is>
          <t xml:space="preserve">no</t>
        </is>
      </c>
      <c r="X18" t="inlineStr">
        <is>
          <t xml:space="preserve"/>
        </is>
      </c>
    </row>
    <row r="19">
      <c r="A19" s="12" t="inlineStr">
        <is>
          <t xml:space="preserve">1998/99</t>
        </is>
      </c>
      <c r="B19" s="9">
        <v>35977</v>
      </c>
      <c r="C19" s="9">
        <v>36341</v>
      </c>
      <c r="D19" s="13">
        <f>INDEX(ENSO_monthly!$F:$F,MATCH("1998-07",ENSO_monthly!$A:$A,0))</f>
        <v>-0.63</v>
      </c>
      <c r="E19" s="13">
        <f>INDEX(ENSO_monthly!$F:$F,MATCH("1998-08",ENSO_monthly!$A:$A,0))</f>
        <v>-0.83</v>
      </c>
      <c r="F19" s="13">
        <f>INDEX(ENSO_monthly!$F:$F,MATCH("1998-09",ENSO_monthly!$A:$A,0))</f>
        <v>-1.02</v>
      </c>
      <c r="G19" s="13">
        <f>INDEX(ENSO_monthly!$F:$F,MATCH("1998-10",ENSO_monthly!$A:$A,0))</f>
        <v>-1.12</v>
      </c>
      <c r="H19" s="13">
        <f>INDEX(ENSO_monthly!$F:$F,MATCH("1998-11",ENSO_monthly!$A:$A,0))</f>
        <v>-1.31</v>
      </c>
      <c r="I19" s="13">
        <f>INDEX(ENSO_monthly!$F:$F,MATCH("1998-12",ENSO_monthly!$A:$A,0))</f>
        <v>-1.47</v>
      </c>
      <c r="J19" s="13">
        <f>INDEX(ENSO_monthly!$F:$F,MATCH("1999-01",ENSO_monthly!$A:$A,0))</f>
        <v>-1.51</v>
      </c>
      <c r="K19" s="13">
        <f>INDEX(ENSO_monthly!$F:$F,MATCH("1999-02",ENSO_monthly!$A:$A,0))</f>
        <v>-1.25</v>
      </c>
      <c r="L19" s="13">
        <f>INDEX(ENSO_monthly!$F:$F,MATCH("1999-03",ENSO_monthly!$A:$A,0))</f>
        <v>-0.93</v>
      </c>
      <c r="M19" s="13">
        <f>INDEX(ENSO_monthly!$F:$F,MATCH("1999-04",ENSO_monthly!$A:$A,0))</f>
        <v>-0.8</v>
      </c>
      <c r="N19" s="13">
        <f>INDEX(ENSO_monthly!$F:$F,MATCH("1999-05",ENSO_monthly!$A:$A,0))</f>
        <v>-0.79</v>
      </c>
      <c r="O19" s="13">
        <f>INDEX(ENSO_monthly!$F:$F,MATCH("1999-06",ENSO_monthly!$A:$A,0))</f>
        <v>-0.84</v>
      </c>
      <c r="P19" s="2">
        <f>COUNTIFS(ENSO_monthly!$M:$M,A19,ENSO_monthly!$L:$L,"El Niño*")</f>
        <v>0</v>
      </c>
      <c r="Q19" s="2">
        <f>COUNTIFS(ENSO_monthly!$M:$M,A19,ENSO_monthly!$L:$L,"La Niña*")</f>
        <v>12</v>
      </c>
      <c r="R19" s="3">
        <f>I19</f>
        <v>-1.47</v>
      </c>
      <c r="S19" s="3">
        <f>IF(MAX(D19:O19)&gt;=-MIN(D19:O19),MAX(D19:O19),MIN(D19:O19))</f>
        <v>-1.51</v>
      </c>
      <c r="T19" s="2" t="str">
        <f>INDEX(ENSO_monthly!$L:$L,MATCH("1998-12",ENSO_monthly!$A:$A,0))</f>
        <v>La Niña</v>
      </c>
      <c r="U19" s="12" t="str">
        <f>IF(LEFT(T19,7)="El Niño","El Niño",IF(LEFT(T19,7)="La Niña","La Niña","Neutral"))</f>
        <v>La Niña</v>
      </c>
      <c r="V19" s="2" t="str">
        <f>IF(U19="Neutral","",IF(ABS(ROUND(S19,1))&lt;1,"weak",IF(ABS(ROUND(S19,1))&lt;1.5,"moderate",IF(ABS(ROUND(S19,1))&lt;2,"strong","very strong"))))</f>
        <v>strong</v>
      </c>
      <c r="W19" s="2" t="inlineStr">
        <is>
          <t xml:space="preserve">no</t>
        </is>
      </c>
      <c r="X19" t="inlineStr">
        <is>
          <t xml:space="preserve"/>
        </is>
      </c>
    </row>
    <row r="20">
      <c r="A20" s="12" t="inlineStr">
        <is>
          <t xml:space="preserve">1999/00</t>
        </is>
      </c>
      <c r="B20" s="9">
        <v>36342</v>
      </c>
      <c r="C20" s="9">
        <v>36707</v>
      </c>
      <c r="D20" s="13">
        <f>INDEX(ENSO_monthly!$F:$F,MATCH("1999-07",ENSO_monthly!$A:$A,0))</f>
        <v>-0.9</v>
      </c>
      <c r="E20" s="13">
        <f>INDEX(ENSO_monthly!$F:$F,MATCH("1999-08",ENSO_monthly!$A:$A,0))</f>
        <v>-0.94</v>
      </c>
      <c r="F20" s="13">
        <f>INDEX(ENSO_monthly!$F:$F,MATCH("1999-09",ENSO_monthly!$A:$A,0))</f>
        <v>-1.0</v>
      </c>
      <c r="G20" s="13">
        <f>INDEX(ENSO_monthly!$F:$F,MATCH("1999-10",ENSO_monthly!$A:$A,0))</f>
        <v>-1.13</v>
      </c>
      <c r="H20" s="13">
        <f>INDEX(ENSO_monthly!$F:$F,MATCH("1999-11",ENSO_monthly!$A:$A,0))</f>
        <v>-1.35</v>
      </c>
      <c r="I20" s="13">
        <f>INDEX(ENSO_monthly!$F:$F,MATCH("1999-12",ENSO_monthly!$A:$A,0))</f>
        <v>-1.53</v>
      </c>
      <c r="J20" s="13">
        <f>INDEX(ENSO_monthly!$F:$F,MATCH("2000-01",ENSO_monthly!$A:$A,0))</f>
        <v>-1.47</v>
      </c>
      <c r="K20" s="13">
        <f>INDEX(ENSO_monthly!$F:$F,MATCH("2000-02",ENSO_monthly!$A:$A,0))</f>
        <v>-1.26</v>
      </c>
      <c r="L20" s="13">
        <f>INDEX(ENSO_monthly!$F:$F,MATCH("2000-03",ENSO_monthly!$A:$A,0))</f>
        <v>-0.98</v>
      </c>
      <c r="M20" s="13">
        <f>INDEX(ENSO_monthly!$F:$F,MATCH("2000-04",ENSO_monthly!$A:$A,0))</f>
        <v>-0.81</v>
      </c>
      <c r="N20" s="13">
        <f>INDEX(ENSO_monthly!$F:$F,MATCH("2000-05",ENSO_monthly!$A:$A,0))</f>
        <v>-0.67</v>
      </c>
      <c r="O20" s="13">
        <f>INDEX(ENSO_monthly!$F:$F,MATCH("2000-06",ENSO_monthly!$A:$A,0))</f>
        <v>-0.62</v>
      </c>
      <c r="P20" s="2">
        <f>COUNTIFS(ENSO_monthly!$M:$M,A20,ENSO_monthly!$L:$L,"El Niño*")</f>
        <v>0</v>
      </c>
      <c r="Q20" s="2">
        <f>COUNTIFS(ENSO_monthly!$M:$M,A20,ENSO_monthly!$L:$L,"La Niña*")</f>
        <v>12</v>
      </c>
      <c r="R20" s="3">
        <f>I20</f>
        <v>-1.53</v>
      </c>
      <c r="S20" s="3">
        <f>IF(MAX(D20:O20)&gt;=-MIN(D20:O20),MAX(D20:O20),MIN(D20:O20))</f>
        <v>-1.53</v>
      </c>
      <c r="T20" s="2" t="str">
        <f>INDEX(ENSO_monthly!$L:$L,MATCH("1999-12",ENSO_monthly!$A:$A,0))</f>
        <v>La Niña</v>
      </c>
      <c r="U20" s="12" t="str">
        <f>IF(LEFT(T20,7)="El Niño","El Niño",IF(LEFT(T20,7)="La Niña","La Niña","Neutral"))</f>
        <v>La Niña</v>
      </c>
      <c r="V20" s="2" t="str">
        <f>IF(U20="Neutral","",IF(ABS(ROUND(S20,1))&lt;1,"weak",IF(ABS(ROUND(S20,1))&lt;1.5,"moderate",IF(ABS(ROUND(S20,1))&lt;2,"strong","very strong"))))</f>
        <v>strong</v>
      </c>
      <c r="W20" s="2" t="inlineStr">
        <is>
          <t xml:space="preserve">no</t>
        </is>
      </c>
      <c r="X20" t="inlineStr">
        <is>
          <t xml:space="preserve"/>
        </is>
      </c>
    </row>
    <row r="21">
      <c r="A21" s="12" t="inlineStr">
        <is>
          <t xml:space="preserve">2000/01</t>
        </is>
      </c>
      <c r="B21" s="9">
        <v>36708</v>
      </c>
      <c r="C21" s="9">
        <v>37072</v>
      </c>
      <c r="D21" s="13">
        <f>INDEX(ENSO_monthly!$F:$F,MATCH("2000-07",ENSO_monthly!$A:$A,0))</f>
        <v>-0.48</v>
      </c>
      <c r="E21" s="3">
        <f>INDEX(ENSO_monthly!$F:$F,MATCH("2000-08",ENSO_monthly!$A:$A,0))</f>
        <v>-0.4</v>
      </c>
      <c r="F21" s="3">
        <f>INDEX(ENSO_monthly!$F:$F,MATCH("2000-09",ENSO_monthly!$A:$A,0))</f>
        <v>-0.42</v>
      </c>
      <c r="G21" s="13">
        <f>INDEX(ENSO_monthly!$F:$F,MATCH("2000-10",ENSO_monthly!$A:$A,0))</f>
        <v>-0.54</v>
      </c>
      <c r="H21" s="13">
        <f>INDEX(ENSO_monthly!$F:$F,MATCH("2000-11",ENSO_monthly!$A:$A,0))</f>
        <v>-0.76</v>
      </c>
      <c r="I21" s="13">
        <f>INDEX(ENSO_monthly!$F:$F,MATCH("2000-12",ENSO_monthly!$A:$A,0))</f>
        <v>-0.78</v>
      </c>
      <c r="J21" s="13">
        <f>INDEX(ENSO_monthly!$F:$F,MATCH("2001-01",ENSO_monthly!$A:$A,0))</f>
        <v>-0.76</v>
      </c>
      <c r="K21" s="13">
        <f>INDEX(ENSO_monthly!$F:$F,MATCH("2001-02",ENSO_monthly!$A:$A,0))</f>
        <v>-0.54</v>
      </c>
      <c r="L21" s="3">
        <f>INDEX(ENSO_monthly!$F:$F,MATCH("2001-03",ENSO_monthly!$A:$A,0))</f>
        <v>-0.43</v>
      </c>
      <c r="M21" s="3">
        <f>INDEX(ENSO_monthly!$F:$F,MATCH("2001-04",ENSO_monthly!$A:$A,0))</f>
        <v>-0.29</v>
      </c>
      <c r="N21" s="3">
        <f>INDEX(ENSO_monthly!$F:$F,MATCH("2001-05",ENSO_monthly!$A:$A,0))</f>
        <v>-0.19</v>
      </c>
      <c r="O21" s="3">
        <f>INDEX(ENSO_monthly!$F:$F,MATCH("2001-06",ENSO_monthly!$A:$A,0))</f>
        <v>-0.08</v>
      </c>
      <c r="P21" s="2">
        <f>COUNTIFS(ENSO_monthly!$M:$M,A21,ENSO_monthly!$L:$L,"El Niño*")</f>
        <v>0</v>
      </c>
      <c r="Q21" s="2">
        <f>COUNTIFS(ENSO_monthly!$M:$M,A21,ENSO_monthly!$L:$L,"La Niña*")</f>
        <v>6</v>
      </c>
      <c r="R21" s="3">
        <f>I21</f>
        <v>-0.78</v>
      </c>
      <c r="S21" s="3">
        <f>IF(MAX(D21:O21)&gt;=-MIN(D21:O21),MAX(D21:O21),MIN(D21:O21))</f>
        <v>-0.78</v>
      </c>
      <c r="T21" s="2" t="str">
        <f>INDEX(ENSO_monthly!$L:$L,MATCH("2000-12",ENSO_monthly!$A:$A,0))</f>
        <v>La Niña</v>
      </c>
      <c r="U21" s="12" t="str">
        <f>IF(LEFT(T21,7)="El Niño","El Niño",IF(LEFT(T21,7)="La Niña","La Niña","Neutral"))</f>
        <v>La Niña</v>
      </c>
      <c r="V21" s="2" t="str">
        <f>IF(U21="Neutral","",IF(ABS(ROUND(S21,1))&lt;1,"weak",IF(ABS(ROUND(S21,1))&lt;1.5,"moderate",IF(ABS(ROUND(S21,1))&lt;2,"strong","very strong"))))</f>
        <v>weak</v>
      </c>
      <c r="W21" s="2" t="inlineStr">
        <is>
          <t xml:space="preserve">no</t>
        </is>
      </c>
      <c r="X21" t="inlineStr">
        <is>
          <t xml:space="preserve"/>
        </is>
      </c>
    </row>
    <row r="22">
      <c r="A22" s="8" t="inlineStr">
        <is>
          <t xml:space="preserve">2001/02</t>
        </is>
      </c>
      <c r="B22" s="9">
        <v>37073</v>
      </c>
      <c r="C22" s="9">
        <v>37437</v>
      </c>
      <c r="D22" s="3">
        <f>INDEX(ENSO_monthly!$F:$F,MATCH("2001-07",ENSO_monthly!$A:$A,0))</f>
        <v>-0.05</v>
      </c>
      <c r="E22" s="3">
        <f>INDEX(ENSO_monthly!$F:$F,MATCH("2001-08",ENSO_monthly!$A:$A,0))</f>
        <v>-0.13</v>
      </c>
      <c r="F22" s="3">
        <f>INDEX(ENSO_monthly!$F:$F,MATCH("2001-09",ENSO_monthly!$A:$A,0))</f>
        <v>-0.15</v>
      </c>
      <c r="G22" s="3">
        <f>INDEX(ENSO_monthly!$F:$F,MATCH("2001-10",ENSO_monthly!$A:$A,0))</f>
        <v>-0.26</v>
      </c>
      <c r="H22" s="3">
        <f>INDEX(ENSO_monthly!$F:$F,MATCH("2001-11",ENSO_monthly!$A:$A,0))</f>
        <v>-0.33</v>
      </c>
      <c r="I22" s="3">
        <f>INDEX(ENSO_monthly!$F:$F,MATCH("2001-12",ENSO_monthly!$A:$A,0))</f>
        <v>-0.32</v>
      </c>
      <c r="J22" s="3">
        <f>INDEX(ENSO_monthly!$F:$F,MATCH("2002-01",ENSO_monthly!$A:$A,0))</f>
        <v>-0.15</v>
      </c>
      <c r="K22" s="3">
        <f>INDEX(ENSO_monthly!$F:$F,MATCH("2002-02",ENSO_monthly!$A:$A,0))</f>
        <v>0.07</v>
      </c>
      <c r="L22" s="3">
        <f>INDEX(ENSO_monthly!$F:$F,MATCH("2002-03",ENSO_monthly!$A:$A,0))</f>
        <v>0.11</v>
      </c>
      <c r="M22" s="3">
        <f>INDEX(ENSO_monthly!$F:$F,MATCH("2002-04",ENSO_monthly!$A:$A,0))</f>
        <v>0.15</v>
      </c>
      <c r="N22" s="3">
        <f>INDEX(ENSO_monthly!$F:$F,MATCH("2002-05",ENSO_monthly!$A:$A,0))</f>
        <v>0.3</v>
      </c>
      <c r="O22" s="10">
        <f>INDEX(ENSO_monthly!$F:$F,MATCH("2002-06",ENSO_monthly!$A:$A,0))</f>
        <v>0.45</v>
      </c>
      <c r="P22" s="2">
        <f>COUNTIFS(ENSO_monthly!$M:$M,A22,ENSO_monthly!$L:$L,"El Niño*")</f>
        <v>1</v>
      </c>
      <c r="Q22" s="2">
        <f>COUNTIFS(ENSO_monthly!$M:$M,A22,ENSO_monthly!$L:$L,"La Niña*")</f>
        <v>0</v>
      </c>
      <c r="R22" s="3">
        <f>I22</f>
        <v>-0.32</v>
      </c>
      <c r="S22" s="3">
        <f>IF(MAX(D22:O22)&gt;=-MIN(D22:O22),MAX(D22:O22),MIN(D22:O22))</f>
        <v>0.45</v>
      </c>
      <c r="T22" s="2" t="str">
        <f>INDEX(ENSO_monthly!$L:$L,MATCH("2001-12",ENSO_monthly!$A:$A,0))</f>
        <v>—</v>
      </c>
      <c r="U22" s="8" t="str">
        <f>IF(LEFT(T22,7)="El Niño","El Niño",IF(LEFT(T22,7)="La Niña","La Niña","Neutral"))</f>
        <v>Neutral</v>
      </c>
      <c r="V22" s="2" t="str">
        <f>IF(U22="Neutral","",IF(ABS(ROUND(S22,1))&lt;1,"weak",IF(ABS(ROUND(S22,1))&lt;1.5,"moderate",IF(ABS(ROUND(S22,1))&lt;2,"strong","very strong"))))</f>
        <v/>
      </c>
      <c r="W22" s="2" t="inlineStr">
        <is>
          <t xml:space="preserve">no</t>
        </is>
      </c>
      <c r="X22" t="inlineStr">
        <is>
          <t xml:space="preserve"/>
        </is>
      </c>
    </row>
    <row r="23">
      <c r="A23" s="11" t="inlineStr">
        <is>
          <t xml:space="preserve">2002/03</t>
        </is>
      </c>
      <c r="B23" s="9">
        <v>37438</v>
      </c>
      <c r="C23" s="9">
        <v>37802</v>
      </c>
      <c r="D23" s="10">
        <f>INDEX(ENSO_monthly!$F:$F,MATCH("2002-07",ENSO_monthly!$A:$A,0))</f>
        <v>0.57</v>
      </c>
      <c r="E23" s="10">
        <f>INDEX(ENSO_monthly!$F:$F,MATCH("2002-08",ENSO_monthly!$A:$A,0))</f>
        <v>0.63</v>
      </c>
      <c r="F23" s="10">
        <f>INDEX(ENSO_monthly!$F:$F,MATCH("2002-09",ENSO_monthly!$A:$A,0))</f>
        <v>0.78</v>
      </c>
      <c r="G23" s="10">
        <f>INDEX(ENSO_monthly!$F:$F,MATCH("2002-10",ENSO_monthly!$A:$A,0))</f>
        <v>0.99</v>
      </c>
      <c r="H23" s="10">
        <f>INDEX(ENSO_monthly!$F:$F,MATCH("2002-11",ENSO_monthly!$A:$A,0))</f>
        <v>1.19</v>
      </c>
      <c r="I23" s="10">
        <f>INDEX(ENSO_monthly!$F:$F,MATCH("2002-12",ENSO_monthly!$A:$A,0))</f>
        <v>1.08</v>
      </c>
      <c r="J23" s="10">
        <f>INDEX(ENSO_monthly!$F:$F,MATCH("2003-01",ENSO_monthly!$A:$A,0))</f>
        <v>0.9</v>
      </c>
      <c r="K23" s="10">
        <f>INDEX(ENSO_monthly!$F:$F,MATCH("2003-02",ENSO_monthly!$A:$A,0))</f>
        <v>0.59</v>
      </c>
      <c r="L23" s="3">
        <f>INDEX(ENSO_monthly!$F:$F,MATCH("2003-03",ENSO_monthly!$A:$A,0))</f>
        <v>0.38</v>
      </c>
      <c r="M23" s="3">
        <f>INDEX(ENSO_monthly!$F:$F,MATCH("2003-04",ENSO_monthly!$A:$A,0))</f>
        <v>-0.01</v>
      </c>
      <c r="N23" s="3">
        <f>INDEX(ENSO_monthly!$F:$F,MATCH("2003-05",ENSO_monthly!$A:$A,0))</f>
        <v>-0.18</v>
      </c>
      <c r="O23" s="3">
        <f>INDEX(ENSO_monthly!$F:$F,MATCH("2003-06",ENSO_monthly!$A:$A,0))</f>
        <v>-0.13</v>
      </c>
      <c r="P23" s="2">
        <f>COUNTIFS(ENSO_monthly!$M:$M,A23,ENSO_monthly!$L:$L,"El Niño*")</f>
        <v>8</v>
      </c>
      <c r="Q23" s="2">
        <f>COUNTIFS(ENSO_monthly!$M:$M,A23,ENSO_monthly!$L:$L,"La Niña*")</f>
        <v>0</v>
      </c>
      <c r="R23" s="3">
        <f>I23</f>
        <v>1.08</v>
      </c>
      <c r="S23" s="3">
        <f>IF(MAX(D23:O23)&gt;=-MIN(D23:O23),MAX(D23:O23),MIN(D23:O23))</f>
        <v>1.19</v>
      </c>
      <c r="T23" s="2" t="str">
        <f>INDEX(ENSO_monthly!$L:$L,MATCH("2002-12",ENSO_monthly!$A:$A,0))</f>
        <v>El Niño</v>
      </c>
      <c r="U23" s="11" t="str">
        <f>IF(LEFT(T23,7)="El Niño","El Niño",IF(LEFT(T23,7)="La Niña","La Niña","Neutral"))</f>
        <v>El Niño</v>
      </c>
      <c r="V23" s="2" t="str">
        <f>IF(U23="Neutral","",IF(ABS(ROUND(S23,1))&lt;1,"weak",IF(ABS(ROUND(S23,1))&lt;1.5,"moderate",IF(ABS(ROUND(S23,1))&lt;2,"strong","very strong"))))</f>
        <v>moderate</v>
      </c>
      <c r="W23" s="2" t="inlineStr">
        <is>
          <t xml:space="preserve">no</t>
        </is>
      </c>
      <c r="X23" t="inlineStr">
        <is>
          <t xml:space="preserve"/>
        </is>
      </c>
    </row>
    <row r="24">
      <c r="A24" s="8" t="inlineStr">
        <is>
          <t xml:space="preserve">2003/04</t>
        </is>
      </c>
      <c r="B24" s="9">
        <v>37803</v>
      </c>
      <c r="C24" s="9">
        <v>38168</v>
      </c>
      <c r="D24" s="3">
        <f>INDEX(ENSO_monthly!$F:$F,MATCH("2003-07",ENSO_monthly!$A:$A,0))</f>
        <v>0.09</v>
      </c>
      <c r="E24" s="3">
        <f>INDEX(ENSO_monthly!$F:$F,MATCH("2003-08",ENSO_monthly!$A:$A,0))</f>
        <v>0.14</v>
      </c>
      <c r="F24" s="3">
        <f>INDEX(ENSO_monthly!$F:$F,MATCH("2003-09",ENSO_monthly!$A:$A,0))</f>
        <v>0.23</v>
      </c>
      <c r="G24" s="3">
        <f>INDEX(ENSO_monthly!$F:$F,MATCH("2003-10",ENSO_monthly!$A:$A,0))</f>
        <v>0.23</v>
      </c>
      <c r="H24" s="3">
        <f>INDEX(ENSO_monthly!$F:$F,MATCH("2003-11",ENSO_monthly!$A:$A,0))</f>
        <v>0.29</v>
      </c>
      <c r="I24" s="3">
        <f>INDEX(ENSO_monthly!$F:$F,MATCH("2003-12",ENSO_monthly!$A:$A,0))</f>
        <v>0.29</v>
      </c>
      <c r="J24" s="3">
        <f>INDEX(ENSO_monthly!$F:$F,MATCH("2004-01",ENSO_monthly!$A:$A,0))</f>
        <v>0.34</v>
      </c>
      <c r="K24" s="3">
        <f>INDEX(ENSO_monthly!$F:$F,MATCH("2004-02",ENSO_monthly!$A:$A,0))</f>
        <v>0.27</v>
      </c>
      <c r="L24" s="3">
        <f>INDEX(ENSO_monthly!$F:$F,MATCH("2004-03",ENSO_monthly!$A:$A,0))</f>
        <v>0.19</v>
      </c>
      <c r="M24" s="3">
        <f>INDEX(ENSO_monthly!$F:$F,MATCH("2004-04",ENSO_monthly!$A:$A,0))</f>
        <v>0.1</v>
      </c>
      <c r="N24" s="3">
        <f>INDEX(ENSO_monthly!$F:$F,MATCH("2004-05",ENSO_monthly!$A:$A,0))</f>
        <v>0.12</v>
      </c>
      <c r="O24" s="3">
        <f>INDEX(ENSO_monthly!$F:$F,MATCH("2004-06",ENSO_monthly!$A:$A,0))</f>
        <v>0.22</v>
      </c>
      <c r="P24" s="2">
        <f>COUNTIFS(ENSO_monthly!$M:$M,A24,ENSO_monthly!$L:$L,"El Niño*")</f>
        <v>0</v>
      </c>
      <c r="Q24" s="2">
        <f>COUNTIFS(ENSO_monthly!$M:$M,A24,ENSO_monthly!$L:$L,"La Niña*")</f>
        <v>0</v>
      </c>
      <c r="R24" s="3">
        <f>I24</f>
        <v>0.29</v>
      </c>
      <c r="S24" s="3">
        <f>IF(MAX(D24:O24)&gt;=-MIN(D24:O24),MAX(D24:O24),MIN(D24:O24))</f>
        <v>0.34</v>
      </c>
      <c r="T24" s="2" t="str">
        <f>INDEX(ENSO_monthly!$L:$L,MATCH("2003-12",ENSO_monthly!$A:$A,0))</f>
        <v>—</v>
      </c>
      <c r="U24" s="8" t="str">
        <f>IF(LEFT(T24,7)="El Niño","El Niño",IF(LEFT(T24,7)="La Niña","La Niña","Neutral"))</f>
        <v>Neutral</v>
      </c>
      <c r="V24" s="2" t="str">
        <f>IF(U24="Neutral","",IF(ABS(ROUND(S24,1))&lt;1,"weak",IF(ABS(ROUND(S24,1))&lt;1.5,"moderate",IF(ABS(ROUND(S24,1))&lt;2,"strong","very strong"))))</f>
        <v/>
      </c>
      <c r="W24" s="2" t="inlineStr">
        <is>
          <t xml:space="preserve">no</t>
        </is>
      </c>
      <c r="X24" t="inlineStr">
        <is>
          <t xml:space="preserve"/>
        </is>
      </c>
    </row>
    <row r="25">
      <c r="A25" s="11" t="inlineStr">
        <is>
          <t xml:space="preserve">2004/05</t>
        </is>
      </c>
      <c r="B25" s="9">
        <v>38169</v>
      </c>
      <c r="C25" s="9">
        <v>38533</v>
      </c>
      <c r="D25" s="3">
        <f>INDEX(ENSO_monthly!$F:$F,MATCH("2004-07",ENSO_monthly!$A:$A,0))</f>
        <v>0.39</v>
      </c>
      <c r="E25" s="10">
        <f>INDEX(ENSO_monthly!$F:$F,MATCH("2004-08",ENSO_monthly!$A:$A,0))</f>
        <v>0.54</v>
      </c>
      <c r="F25" s="10">
        <f>INDEX(ENSO_monthly!$F:$F,MATCH("2004-09",ENSO_monthly!$A:$A,0))</f>
        <v>0.58</v>
      </c>
      <c r="G25" s="10">
        <f>INDEX(ENSO_monthly!$F:$F,MATCH("2004-10",ENSO_monthly!$A:$A,0))</f>
        <v>0.61</v>
      </c>
      <c r="H25" s="10">
        <f>INDEX(ENSO_monthly!$F:$F,MATCH("2004-11",ENSO_monthly!$A:$A,0))</f>
        <v>0.64</v>
      </c>
      <c r="I25" s="10">
        <f>INDEX(ENSO_monthly!$F:$F,MATCH("2004-12",ENSO_monthly!$A:$A,0))</f>
        <v>0.71</v>
      </c>
      <c r="J25" s="10">
        <f>INDEX(ENSO_monthly!$F:$F,MATCH("2005-01",ENSO_monthly!$A:$A,0))</f>
        <v>0.62</v>
      </c>
      <c r="K25" s="10">
        <f>INDEX(ENSO_monthly!$F:$F,MATCH("2005-02",ENSO_monthly!$A:$A,0))</f>
        <v>0.55</v>
      </c>
      <c r="L25" s="3">
        <f>INDEX(ENSO_monthly!$F:$F,MATCH("2005-03",ENSO_monthly!$A:$A,0))</f>
        <v>0.4</v>
      </c>
      <c r="M25" s="3">
        <f>INDEX(ENSO_monthly!$F:$F,MATCH("2005-04",ENSO_monthly!$A:$A,0))</f>
        <v>0.37</v>
      </c>
      <c r="N25" s="3">
        <f>INDEX(ENSO_monthly!$F:$F,MATCH("2005-05",ENSO_monthly!$A:$A,0))</f>
        <v>0.27</v>
      </c>
      <c r="O25" s="3">
        <f>INDEX(ENSO_monthly!$F:$F,MATCH("2005-06",ENSO_monthly!$A:$A,0))</f>
        <v>0.09</v>
      </c>
      <c r="P25" s="2">
        <f>COUNTIFS(ENSO_monthly!$M:$M,A25,ENSO_monthly!$L:$L,"El Niño*")</f>
        <v>7</v>
      </c>
      <c r="Q25" s="2">
        <f>COUNTIFS(ENSO_monthly!$M:$M,A25,ENSO_monthly!$L:$L,"La Niña*")</f>
        <v>0</v>
      </c>
      <c r="R25" s="3">
        <f>I25</f>
        <v>0.71</v>
      </c>
      <c r="S25" s="3">
        <f>IF(MAX(D25:O25)&gt;=-MIN(D25:O25),MAX(D25:O25),MIN(D25:O25))</f>
        <v>0.71</v>
      </c>
      <c r="T25" s="2" t="str">
        <f>INDEX(ENSO_monthly!$L:$L,MATCH("2004-12",ENSO_monthly!$A:$A,0))</f>
        <v>El Niño</v>
      </c>
      <c r="U25" s="11" t="str">
        <f>IF(LEFT(T25,7)="El Niño","El Niño",IF(LEFT(T25,7)="La Niña","La Niña","Neutral"))</f>
        <v>El Niño</v>
      </c>
      <c r="V25" s="2" t="str">
        <f>IF(U25="Neutral","",IF(ABS(ROUND(S25,1))&lt;1,"weak",IF(ABS(ROUND(S25,1))&lt;1.5,"moderate",IF(ABS(ROUND(S25,1))&lt;2,"strong","very strong"))))</f>
        <v>weak</v>
      </c>
      <c r="W25" s="2" t="inlineStr">
        <is>
          <t xml:space="preserve">no</t>
        </is>
      </c>
      <c r="X25" t="inlineStr">
        <is>
          <t xml:space="preserve"/>
        </is>
      </c>
    </row>
    <row r="26">
      <c r="A26" s="12" t="inlineStr">
        <is>
          <t xml:space="preserve">2005/06</t>
        </is>
      </c>
      <c r="B26" s="9">
        <v>38534</v>
      </c>
      <c r="C26" s="9">
        <v>38898</v>
      </c>
      <c r="D26" s="3">
        <f>INDEX(ENSO_monthly!$F:$F,MATCH("2005-07",ENSO_monthly!$A:$A,0))</f>
        <v>-0.04</v>
      </c>
      <c r="E26" s="3">
        <f>INDEX(ENSO_monthly!$F:$F,MATCH("2005-08",ENSO_monthly!$A:$A,0))</f>
        <v>-0.14</v>
      </c>
      <c r="F26" s="3">
        <f>INDEX(ENSO_monthly!$F:$F,MATCH("2005-09",ENSO_monthly!$A:$A,0))</f>
        <v>-0.11</v>
      </c>
      <c r="G26" s="3">
        <f>INDEX(ENSO_monthly!$F:$F,MATCH("2005-10",ENSO_monthly!$A:$A,0))</f>
        <v>-0.27</v>
      </c>
      <c r="H26" s="13">
        <f>INDEX(ENSO_monthly!$F:$F,MATCH("2005-11",ENSO_monthly!$A:$A,0))</f>
        <v>-0.57</v>
      </c>
      <c r="I26" s="13">
        <f>INDEX(ENSO_monthly!$F:$F,MATCH("2005-12",ENSO_monthly!$A:$A,0))</f>
        <v>-0.82</v>
      </c>
      <c r="J26" s="13">
        <f>INDEX(ENSO_monthly!$F:$F,MATCH("2006-01",ENSO_monthly!$A:$A,0))</f>
        <v>-0.86</v>
      </c>
      <c r="K26" s="13">
        <f>INDEX(ENSO_monthly!$F:$F,MATCH("2006-02",ENSO_monthly!$A:$A,0))</f>
        <v>-0.8</v>
      </c>
      <c r="L26" s="13">
        <f>INDEX(ENSO_monthly!$F:$F,MATCH("2006-03",ENSO_monthly!$A:$A,0))</f>
        <v>-0.63</v>
      </c>
      <c r="M26" s="13">
        <f>INDEX(ENSO_monthly!$F:$F,MATCH("2006-04",ENSO_monthly!$A:$A,0))</f>
        <v>-0.45</v>
      </c>
      <c r="N26" s="3">
        <f>INDEX(ENSO_monthly!$F:$F,MATCH("2006-05",ENSO_monthly!$A:$A,0))</f>
        <v>-0.19</v>
      </c>
      <c r="O26" s="3">
        <f>INDEX(ENSO_monthly!$F:$F,MATCH("2006-06",ENSO_monthly!$A:$A,0))</f>
        <v>-0.05</v>
      </c>
      <c r="P26" s="2">
        <f>COUNTIFS(ENSO_monthly!$M:$M,A26,ENSO_monthly!$L:$L,"El Niño*")</f>
        <v>0</v>
      </c>
      <c r="Q26" s="2">
        <f>COUNTIFS(ENSO_monthly!$M:$M,A26,ENSO_monthly!$L:$L,"La Niña*")</f>
        <v>6</v>
      </c>
      <c r="R26" s="3">
        <f>I26</f>
        <v>-0.82</v>
      </c>
      <c r="S26" s="3">
        <f>IF(MAX(D26:O26)&gt;=-MIN(D26:O26),MAX(D26:O26),MIN(D26:O26))</f>
        <v>-0.86</v>
      </c>
      <c r="T26" s="2" t="str">
        <f>INDEX(ENSO_monthly!$L:$L,MATCH("2005-12",ENSO_monthly!$A:$A,0))</f>
        <v>La Niña</v>
      </c>
      <c r="U26" s="12" t="str">
        <f>IF(LEFT(T26,7)="El Niño","El Niño",IF(LEFT(T26,7)="La Niña","La Niña","Neutral"))</f>
        <v>La Niña</v>
      </c>
      <c r="V26" s="2" t="str">
        <f>IF(U26="Neutral","",IF(ABS(ROUND(S26,1))&lt;1,"weak",IF(ABS(ROUND(S26,1))&lt;1.5,"moderate",IF(ABS(ROUND(S26,1))&lt;2,"strong","very strong"))))</f>
        <v>weak</v>
      </c>
      <c r="W26" s="2" t="inlineStr">
        <is>
          <t xml:space="preserve">yes</t>
        </is>
      </c>
      <c r="X26" t="inlineStr">
        <is>
          <t xml:space="preserve">Weak La Niña: OND 2005 to FMA 2006 (5 periods).</t>
        </is>
      </c>
    </row>
    <row r="27">
      <c r="A27" s="11" t="inlineStr">
        <is>
          <t xml:space="preserve">2006/07</t>
        </is>
      </c>
      <c r="B27" s="9">
        <v>38899</v>
      </c>
      <c r="C27" s="9">
        <v>39263</v>
      </c>
      <c r="D27" s="3">
        <f>INDEX(ENSO_monthly!$F:$F,MATCH("2006-07",ENSO_monthly!$A:$A,0))</f>
        <v>0.12</v>
      </c>
      <c r="E27" s="3">
        <f>INDEX(ENSO_monthly!$F:$F,MATCH("2006-08",ENSO_monthly!$A:$A,0))</f>
        <v>0.33</v>
      </c>
      <c r="F27" s="10">
        <f>INDEX(ENSO_monthly!$F:$F,MATCH("2006-09",ENSO_monthly!$A:$A,0))</f>
        <v>0.54</v>
      </c>
      <c r="G27" s="10">
        <f>INDEX(ENSO_monthly!$F:$F,MATCH("2006-10",ENSO_monthly!$A:$A,0))</f>
        <v>0.71</v>
      </c>
      <c r="H27" s="10">
        <f>INDEX(ENSO_monthly!$F:$F,MATCH("2006-11",ENSO_monthly!$A:$A,0))</f>
        <v>0.88</v>
      </c>
      <c r="I27" s="10">
        <f>INDEX(ENSO_monthly!$F:$F,MATCH("2006-12",ENSO_monthly!$A:$A,0))</f>
        <v>0.88</v>
      </c>
      <c r="J27" s="10">
        <f>INDEX(ENSO_monthly!$F:$F,MATCH("2007-01",ENSO_monthly!$A:$A,0))</f>
        <v>0.62</v>
      </c>
      <c r="K27" s="3">
        <f>INDEX(ENSO_monthly!$F:$F,MATCH("2007-02",ENSO_monthly!$A:$A,0))</f>
        <v>0.19</v>
      </c>
      <c r="L27" s="3">
        <f>INDEX(ENSO_monthly!$F:$F,MATCH("2007-03",ENSO_monthly!$A:$A,0))</f>
        <v>-0.12</v>
      </c>
      <c r="M27" s="3">
        <f>INDEX(ENSO_monthly!$F:$F,MATCH("2007-04",ENSO_monthly!$A:$A,0))</f>
        <v>-0.32</v>
      </c>
      <c r="N27" s="3">
        <f>INDEX(ENSO_monthly!$F:$F,MATCH("2007-05",ENSO_monthly!$A:$A,0))</f>
        <v>-0.34</v>
      </c>
      <c r="O27" s="3">
        <f>INDEX(ENSO_monthly!$F:$F,MATCH("2007-06",ENSO_monthly!$A:$A,0))</f>
        <v>-0.41</v>
      </c>
      <c r="P27" s="2">
        <f>COUNTIFS(ENSO_monthly!$M:$M,A27,ENSO_monthly!$L:$L,"El Niño*")</f>
        <v>5</v>
      </c>
      <c r="Q27" s="2">
        <f>COUNTIFS(ENSO_monthly!$M:$M,A27,ENSO_monthly!$L:$L,"La Niña*")</f>
        <v>0</v>
      </c>
      <c r="R27" s="3">
        <f>I27</f>
        <v>0.88</v>
      </c>
      <c r="S27" s="3">
        <f>IF(MAX(D27:O27)&gt;=-MIN(D27:O27),MAX(D27:O27),MIN(D27:O27))</f>
        <v>0.88</v>
      </c>
      <c r="T27" s="2" t="str">
        <f>INDEX(ENSO_monthly!$L:$L,MATCH("2006-12",ENSO_monthly!$A:$A,0))</f>
        <v>El Niño</v>
      </c>
      <c r="U27" s="11" t="str">
        <f>IF(LEFT(T27,7)="El Niño","El Niño",IF(LEFT(T27,7)="La Niña","La Niña","Neutral"))</f>
        <v>El Niño</v>
      </c>
      <c r="V27" s="2" t="str">
        <f>IF(U27="Neutral","",IF(ABS(ROUND(S27,1))&lt;1,"weak",IF(ABS(ROUND(S27,1))&lt;1.5,"moderate",IF(ABS(ROUND(S27,1))&lt;2,"strong","very strong"))))</f>
        <v>weak</v>
      </c>
      <c r="W27" s="2" t="inlineStr">
        <is>
          <t xml:space="preserve">yes</t>
        </is>
      </c>
      <c r="X27" t="inlineStr">
        <is>
          <t xml:space="preserve"/>
        </is>
      </c>
    </row>
    <row r="28">
      <c r="A28" s="12" t="inlineStr">
        <is>
          <t xml:space="preserve">2007/08</t>
        </is>
      </c>
      <c r="B28" s="9">
        <v>39264</v>
      </c>
      <c r="C28" s="9">
        <v>39629</v>
      </c>
      <c r="D28" s="13">
        <f>INDEX(ENSO_monthly!$F:$F,MATCH("2007-07",ENSO_monthly!$A:$A,0))</f>
        <v>-0.49</v>
      </c>
      <c r="E28" s="13">
        <f>INDEX(ENSO_monthly!$F:$F,MATCH("2007-08",ENSO_monthly!$A:$A,0))</f>
        <v>-0.77</v>
      </c>
      <c r="F28" s="13">
        <f>INDEX(ENSO_monthly!$F:$F,MATCH("2007-09",ENSO_monthly!$A:$A,0))</f>
        <v>-1.05</v>
      </c>
      <c r="G28" s="13">
        <f>INDEX(ENSO_monthly!$F:$F,MATCH("2007-10",ENSO_monthly!$A:$A,0))</f>
        <v>-1.38</v>
      </c>
      <c r="H28" s="13">
        <f>INDEX(ENSO_monthly!$F:$F,MATCH("2007-11",ENSO_monthly!$A:$A,0))</f>
        <v>-1.57</v>
      </c>
      <c r="I28" s="13">
        <f>INDEX(ENSO_monthly!$F:$F,MATCH("2007-12",ENSO_monthly!$A:$A,0))</f>
        <v>-1.72</v>
      </c>
      <c r="J28" s="13">
        <f>INDEX(ENSO_monthly!$F:$F,MATCH("2008-01",ENSO_monthly!$A:$A,0))</f>
        <v>-1.76</v>
      </c>
      <c r="K28" s="13">
        <f>INDEX(ENSO_monthly!$F:$F,MATCH("2008-02",ENSO_monthly!$A:$A,0))</f>
        <v>-1.61</v>
      </c>
      <c r="L28" s="13">
        <f>INDEX(ENSO_monthly!$F:$F,MATCH("2008-03",ENSO_monthly!$A:$A,0))</f>
        <v>-1.37</v>
      </c>
      <c r="M28" s="13">
        <f>INDEX(ENSO_monthly!$F:$F,MATCH("2008-04",ENSO_monthly!$A:$A,0))</f>
        <v>-1.05</v>
      </c>
      <c r="N28" s="13">
        <f>INDEX(ENSO_monthly!$F:$F,MATCH("2008-05",ENSO_monthly!$A:$A,0))</f>
        <v>-0.85</v>
      </c>
      <c r="O28" s="13">
        <f>INDEX(ENSO_monthly!$F:$F,MATCH("2008-06",ENSO_monthly!$A:$A,0))</f>
        <v>-0.56</v>
      </c>
      <c r="P28" s="2">
        <f>COUNTIFS(ENSO_monthly!$M:$M,A28,ENSO_monthly!$L:$L,"El Niño*")</f>
        <v>0</v>
      </c>
      <c r="Q28" s="2">
        <f>COUNTIFS(ENSO_monthly!$M:$M,A28,ENSO_monthly!$L:$L,"La Niña*")</f>
        <v>12</v>
      </c>
      <c r="R28" s="3">
        <f>I28</f>
        <v>-1.72</v>
      </c>
      <c r="S28" s="3">
        <f>IF(MAX(D28:O28)&gt;=-MIN(D28:O28),MAX(D28:O28),MIN(D28:O28))</f>
        <v>-1.76</v>
      </c>
      <c r="T28" s="2" t="str">
        <f>INDEX(ENSO_monthly!$L:$L,MATCH("2007-12",ENSO_monthly!$A:$A,0))</f>
        <v>La Niña</v>
      </c>
      <c r="U28" s="12" t="str">
        <f>IF(LEFT(T28,7)="El Niño","El Niño",IF(LEFT(T28,7)="La Niña","La Niña","Neutral"))</f>
        <v>La Niña</v>
      </c>
      <c r="V28" s="2" t="str">
        <f>IF(U28="Neutral","",IF(ABS(ROUND(S28,1))&lt;1,"weak",IF(ABS(ROUND(S28,1))&lt;1.5,"moderate",IF(ABS(ROUND(S28,1))&lt;2,"strong","very strong"))))</f>
        <v>strong</v>
      </c>
      <c r="W28" s="2" t="inlineStr">
        <is>
          <t xml:space="preserve">yes</t>
        </is>
      </c>
      <c r="X28" t="inlineStr">
        <is>
          <t xml:space="preserve"/>
        </is>
      </c>
    </row>
    <row r="29">
      <c r="A29" s="12" t="inlineStr">
        <is>
          <t xml:space="preserve">2008/09</t>
        </is>
      </c>
      <c r="B29" s="9">
        <v>39630</v>
      </c>
      <c r="C29" s="9">
        <v>39994</v>
      </c>
      <c r="D29" s="3">
        <f>INDEX(ENSO_monthly!$F:$F,MATCH("2008-07",ENSO_monthly!$A:$A,0))</f>
        <v>-0.33</v>
      </c>
      <c r="E29" s="3">
        <f>INDEX(ENSO_monthly!$F:$F,MATCH("2008-08",ENSO_monthly!$A:$A,0))</f>
        <v>-0.2</v>
      </c>
      <c r="F29" s="3">
        <f>INDEX(ENSO_monthly!$F:$F,MATCH("2008-09",ENSO_monthly!$A:$A,0))</f>
        <v>-0.25</v>
      </c>
      <c r="G29" s="3">
        <f>INDEX(ENSO_monthly!$F:$F,MATCH("2008-10",ENSO_monthly!$A:$A,0))</f>
        <v>-0.36</v>
      </c>
      <c r="H29" s="13">
        <f>INDEX(ENSO_monthly!$F:$F,MATCH("2008-11",ENSO_monthly!$A:$A,0))</f>
        <v>-0.57</v>
      </c>
      <c r="I29" s="13">
        <f>INDEX(ENSO_monthly!$F:$F,MATCH("2008-12",ENSO_monthly!$A:$A,0))</f>
        <v>-0.79</v>
      </c>
      <c r="J29" s="13">
        <f>INDEX(ENSO_monthly!$F:$F,MATCH("2009-01",ENSO_monthly!$A:$A,0))</f>
        <v>-0.89</v>
      </c>
      <c r="K29" s="13">
        <f>INDEX(ENSO_monthly!$F:$F,MATCH("2009-02",ENSO_monthly!$A:$A,0))</f>
        <v>-0.84</v>
      </c>
      <c r="L29" s="13">
        <f>INDEX(ENSO_monthly!$F:$F,MATCH("2009-03",ENSO_monthly!$A:$A,0))</f>
        <v>-0.63</v>
      </c>
      <c r="M29" s="3">
        <f>INDEX(ENSO_monthly!$F:$F,MATCH("2009-04",ENSO_monthly!$A:$A,0))</f>
        <v>-0.35</v>
      </c>
      <c r="N29" s="3">
        <f>INDEX(ENSO_monthly!$F:$F,MATCH("2009-05",ENSO_monthly!$A:$A,0))</f>
        <v>0.03</v>
      </c>
      <c r="O29" s="3">
        <f>INDEX(ENSO_monthly!$F:$F,MATCH("2009-06",ENSO_monthly!$A:$A,0))</f>
        <v>0.34</v>
      </c>
      <c r="P29" s="2">
        <f>COUNTIFS(ENSO_monthly!$M:$M,A29,ENSO_monthly!$L:$L,"El Niño*")</f>
        <v>0</v>
      </c>
      <c r="Q29" s="2">
        <f>COUNTIFS(ENSO_monthly!$M:$M,A29,ENSO_monthly!$L:$L,"La Niña*")</f>
        <v>5</v>
      </c>
      <c r="R29" s="3">
        <f>I29</f>
        <v>-0.79</v>
      </c>
      <c r="S29" s="3">
        <f>IF(MAX(D29:O29)&gt;=-MIN(D29:O29),MAX(D29:O29),MIN(D29:O29))</f>
        <v>-0.89</v>
      </c>
      <c r="T29" s="2" t="str">
        <f>INDEX(ENSO_monthly!$L:$L,MATCH("2008-12",ENSO_monthly!$A:$A,0))</f>
        <v>La Niña</v>
      </c>
      <c r="U29" s="12" t="str">
        <f>IF(LEFT(T29,7)="El Niño","El Niño",IF(LEFT(T29,7)="La Niña","La Niña","Neutral"))</f>
        <v>La Niña</v>
      </c>
      <c r="V29" s="2" t="str">
        <f>IF(U29="Neutral","",IF(ABS(ROUND(S29,1))&lt;1,"weak",IF(ABS(ROUND(S29,1))&lt;1.5,"moderate",IF(ABS(ROUND(S29,1))&lt;2,"strong","very strong"))))</f>
        <v>weak</v>
      </c>
      <c r="W29" s="2" t="inlineStr">
        <is>
          <t xml:space="preserve">yes</t>
        </is>
      </c>
      <c r="X29" t="inlineStr">
        <is>
          <t xml:space="preserve"/>
        </is>
      </c>
    </row>
    <row r="30">
      <c r="A30" s="11" t="inlineStr">
        <is>
          <t xml:space="preserve">2009/10</t>
        </is>
      </c>
      <c r="B30" s="9">
        <v>39995</v>
      </c>
      <c r="C30" s="9">
        <v>40359</v>
      </c>
      <c r="D30" s="10">
        <f>INDEX(ENSO_monthly!$F:$F,MATCH("2009-07",ENSO_monthly!$A:$A,0))</f>
        <v>0.5</v>
      </c>
      <c r="E30" s="10">
        <f>INDEX(ENSO_monthly!$F:$F,MATCH("2009-08",ENSO_monthly!$A:$A,0))</f>
        <v>0.56</v>
      </c>
      <c r="F30" s="10">
        <f>INDEX(ENSO_monthly!$F:$F,MATCH("2009-09",ENSO_monthly!$A:$A,0))</f>
        <v>0.66</v>
      </c>
      <c r="G30" s="10">
        <f>INDEX(ENSO_monthly!$F:$F,MATCH("2009-10",ENSO_monthly!$A:$A,0))</f>
        <v>0.92</v>
      </c>
      <c r="H30" s="10">
        <f>INDEX(ENSO_monthly!$F:$F,MATCH("2009-11",ENSO_monthly!$A:$A,0))</f>
        <v>1.31</v>
      </c>
      <c r="I30" s="10">
        <f>INDEX(ENSO_monthly!$F:$F,MATCH("2009-12",ENSO_monthly!$A:$A,0))</f>
        <v>1.5</v>
      </c>
      <c r="J30" s="10">
        <f>INDEX(ENSO_monthly!$F:$F,MATCH("2010-01",ENSO_monthly!$A:$A,0))</f>
        <v>1.47</v>
      </c>
      <c r="K30" s="10">
        <f>INDEX(ENSO_monthly!$F:$F,MATCH("2010-02",ENSO_monthly!$A:$A,0))</f>
        <v>1.21</v>
      </c>
      <c r="L30" s="10">
        <f>INDEX(ENSO_monthly!$F:$F,MATCH("2010-03",ENSO_monthly!$A:$A,0))</f>
        <v>0.88</v>
      </c>
      <c r="M30" s="3">
        <f>INDEX(ENSO_monthly!$F:$F,MATCH("2010-04",ENSO_monthly!$A:$A,0))</f>
        <v>0.38</v>
      </c>
      <c r="N30" s="3">
        <f>INDEX(ENSO_monthly!$F:$F,MATCH("2010-05",ENSO_monthly!$A:$A,0))</f>
        <v>-0.16</v>
      </c>
      <c r="O30" s="13">
        <f>INDEX(ENSO_monthly!$F:$F,MATCH("2010-06",ENSO_monthly!$A:$A,0))</f>
        <v>-0.66</v>
      </c>
      <c r="P30" s="2">
        <f>COUNTIFS(ENSO_monthly!$M:$M,A30,ENSO_monthly!$L:$L,"El Niño*")</f>
        <v>9</v>
      </c>
      <c r="Q30" s="2">
        <f>COUNTIFS(ENSO_monthly!$M:$M,A30,ENSO_monthly!$L:$L,"La Niña*")</f>
        <v>1</v>
      </c>
      <c r="R30" s="3">
        <f>I30</f>
        <v>1.5</v>
      </c>
      <c r="S30" s="3">
        <f>IF(MAX(D30:O30)&gt;=-MIN(D30:O30),MAX(D30:O30),MIN(D30:O30))</f>
        <v>1.5</v>
      </c>
      <c r="T30" s="2" t="str">
        <f>INDEX(ENSO_monthly!$L:$L,MATCH("2009-12",ENSO_monthly!$A:$A,0))</f>
        <v>El Niño</v>
      </c>
      <c r="U30" s="11" t="str">
        <f>IF(LEFT(T30,7)="El Niño","El Niño",IF(LEFT(T30,7)="La Niña","La Niña","Neutral"))</f>
        <v>El Niño</v>
      </c>
      <c r="V30" s="2" t="str">
        <f>IF(U30="Neutral","",IF(ABS(ROUND(S30,1))&lt;1,"weak",IF(ABS(ROUND(S30,1))&lt;1.5,"moderate",IF(ABS(ROUND(S30,1))&lt;2,"strong","very strong"))))</f>
        <v>strong</v>
      </c>
      <c r="W30" s="2" t="inlineStr">
        <is>
          <t xml:space="preserve">yes</t>
        </is>
      </c>
      <c r="X30" t="inlineStr">
        <is>
          <t xml:space="preserve"/>
        </is>
      </c>
    </row>
    <row r="31">
      <c r="A31" s="12" t="inlineStr">
        <is>
          <t xml:space="preserve">2010/11</t>
        </is>
      </c>
      <c r="B31" s="9">
        <v>40360</v>
      </c>
      <c r="C31" s="9">
        <v>40724</v>
      </c>
      <c r="D31" s="13">
        <f>INDEX(ENSO_monthly!$F:$F,MATCH("2010-07",ENSO_monthly!$A:$A,0))</f>
        <v>-0.98</v>
      </c>
      <c r="E31" s="13">
        <f>INDEX(ENSO_monthly!$F:$F,MATCH("2010-08",ENSO_monthly!$A:$A,0))</f>
        <v>-1.24</v>
      </c>
      <c r="F31" s="13">
        <f>INDEX(ENSO_monthly!$F:$F,MATCH("2010-09",ENSO_monthly!$A:$A,0))</f>
        <v>-1.43</v>
      </c>
      <c r="G31" s="13">
        <f>INDEX(ENSO_monthly!$F:$F,MATCH("2010-10",ENSO_monthly!$A:$A,0))</f>
        <v>-1.54</v>
      </c>
      <c r="H31" s="13">
        <f>INDEX(ENSO_monthly!$F:$F,MATCH("2010-11",ENSO_monthly!$A:$A,0))</f>
        <v>-1.57</v>
      </c>
      <c r="I31" s="13">
        <f>INDEX(ENSO_monthly!$F:$F,MATCH("2010-12",ENSO_monthly!$A:$A,0))</f>
        <v>-1.48</v>
      </c>
      <c r="J31" s="13">
        <f>INDEX(ENSO_monthly!$F:$F,MATCH("2011-01",ENSO_monthly!$A:$A,0))</f>
        <v>-1.29</v>
      </c>
      <c r="K31" s="13">
        <f>INDEX(ENSO_monthly!$F:$F,MATCH("2011-02",ENSO_monthly!$A:$A,0))</f>
        <v>-1.06</v>
      </c>
      <c r="L31" s="13">
        <f>INDEX(ENSO_monthly!$F:$F,MATCH("2011-03",ENSO_monthly!$A:$A,0))</f>
        <v>-0.85</v>
      </c>
      <c r="M31" s="13">
        <f>INDEX(ENSO_monthly!$F:$F,MATCH("2011-04",ENSO_monthly!$A:$A,0))</f>
        <v>-0.68</v>
      </c>
      <c r="N31" s="13">
        <f>INDEX(ENSO_monthly!$F:$F,MATCH("2011-05",ENSO_monthly!$A:$A,0))</f>
        <v>-0.5</v>
      </c>
      <c r="O31" s="3">
        <f>INDEX(ENSO_monthly!$F:$F,MATCH("2011-06",ENSO_monthly!$A:$A,0))</f>
        <v>-0.34</v>
      </c>
      <c r="P31" s="2">
        <f>COUNTIFS(ENSO_monthly!$M:$M,A31,ENSO_monthly!$L:$L,"El Niño*")</f>
        <v>0</v>
      </c>
      <c r="Q31" s="2">
        <f>COUNTIFS(ENSO_monthly!$M:$M,A31,ENSO_monthly!$L:$L,"La Niña*")</f>
        <v>11</v>
      </c>
      <c r="R31" s="3">
        <f>I31</f>
        <v>-1.48</v>
      </c>
      <c r="S31" s="3">
        <f>IF(MAX(D31:O31)&gt;=-MIN(D31:O31),MAX(D31:O31),MIN(D31:O31))</f>
        <v>-1.57</v>
      </c>
      <c r="T31" s="2" t="str">
        <f>INDEX(ENSO_monthly!$L:$L,MATCH("2010-12",ENSO_monthly!$A:$A,0))</f>
        <v>La Niña</v>
      </c>
      <c r="U31" s="12" t="str">
        <f>IF(LEFT(T31,7)="El Niño","El Niño",IF(LEFT(T31,7)="La Niña","La Niña","Neutral"))</f>
        <v>La Niña</v>
      </c>
      <c r="V31" s="2" t="str">
        <f>IF(U31="Neutral","",IF(ABS(ROUND(S31,1))&lt;1,"weak",IF(ABS(ROUND(S31,1))&lt;1.5,"moderate",IF(ABS(ROUND(S31,1))&lt;2,"strong","very strong"))))</f>
        <v>strong</v>
      </c>
      <c r="W31" s="2" t="inlineStr">
        <is>
          <t xml:space="preserve">yes</t>
        </is>
      </c>
      <c r="X31" t="inlineStr">
        <is>
          <t xml:space="preserve"/>
        </is>
      </c>
    </row>
    <row r="32">
      <c r="A32" s="12" t="inlineStr">
        <is>
          <t xml:space="preserve">2011/12</t>
        </is>
      </c>
      <c r="B32" s="9">
        <v>40725</v>
      </c>
      <c r="C32" s="9">
        <v>41090</v>
      </c>
      <c r="D32" s="3">
        <f>INDEX(ENSO_monthly!$F:$F,MATCH("2011-07",ENSO_monthly!$A:$A,0))</f>
        <v>-0.37</v>
      </c>
      <c r="E32" s="13">
        <f>INDEX(ENSO_monthly!$F:$F,MATCH("2011-08",ENSO_monthly!$A:$A,0))</f>
        <v>-0.5</v>
      </c>
      <c r="F32" s="13">
        <f>INDEX(ENSO_monthly!$F:$F,MATCH("2011-09",ENSO_monthly!$A:$A,0))</f>
        <v>-0.76</v>
      </c>
      <c r="G32" s="13">
        <f>INDEX(ENSO_monthly!$F:$F,MATCH("2011-10",ENSO_monthly!$A:$A,0))</f>
        <v>-0.94</v>
      </c>
      <c r="H32" s="13">
        <f>INDEX(ENSO_monthly!$F:$F,MATCH("2011-11",ENSO_monthly!$A:$A,0))</f>
        <v>-1.02</v>
      </c>
      <c r="I32" s="13">
        <f>INDEX(ENSO_monthly!$F:$F,MATCH("2011-12",ENSO_monthly!$A:$A,0))</f>
        <v>-0.92</v>
      </c>
      <c r="J32" s="13">
        <f>INDEX(ENSO_monthly!$F:$F,MATCH("2012-01",ENSO_monthly!$A:$A,0))</f>
        <v>-0.71</v>
      </c>
      <c r="K32" s="13">
        <f>INDEX(ENSO_monthly!$F:$F,MATCH("2012-02",ENSO_monthly!$A:$A,0))</f>
        <v>-0.56</v>
      </c>
      <c r="L32" s="3">
        <f>INDEX(ENSO_monthly!$F:$F,MATCH("2012-03",ENSO_monthly!$A:$A,0))</f>
        <v>-0.44</v>
      </c>
      <c r="M32" s="3">
        <f>INDEX(ENSO_monthly!$F:$F,MATCH("2012-04",ENSO_monthly!$A:$A,0))</f>
        <v>-0.35</v>
      </c>
      <c r="N32" s="3">
        <f>INDEX(ENSO_monthly!$F:$F,MATCH("2012-05",ENSO_monthly!$A:$A,0))</f>
        <v>-0.18</v>
      </c>
      <c r="O32" s="3">
        <f>INDEX(ENSO_monthly!$F:$F,MATCH("2012-06",ENSO_monthly!$A:$A,0))</f>
        <v>0.03</v>
      </c>
      <c r="P32" s="2">
        <f>COUNTIFS(ENSO_monthly!$M:$M,A32,ENSO_monthly!$L:$L,"El Niño*")</f>
        <v>0</v>
      </c>
      <c r="Q32" s="2">
        <f>COUNTIFS(ENSO_monthly!$M:$M,A32,ENSO_monthly!$L:$L,"La Niña*")</f>
        <v>7</v>
      </c>
      <c r="R32" s="3">
        <f>I32</f>
        <v>-0.92</v>
      </c>
      <c r="S32" s="3">
        <f>IF(MAX(D32:O32)&gt;=-MIN(D32:O32),MAX(D32:O32),MIN(D32:O32))</f>
        <v>-1.02</v>
      </c>
      <c r="T32" s="2" t="str">
        <f>INDEX(ENSO_monthly!$L:$L,MATCH("2011-12",ENSO_monthly!$A:$A,0))</f>
        <v>La Niña</v>
      </c>
      <c r="U32" s="12" t="str">
        <f>IF(LEFT(T32,7)="El Niño","El Niño",IF(LEFT(T32,7)="La Niña","La Niña","Neutral"))</f>
        <v>La Niña</v>
      </c>
      <c r="V32" s="2" t="str">
        <f>IF(U32="Neutral","",IF(ABS(ROUND(S32,1))&lt;1,"weak",IF(ABS(ROUND(S32,1))&lt;1.5,"moderate",IF(ABS(ROUND(S32,1))&lt;2,"strong","very strong"))))</f>
        <v>moderate</v>
      </c>
      <c r="W32" s="2" t="inlineStr">
        <is>
          <t xml:space="preserve">yes</t>
        </is>
      </c>
      <c r="X32" t="inlineStr">
        <is>
          <t xml:space="preserve"/>
        </is>
      </c>
    </row>
    <row r="33">
      <c r="A33" s="8" t="inlineStr">
        <is>
          <t xml:space="preserve">2012/13</t>
        </is>
      </c>
      <c r="B33" s="9">
        <v>41091</v>
      </c>
      <c r="C33" s="9">
        <v>41455</v>
      </c>
      <c r="D33" s="3">
        <f>INDEX(ENSO_monthly!$F:$F,MATCH("2012-07",ENSO_monthly!$A:$A,0))</f>
        <v>0.28</v>
      </c>
      <c r="E33" s="3">
        <f>INDEX(ENSO_monthly!$F:$F,MATCH("2012-08",ENSO_monthly!$A:$A,0))</f>
        <v>0.39</v>
      </c>
      <c r="F33" s="3">
        <f>INDEX(ENSO_monthly!$F:$F,MATCH("2012-09",ENSO_monthly!$A:$A,0))</f>
        <v>0.37</v>
      </c>
      <c r="G33" s="3">
        <f>INDEX(ENSO_monthly!$F:$F,MATCH("2012-10",ENSO_monthly!$A:$A,0))</f>
        <v>0.28</v>
      </c>
      <c r="H33" s="3">
        <f>INDEX(ENSO_monthly!$F:$F,MATCH("2012-11",ENSO_monthly!$A:$A,0))</f>
        <v>0.13</v>
      </c>
      <c r="I33" s="3">
        <f>INDEX(ENSO_monthly!$F:$F,MATCH("2012-12",ENSO_monthly!$A:$A,0))</f>
        <v>-0.03</v>
      </c>
      <c r="J33" s="3">
        <f>INDEX(ENSO_monthly!$F:$F,MATCH("2013-01",ENSO_monthly!$A:$A,0))</f>
        <v>-0.24</v>
      </c>
      <c r="K33" s="3">
        <f>INDEX(ENSO_monthly!$F:$F,MATCH("2013-02",ENSO_monthly!$A:$A,0))</f>
        <v>-0.28</v>
      </c>
      <c r="L33" s="3">
        <f>INDEX(ENSO_monthly!$F:$F,MATCH("2013-03",ENSO_monthly!$A:$A,0))</f>
        <v>-0.23</v>
      </c>
      <c r="M33" s="3">
        <f>INDEX(ENSO_monthly!$F:$F,MATCH("2013-04",ENSO_monthly!$A:$A,0))</f>
        <v>-0.2</v>
      </c>
      <c r="N33" s="3">
        <f>INDEX(ENSO_monthly!$F:$F,MATCH("2013-05",ENSO_monthly!$A:$A,0))</f>
        <v>-0.3</v>
      </c>
      <c r="O33" s="3">
        <f>INDEX(ENSO_monthly!$F:$F,MATCH("2013-06",ENSO_monthly!$A:$A,0))</f>
        <v>-0.38</v>
      </c>
      <c r="P33" s="2">
        <f>COUNTIFS(ENSO_monthly!$M:$M,A33,ENSO_monthly!$L:$L,"El Niño*")</f>
        <v>0</v>
      </c>
      <c r="Q33" s="2">
        <f>COUNTIFS(ENSO_monthly!$M:$M,A33,ENSO_monthly!$L:$L,"La Niña*")</f>
        <v>0</v>
      </c>
      <c r="R33" s="3">
        <f>I33</f>
        <v>-0.03</v>
      </c>
      <c r="S33" s="3">
        <f>IF(MAX(D33:O33)&gt;=-MIN(D33:O33),MAX(D33:O33),MIN(D33:O33))</f>
        <v>0.39</v>
      </c>
      <c r="T33" s="2" t="str">
        <f>INDEX(ENSO_monthly!$L:$L,MATCH("2012-12",ENSO_monthly!$A:$A,0))</f>
        <v>—</v>
      </c>
      <c r="U33" s="8" t="str">
        <f>IF(LEFT(T33,7)="El Niño","El Niño",IF(LEFT(T33,7)="La Niña","La Niña","Neutral"))</f>
        <v>Neutral</v>
      </c>
      <c r="V33" s="2" t="str">
        <f>IF(U33="Neutral","",IF(ABS(ROUND(S33,1))&lt;1,"weak",IF(ABS(ROUND(S33,1))&lt;1.5,"moderate",IF(ABS(ROUND(S33,1))&lt;2,"strong","very strong"))))</f>
        <v/>
      </c>
      <c r="W33" s="2" t="inlineStr">
        <is>
          <t xml:space="preserve">yes</t>
        </is>
      </c>
      <c r="X33" t="inlineStr">
        <is>
          <t xml:space="preserve"/>
        </is>
      </c>
    </row>
    <row r="34">
      <c r="A34" s="8" t="inlineStr">
        <is>
          <t xml:space="preserve">2013/14</t>
        </is>
      </c>
      <c r="B34" s="9">
        <v>41456</v>
      </c>
      <c r="C34" s="9">
        <v>41820</v>
      </c>
      <c r="D34" s="3">
        <f>INDEX(ENSO_monthly!$F:$F,MATCH("2013-07",ENSO_monthly!$A:$A,0))</f>
        <v>-0.45</v>
      </c>
      <c r="E34" s="3">
        <f>INDEX(ENSO_monthly!$F:$F,MATCH("2013-08",ENSO_monthly!$A:$A,0))</f>
        <v>-0.34</v>
      </c>
      <c r="F34" s="3">
        <f>INDEX(ENSO_monthly!$F:$F,MATCH("2013-09",ENSO_monthly!$A:$A,0))</f>
        <v>-0.32</v>
      </c>
      <c r="G34" s="3">
        <f>INDEX(ENSO_monthly!$F:$F,MATCH("2013-10",ENSO_monthly!$A:$A,0))</f>
        <v>-0.14</v>
      </c>
      <c r="H34" s="3">
        <f>INDEX(ENSO_monthly!$F:$F,MATCH("2013-11",ENSO_monthly!$A:$A,0))</f>
        <v>-0.12</v>
      </c>
      <c r="I34" s="3">
        <f>INDEX(ENSO_monthly!$F:$F,MATCH("2013-12",ENSO_monthly!$A:$A,0))</f>
        <v>-0.11</v>
      </c>
      <c r="J34" s="3">
        <f>INDEX(ENSO_monthly!$F:$F,MATCH("2014-01",ENSO_monthly!$A:$A,0))</f>
        <v>-0.24</v>
      </c>
      <c r="K34" s="3">
        <f>INDEX(ENSO_monthly!$F:$F,MATCH("2014-02",ENSO_monthly!$A:$A,0))</f>
        <v>-0.21</v>
      </c>
      <c r="L34" s="3">
        <f>INDEX(ENSO_monthly!$F:$F,MATCH("2014-03",ENSO_monthly!$A:$A,0))</f>
        <v>-0.02</v>
      </c>
      <c r="M34" s="3">
        <f>INDEX(ENSO_monthly!$F:$F,MATCH("2014-04",ENSO_monthly!$A:$A,0))</f>
        <v>0.25</v>
      </c>
      <c r="N34" s="3">
        <f>INDEX(ENSO_monthly!$F:$F,MATCH("2014-05",ENSO_monthly!$A:$A,0))</f>
        <v>0.35</v>
      </c>
      <c r="O34" s="3">
        <f>INDEX(ENSO_monthly!$F:$F,MATCH("2014-06",ENSO_monthly!$A:$A,0))</f>
        <v>0.22</v>
      </c>
      <c r="P34" s="2">
        <f>COUNTIFS(ENSO_monthly!$M:$M,A34,ENSO_monthly!$L:$L,"El Niño*")</f>
        <v>0</v>
      </c>
      <c r="Q34" s="2">
        <f>COUNTIFS(ENSO_monthly!$M:$M,A34,ENSO_monthly!$L:$L,"La Niña*")</f>
        <v>0</v>
      </c>
      <c r="R34" s="3">
        <f>I34</f>
        <v>-0.11</v>
      </c>
      <c r="S34" s="3">
        <f>IF(MAX(D34:O34)&gt;=-MIN(D34:O34),MAX(D34:O34),MIN(D34:O34))</f>
        <v>-0.45</v>
      </c>
      <c r="T34" s="2" t="str">
        <f>INDEX(ENSO_monthly!$L:$L,MATCH("2013-12",ENSO_monthly!$A:$A,0))</f>
        <v>—</v>
      </c>
      <c r="U34" s="8" t="str">
        <f>IF(LEFT(T34,7)="El Niño","El Niño",IF(LEFT(T34,7)="La Niña","La Niña","Neutral"))</f>
        <v>Neutral</v>
      </c>
      <c r="V34" s="2" t="str">
        <f>IF(U34="Neutral","",IF(ABS(ROUND(S34,1))&lt;1,"weak",IF(ABS(ROUND(S34,1))&lt;1.5,"moderate",IF(ABS(ROUND(S34,1))&lt;2,"strong","very strong"))))</f>
        <v/>
      </c>
      <c r="W34" s="2" t="inlineStr">
        <is>
          <t xml:space="preserve">yes</t>
        </is>
      </c>
      <c r="X34" t="inlineStr">
        <is>
          <t xml:space="preserve"/>
        </is>
      </c>
    </row>
    <row r="35">
      <c r="A35" s="11" t="inlineStr">
        <is>
          <t xml:space="preserve">2014/15</t>
        </is>
      </c>
      <c r="B35" s="9">
        <v>41821</v>
      </c>
      <c r="C35" s="9">
        <v>42185</v>
      </c>
      <c r="D35" s="3">
        <f>INDEX(ENSO_monthly!$F:$F,MATCH("2014-07",ENSO_monthly!$A:$A,0))</f>
        <v>0.07</v>
      </c>
      <c r="E35" s="3">
        <f>INDEX(ENSO_monthly!$F:$F,MATCH("2014-08",ENSO_monthly!$A:$A,0))</f>
        <v>0.07</v>
      </c>
      <c r="F35" s="3">
        <f>INDEX(ENSO_monthly!$F:$F,MATCH("2014-09",ENSO_monthly!$A:$A,0))</f>
        <v>0.24</v>
      </c>
      <c r="G35" s="10">
        <f>INDEX(ENSO_monthly!$F:$F,MATCH("2014-10",ENSO_monthly!$A:$A,0))</f>
        <v>0.51</v>
      </c>
      <c r="H35" s="10">
        <f>INDEX(ENSO_monthly!$F:$F,MATCH("2014-11",ENSO_monthly!$A:$A,0))</f>
        <v>0.7</v>
      </c>
      <c r="I35" s="10">
        <f>INDEX(ENSO_monthly!$F:$F,MATCH("2014-12",ENSO_monthly!$A:$A,0))</f>
        <v>0.8</v>
      </c>
      <c r="J35" s="10">
        <f>INDEX(ENSO_monthly!$F:$F,MATCH("2015-01",ENSO_monthly!$A:$A,0))</f>
        <v>0.73</v>
      </c>
      <c r="K35" s="10">
        <f>INDEX(ENSO_monthly!$F:$F,MATCH("2015-02",ENSO_monthly!$A:$A,0))</f>
        <v>0.65</v>
      </c>
      <c r="L35" s="10">
        <f>INDEX(ENSO_monthly!$F:$F,MATCH("2015-03",ENSO_monthly!$A:$A,0))</f>
        <v>0.72</v>
      </c>
      <c r="M35" s="10">
        <f>INDEX(ENSO_monthly!$F:$F,MATCH("2015-04",ENSO_monthly!$A:$A,0))</f>
        <v>0.86</v>
      </c>
      <c r="N35" s="10">
        <f>INDEX(ENSO_monthly!$F:$F,MATCH("2015-05",ENSO_monthly!$A:$A,0))</f>
        <v>1.04</v>
      </c>
      <c r="O35" s="10">
        <f>INDEX(ENSO_monthly!$F:$F,MATCH("2015-06",ENSO_monthly!$A:$A,0))</f>
        <v>1.19</v>
      </c>
      <c r="P35" s="2">
        <f>COUNTIFS(ENSO_monthly!$M:$M,A35,ENSO_monthly!$L:$L,"El Niño*")</f>
        <v>9</v>
      </c>
      <c r="Q35" s="2">
        <f>COUNTIFS(ENSO_monthly!$M:$M,A35,ENSO_monthly!$L:$L,"La Niña*")</f>
        <v>0</v>
      </c>
      <c r="R35" s="3">
        <f>I35</f>
        <v>0.8</v>
      </c>
      <c r="S35" s="3">
        <f>IF(MAX(D35:O35)&gt;=-MIN(D35:O35),MAX(D35:O35),MIN(D35:O35))</f>
        <v>1.19</v>
      </c>
      <c r="T35" s="2" t="str">
        <f>INDEX(ENSO_monthly!$L:$L,MATCH("2014-12",ENSO_monthly!$A:$A,0))</f>
        <v>El Niño</v>
      </c>
      <c r="U35" s="11" t="str">
        <f>IF(LEFT(T35,7)="El Niño","El Niño",IF(LEFT(T35,7)="La Niña","La Niña","Neutral"))</f>
        <v>El Niño</v>
      </c>
      <c r="V35" s="2" t="str">
        <f>IF(U35="Neutral","",IF(ABS(ROUND(S35,1))&lt;1,"weak",IF(ABS(ROUND(S35,1))&lt;1.5,"moderate",IF(ABS(ROUND(S35,1))&lt;2,"strong","very strong"))))</f>
        <v>moderate</v>
      </c>
      <c r="W35" s="2" t="inlineStr">
        <is>
          <t xml:space="preserve">yes</t>
        </is>
      </c>
      <c r="X35" t="inlineStr">
        <is>
          <t xml:space="preserve">Weak El Niño from SON 2014 (+0.51); the same run continues into the very strong 2015/16 event.</t>
        </is>
      </c>
    </row>
    <row r="36">
      <c r="A36" s="11" t="inlineStr">
        <is>
          <t xml:space="preserve">2015/16</t>
        </is>
      </c>
      <c r="B36" s="9">
        <v>42186</v>
      </c>
      <c r="C36" s="9">
        <v>42551</v>
      </c>
      <c r="D36" s="10">
        <f>INDEX(ENSO_monthly!$F:$F,MATCH("2015-07",ENSO_monthly!$A:$A,0))</f>
        <v>1.44</v>
      </c>
      <c r="E36" s="10">
        <f>INDEX(ENSO_monthly!$F:$F,MATCH("2015-08",ENSO_monthly!$A:$A,0))</f>
        <v>1.73</v>
      </c>
      <c r="F36" s="10">
        <f>INDEX(ENSO_monthly!$F:$F,MATCH("2015-09",ENSO_monthly!$A:$A,0))</f>
        <v>2.02</v>
      </c>
      <c r="G36" s="10">
        <f>INDEX(ENSO_monthly!$F:$F,MATCH("2015-10",ENSO_monthly!$A:$A,0))</f>
        <v>2.28</v>
      </c>
      <c r="H36" s="10">
        <f>INDEX(ENSO_monthly!$F:$F,MATCH("2015-11",ENSO_monthly!$A:$A,0))</f>
        <v>2.45</v>
      </c>
      <c r="I36" s="10">
        <f>INDEX(ENSO_monthly!$F:$F,MATCH("2015-12",ENSO_monthly!$A:$A,0))</f>
        <v>2.59</v>
      </c>
      <c r="J36" s="10">
        <f>INDEX(ENSO_monthly!$F:$F,MATCH("2016-01",ENSO_monthly!$A:$A,0))</f>
        <v>2.5</v>
      </c>
      <c r="K36" s="10">
        <f>INDEX(ENSO_monthly!$F:$F,MATCH("2016-02",ENSO_monthly!$A:$A,0))</f>
        <v>2.21</v>
      </c>
      <c r="L36" s="10">
        <f>INDEX(ENSO_monthly!$F:$F,MATCH("2016-03",ENSO_monthly!$A:$A,0))</f>
        <v>1.69</v>
      </c>
      <c r="M36" s="10">
        <f>INDEX(ENSO_monthly!$F:$F,MATCH("2016-04",ENSO_monthly!$A:$A,0))</f>
        <v>1.11</v>
      </c>
      <c r="N36" s="10">
        <f>INDEX(ENSO_monthly!$F:$F,MATCH("2016-05",ENSO_monthly!$A:$A,0))</f>
        <v>0.57</v>
      </c>
      <c r="O36" s="3">
        <f>INDEX(ENSO_monthly!$F:$F,MATCH("2016-06",ENSO_monthly!$A:$A,0))</f>
        <v>0.09</v>
      </c>
      <c r="P36" s="2">
        <f>COUNTIFS(ENSO_monthly!$M:$M,A36,ENSO_monthly!$L:$L,"El Niño*")</f>
        <v>11</v>
      </c>
      <c r="Q36" s="2">
        <f>COUNTIFS(ENSO_monthly!$M:$M,A36,ENSO_monthly!$L:$L,"La Niña*")</f>
        <v>0</v>
      </c>
      <c r="R36" s="3">
        <f>I36</f>
        <v>2.59</v>
      </c>
      <c r="S36" s="3">
        <f>IF(MAX(D36:O36)&gt;=-MIN(D36:O36),MAX(D36:O36),MIN(D36:O36))</f>
        <v>2.59</v>
      </c>
      <c r="T36" s="2" t="str">
        <f>INDEX(ENSO_monthly!$L:$L,MATCH("2015-12",ENSO_monthly!$A:$A,0))</f>
        <v>El Niño</v>
      </c>
      <c r="U36" s="11" t="str">
        <f>IF(LEFT(T36,7)="El Niño","El Niño",IF(LEFT(T36,7)="La Niña","La Niña","Neutral"))</f>
        <v>El Niño</v>
      </c>
      <c r="V36" s="2" t="str">
        <f>IF(U36="Neutral","",IF(ABS(ROUND(S36,1))&lt;1,"weak",IF(ABS(ROUND(S36,1))&lt;1.5,"moderate",IF(ABS(ROUND(S36,1))&lt;2,"strong","very strong"))))</f>
        <v>very strong</v>
      </c>
      <c r="W36" s="2" t="inlineStr">
        <is>
          <t xml:space="preserve">yes</t>
        </is>
      </c>
      <c r="X36" t="inlineStr">
        <is>
          <t xml:space="preserve"/>
        </is>
      </c>
    </row>
    <row r="37">
      <c r="A37" s="8" t="inlineStr">
        <is>
          <t xml:space="preserve">2016/17</t>
        </is>
      </c>
      <c r="B37" s="9">
        <v>42552</v>
      </c>
      <c r="C37" s="9">
        <v>42916</v>
      </c>
      <c r="D37" s="3">
        <f>INDEX(ENSO_monthly!$F:$F,MATCH("2016-07",ENSO_monthly!$A:$A,0))</f>
        <v>-0.19</v>
      </c>
      <c r="E37" s="3">
        <f>INDEX(ENSO_monthly!$F:$F,MATCH("2016-08",ENSO_monthly!$A:$A,0))</f>
        <v>-0.34</v>
      </c>
      <c r="F37" s="3">
        <f>INDEX(ENSO_monthly!$F:$F,MATCH("2016-09",ENSO_monthly!$A:$A,0))</f>
        <v>-0.42</v>
      </c>
      <c r="G37" s="3">
        <f>INDEX(ENSO_monthly!$F:$F,MATCH("2016-10",ENSO_monthly!$A:$A,0))</f>
        <v>-0.51</v>
      </c>
      <c r="H37" s="3">
        <f>INDEX(ENSO_monthly!$F:$F,MATCH("2016-11",ENSO_monthly!$A:$A,0))</f>
        <v>-0.49</v>
      </c>
      <c r="I37" s="3">
        <f>INDEX(ENSO_monthly!$F:$F,MATCH("2016-12",ENSO_monthly!$A:$A,0))</f>
        <v>-0.37</v>
      </c>
      <c r="J37" s="3">
        <f>INDEX(ENSO_monthly!$F:$F,MATCH("2017-01",ENSO_monthly!$A:$A,0))</f>
        <v>-0.08</v>
      </c>
      <c r="K37" s="3">
        <f>INDEX(ENSO_monthly!$F:$F,MATCH("2017-02",ENSO_monthly!$A:$A,0))</f>
        <v>0.08</v>
      </c>
      <c r="L37" s="3">
        <f>INDEX(ENSO_monthly!$F:$F,MATCH("2017-03",ENSO_monthly!$A:$A,0))</f>
        <v>0.27</v>
      </c>
      <c r="M37" s="3">
        <f>INDEX(ENSO_monthly!$F:$F,MATCH("2017-04",ENSO_monthly!$A:$A,0))</f>
        <v>0.32</v>
      </c>
      <c r="N37" s="3">
        <f>INDEX(ENSO_monthly!$F:$F,MATCH("2017-05",ENSO_monthly!$A:$A,0))</f>
        <v>0.35</v>
      </c>
      <c r="O37" s="3">
        <f>INDEX(ENSO_monthly!$F:$F,MATCH("2017-06",ENSO_monthly!$A:$A,0))</f>
        <v>0.32</v>
      </c>
      <c r="P37" s="2">
        <f>COUNTIFS(ENSO_monthly!$M:$M,A37,ENSO_monthly!$L:$L,"El Niño*")</f>
        <v>0</v>
      </c>
      <c r="Q37" s="2">
        <f>COUNTIFS(ENSO_monthly!$M:$M,A37,ENSO_monthly!$L:$L,"La Niña*")</f>
        <v>0</v>
      </c>
      <c r="R37" s="3">
        <f>I37</f>
        <v>-0.37</v>
      </c>
      <c r="S37" s="3">
        <f>IF(MAX(D37:O37)&gt;=-MIN(D37:O37),MAX(D37:O37),MIN(D37:O37))</f>
        <v>-0.51</v>
      </c>
      <c r="T37" s="2" t="str">
        <f>INDEX(ENSO_monthly!$L:$L,MATCH("2016-12",ENSO_monthly!$A:$A,0))</f>
        <v>—</v>
      </c>
      <c r="U37" s="8" t="str">
        <f>IF(LEFT(T37,7)="El Niño","El Niño",IF(LEFT(T37,7)="La Niña","La Niña","Neutral"))</f>
        <v>Neutral</v>
      </c>
      <c r="V37" s="2" t="str">
        <f>IF(U37="Neutral","",IF(ABS(ROUND(S37,1))&lt;1,"weak",IF(ABS(ROUND(S37,1))&lt;1.5,"moderate",IF(ABS(ROUND(S37,1))&lt;2,"strong","very strong"))))</f>
        <v/>
      </c>
      <c r="W37" s="2" t="inlineStr">
        <is>
          <t xml:space="preserve">yes</t>
        </is>
      </c>
      <c r="X37" t="inlineStr">
        <is>
          <t xml:space="preserve">ONI SON −0.51 and OND −0.49 round to −0.5, but only 2 periods: no official La Niña (NOAA did not declare one on the ONI).</t>
        </is>
      </c>
    </row>
    <row r="38">
      <c r="A38" s="12" t="inlineStr">
        <is>
          <t xml:space="preserve">2017/18</t>
        </is>
      </c>
      <c r="B38" s="9">
        <v>42917</v>
      </c>
      <c r="C38" s="9">
        <v>43281</v>
      </c>
      <c r="D38" s="3">
        <f>INDEX(ENSO_monthly!$F:$F,MATCH("2017-07",ENSO_monthly!$A:$A,0))</f>
        <v>0.14</v>
      </c>
      <c r="E38" s="3">
        <f>INDEX(ENSO_monthly!$F:$F,MATCH("2017-08",ENSO_monthly!$A:$A,0))</f>
        <v>-0.07</v>
      </c>
      <c r="F38" s="3">
        <f>INDEX(ENSO_monthly!$F:$F,MATCH("2017-09",ENSO_monthly!$A:$A,0))</f>
        <v>-0.23</v>
      </c>
      <c r="G38" s="3">
        <f>INDEX(ENSO_monthly!$F:$F,MATCH("2017-10",ENSO_monthly!$A:$A,0))</f>
        <v>-0.44</v>
      </c>
      <c r="H38" s="13">
        <f>INDEX(ENSO_monthly!$F:$F,MATCH("2017-11",ENSO_monthly!$A:$A,0))</f>
        <v>-0.61</v>
      </c>
      <c r="I38" s="13">
        <f>INDEX(ENSO_monthly!$F:$F,MATCH("2017-12",ENSO_monthly!$A:$A,0))</f>
        <v>-0.76</v>
      </c>
      <c r="J38" s="13">
        <f>INDEX(ENSO_monthly!$F:$F,MATCH("2018-01",ENSO_monthly!$A:$A,0))</f>
        <v>-0.71</v>
      </c>
      <c r="K38" s="13">
        <f>INDEX(ENSO_monthly!$F:$F,MATCH("2018-02",ENSO_monthly!$A:$A,0))</f>
        <v>-0.67</v>
      </c>
      <c r="L38" s="13">
        <f>INDEX(ENSO_monthly!$F:$F,MATCH("2018-03",ENSO_monthly!$A:$A,0))</f>
        <v>-0.55</v>
      </c>
      <c r="M38" s="3">
        <f>INDEX(ENSO_monthly!$F:$F,MATCH("2018-04",ENSO_monthly!$A:$A,0))</f>
        <v>-0.35</v>
      </c>
      <c r="N38" s="3">
        <f>INDEX(ENSO_monthly!$F:$F,MATCH("2018-05",ENSO_monthly!$A:$A,0))</f>
        <v>-0.07</v>
      </c>
      <c r="O38" s="3">
        <f>INDEX(ENSO_monthly!$F:$F,MATCH("2018-06",ENSO_monthly!$A:$A,0))</f>
        <v>0.13</v>
      </c>
      <c r="P38" s="2">
        <f>COUNTIFS(ENSO_monthly!$M:$M,A38,ENSO_monthly!$L:$L,"El Niño*")</f>
        <v>0</v>
      </c>
      <c r="Q38" s="2">
        <f>COUNTIFS(ENSO_monthly!$M:$M,A38,ENSO_monthly!$L:$L,"La Niña*")</f>
        <v>5</v>
      </c>
      <c r="R38" s="3">
        <f>I38</f>
        <v>-0.76</v>
      </c>
      <c r="S38" s="3">
        <f>IF(MAX(D38:O38)&gt;=-MIN(D38:O38),MAX(D38:O38),MIN(D38:O38))</f>
        <v>-0.76</v>
      </c>
      <c r="T38" s="2" t="str">
        <f>INDEX(ENSO_monthly!$L:$L,MATCH("2017-12",ENSO_monthly!$A:$A,0))</f>
        <v>La Niña</v>
      </c>
      <c r="U38" s="12" t="str">
        <f>IF(LEFT(T38,7)="El Niño","El Niño",IF(LEFT(T38,7)="La Niña","La Niña","Neutral"))</f>
        <v>La Niña</v>
      </c>
      <c r="V38" s="2" t="str">
        <f>IF(U38="Neutral","",IF(ABS(ROUND(S38,1))&lt;1,"weak",IF(ABS(ROUND(S38,1))&lt;1.5,"moderate",IF(ABS(ROUND(S38,1))&lt;2,"strong","very strong"))))</f>
        <v>weak</v>
      </c>
      <c r="W38" s="2" t="inlineStr">
        <is>
          <t xml:space="preserve">yes</t>
        </is>
      </c>
      <c r="X38" t="inlineStr">
        <is>
          <t xml:space="preserve"/>
        </is>
      </c>
    </row>
    <row r="39">
      <c r="A39" s="11" t="inlineStr">
        <is>
          <t xml:space="preserve">2018/19</t>
        </is>
      </c>
      <c r="B39" s="9">
        <v>43282</v>
      </c>
      <c r="C39" s="9">
        <v>43646</v>
      </c>
      <c r="D39" s="3">
        <f>INDEX(ENSO_monthly!$F:$F,MATCH("2018-07",ENSO_monthly!$A:$A,0))</f>
        <v>0.2</v>
      </c>
      <c r="E39" s="3">
        <f>INDEX(ENSO_monthly!$F:$F,MATCH("2018-08",ENSO_monthly!$A:$A,0))</f>
        <v>0.3</v>
      </c>
      <c r="F39" s="10">
        <f>INDEX(ENSO_monthly!$F:$F,MATCH("2018-09",ENSO_monthly!$A:$A,0))</f>
        <v>0.52</v>
      </c>
      <c r="G39" s="10">
        <f>INDEX(ENSO_monthly!$F:$F,MATCH("2018-10",ENSO_monthly!$A:$A,0))</f>
        <v>0.82</v>
      </c>
      <c r="H39" s="10">
        <f>INDEX(ENSO_monthly!$F:$F,MATCH("2018-11",ENSO_monthly!$A:$A,0))</f>
        <v>1.04</v>
      </c>
      <c r="I39" s="10">
        <f>INDEX(ENSO_monthly!$F:$F,MATCH("2018-12",ENSO_monthly!$A:$A,0))</f>
        <v>1.05</v>
      </c>
      <c r="J39" s="10">
        <f>INDEX(ENSO_monthly!$F:$F,MATCH("2019-01",ENSO_monthly!$A:$A,0))</f>
        <v>0.99</v>
      </c>
      <c r="K39" s="10">
        <f>INDEX(ENSO_monthly!$F:$F,MATCH("2019-02",ENSO_monthly!$A:$A,0))</f>
        <v>0.94</v>
      </c>
      <c r="L39" s="10">
        <f>INDEX(ENSO_monthly!$F:$F,MATCH("2019-03",ENSO_monthly!$A:$A,0))</f>
        <v>0.87</v>
      </c>
      <c r="M39" s="10">
        <f>INDEX(ENSO_monthly!$F:$F,MATCH("2019-04",ENSO_monthly!$A:$A,0))</f>
        <v>0.82</v>
      </c>
      <c r="N39" s="10">
        <f>INDEX(ENSO_monthly!$F:$F,MATCH("2019-05",ENSO_monthly!$A:$A,0))</f>
        <v>0.71</v>
      </c>
      <c r="O39" s="10">
        <f>INDEX(ENSO_monthly!$F:$F,MATCH("2019-06",ENSO_monthly!$A:$A,0))</f>
        <v>0.59</v>
      </c>
      <c r="P39" s="2">
        <f>COUNTIFS(ENSO_monthly!$M:$M,A39,ENSO_monthly!$L:$L,"El Niño*")</f>
        <v>10</v>
      </c>
      <c r="Q39" s="2">
        <f>COUNTIFS(ENSO_monthly!$M:$M,A39,ENSO_monthly!$L:$L,"La Niña*")</f>
        <v>0</v>
      </c>
      <c r="R39" s="3">
        <f>I39</f>
        <v>1.05</v>
      </c>
      <c r="S39" s="3">
        <f>IF(MAX(D39:O39)&gt;=-MIN(D39:O39),MAX(D39:O39),MIN(D39:O39))</f>
        <v>1.05</v>
      </c>
      <c r="T39" s="2" t="str">
        <f>INDEX(ENSO_monthly!$L:$L,MATCH("2018-12",ENSO_monthly!$A:$A,0))</f>
        <v>El Niño</v>
      </c>
      <c r="U39" s="11" t="str">
        <f>IF(LEFT(T39,7)="El Niño","El Niño",IF(LEFT(T39,7)="La Niña","La Niña","Neutral"))</f>
        <v>El Niño</v>
      </c>
      <c r="V39" s="2" t="str">
        <f>IF(U39="Neutral","",IF(ABS(ROUND(S39,1))&lt;1,"weak",IF(ABS(ROUND(S39,1))&lt;1.5,"moderate",IF(ABS(ROUND(S39,1))&lt;2,"strong","very strong"))))</f>
        <v>moderate</v>
      </c>
      <c r="W39" s="2" t="inlineStr">
        <is>
          <t xml:space="preserve">yes</t>
        </is>
      </c>
      <c r="X39" t="inlineStr">
        <is>
          <t xml:space="preserve"/>
        </is>
      </c>
    </row>
    <row r="40">
      <c r="A40" s="11" t="inlineStr">
        <is>
          <t xml:space="preserve">2019/20</t>
        </is>
      </c>
      <c r="B40" s="9">
        <v>43647</v>
      </c>
      <c r="C40" s="9">
        <v>44012</v>
      </c>
      <c r="D40" s="3">
        <f>INDEX(ENSO_monthly!$F:$F,MATCH("2019-07",ENSO_monthly!$A:$A,0))</f>
        <v>0.38</v>
      </c>
      <c r="E40" s="3">
        <f>INDEX(ENSO_monthly!$F:$F,MATCH("2019-08",ENSO_monthly!$A:$A,0))</f>
        <v>0.2</v>
      </c>
      <c r="F40" s="3">
        <f>INDEX(ENSO_monthly!$F:$F,MATCH("2019-09",ENSO_monthly!$A:$A,0))</f>
        <v>0.31</v>
      </c>
      <c r="G40" s="10">
        <f>INDEX(ENSO_monthly!$F:$F,MATCH("2019-10",ENSO_monthly!$A:$A,0))</f>
        <v>0.51</v>
      </c>
      <c r="H40" s="10">
        <f>INDEX(ENSO_monthly!$F:$F,MATCH("2019-11",ENSO_monthly!$A:$A,0))</f>
        <v>0.72</v>
      </c>
      <c r="I40" s="10">
        <f>INDEX(ENSO_monthly!$F:$F,MATCH("2019-12",ENSO_monthly!$A:$A,0))</f>
        <v>0.75</v>
      </c>
      <c r="J40" s="10">
        <f>INDEX(ENSO_monthly!$F:$F,MATCH("2020-01",ENSO_monthly!$A:$A,0))</f>
        <v>0.71</v>
      </c>
      <c r="K40" s="10">
        <f>INDEX(ENSO_monthly!$F:$F,MATCH("2020-02",ENSO_monthly!$A:$A,0))</f>
        <v>0.66</v>
      </c>
      <c r="L40" s="10">
        <f>INDEX(ENSO_monthly!$F:$F,MATCH("2020-03",ENSO_monthly!$A:$A,0))</f>
        <v>0.57</v>
      </c>
      <c r="M40" s="3">
        <f>INDEX(ENSO_monthly!$F:$F,MATCH("2020-04",ENSO_monthly!$A:$A,0))</f>
        <v>0.33</v>
      </c>
      <c r="N40" s="3">
        <f>INDEX(ENSO_monthly!$F:$F,MATCH("2020-05",ENSO_monthly!$A:$A,0))</f>
        <v>0.04</v>
      </c>
      <c r="O40" s="3">
        <f>INDEX(ENSO_monthly!$F:$F,MATCH("2020-06",ENSO_monthly!$A:$A,0))</f>
        <v>-0.18</v>
      </c>
      <c r="P40" s="2">
        <f>COUNTIFS(ENSO_monthly!$M:$M,A40,ENSO_monthly!$L:$L,"El Niño*")</f>
        <v>6</v>
      </c>
      <c r="Q40" s="2">
        <f>COUNTIFS(ENSO_monthly!$M:$M,A40,ENSO_monthly!$L:$L,"La Niña*")</f>
        <v>0</v>
      </c>
      <c r="R40" s="3">
        <f>I40</f>
        <v>0.75</v>
      </c>
      <c r="S40" s="3">
        <f>IF(MAX(D40:O40)&gt;=-MIN(D40:O40),MAX(D40:O40),MIN(D40:O40))</f>
        <v>0.75</v>
      </c>
      <c r="T40" s="2" t="str">
        <f>INDEX(ENSO_monthly!$L:$L,MATCH("2019-12",ENSO_monthly!$A:$A,0))</f>
        <v>El Niño</v>
      </c>
      <c r="U40" s="11" t="str">
        <f>IF(LEFT(T40,7)="El Niño","El Niño",IF(LEFT(T40,7)="La Niña","La Niña","Neutral"))</f>
        <v>El Niño</v>
      </c>
      <c r="V40" s="2" t="str">
        <f>IF(U40="Neutral","",IF(ABS(ROUND(S40,1))&lt;1,"weak",IF(ABS(ROUND(S40,1))&lt;1.5,"moderate",IF(ABS(ROUND(S40,1))&lt;2,"strong","very strong"))))</f>
        <v>weak</v>
      </c>
      <c r="W40" s="2" t="inlineStr">
        <is>
          <t xml:space="preserve">yes</t>
        </is>
      </c>
      <c r="X40" t="inlineStr">
        <is>
          <t xml:space="preserve">Weak El Niño: SON 2019 to FMA 2020 (6 periods, peak +0.75).</t>
        </is>
      </c>
    </row>
    <row r="41">
      <c r="A41" s="12" t="inlineStr">
        <is>
          <t xml:space="preserve">2020/21</t>
        </is>
      </c>
      <c r="B41" s="9">
        <v>44013</v>
      </c>
      <c r="C41" s="9">
        <v>44377</v>
      </c>
      <c r="D41" s="3">
        <f>INDEX(ENSO_monthly!$F:$F,MATCH("2020-07",ENSO_monthly!$A:$A,0))</f>
        <v>-0.29</v>
      </c>
      <c r="E41" s="3">
        <f>INDEX(ENSO_monthly!$F:$F,MATCH("2020-08",ENSO_monthly!$A:$A,0))</f>
        <v>-0.43</v>
      </c>
      <c r="F41" s="13">
        <f>INDEX(ENSO_monthly!$F:$F,MATCH("2020-09",ENSO_monthly!$A:$A,0))</f>
        <v>-0.77</v>
      </c>
      <c r="G41" s="13">
        <f>INDEX(ENSO_monthly!$F:$F,MATCH("2020-10",ENSO_monthly!$A:$A,0))</f>
        <v>-1.0</v>
      </c>
      <c r="H41" s="13">
        <f>INDEX(ENSO_monthly!$F:$F,MATCH("2020-11",ENSO_monthly!$A:$A,0))</f>
        <v>-1.11</v>
      </c>
      <c r="I41" s="13">
        <f>INDEX(ENSO_monthly!$F:$F,MATCH("2020-12",ENSO_monthly!$A:$A,0))</f>
        <v>-1.06</v>
      </c>
      <c r="J41" s="13">
        <f>INDEX(ENSO_monthly!$F:$F,MATCH("2021-01",ENSO_monthly!$A:$A,0))</f>
        <v>-0.99</v>
      </c>
      <c r="K41" s="13">
        <f>INDEX(ENSO_monthly!$F:$F,MATCH("2021-02",ENSO_monthly!$A:$A,0))</f>
        <v>-0.85</v>
      </c>
      <c r="L41" s="13">
        <f>INDEX(ENSO_monthly!$F:$F,MATCH("2021-03",ENSO_monthly!$A:$A,0))</f>
        <v>-0.74</v>
      </c>
      <c r="M41" s="13">
        <f>INDEX(ENSO_monthly!$F:$F,MATCH("2021-04",ENSO_monthly!$A:$A,0))</f>
        <v>-0.56</v>
      </c>
      <c r="N41" s="3">
        <f>INDEX(ENSO_monthly!$F:$F,MATCH("2021-05",ENSO_monthly!$A:$A,0))</f>
        <v>-0.4</v>
      </c>
      <c r="O41" s="3">
        <f>INDEX(ENSO_monthly!$F:$F,MATCH("2021-06",ENSO_monthly!$A:$A,0))</f>
        <v>-0.31</v>
      </c>
      <c r="P41" s="2">
        <f>COUNTIFS(ENSO_monthly!$M:$M,A41,ENSO_monthly!$L:$L,"El Niño*")</f>
        <v>0</v>
      </c>
      <c r="Q41" s="2">
        <f>COUNTIFS(ENSO_monthly!$M:$M,A41,ENSO_monthly!$L:$L,"La Niña*")</f>
        <v>8</v>
      </c>
      <c r="R41" s="3">
        <f>I41</f>
        <v>-1.06</v>
      </c>
      <c r="S41" s="3">
        <f>IF(MAX(D41:O41)&gt;=-MIN(D41:O41),MAX(D41:O41),MIN(D41:O41))</f>
        <v>-1.11</v>
      </c>
      <c r="T41" s="2" t="str">
        <f>INDEX(ENSO_monthly!$L:$L,MATCH("2020-12",ENSO_monthly!$A:$A,0))</f>
        <v>La Niña</v>
      </c>
      <c r="U41" s="12" t="str">
        <f>IF(LEFT(T41,7)="El Niño","El Niño",IF(LEFT(T41,7)="La Niña","La Niña","Neutral"))</f>
        <v>La Niña</v>
      </c>
      <c r="V41" s="2" t="str">
        <f>IF(U41="Neutral","",IF(ABS(ROUND(S41,1))&lt;1,"weak",IF(ABS(ROUND(S41,1))&lt;1.5,"moderate",IF(ABS(ROUND(S41,1))&lt;2,"strong","very strong"))))</f>
        <v>moderate</v>
      </c>
      <c r="W41" s="2" t="inlineStr">
        <is>
          <t xml:space="preserve">yes</t>
        </is>
      </c>
      <c r="X41" t="inlineStr">
        <is>
          <t xml:space="preserve"/>
        </is>
      </c>
    </row>
    <row r="42">
      <c r="A42" s="12" t="inlineStr">
        <is>
          <t xml:space="preserve">2021/22</t>
        </is>
      </c>
      <c r="B42" s="9">
        <v>44378</v>
      </c>
      <c r="C42" s="9">
        <v>44742</v>
      </c>
      <c r="D42" s="3">
        <f>INDEX(ENSO_monthly!$F:$F,MATCH("2021-07",ENSO_monthly!$A:$A,0))</f>
        <v>-0.35</v>
      </c>
      <c r="E42" s="13">
        <f>INDEX(ENSO_monthly!$F:$F,MATCH("2021-08",ENSO_monthly!$A:$A,0))</f>
        <v>-0.46</v>
      </c>
      <c r="F42" s="13">
        <f>INDEX(ENSO_monthly!$F:$F,MATCH("2021-09",ENSO_monthly!$A:$A,0))</f>
        <v>-0.64</v>
      </c>
      <c r="G42" s="13">
        <f>INDEX(ENSO_monthly!$F:$F,MATCH("2021-10",ENSO_monthly!$A:$A,0))</f>
        <v>-0.77</v>
      </c>
      <c r="H42" s="13">
        <f>INDEX(ENSO_monthly!$F:$F,MATCH("2021-11",ENSO_monthly!$A:$A,0))</f>
        <v>-0.91</v>
      </c>
      <c r="I42" s="13">
        <f>INDEX(ENSO_monthly!$F:$F,MATCH("2021-12",ENSO_monthly!$A:$A,0))</f>
        <v>-0.83</v>
      </c>
      <c r="J42" s="13">
        <f>INDEX(ENSO_monthly!$F:$F,MATCH("2022-01",ENSO_monthly!$A:$A,0))</f>
        <v>-0.76</v>
      </c>
      <c r="K42" s="13">
        <f>INDEX(ENSO_monthly!$F:$F,MATCH("2022-02",ENSO_monthly!$A:$A,0))</f>
        <v>-0.68</v>
      </c>
      <c r="L42" s="13">
        <f>INDEX(ENSO_monthly!$F:$F,MATCH("2022-03",ENSO_monthly!$A:$A,0))</f>
        <v>-0.77</v>
      </c>
      <c r="M42" s="13">
        <f>INDEX(ENSO_monthly!$F:$F,MATCH("2022-04",ENSO_monthly!$A:$A,0))</f>
        <v>-0.86</v>
      </c>
      <c r="N42" s="13">
        <f>INDEX(ENSO_monthly!$F:$F,MATCH("2022-05",ENSO_monthly!$A:$A,0))</f>
        <v>-0.83</v>
      </c>
      <c r="O42" s="13">
        <f>INDEX(ENSO_monthly!$F:$F,MATCH("2022-06",ENSO_monthly!$A:$A,0))</f>
        <v>-0.73</v>
      </c>
      <c r="P42" s="2">
        <f>COUNTIFS(ENSO_monthly!$M:$M,A42,ENSO_monthly!$L:$L,"El Niño*")</f>
        <v>0</v>
      </c>
      <c r="Q42" s="2">
        <f>COUNTIFS(ENSO_monthly!$M:$M,A42,ENSO_monthly!$L:$L,"La Niña*")</f>
        <v>11</v>
      </c>
      <c r="R42" s="3">
        <f>I42</f>
        <v>-0.83</v>
      </c>
      <c r="S42" s="3">
        <f>IF(MAX(D42:O42)&gt;=-MIN(D42:O42),MAX(D42:O42),MIN(D42:O42))</f>
        <v>-0.91</v>
      </c>
      <c r="T42" s="2" t="str">
        <f>INDEX(ENSO_monthly!$L:$L,MATCH("2021-12",ENSO_monthly!$A:$A,0))</f>
        <v>La Niña</v>
      </c>
      <c r="U42" s="12" t="str">
        <f>IF(LEFT(T42,7)="El Niño","El Niño",IF(LEFT(T42,7)="La Niña","La Niña","Neutral"))</f>
        <v>La Niña</v>
      </c>
      <c r="V42" s="2" t="str">
        <f>IF(U42="Neutral","",IF(ABS(ROUND(S42,1))&lt;1,"weak",IF(ABS(ROUND(S42,1))&lt;1.5,"moderate",IF(ABS(ROUND(S42,1))&lt;2,"strong","very strong"))))</f>
        <v>weak</v>
      </c>
      <c r="W42" s="2" t="inlineStr">
        <is>
          <t xml:space="preserve">yes</t>
        </is>
      </c>
      <c r="X42" t="inlineStr">
        <is>
          <t xml:space="preserve"/>
        </is>
      </c>
    </row>
    <row r="43">
      <c r="A43" s="12" t="inlineStr">
        <is>
          <t xml:space="preserve">2022/23</t>
        </is>
      </c>
      <c r="B43" s="9">
        <v>44743</v>
      </c>
      <c r="C43" s="9">
        <v>45107</v>
      </c>
      <c r="D43" s="13">
        <f>INDEX(ENSO_monthly!$F:$F,MATCH("2022-07",ENSO_monthly!$A:$A,0))</f>
        <v>-0.7</v>
      </c>
      <c r="E43" s="13">
        <f>INDEX(ENSO_monthly!$F:$F,MATCH("2022-08",ENSO_monthly!$A:$A,0))</f>
        <v>-0.78</v>
      </c>
      <c r="F43" s="13">
        <f>INDEX(ENSO_monthly!$F:$F,MATCH("2022-09",ENSO_monthly!$A:$A,0))</f>
        <v>-0.87</v>
      </c>
      <c r="G43" s="13">
        <f>INDEX(ENSO_monthly!$F:$F,MATCH("2022-10",ENSO_monthly!$A:$A,0))</f>
        <v>-0.89</v>
      </c>
      <c r="H43" s="13">
        <f>INDEX(ENSO_monthly!$F:$F,MATCH("2022-11",ENSO_monthly!$A:$A,0))</f>
        <v>-0.82</v>
      </c>
      <c r="I43" s="13">
        <f>INDEX(ENSO_monthly!$F:$F,MATCH("2022-12",ENSO_monthly!$A:$A,0))</f>
        <v>-0.7</v>
      </c>
      <c r="J43" s="13">
        <f>INDEX(ENSO_monthly!$F:$F,MATCH("2023-01",ENSO_monthly!$A:$A,0))</f>
        <v>-0.55</v>
      </c>
      <c r="K43" s="3">
        <f>INDEX(ENSO_monthly!$F:$F,MATCH("2023-02",ENSO_monthly!$A:$A,0))</f>
        <v>-0.33</v>
      </c>
      <c r="L43" s="3">
        <f>INDEX(ENSO_monthly!$F:$F,MATCH("2023-03",ENSO_monthly!$A:$A,0))</f>
        <v>-0.11</v>
      </c>
      <c r="M43" s="3">
        <f>INDEX(ENSO_monthly!$F:$F,MATCH("2023-04",ENSO_monthly!$A:$A,0))</f>
        <v>0.19</v>
      </c>
      <c r="N43" s="10">
        <f>INDEX(ENSO_monthly!$F:$F,MATCH("2023-05",ENSO_monthly!$A:$A,0))</f>
        <v>0.46</v>
      </c>
      <c r="O43" s="10">
        <f>INDEX(ENSO_monthly!$F:$F,MATCH("2023-06",ENSO_monthly!$A:$A,0))</f>
        <v>0.73</v>
      </c>
      <c r="P43" s="2">
        <f>COUNTIFS(ENSO_monthly!$M:$M,A43,ENSO_monthly!$L:$L,"El Niño*")</f>
        <v>2</v>
      </c>
      <c r="Q43" s="2">
        <f>COUNTIFS(ENSO_monthly!$M:$M,A43,ENSO_monthly!$L:$L,"La Niña*")</f>
        <v>7</v>
      </c>
      <c r="R43" s="3">
        <f>I43</f>
        <v>-0.7</v>
      </c>
      <c r="S43" s="3">
        <f>IF(MAX(D43:O43)&gt;=-MIN(D43:O43),MAX(D43:O43),MIN(D43:O43))</f>
        <v>-0.89</v>
      </c>
      <c r="T43" s="2" t="str">
        <f>INDEX(ENSO_monthly!$L:$L,MATCH("2022-12",ENSO_monthly!$A:$A,0))</f>
        <v>La Niña</v>
      </c>
      <c r="U43" s="12" t="str">
        <f>IF(LEFT(T43,7)="El Niño","El Niño",IF(LEFT(T43,7)="La Niña","La Niña","Neutral"))</f>
        <v>La Niña</v>
      </c>
      <c r="V43" s="2" t="str">
        <f>IF(U43="Neutral","",IF(ABS(ROUND(S43,1))&lt;1,"weak",IF(ABS(ROUND(S43,1))&lt;1.5,"moderate",IF(ABS(ROUND(S43,1))&lt;2,"strong","very strong"))))</f>
        <v>weak</v>
      </c>
      <c r="W43" s="2" t="inlineStr">
        <is>
          <t xml:space="preserve">yes</t>
        </is>
      </c>
      <c r="X43" t="inlineStr">
        <is>
          <t xml:space="preserve">La Niña Jul 2022–Jan 2023; El Niño starts AMJ 2023 (in 2023/24).</t>
        </is>
      </c>
    </row>
    <row r="44">
      <c r="A44" s="11" t="inlineStr">
        <is>
          <t xml:space="preserve">2023/24</t>
        </is>
      </c>
      <c r="B44" s="9">
        <v>45108</v>
      </c>
      <c r="C44" s="9">
        <v>45473</v>
      </c>
      <c r="D44" s="10">
        <f>INDEX(ENSO_monthly!$F:$F,MATCH("2023-07",ENSO_monthly!$A:$A,0))</f>
        <v>1.0</v>
      </c>
      <c r="E44" s="10">
        <f>INDEX(ENSO_monthly!$F:$F,MATCH("2023-08",ENSO_monthly!$A:$A,0))</f>
        <v>1.25</v>
      </c>
      <c r="F44" s="10">
        <f>INDEX(ENSO_monthly!$F:$F,MATCH("2023-09",ENSO_monthly!$A:$A,0))</f>
        <v>1.5</v>
      </c>
      <c r="G44" s="10">
        <f>INDEX(ENSO_monthly!$F:$F,MATCH("2023-10",ENSO_monthly!$A:$A,0))</f>
        <v>1.74</v>
      </c>
      <c r="H44" s="10">
        <f>INDEX(ENSO_monthly!$F:$F,MATCH("2023-11",ENSO_monthly!$A:$A,0))</f>
        <v>1.9</v>
      </c>
      <c r="I44" s="10">
        <f>INDEX(ENSO_monthly!$F:$F,MATCH("2023-12",ENSO_monthly!$A:$A,0))</f>
        <v>1.99</v>
      </c>
      <c r="J44" s="10">
        <f>INDEX(ENSO_monthly!$F:$F,MATCH("2024-01",ENSO_monthly!$A:$A,0))</f>
        <v>1.84</v>
      </c>
      <c r="K44" s="10">
        <f>INDEX(ENSO_monthly!$F:$F,MATCH("2024-02",ENSO_monthly!$A:$A,0))</f>
        <v>1.53</v>
      </c>
      <c r="L44" s="10">
        <f>INDEX(ENSO_monthly!$F:$F,MATCH("2024-03",ENSO_monthly!$A:$A,0))</f>
        <v>1.18</v>
      </c>
      <c r="M44" s="10">
        <f>INDEX(ENSO_monthly!$F:$F,MATCH("2024-04",ENSO_monthly!$A:$A,0))</f>
        <v>0.77</v>
      </c>
      <c r="N44" s="3">
        <f>INDEX(ENSO_monthly!$F:$F,MATCH("2024-05",ENSO_monthly!$A:$A,0))</f>
        <v>0.43</v>
      </c>
      <c r="O44" s="3">
        <f>INDEX(ENSO_monthly!$F:$F,MATCH("2024-06",ENSO_monthly!$A:$A,0))</f>
        <v>0.18</v>
      </c>
      <c r="P44" s="2">
        <f>COUNTIFS(ENSO_monthly!$M:$M,A44,ENSO_monthly!$L:$L,"El Niño*")</f>
        <v>10</v>
      </c>
      <c r="Q44" s="2">
        <f>COUNTIFS(ENSO_monthly!$M:$M,A44,ENSO_monthly!$L:$L,"La Niña*")</f>
        <v>0</v>
      </c>
      <c r="R44" s="3">
        <f>I44</f>
        <v>1.99</v>
      </c>
      <c r="S44" s="3">
        <f>IF(MAX(D44:O44)&gt;=-MIN(D44:O44),MAX(D44:O44),MIN(D44:O44))</f>
        <v>1.99</v>
      </c>
      <c r="T44" s="2" t="str">
        <f>INDEX(ENSO_monthly!$L:$L,MATCH("2023-12",ENSO_monthly!$A:$A,0))</f>
        <v>El Niño</v>
      </c>
      <c r="U44" s="11" t="str">
        <f>IF(LEFT(T44,7)="El Niño","El Niño",IF(LEFT(T44,7)="La Niña","La Niña","Neutral"))</f>
        <v>El Niño</v>
      </c>
      <c r="V44" s="2" t="str">
        <f>IF(U44="Neutral","",IF(ABS(ROUND(S44,1))&lt;1,"weak",IF(ABS(ROUND(S44,1))&lt;1.5,"moderate",IF(ABS(ROUND(S44,1))&lt;2,"strong","very strong"))))</f>
        <v>very strong</v>
      </c>
      <c r="W44" s="2" t="inlineStr">
        <is>
          <t xml:space="preserve">yes</t>
        </is>
      </c>
      <c r="X44" t="inlineStr">
        <is>
          <t xml:space="preserve"/>
        </is>
      </c>
    </row>
    <row r="45">
      <c r="A45" s="8" t="inlineStr">
        <is>
          <t xml:space="preserve">2024/25</t>
        </is>
      </c>
      <c r="B45" s="9">
        <v>45474</v>
      </c>
      <c r="C45" s="9">
        <v>45838</v>
      </c>
      <c r="D45" s="3">
        <f>INDEX(ENSO_monthly!$F:$F,MATCH("2024-07",ENSO_monthly!$A:$A,0))</f>
        <v>0.06</v>
      </c>
      <c r="E45" s="3">
        <f>INDEX(ENSO_monthly!$F:$F,MATCH("2024-08",ENSO_monthly!$A:$A,0))</f>
        <v>-0.04</v>
      </c>
      <c r="F45" s="3">
        <f>INDEX(ENSO_monthly!$F:$F,MATCH("2024-09",ENSO_monthly!$A:$A,0))</f>
        <v>-0.12</v>
      </c>
      <c r="G45" s="3">
        <f>INDEX(ENSO_monthly!$F:$F,MATCH("2024-10",ENSO_monthly!$A:$A,0))</f>
        <v>-0.19</v>
      </c>
      <c r="H45" s="3">
        <f>INDEX(ENSO_monthly!$F:$F,MATCH("2024-11",ENSO_monthly!$A:$A,0))</f>
        <v>-0.29</v>
      </c>
      <c r="I45" s="3">
        <f>INDEX(ENSO_monthly!$F:$F,MATCH("2024-12",ENSO_monthly!$A:$A,0))</f>
        <v>-0.43</v>
      </c>
      <c r="J45" s="3">
        <f>INDEX(ENSO_monthly!$F:$F,MATCH("2025-01",ENSO_monthly!$A:$A,0))</f>
        <v>-0.46</v>
      </c>
      <c r="K45" s="3">
        <f>INDEX(ENSO_monthly!$F:$F,MATCH("2025-02",ENSO_monthly!$A:$A,0))</f>
        <v>-0.22</v>
      </c>
      <c r="L45" s="3">
        <f>INDEX(ENSO_monthly!$F:$F,MATCH("2025-03",ENSO_monthly!$A:$A,0))</f>
        <v>-0.08</v>
      </c>
      <c r="M45" s="3">
        <f>INDEX(ENSO_monthly!$F:$F,MATCH("2025-04",ENSO_monthly!$A:$A,0))</f>
        <v>0.02</v>
      </c>
      <c r="N45" s="3">
        <f>INDEX(ENSO_monthly!$F:$F,MATCH("2025-05",ENSO_monthly!$A:$A,0))</f>
        <v>-0.04</v>
      </c>
      <c r="O45" s="3">
        <f>INDEX(ENSO_monthly!$F:$F,MATCH("2025-06",ENSO_monthly!$A:$A,0))</f>
        <v>-0.02</v>
      </c>
      <c r="P45" s="2">
        <f>COUNTIFS(ENSO_monthly!$M:$M,A45,ENSO_monthly!$L:$L,"El Niño*")</f>
        <v>0</v>
      </c>
      <c r="Q45" s="2">
        <f>COUNTIFS(ENSO_monthly!$M:$M,A45,ENSO_monthly!$L:$L,"La Niña*")</f>
        <v>0</v>
      </c>
      <c r="R45" s="3">
        <f>I45</f>
        <v>-0.43</v>
      </c>
      <c r="S45" s="3">
        <f>IF(MAX(D45:O45)&gt;=-MIN(D45:O45),MAX(D45:O45),MIN(D45:O45))</f>
        <v>-0.46</v>
      </c>
      <c r="T45" s="2" t="str">
        <f>INDEX(ENSO_monthly!$L:$L,MATCH("2024-12",ENSO_monthly!$A:$A,0))</f>
        <v>—</v>
      </c>
      <c r="U45" s="8" t="str">
        <f>IF(LEFT(T45,7)="El Niño","El Niño",IF(LEFT(T45,7)="La Niña","La Niña","Neutral"))</f>
        <v>Neutral</v>
      </c>
      <c r="V45" s="2" t="str">
        <f>IF(U45="Neutral","",IF(ABS(ROUND(S45,1))&lt;1,"weak",IF(ABS(ROUND(S45,1))&lt;1.5,"moderate",IF(ABS(ROUND(S45,1))&lt;2,"strong","very strong"))))</f>
        <v/>
      </c>
      <c r="W45" s="2" t="inlineStr">
        <is>
          <t xml:space="preserve">yes</t>
        </is>
      </c>
      <c r="X45" t="inlineStr">
        <is>
          <t xml:space="preserve">La Niña conditions announced by NOAA in Jan 2025, but the ONI reached −0.5 only in DJF (−0.46): not an official episode.</t>
        </is>
      </c>
    </row>
    <row r="46">
      <c r="A46" s="8" t="inlineStr">
        <is>
          <t xml:space="preserve">2025/26</t>
        </is>
      </c>
      <c r="B46" s="9">
        <v>45839</v>
      </c>
      <c r="C46" s="9">
        <v>46203</v>
      </c>
      <c r="D46" s="3">
        <f>INDEX(ENSO_monthly!$F:$F,MATCH("2025-07",ENSO_monthly!$A:$A,0))</f>
        <v>-0.11</v>
      </c>
      <c r="E46" s="3">
        <f>INDEX(ENSO_monthly!$F:$F,MATCH("2025-08",ENSO_monthly!$A:$A,0))</f>
        <v>-0.26</v>
      </c>
      <c r="F46" s="3">
        <f>INDEX(ENSO_monthly!$F:$F,MATCH("2025-09",ENSO_monthly!$A:$A,0))</f>
        <v>-0.43</v>
      </c>
      <c r="G46" s="3">
        <f>INDEX(ENSO_monthly!$F:$F,MATCH("2025-10",ENSO_monthly!$A:$A,0))</f>
        <v>-0.57</v>
      </c>
      <c r="H46" s="3">
        <f>INDEX(ENSO_monthly!$F:$F,MATCH("2025-11",ENSO_monthly!$A:$A,0))</f>
        <v>-0.61</v>
      </c>
      <c r="I46" s="3">
        <f>INDEX(ENSO_monthly!$F:$F,MATCH("2025-12",ENSO_monthly!$A:$A,0))</f>
        <v>-0.6</v>
      </c>
      <c r="J46" s="3">
        <f>INDEX(ENSO_monthly!$F:$F,MATCH("2026-01",ENSO_monthly!$A:$A,0))</f>
        <v>-0.39</v>
      </c>
      <c r="K46" s="3">
        <f>INDEX(ENSO_monthly!$F:$F,MATCH("2026-02",ENSO_monthly!$A:$A,0))</f>
        <v>-0.21</v>
      </c>
      <c r="L46" s="3">
        <f>INDEX(ENSO_monthly!$F:$F,MATCH("2026-03",ENSO_monthly!$A:$A,0))</f>
        <v>0.11</v>
      </c>
      <c r="M46" s="10">
        <f>INDEX(ENSO_monthly!$F:$F,MATCH("2026-04",ENSO_monthly!$A:$A,0))</f>
        <v>0.46</v>
      </c>
      <c r="N46" s="10">
        <f>INDEX(ENSO_monthly!$F:$F,MATCH("2026-05",ENSO_monthly!$A:$A,0))</f>
        <v>0.95</v>
      </c>
      <c r="O46" s="10">
        <f>INDEX(ENSO_monthly!$F:$F,MATCH("2026-06",ENSO_monthly!$A:$A,0))</f>
        <v>1.39</v>
      </c>
      <c r="P46" s="2">
        <f>COUNTIFS(ENSO_monthly!$M:$M,A46,ENSO_monthly!$L:$L,"El Niño*")</f>
        <v>3</v>
      </c>
      <c r="Q46" s="2">
        <f>COUNTIFS(ENSO_monthly!$M:$M,A46,ENSO_monthly!$L:$L,"La Niña*")</f>
        <v>0</v>
      </c>
      <c r="R46" s="3">
        <f>I46</f>
        <v>-0.6</v>
      </c>
      <c r="S46" s="3">
        <f>IF(MAX(D46:O46)&gt;=-MIN(D46:O46),MAX(D46:O46),MIN(D46:O46))</f>
        <v>1.39</v>
      </c>
      <c r="T46" s="2" t="str">
        <f>INDEX(ENSO_monthly!$L:$L,MATCH("2025-12",ENSO_monthly!$A:$A,0))</f>
        <v>—</v>
      </c>
      <c r="U46" s="8" t="str">
        <f>IF(LEFT(T46,7)="El Niño","El Niño",IF(LEFT(T46,7)="La Niña","La Niña","Neutral"))</f>
        <v>Neutral</v>
      </c>
      <c r="V46" s="2" t="str">
        <f>IF(U46="Neutral","",IF(ABS(ROUND(S46,1))&lt;1,"weak",IF(ABS(ROUND(S46,1))&lt;1.5,"moderate",IF(ABS(ROUND(S46,1))&lt;2,"strong","very strong"))))</f>
        <v/>
      </c>
      <c r="W46" s="2" t="inlineStr">
        <is>
          <t xml:space="preserve">no</t>
        </is>
      </c>
      <c r="X46" t="inlineStr">
        <is>
          <t xml:space="preserve">ONI ≤ −0.5 for 3 periods only (SON −0.57, OND −0.61, NDJ −0.60): not an official La Niña. El Niño builds from MAM 2026.</t>
        </is>
      </c>
    </row>
    <row r="47">
      <c r="A47" s="11" t="inlineStr">
        <is>
          <t xml:space="preserve">2026/27</t>
        </is>
      </c>
      <c r="B47" s="9">
        <v>46204</v>
      </c>
      <c r="C47" s="9">
        <v>46568</v>
      </c>
      <c r="D47" s="10">
        <f>INDEX(ENSO_monthly!$F:$F,MATCH("2026-07",ENSO_monthly!$A:$A,0))</f>
        <v>1.8</v>
      </c>
      <c r="E47" s="2" t="inlineStr">
        <is>
          <t xml:space="preserve">n/a</t>
        </is>
      </c>
      <c r="F47" s="2" t="inlineStr">
        <is>
          <t xml:space="preserve">n/a</t>
        </is>
      </c>
      <c r="G47" s="2" t="inlineStr">
        <is>
          <t xml:space="preserve">n/a</t>
        </is>
      </c>
      <c r="H47" s="2" t="inlineStr">
        <is>
          <t xml:space="preserve">n/a</t>
        </is>
      </c>
      <c r="I47" s="2" t="inlineStr">
        <is>
          <t xml:space="preserve">n/a</t>
        </is>
      </c>
      <c r="J47" s="2" t="inlineStr">
        <is>
          <t xml:space="preserve">n/a</t>
        </is>
      </c>
      <c r="K47" s="2" t="inlineStr">
        <is>
          <t xml:space="preserve">n/a</t>
        </is>
      </c>
      <c r="L47" s="2" t="inlineStr">
        <is>
          <t xml:space="preserve">n/a</t>
        </is>
      </c>
      <c r="M47" s="2" t="inlineStr">
        <is>
          <t xml:space="preserve">n/a</t>
        </is>
      </c>
      <c r="N47" s="2" t="inlineStr">
        <is>
          <t xml:space="preserve">n/a</t>
        </is>
      </c>
      <c r="O47" s="2" t="inlineStr">
        <is>
          <t xml:space="preserve">n/a</t>
        </is>
      </c>
      <c r="P47" s="2">
        <f>COUNTIFS(ENSO_monthly!$M:$M,A47,ENSO_monthly!$L:$L,"El Niño*")</f>
        <v>1</v>
      </c>
      <c r="Q47" s="2">
        <f>COUNTIFS(ENSO_monthly!$M:$M,A47,ENSO_monthly!$L:$L,"La Niña*")</f>
        <v>0</v>
      </c>
      <c r="R47" s="2" t="inlineStr">
        <is>
          <t xml:space="preserve">n/a</t>
        </is>
      </c>
      <c r="S47" s="3">
        <f>IF(MAX(D47:O47)&gt;=-MIN(D47:O47),MAX(D47:O47),MIN(D47:O47))</f>
        <v>1.8</v>
      </c>
      <c r="T47" s="2" t="inlineStr">
        <is>
          <t xml:space="preserve">not yet published</t>
        </is>
      </c>
      <c r="U47" s="11" t="inlineStr">
        <is>
          <t xml:space="preserve">El Niño</t>
        </is>
      </c>
      <c r="V47" s="2" t="inlineStr">
        <is>
          <t xml:space="preserve">in progress</t>
        </is>
      </c>
      <c r="W47" s="2" t="inlineStr">
        <is>
          <t xml:space="preserve">no</t>
        </is>
      </c>
      <c r="X47" t="inlineStr">
        <is>
          <t xml:space="preserve">In progress. ONI ≥ +0.5 since MAM 2026 (4 periods to JJA 2026: +0.46→+0.5, +0.95, +1.39, +1.80); NOAA El Niño Advisory in force. Classed El Niño.</t>
        </is>
      </c>
    </row>
    <row r="49">
      <c r="A49" s="7" t="inlineStr">
        <is>
          <t xml:space="preserve">Season phase = official NOAA episode status of the Nov–Jan (NDJ) ONI period, the peak of ENSO. Cells coloured when the period is inside an official episode (red El Niño, blue La Niña).</t>
        </is>
      </c>
    </row>
    <row r="50">
      <c r="A50" s="7" t="inlineStr">
        <is>
          <t xml:space="preserve">With this rule the 20 seasons 2005/06–2024/25 split 7 El Niño / 9 La Niña / 4 Neutral, the same counts as the São Mateus chart.</t>
        </is>
      </c>
    </row>
  </sheetData>
</worksheet>
</file>

<file path=xl/worksheets/sheet8.xml><?xml version="1.0" encoding="utf-8"?>
<worksheet xmlns="http://schemas.openxmlformats.org/spreadsheetml/2006/main" xmlns:r="http://schemas.openxmlformats.org/officeDocument/2006/relationships">
  <sheetViews>
    <sheetView workbookViewId="0">
      <pane xSplit="1" ySplit="2" topLeftCell="B3" activePane="bottomRight" state="frozen"/>
    </sheetView>
  </sheetViews>
  <sheetFormatPr defaultRowHeight="13.2"/>
  <cols>
    <col min="1" max="1" width="9" customWidth="1"/>
    <col min="2" max="2" width="6" customWidth="1"/>
    <col min="3" max="3" width="6" customWidth="1"/>
    <col min="4" max="4" width="6" customWidth="1"/>
    <col min="5" max="5" width="9" customWidth="1"/>
    <col min="6" max="6" width="9" customWidth="1"/>
    <col min="7" max="7" width="11" customWidth="1"/>
    <col min="8" max="8" width="11" customWidth="1"/>
    <col min="9" max="9" width="7" customWidth="1"/>
    <col min="10" max="10" width="7" customWidth="1"/>
    <col min="11" max="11" width="11" customWidth="1"/>
    <col min="12" max="12" width="11" customWidth="1"/>
    <col min="13" max="13" width="7" customWidth="1"/>
    <col min="14" max="14" width="16" customWidth="1"/>
    <col min="15" max="15" width="12" customWidth="1"/>
    <col min="16" max="16" width="9" customWidth="1"/>
    <col min="17" max="17" width="9" customWidth="1"/>
    <col min="18" max="18" width="9" customWidth="1"/>
    <col min="19" max="19" width="9" customWidth="1"/>
    <col min="20" max="20" width="9" customWidth="1"/>
    <col min="21" max="21" width="9" customWidth="1"/>
    <col min="22" max="22" width="9" customWidth="1"/>
    <col min="23" max="23" width="9" customWidth="1"/>
    <col min="24" max="24" width="9" customWidth="1"/>
    <col min="25" max="25" width="9" customWidth="1"/>
    <col min="26" max="26" width="9" customWidth="1"/>
    <col min="27" max="27" width="9" customWidth="1"/>
    <col min="28" max="28" width="9" customWidth="1"/>
    <col min="29" max="29" width="9" customWidth="1"/>
    <col min="30" max="30" width="9" customWidth="1"/>
    <col min="31" max="31" width="9" customWidth="1"/>
    <col min="32" max="32" width="9" customWidth="1"/>
    <col min="33" max="33" width="9" customWidth="1"/>
    <col min="34" max="34" width="9" customWidth="1"/>
    <col min="35" max="35" width="9" customWidth="1"/>
  </cols>
  <sheetData>
    <row r="1">
      <c r="P1" s="1" t="inlineStr">
        <is>
          <t xml:space="preserve">Comayagua</t>
        </is>
      </c>
      <c r="Q1" s="1" t="inlineStr">
        <is>
          <t xml:space="preserve">Comayagua</t>
        </is>
      </c>
      <c r="R1" s="1" t="inlineStr">
        <is>
          <t xml:space="preserve">Comayagua</t>
        </is>
      </c>
      <c r="S1" s="1" t="inlineStr">
        <is>
          <t xml:space="preserve">Comayagua</t>
        </is>
      </c>
      <c r="T1" s="1" t="inlineStr">
        <is>
          <t xml:space="preserve">Comayagua</t>
        </is>
      </c>
      <c r="U1" s="1" t="inlineStr">
        <is>
          <t xml:space="preserve">Ocotepeque</t>
        </is>
      </c>
      <c r="V1" s="1" t="inlineStr">
        <is>
          <t xml:space="preserve">Ocotepeque</t>
        </is>
      </c>
      <c r="W1" s="1" t="inlineStr">
        <is>
          <t xml:space="preserve">Ocotepeque</t>
        </is>
      </c>
      <c r="X1" s="1" t="inlineStr">
        <is>
          <t xml:space="preserve">Ocotepeque</t>
        </is>
      </c>
      <c r="Y1" s="1" t="inlineStr">
        <is>
          <t xml:space="preserve">Ocotepeque</t>
        </is>
      </c>
      <c r="Z1" s="1" t="inlineStr">
        <is>
          <t xml:space="preserve">Copán</t>
        </is>
      </c>
      <c r="AA1" s="1" t="inlineStr">
        <is>
          <t xml:space="preserve">Copán</t>
        </is>
      </c>
      <c r="AB1" s="1" t="inlineStr">
        <is>
          <t xml:space="preserve">Copán</t>
        </is>
      </c>
      <c r="AC1" s="1" t="inlineStr">
        <is>
          <t xml:space="preserve">Copán</t>
        </is>
      </c>
      <c r="AD1" s="1" t="inlineStr">
        <is>
          <t xml:space="preserve">Copán</t>
        </is>
      </c>
      <c r="AE1" s="1" t="inlineStr">
        <is>
          <t xml:space="preserve">Mean of 3 towns</t>
        </is>
      </c>
      <c r="AF1" s="1" t="inlineStr">
        <is>
          <t xml:space="preserve">Mean of 3 towns</t>
        </is>
      </c>
      <c r="AG1" s="1" t="inlineStr">
        <is>
          <t xml:space="preserve">Mean of 3 towns</t>
        </is>
      </c>
      <c r="AH1" s="1" t="inlineStr">
        <is>
          <t xml:space="preserve">Mean of 3 towns</t>
        </is>
      </c>
      <c r="AI1" s="1" t="inlineStr">
        <is>
          <t xml:space="preserve">Mean of 3 towns</t>
        </is>
      </c>
    </row>
    <row r="2">
      <c r="A2" s="1" t="inlineStr">
        <is>
          <t xml:space="preserve">Month key</t>
        </is>
      </c>
      <c r="B2" s="1" t="inlineStr">
        <is>
          <t xml:space="preserve">Year</t>
        </is>
      </c>
      <c r="C2" s="1" t="inlineStr">
        <is>
          <t xml:space="preserve">Month</t>
        </is>
      </c>
      <c r="D2" s="1" t="inlineStr">
        <is>
          <t xml:space="preserve">Month name</t>
        </is>
      </c>
      <c r="E2" s="1" t="inlineStr">
        <is>
          <t xml:space="preserve">Coffee season (Jul–Jun)</t>
        </is>
      </c>
      <c r="F2" s="1" t="inlineStr">
        <is>
          <t xml:space="preserve">Month of the season (Jul = 1)</t>
        </is>
      </c>
      <c r="G2" s="1" t="inlineStr">
        <is>
          <t xml:space="preserve">First day</t>
        </is>
      </c>
      <c r="H2" s="1" t="inlineStr">
        <is>
          <t xml:space="preserve">Last day</t>
        </is>
      </c>
      <c r="I2" s="1" t="inlineStr">
        <is>
          <t xml:space="preserve">Days in month</t>
        </is>
      </c>
      <c r="J2" s="1" t="inlineStr">
        <is>
          <t xml:space="preserve">Days with data</t>
        </is>
      </c>
      <c r="K2" s="1" t="inlineStr">
        <is>
          <t xml:space="preserve">Complete?</t>
        </is>
      </c>
      <c r="L2" s="1" t="inlineStr">
        <is>
          <t xml:space="preserve">ONI of the 3-month period centred on this month</t>
        </is>
      </c>
      <c r="M2" s="1" t="inlineStr">
        <is>
          <t xml:space="preserve">NOAA period</t>
        </is>
      </c>
      <c r="N2" s="1" t="inlineStr">
        <is>
          <t xml:space="preserve">Official ENSO state of this month</t>
        </is>
      </c>
      <c r="O2" s="1" t="inlineStr">
        <is>
          <t xml:space="preserve">Phase of the season</t>
        </is>
      </c>
      <c r="P2" s="1" t="inlineStr">
        <is>
          <t xml:space="preserve">Rain, CPC gauges (mm)</t>
        </is>
      </c>
      <c r="Q2" s="1" t="inlineStr">
        <is>
          <t xml:space="preserve">Mean temp (°C)</t>
        </is>
      </c>
      <c r="R2" s="1" t="inlineStr">
        <is>
          <t xml:space="preserve">Max temp (°C)</t>
        </is>
      </c>
      <c r="S2" s="1" t="inlineStr">
        <is>
          <t xml:space="preserve">Min temp (°C)</t>
        </is>
      </c>
      <c r="T2" s="1" t="inlineStr">
        <is>
          <t xml:space="preserve">NASA rain, not used (mm)</t>
        </is>
      </c>
      <c r="U2" s="1" t="inlineStr">
        <is>
          <t xml:space="preserve">Rain, CPC gauges (mm)</t>
        </is>
      </c>
      <c r="V2" s="1" t="inlineStr">
        <is>
          <t xml:space="preserve">Mean temp (°C)</t>
        </is>
      </c>
      <c r="W2" s="1" t="inlineStr">
        <is>
          <t xml:space="preserve">Max temp (°C)</t>
        </is>
      </c>
      <c r="X2" s="1" t="inlineStr">
        <is>
          <t xml:space="preserve">Min temp (°C)</t>
        </is>
      </c>
      <c r="Y2" s="1" t="inlineStr">
        <is>
          <t xml:space="preserve">NASA rain, not used (mm)</t>
        </is>
      </c>
      <c r="Z2" s="1" t="inlineStr">
        <is>
          <t xml:space="preserve">Rain, CPC gauges (mm)</t>
        </is>
      </c>
      <c r="AA2" s="1" t="inlineStr">
        <is>
          <t xml:space="preserve">Mean temp (°C)</t>
        </is>
      </c>
      <c r="AB2" s="1" t="inlineStr">
        <is>
          <t xml:space="preserve">Max temp (°C)</t>
        </is>
      </c>
      <c r="AC2" s="1" t="inlineStr">
        <is>
          <t xml:space="preserve">Min temp (°C)</t>
        </is>
      </c>
      <c r="AD2" s="1" t="inlineStr">
        <is>
          <t xml:space="preserve">NASA rain, not used (mm)</t>
        </is>
      </c>
      <c r="AE2" s="1" t="inlineStr">
        <is>
          <t xml:space="preserve">Rain, CPC gauges (mm)</t>
        </is>
      </c>
      <c r="AF2" s="1" t="inlineStr">
        <is>
          <t xml:space="preserve">Mean temp (°C)</t>
        </is>
      </c>
      <c r="AG2" s="1" t="inlineStr">
        <is>
          <t xml:space="preserve">Max temp (°C)</t>
        </is>
      </c>
      <c r="AH2" s="1" t="inlineStr">
        <is>
          <t xml:space="preserve">Min temp (°C)</t>
        </is>
      </c>
      <c r="AI2" s="1" t="inlineStr">
        <is>
          <t xml:space="preserve">NASA rain, not used (mm)</t>
        </is>
      </c>
    </row>
    <row r="3">
      <c r="A3" s="2" t="inlineStr">
        <is>
          <t xml:space="preserve">2005-07</t>
        </is>
      </c>
      <c r="B3" s="2">
        <v>2005</v>
      </c>
      <c r="C3" s="2">
        <v>7</v>
      </c>
      <c r="D3" s="2" t="inlineStr">
        <is>
          <t xml:space="preserve">Jul</t>
        </is>
      </c>
      <c r="E3" s="2" t="inlineStr">
        <is>
          <t xml:space="preserve">2005/06</t>
        </is>
      </c>
      <c r="F3" s="2">
        <v>1</v>
      </c>
      <c r="G3" s="9">
        <v>38534</v>
      </c>
      <c r="H3" s="9">
        <v>38564</v>
      </c>
      <c r="I3" s="2">
        <f>H3-G3+1</f>
        <v>31</v>
      </c>
      <c r="J3" s="2">
        <f>COUNTIF(Daily!$B$3:$B$7756,A3)</f>
        <v>31</v>
      </c>
      <c r="K3" s="2" t="str">
        <f>IF(J3=I3,"complete","partial ("&amp;J3&amp;" days)")</f>
        <v>complete</v>
      </c>
      <c r="L3" s="3">
        <f>INDEX(ENSO_monthly!$F:$F,MATCH(A3,ENSO_monthly!$A:$A,0))</f>
        <v>-0.04</v>
      </c>
      <c r="M3" s="2" t="str">
        <f>INDEX(ENSO_monthly!$D:$D,MATCH(A3,ENSO_monthly!$A:$A,0))</f>
        <v>JJA</v>
      </c>
      <c r="N3" s="2" t="str">
        <f>INDEX(ENSO_monthly!$L:$L,MATCH(A3,ENSO_monthly!$A:$A,0))</f>
        <v>—</v>
      </c>
      <c r="O3" s="12" t="str">
        <f>INDEX(ENSO_seasons!$U:$U,MATCH(E3,ENSO_seasons!$A:$A,0))</f>
        <v>La Niña</v>
      </c>
      <c r="P3" s="4">
        <f>SUMIFS(Daily!$D$3:$D$7756,Daily!$B$3:$B$7756,$A3)</f>
        <v>151.869</v>
      </c>
      <c r="Q3" s="3">
        <f>AVERAGEIFS(Daily!$E$3:$E$7756,Daily!$B$3:$B$7756,$A3)</f>
        <v>22.002258064516123</v>
      </c>
      <c r="R3" s="3">
        <f>AVERAGEIFS(Daily!$F$3:$F$7756,Daily!$B$3:$B$7756,$A3)</f>
        <v>26.41322580645161</v>
      </c>
      <c r="S3" s="3">
        <f>AVERAGEIFS(Daily!$G$3:$G$7756,Daily!$B$3:$B$7756,$A3)</f>
        <v>18.381935483870965</v>
      </c>
      <c r="T3" s="4">
        <f>SUMIFS(Daily!$H$3:$H$7756,Daily!$B$3:$B$7756,$A3)</f>
        <v>129.74</v>
      </c>
      <c r="U3" s="4">
        <f>SUMIFS(Daily!$I$3:$I$7756,Daily!$B$3:$B$7756,$A3)</f>
        <v>110.182</v>
      </c>
      <c r="V3" s="3">
        <f>AVERAGEIFS(Daily!$J$3:$J$7756,Daily!$B$3:$B$7756,$A3)</f>
        <v>22.774516129032257</v>
      </c>
      <c r="W3" s="3">
        <f>AVERAGEIFS(Daily!$K$3:$K$7756,Daily!$B$3:$B$7756,$A3)</f>
        <v>26.55354838709678</v>
      </c>
      <c r="X3" s="3">
        <f>AVERAGEIFS(Daily!$L$3:$L$7756,Daily!$B$3:$B$7756,$A3)</f>
        <v>19.767741935483873</v>
      </c>
      <c r="Y3" s="4">
        <f>SUMIFS(Daily!$M$3:$M$7756,Daily!$B$3:$B$7756,$A3)</f>
        <v>132.28</v>
      </c>
      <c r="Z3" s="4">
        <f>SUMIFS(Daily!$N$3:$N$7756,Daily!$B$3:$B$7756,$A3)</f>
        <v>155.001</v>
      </c>
      <c r="AA3" s="3">
        <f>AVERAGEIFS(Daily!$O$3:$O$7756,Daily!$B$3:$B$7756,$A3)</f>
        <v>23.213548387096772</v>
      </c>
      <c r="AB3" s="3">
        <f>AVERAGEIFS(Daily!$P$3:$P$7756,Daily!$B$3:$B$7756,$A3)</f>
        <v>27.252580645161288</v>
      </c>
      <c r="AC3" s="3">
        <f>AVERAGEIFS(Daily!$Q$3:$Q$7756,Daily!$B$3:$B$7756,$A3)</f>
        <v>20.29741935483871</v>
      </c>
      <c r="AD3" s="4">
        <f>SUMIFS(Daily!$R$3:$R$7756,Daily!$B$3:$B$7756,$A3)</f>
        <v>155.14</v>
      </c>
      <c r="AE3" s="4">
        <f>AVERAGE(P3,U3,Z3)</f>
        <v>139.01733333333334</v>
      </c>
      <c r="AF3" s="3">
        <f>AVERAGE(Q3,V3,AA3)</f>
        <v>22.663440860215047</v>
      </c>
      <c r="AG3" s="3">
        <f>AVERAGE(R3,W3,AB3)</f>
        <v>26.739784946236558</v>
      </c>
      <c r="AH3" s="3">
        <f>AVERAGE(S3,X3,AC3)</f>
        <v>19.482365591397848</v>
      </c>
      <c r="AI3" s="4">
        <f>AVERAGE(T3,Y3,AD3)</f>
        <v>139.0533333333333</v>
      </c>
    </row>
    <row r="4">
      <c r="A4" s="2" t="inlineStr">
        <is>
          <t xml:space="preserve">2005-08</t>
        </is>
      </c>
      <c r="B4" s="2">
        <v>2005</v>
      </c>
      <c r="C4" s="2">
        <v>8</v>
      </c>
      <c r="D4" s="2" t="inlineStr">
        <is>
          <t xml:space="preserve">Aug</t>
        </is>
      </c>
      <c r="E4" s="2" t="inlineStr">
        <is>
          <t xml:space="preserve">2005/06</t>
        </is>
      </c>
      <c r="F4" s="2">
        <v>2</v>
      </c>
      <c r="G4" s="9">
        <v>38565</v>
      </c>
      <c r="H4" s="9">
        <v>38595</v>
      </c>
      <c r="I4" s="2">
        <f>H4-G4+1</f>
        <v>31</v>
      </c>
      <c r="J4" s="2">
        <f>COUNTIF(Daily!$B$3:$B$7756,A4)</f>
        <v>31</v>
      </c>
      <c r="K4" s="2" t="str">
        <f>IF(J4=I4,"complete","partial ("&amp;J4&amp;" days)")</f>
        <v>complete</v>
      </c>
      <c r="L4" s="3">
        <f>INDEX(ENSO_monthly!$F:$F,MATCH(A4,ENSO_monthly!$A:$A,0))</f>
        <v>-0.14</v>
      </c>
      <c r="M4" s="2" t="str">
        <f>INDEX(ENSO_monthly!$D:$D,MATCH(A4,ENSO_monthly!$A:$A,0))</f>
        <v>JAS</v>
      </c>
      <c r="N4" s="2" t="str">
        <f>INDEX(ENSO_monthly!$L:$L,MATCH(A4,ENSO_monthly!$A:$A,0))</f>
        <v>—</v>
      </c>
      <c r="O4" s="12" t="str">
        <f>INDEX(ENSO_seasons!$U:$U,MATCH(E4,ENSO_seasons!$A:$A,0))</f>
        <v>La Niña</v>
      </c>
      <c r="P4" s="4">
        <f>SUMIFS(Daily!$D$3:$D$7756,Daily!$B$3:$B$7756,$A4)</f>
        <v>170.789</v>
      </c>
      <c r="Q4" s="3">
        <f>AVERAGEIFS(Daily!$E$3:$E$7756,Daily!$B$3:$B$7756,$A4)</f>
        <v>22.35387096774194</v>
      </c>
      <c r="R4" s="3">
        <f>AVERAGEIFS(Daily!$F$3:$F$7756,Daily!$B$3:$B$7756,$A4)</f>
        <v>26.961935483870974</v>
      </c>
      <c r="S4" s="3">
        <f>AVERAGEIFS(Daily!$G$3:$G$7756,Daily!$B$3:$B$7756,$A4)</f>
        <v>18.50967741935484</v>
      </c>
      <c r="T4" s="4">
        <f>SUMIFS(Daily!$H$3:$H$7756,Daily!$B$3:$B$7756,$A4)</f>
        <v>144.08</v>
      </c>
      <c r="U4" s="4">
        <f>SUMIFS(Daily!$I$3:$I$7756,Daily!$B$3:$B$7756,$A4)</f>
        <v>167.823</v>
      </c>
      <c r="V4" s="3">
        <f>AVERAGEIFS(Daily!$J$3:$J$7756,Daily!$B$3:$B$7756,$A4)</f>
        <v>22.71451612903226</v>
      </c>
      <c r="W4" s="3">
        <f>AVERAGEIFS(Daily!$K$3:$K$7756,Daily!$B$3:$B$7756,$A4)</f>
        <v>26.6283870967742</v>
      </c>
      <c r="X4" s="3">
        <f>AVERAGEIFS(Daily!$L$3:$L$7756,Daily!$B$3:$B$7756,$A4)</f>
        <v>19.748387096774195</v>
      </c>
      <c r="Y4" s="4">
        <f>SUMIFS(Daily!$M$3:$M$7756,Daily!$B$3:$B$7756,$A4)</f>
        <v>167.05</v>
      </c>
      <c r="Z4" s="4">
        <f>SUMIFS(Daily!$N$3:$N$7756,Daily!$B$3:$B$7756,$A4)</f>
        <v>129.104</v>
      </c>
      <c r="AA4" s="3">
        <f>AVERAGEIFS(Daily!$O$3:$O$7756,Daily!$B$3:$B$7756,$A4)</f>
        <v>23.284838709677423</v>
      </c>
      <c r="AB4" s="3">
        <f>AVERAGEIFS(Daily!$P$3:$P$7756,Daily!$B$3:$B$7756,$A4)</f>
        <v>27.394516129032258</v>
      </c>
      <c r="AC4" s="3">
        <f>AVERAGEIFS(Daily!$Q$3:$Q$7756,Daily!$B$3:$B$7756,$A4)</f>
        <v>20.392903225806453</v>
      </c>
      <c r="AD4" s="4">
        <f>SUMIFS(Daily!$R$3:$R$7756,Daily!$B$3:$B$7756,$A4)</f>
        <v>163.13</v>
      </c>
      <c r="AE4" s="4">
        <f>AVERAGE(P4,U4,Z4)</f>
        <v>155.90533333333335</v>
      </c>
      <c r="AF4" s="3">
        <f>AVERAGE(Q4,V4,AA4)</f>
        <v>22.784408602150545</v>
      </c>
      <c r="AG4" s="3">
        <f>AVERAGE(R4,W4,AB4)</f>
        <v>26.994946236559144</v>
      </c>
      <c r="AH4" s="3">
        <f>AVERAGE(S4,X4,AC4)</f>
        <v>19.55032258064516</v>
      </c>
      <c r="AI4" s="4">
        <f>AVERAGE(T4,Y4,AD4)</f>
        <v>158.08666666666667</v>
      </c>
    </row>
    <row r="5">
      <c r="A5" s="2" t="inlineStr">
        <is>
          <t xml:space="preserve">2005-09</t>
        </is>
      </c>
      <c r="B5" s="2">
        <v>2005</v>
      </c>
      <c r="C5" s="2">
        <v>9</v>
      </c>
      <c r="D5" s="2" t="inlineStr">
        <is>
          <t xml:space="preserve">Sep</t>
        </is>
      </c>
      <c r="E5" s="2" t="inlineStr">
        <is>
          <t xml:space="preserve">2005/06</t>
        </is>
      </c>
      <c r="F5" s="2">
        <v>3</v>
      </c>
      <c r="G5" s="9">
        <v>38596</v>
      </c>
      <c r="H5" s="9">
        <v>38625</v>
      </c>
      <c r="I5" s="2">
        <f>H5-G5+1</f>
        <v>30</v>
      </c>
      <c r="J5" s="2">
        <f>COUNTIF(Daily!$B$3:$B$7756,A5)</f>
        <v>30</v>
      </c>
      <c r="K5" s="2" t="str">
        <f>IF(J5=I5,"complete","partial ("&amp;J5&amp;" days)")</f>
        <v>complete</v>
      </c>
      <c r="L5" s="3">
        <f>INDEX(ENSO_monthly!$F:$F,MATCH(A5,ENSO_monthly!$A:$A,0))</f>
        <v>-0.11</v>
      </c>
      <c r="M5" s="2" t="str">
        <f>INDEX(ENSO_monthly!$D:$D,MATCH(A5,ENSO_monthly!$A:$A,0))</f>
        <v>ASO</v>
      </c>
      <c r="N5" s="2" t="str">
        <f>INDEX(ENSO_monthly!$L:$L,MATCH(A5,ENSO_monthly!$A:$A,0))</f>
        <v>—</v>
      </c>
      <c r="O5" s="12" t="str">
        <f>INDEX(ENSO_seasons!$U:$U,MATCH(E5,ENSO_seasons!$A:$A,0))</f>
        <v>La Niña</v>
      </c>
      <c r="P5" s="4">
        <f>SUMIFS(Daily!$D$3:$D$7756,Daily!$B$3:$B$7756,$A5)</f>
        <v>165.032</v>
      </c>
      <c r="Q5" s="3">
        <f>AVERAGEIFS(Daily!$E$3:$E$7756,Daily!$B$3:$B$7756,$A5)</f>
        <v>22.000000000000004</v>
      </c>
      <c r="R5" s="3">
        <f>AVERAGEIFS(Daily!$F$3:$F$7756,Daily!$B$3:$B$7756,$A5)</f>
        <v>26.812333333333335</v>
      </c>
      <c r="S5" s="3">
        <f>AVERAGEIFS(Daily!$G$3:$G$7756,Daily!$B$3:$B$7756,$A5)</f>
        <v>18.219333333333335</v>
      </c>
      <c r="T5" s="4">
        <f>SUMIFS(Daily!$H$3:$H$7756,Daily!$B$3:$B$7756,$A5)</f>
        <v>158.28</v>
      </c>
      <c r="U5" s="4">
        <f>SUMIFS(Daily!$I$3:$I$7756,Daily!$B$3:$B$7756,$A5)</f>
        <v>223.733</v>
      </c>
      <c r="V5" s="3">
        <f>AVERAGEIFS(Daily!$J$3:$J$7756,Daily!$B$3:$B$7756,$A5)</f>
        <v>22.40366666666666</v>
      </c>
      <c r="W5" s="3">
        <f>AVERAGEIFS(Daily!$K$3:$K$7756,Daily!$B$3:$B$7756,$A5)</f>
        <v>26.27666666666666</v>
      </c>
      <c r="X5" s="3">
        <f>AVERAGEIFS(Daily!$L$3:$L$7756,Daily!$B$3:$B$7756,$A5)</f>
        <v>19.444000000000003</v>
      </c>
      <c r="Y5" s="4">
        <f>SUMIFS(Daily!$M$3:$M$7756,Daily!$B$3:$B$7756,$A5)</f>
        <v>233.53</v>
      </c>
      <c r="Z5" s="4">
        <f>SUMIFS(Daily!$N$3:$N$7756,Daily!$B$3:$B$7756,$A5)</f>
        <v>211.215</v>
      </c>
      <c r="AA5" s="3">
        <f>AVERAGEIFS(Daily!$O$3:$O$7756,Daily!$B$3:$B$7756,$A5)</f>
        <v>22.76066666666667</v>
      </c>
      <c r="AB5" s="3">
        <f>AVERAGEIFS(Daily!$P$3:$P$7756,Daily!$B$3:$B$7756,$A5)</f>
        <v>26.535</v>
      </c>
      <c r="AC5" s="3">
        <f>AVERAGEIFS(Daily!$Q$3:$Q$7756,Daily!$B$3:$B$7756,$A5)</f>
        <v>20.096333333333334</v>
      </c>
      <c r="AD5" s="4">
        <f>SUMIFS(Daily!$R$3:$R$7756,Daily!$B$3:$B$7756,$A5)</f>
        <v>220.95</v>
      </c>
      <c r="AE5" s="4">
        <f>AVERAGE(P5,U5,Z5)</f>
        <v>199.99333333333334</v>
      </c>
      <c r="AF5" s="3">
        <f>AVERAGE(Q5,V5,AA5)</f>
        <v>22.38811111111111</v>
      </c>
      <c r="AG5" s="3">
        <f>AVERAGE(R5,W5,AB5)</f>
        <v>26.54133333333333</v>
      </c>
      <c r="AH5" s="3">
        <f>AVERAGE(S5,X5,AC5)</f>
        <v>19.253222222222224</v>
      </c>
      <c r="AI5" s="4">
        <f>AVERAGE(T5,Y5,AD5)</f>
        <v>204.25333333333333</v>
      </c>
    </row>
    <row r="6">
      <c r="A6" s="2" t="inlineStr">
        <is>
          <t xml:space="preserve">2005-10</t>
        </is>
      </c>
      <c r="B6" s="2">
        <v>2005</v>
      </c>
      <c r="C6" s="2">
        <v>10</v>
      </c>
      <c r="D6" s="2" t="inlineStr">
        <is>
          <t xml:space="preserve">Oct</t>
        </is>
      </c>
      <c r="E6" s="2" t="inlineStr">
        <is>
          <t xml:space="preserve">2005/06</t>
        </is>
      </c>
      <c r="F6" s="2">
        <v>4</v>
      </c>
      <c r="G6" s="9">
        <v>38626</v>
      </c>
      <c r="H6" s="9">
        <v>38656</v>
      </c>
      <c r="I6" s="2">
        <f>H6-G6+1</f>
        <v>31</v>
      </c>
      <c r="J6" s="2">
        <f>COUNTIF(Daily!$B$3:$B$7756,A6)</f>
        <v>31</v>
      </c>
      <c r="K6" s="2" t="str">
        <f>IF(J6=I6,"complete","partial ("&amp;J6&amp;" days)")</f>
        <v>complete</v>
      </c>
      <c r="L6" s="3">
        <f>INDEX(ENSO_monthly!$F:$F,MATCH(A6,ENSO_monthly!$A:$A,0))</f>
        <v>-0.27</v>
      </c>
      <c r="M6" s="2" t="str">
        <f>INDEX(ENSO_monthly!$D:$D,MATCH(A6,ENSO_monthly!$A:$A,0))</f>
        <v>SON</v>
      </c>
      <c r="N6" s="2" t="str">
        <f>INDEX(ENSO_monthly!$L:$L,MATCH(A6,ENSO_monthly!$A:$A,0))</f>
        <v>—</v>
      </c>
      <c r="O6" s="12" t="str">
        <f>INDEX(ENSO_seasons!$U:$U,MATCH(E6,ENSO_seasons!$A:$A,0))</f>
        <v>La Niña</v>
      </c>
      <c r="P6" s="4">
        <f>SUMIFS(Daily!$D$3:$D$7756,Daily!$B$3:$B$7756,$A6)</f>
        <v>106.964</v>
      </c>
      <c r="Q6" s="3">
        <f>AVERAGEIFS(Daily!$E$3:$E$7756,Daily!$B$3:$B$7756,$A6)</f>
        <v>20.72870967741936</v>
      </c>
      <c r="R6" s="3">
        <f>AVERAGEIFS(Daily!$F$3:$F$7756,Daily!$B$3:$B$7756,$A6)</f>
        <v>25.150322580645163</v>
      </c>
      <c r="S6" s="3">
        <f>AVERAGEIFS(Daily!$G$3:$G$7756,Daily!$B$3:$B$7756,$A6)</f>
        <v>17.55677419354839</v>
      </c>
      <c r="T6" s="4">
        <f>SUMIFS(Daily!$H$3:$H$7756,Daily!$B$3:$B$7756,$A6)</f>
        <v>111.24</v>
      </c>
      <c r="U6" s="4">
        <f>SUMIFS(Daily!$I$3:$I$7756,Daily!$B$3:$B$7756,$A6)</f>
        <v>91.145</v>
      </c>
      <c r="V6" s="3">
        <f>AVERAGEIFS(Daily!$J$3:$J$7756,Daily!$B$3:$B$7756,$A6)</f>
        <v>20.98193548387097</v>
      </c>
      <c r="W6" s="3">
        <f>AVERAGEIFS(Daily!$K$3:$K$7756,Daily!$B$3:$B$7756,$A6)</f>
        <v>24.86032258064516</v>
      </c>
      <c r="X6" s="3">
        <f>AVERAGEIFS(Daily!$L$3:$L$7756,Daily!$B$3:$B$7756,$A6)</f>
        <v>18.099354838709676</v>
      </c>
      <c r="Y6" s="4">
        <f>SUMIFS(Daily!$M$3:$M$7756,Daily!$B$3:$B$7756,$A6)</f>
        <v>147.95</v>
      </c>
      <c r="Z6" s="4">
        <f>SUMIFS(Daily!$N$3:$N$7756,Daily!$B$3:$B$7756,$A6)</f>
        <v>116.649</v>
      </c>
      <c r="AA6" s="3">
        <f>AVERAGEIFS(Daily!$O$3:$O$7756,Daily!$B$3:$B$7756,$A6)</f>
        <v>21.344516129032254</v>
      </c>
      <c r="AB6" s="3">
        <f>AVERAGEIFS(Daily!$P$3:$P$7756,Daily!$B$3:$B$7756,$A6)</f>
        <v>25.22387096774194</v>
      </c>
      <c r="AC6" s="3">
        <f>AVERAGEIFS(Daily!$Q$3:$Q$7756,Daily!$B$3:$B$7756,$A6)</f>
        <v>18.49451612903226</v>
      </c>
      <c r="AD6" s="4">
        <f>SUMIFS(Daily!$R$3:$R$7756,Daily!$B$3:$B$7756,$A6)</f>
        <v>115.87</v>
      </c>
      <c r="AE6" s="4">
        <f>AVERAGE(P6,U6,Z6)</f>
        <v>104.91933333333333</v>
      </c>
      <c r="AF6" s="3">
        <f>AVERAGE(Q6,V6,AA6)</f>
        <v>21.018387096774195</v>
      </c>
      <c r="AG6" s="3">
        <f>AVERAGE(R6,W6,AB6)</f>
        <v>25.078172043010756</v>
      </c>
      <c r="AH6" s="3">
        <f>AVERAGE(S6,X6,AC6)</f>
        <v>18.05021505376344</v>
      </c>
      <c r="AI6" s="4">
        <f>AVERAGE(T6,Y6,AD6)</f>
        <v>125.02</v>
      </c>
    </row>
    <row r="7">
      <c r="A7" s="2" t="inlineStr">
        <is>
          <t xml:space="preserve">2005-11</t>
        </is>
      </c>
      <c r="B7" s="2">
        <v>2005</v>
      </c>
      <c r="C7" s="2">
        <v>11</v>
      </c>
      <c r="D7" s="2" t="inlineStr">
        <is>
          <t xml:space="preserve">Nov</t>
        </is>
      </c>
      <c r="E7" s="2" t="inlineStr">
        <is>
          <t xml:space="preserve">2005/06</t>
        </is>
      </c>
      <c r="F7" s="2">
        <v>5</v>
      </c>
      <c r="G7" s="9">
        <v>38657</v>
      </c>
      <c r="H7" s="9">
        <v>38686</v>
      </c>
      <c r="I7" s="2">
        <f>H7-G7+1</f>
        <v>30</v>
      </c>
      <c r="J7" s="2">
        <f>COUNTIF(Daily!$B$3:$B$7756,A7)</f>
        <v>30</v>
      </c>
      <c r="K7" s="2" t="str">
        <f>IF(J7=I7,"complete","partial ("&amp;J7&amp;" days)")</f>
        <v>complete</v>
      </c>
      <c r="L7" s="3">
        <f>INDEX(ENSO_monthly!$F:$F,MATCH(A7,ENSO_monthly!$A:$A,0))</f>
        <v>-0.57</v>
      </c>
      <c r="M7" s="2" t="str">
        <f>INDEX(ENSO_monthly!$D:$D,MATCH(A7,ENSO_monthly!$A:$A,0))</f>
        <v>OND</v>
      </c>
      <c r="N7" s="5" t="str">
        <f>INDEX(ENSO_monthly!$L:$L,MATCH(A7,ENSO_monthly!$A:$A,0))</f>
        <v>La Niña</v>
      </c>
      <c r="O7" s="12" t="str">
        <f>INDEX(ENSO_seasons!$U:$U,MATCH(E7,ENSO_seasons!$A:$A,0))</f>
        <v>La Niña</v>
      </c>
      <c r="P7" s="4">
        <f>SUMIFS(Daily!$D$3:$D$7756,Daily!$B$3:$B$7756,$A7)</f>
        <v>10.746</v>
      </c>
      <c r="Q7" s="3">
        <f>AVERAGEIFS(Daily!$E$3:$E$7756,Daily!$B$3:$B$7756,$A7)</f>
        <v>19.75133333333333</v>
      </c>
      <c r="R7" s="3">
        <f>AVERAGEIFS(Daily!$F$3:$F$7756,Daily!$B$3:$B$7756,$A7)</f>
        <v>25.11466666666666</v>
      </c>
      <c r="S7" s="3">
        <f>AVERAGEIFS(Daily!$G$3:$G$7756,Daily!$B$3:$B$7756,$A7)</f>
        <v>15.940000000000003</v>
      </c>
      <c r="T7" s="4">
        <f>SUMIFS(Daily!$H$3:$H$7756,Daily!$B$3:$B$7756,$A7)</f>
        <v>40.36</v>
      </c>
      <c r="U7" s="4">
        <f>SUMIFS(Daily!$I$3:$I$7756,Daily!$B$3:$B$7756,$A7)</f>
        <v>6.397</v>
      </c>
      <c r="V7" s="3">
        <f>AVERAGEIFS(Daily!$J$3:$J$7756,Daily!$B$3:$B$7756,$A7)</f>
        <v>19.723000000000006</v>
      </c>
      <c r="W7" s="3">
        <f>AVERAGEIFS(Daily!$K$3:$K$7756,Daily!$B$3:$B$7756,$A7)</f>
        <v>24.490333333333336</v>
      </c>
      <c r="X7" s="3">
        <f>AVERAGEIFS(Daily!$L$3:$L$7756,Daily!$B$3:$B$7756,$A7)</f>
        <v>16.134</v>
      </c>
      <c r="Y7" s="4">
        <f>SUMIFS(Daily!$M$3:$M$7756,Daily!$B$3:$B$7756,$A7)</f>
        <v>20.57</v>
      </c>
      <c r="Z7" s="4">
        <f>SUMIFS(Daily!$N$3:$N$7756,Daily!$B$3:$B$7756,$A7)</f>
        <v>32.106</v>
      </c>
      <c r="AA7" s="3">
        <f>AVERAGEIFS(Daily!$O$3:$O$7756,Daily!$B$3:$B$7756,$A7)</f>
        <v>20.017000000000003</v>
      </c>
      <c r="AB7" s="3">
        <f>AVERAGEIFS(Daily!$P$3:$P$7756,Daily!$B$3:$B$7756,$A7)</f>
        <v>24.23966666666667</v>
      </c>
      <c r="AC7" s="3">
        <f>AVERAGEIFS(Daily!$Q$3:$Q$7756,Daily!$B$3:$B$7756,$A7)</f>
        <v>16.952</v>
      </c>
      <c r="AD7" s="4">
        <f>SUMIFS(Daily!$R$3:$R$7756,Daily!$B$3:$B$7756,$A7)</f>
        <v>40.44</v>
      </c>
      <c r="AE7" s="4">
        <f>AVERAGE(P7,U7,Z7)</f>
        <v>16.416333333333334</v>
      </c>
      <c r="AF7" s="3">
        <f>AVERAGE(Q7,V7,AA7)</f>
        <v>19.830444444444446</v>
      </c>
      <c r="AG7" s="3">
        <f>AVERAGE(R7,W7,AB7)</f>
        <v>24.61488888888889</v>
      </c>
      <c r="AH7" s="3">
        <f>AVERAGE(S7,X7,AC7)</f>
        <v>16.342000000000002</v>
      </c>
      <c r="AI7" s="4">
        <f>AVERAGE(T7,Y7,AD7)</f>
        <v>33.79</v>
      </c>
    </row>
    <row r="8">
      <c r="A8" s="2" t="inlineStr">
        <is>
          <t xml:space="preserve">2005-12</t>
        </is>
      </c>
      <c r="B8" s="2">
        <v>2005</v>
      </c>
      <c r="C8" s="2">
        <v>12</v>
      </c>
      <c r="D8" s="2" t="inlineStr">
        <is>
          <t xml:space="preserve">Dec</t>
        </is>
      </c>
      <c r="E8" s="2" t="inlineStr">
        <is>
          <t xml:space="preserve">2005/06</t>
        </is>
      </c>
      <c r="F8" s="2">
        <v>6</v>
      </c>
      <c r="G8" s="9">
        <v>38687</v>
      </c>
      <c r="H8" s="9">
        <v>38717</v>
      </c>
      <c r="I8" s="2">
        <f>H8-G8+1</f>
        <v>31</v>
      </c>
      <c r="J8" s="2">
        <f>COUNTIF(Daily!$B$3:$B$7756,A8)</f>
        <v>31</v>
      </c>
      <c r="K8" s="2" t="str">
        <f>IF(J8=I8,"complete","partial ("&amp;J8&amp;" days)")</f>
        <v>complete</v>
      </c>
      <c r="L8" s="3">
        <f>INDEX(ENSO_monthly!$F:$F,MATCH(A8,ENSO_monthly!$A:$A,0))</f>
        <v>-0.82</v>
      </c>
      <c r="M8" s="2" t="str">
        <f>INDEX(ENSO_monthly!$D:$D,MATCH(A8,ENSO_monthly!$A:$A,0))</f>
        <v>NDJ</v>
      </c>
      <c r="N8" s="5" t="str">
        <f>INDEX(ENSO_monthly!$L:$L,MATCH(A8,ENSO_monthly!$A:$A,0))</f>
        <v>La Niña</v>
      </c>
      <c r="O8" s="12" t="str">
        <f>INDEX(ENSO_seasons!$U:$U,MATCH(E8,ENSO_seasons!$A:$A,0))</f>
        <v>La Niña</v>
      </c>
      <c r="P8" s="4">
        <f>SUMIFS(Daily!$D$3:$D$7756,Daily!$B$3:$B$7756,$A8)</f>
        <v>5.216</v>
      </c>
      <c r="Q8" s="3">
        <f>AVERAGEIFS(Daily!$E$3:$E$7756,Daily!$B$3:$B$7756,$A8)</f>
        <v>20.613225806451617</v>
      </c>
      <c r="R8" s="3">
        <f>AVERAGEIFS(Daily!$F$3:$F$7756,Daily!$B$3:$B$7756,$A8)</f>
        <v>27.06161290322581</v>
      </c>
      <c r="S8" s="3">
        <f>AVERAGEIFS(Daily!$G$3:$G$7756,Daily!$B$3:$B$7756,$A8)</f>
        <v>16.183870967741935</v>
      </c>
      <c r="T8" s="4">
        <f>SUMIFS(Daily!$H$3:$H$7756,Daily!$B$3:$B$7756,$A8)</f>
        <v>16.22</v>
      </c>
      <c r="U8" s="4">
        <f>SUMIFS(Daily!$I$3:$I$7756,Daily!$B$3:$B$7756,$A8)</f>
        <v>23.582</v>
      </c>
      <c r="V8" s="3">
        <f>AVERAGEIFS(Daily!$J$3:$J$7756,Daily!$B$3:$B$7756,$A8)</f>
        <v>20.269032258064517</v>
      </c>
      <c r="W8" s="3">
        <f>AVERAGEIFS(Daily!$K$3:$K$7756,Daily!$B$3:$B$7756,$A8)</f>
        <v>25.700645161290325</v>
      </c>
      <c r="X8" s="3">
        <f>AVERAGEIFS(Daily!$L$3:$L$7756,Daily!$B$3:$B$7756,$A8)</f>
        <v>16.370322580645162</v>
      </c>
      <c r="Y8" s="4">
        <f>SUMIFS(Daily!$M$3:$M$7756,Daily!$B$3:$B$7756,$A8)</f>
        <v>27.52</v>
      </c>
      <c r="Z8" s="4">
        <f>SUMIFS(Daily!$N$3:$N$7756,Daily!$B$3:$B$7756,$A8)</f>
        <v>35.716</v>
      </c>
      <c r="AA8" s="3">
        <f>AVERAGEIFS(Daily!$O$3:$O$7756,Daily!$B$3:$B$7756,$A8)</f>
        <v>20.312258064516122</v>
      </c>
      <c r="AB8" s="3">
        <f>AVERAGEIFS(Daily!$P$3:$P$7756,Daily!$B$3:$B$7756,$A8)</f>
        <v>25.35</v>
      </c>
      <c r="AC8" s="3">
        <f>AVERAGEIFS(Daily!$Q$3:$Q$7756,Daily!$B$3:$B$7756,$A8)</f>
        <v>16.990000000000002</v>
      </c>
      <c r="AD8" s="4">
        <f>SUMIFS(Daily!$R$3:$R$7756,Daily!$B$3:$B$7756,$A8)</f>
        <v>50.46</v>
      </c>
      <c r="AE8" s="4">
        <f>AVERAGE(P8,U8,Z8)</f>
        <v>21.50466666666667</v>
      </c>
      <c r="AF8" s="3">
        <f>AVERAGE(Q8,V8,AA8)</f>
        <v>20.398172043010753</v>
      </c>
      <c r="AG8" s="3">
        <f>AVERAGE(R8,W8,AB8)</f>
        <v>26.037419354838715</v>
      </c>
      <c r="AH8" s="3">
        <f>AVERAGE(S8,X8,AC8)</f>
        <v>16.5147311827957</v>
      </c>
      <c r="AI8" s="4">
        <f>AVERAGE(T8,Y8,AD8)</f>
        <v>31.399999999999995</v>
      </c>
    </row>
    <row r="9">
      <c r="A9" s="2" t="inlineStr">
        <is>
          <t xml:space="preserve">2006-01</t>
        </is>
      </c>
      <c r="B9" s="2">
        <v>2006</v>
      </c>
      <c r="C9" s="2">
        <v>1</v>
      </c>
      <c r="D9" s="2" t="inlineStr">
        <is>
          <t xml:space="preserve">Jan</t>
        </is>
      </c>
      <c r="E9" s="2" t="inlineStr">
        <is>
          <t xml:space="preserve">2005/06</t>
        </is>
      </c>
      <c r="F9" s="2">
        <v>7</v>
      </c>
      <c r="G9" s="9">
        <v>38718</v>
      </c>
      <c r="H9" s="9">
        <v>38748</v>
      </c>
      <c r="I9" s="2">
        <f>H9-G9+1</f>
        <v>31</v>
      </c>
      <c r="J9" s="2">
        <f>COUNTIF(Daily!$B$3:$B$7756,A9)</f>
        <v>31</v>
      </c>
      <c r="K9" s="2" t="str">
        <f>IF(J9=I9,"complete","partial ("&amp;J9&amp;" days)")</f>
        <v>complete</v>
      </c>
      <c r="L9" s="3">
        <f>INDEX(ENSO_monthly!$F:$F,MATCH(A9,ENSO_monthly!$A:$A,0))</f>
        <v>-0.86</v>
      </c>
      <c r="M9" s="2" t="str">
        <f>INDEX(ENSO_monthly!$D:$D,MATCH(A9,ENSO_monthly!$A:$A,0))</f>
        <v>DJF</v>
      </c>
      <c r="N9" s="5" t="str">
        <f>INDEX(ENSO_monthly!$L:$L,MATCH(A9,ENSO_monthly!$A:$A,0))</f>
        <v>La Niña</v>
      </c>
      <c r="O9" s="12" t="str">
        <f>INDEX(ENSO_seasons!$U:$U,MATCH(E9,ENSO_seasons!$A:$A,0))</f>
        <v>La Niña</v>
      </c>
      <c r="P9" s="4">
        <f>SUMIFS(Daily!$D$3:$D$7756,Daily!$B$3:$B$7756,$A9)</f>
        <v>4.962</v>
      </c>
      <c r="Q9" s="3">
        <f>AVERAGEIFS(Daily!$E$3:$E$7756,Daily!$B$3:$B$7756,$A9)</f>
        <v>20.27</v>
      </c>
      <c r="R9" s="3">
        <f>AVERAGEIFS(Daily!$F$3:$F$7756,Daily!$B$3:$B$7756,$A9)</f>
        <v>27.02774193548387</v>
      </c>
      <c r="S9" s="3">
        <f>AVERAGEIFS(Daily!$G$3:$G$7756,Daily!$B$3:$B$7756,$A9)</f>
        <v>15.274838709677415</v>
      </c>
      <c r="T9" s="4">
        <f>SUMIFS(Daily!$H$3:$H$7756,Daily!$B$3:$B$7756,$A9)</f>
        <v>17.86</v>
      </c>
      <c r="U9" s="4">
        <f>SUMIFS(Daily!$I$3:$I$7756,Daily!$B$3:$B$7756,$A9)</f>
        <v>7.806</v>
      </c>
      <c r="V9" s="3">
        <f>AVERAGEIFS(Daily!$J$3:$J$7756,Daily!$B$3:$B$7756,$A9)</f>
        <v>20.26161290322581</v>
      </c>
      <c r="W9" s="3">
        <f>AVERAGEIFS(Daily!$K$3:$K$7756,Daily!$B$3:$B$7756,$A9)</f>
        <v>26.216451612903224</v>
      </c>
      <c r="X9" s="3">
        <f>AVERAGEIFS(Daily!$L$3:$L$7756,Daily!$B$3:$B$7756,$A9)</f>
        <v>15.873548387096774</v>
      </c>
      <c r="Y9" s="4">
        <f>SUMIFS(Daily!$M$3:$M$7756,Daily!$B$3:$B$7756,$A9)</f>
        <v>30.0</v>
      </c>
      <c r="Z9" s="4">
        <f>SUMIFS(Daily!$N$3:$N$7756,Daily!$B$3:$B$7756,$A9)</f>
        <v>49.05</v>
      </c>
      <c r="AA9" s="3">
        <f>AVERAGEIFS(Daily!$O$3:$O$7756,Daily!$B$3:$B$7756,$A9)</f>
        <v>19.85516129032258</v>
      </c>
      <c r="AB9" s="3">
        <f>AVERAGEIFS(Daily!$P$3:$P$7756,Daily!$B$3:$B$7756,$A9)</f>
        <v>25.04774193548387</v>
      </c>
      <c r="AC9" s="3">
        <f>AVERAGEIFS(Daily!$Q$3:$Q$7756,Daily!$B$3:$B$7756,$A9)</f>
        <v>16.240322580645156</v>
      </c>
      <c r="AD9" s="4">
        <f>SUMIFS(Daily!$R$3:$R$7756,Daily!$B$3:$B$7756,$A9)</f>
        <v>71.31</v>
      </c>
      <c r="AE9" s="4">
        <f>AVERAGE(P9,U9,Z9)</f>
        <v>20.605999999999998</v>
      </c>
      <c r="AF9" s="3">
        <f>AVERAGE(Q9,V9,AA9)</f>
        <v>20.128924731182796</v>
      </c>
      <c r="AG9" s="3">
        <f>AVERAGE(R9,W9,AB9)</f>
        <v>26.097311827956986</v>
      </c>
      <c r="AH9" s="3">
        <f>AVERAGE(S9,X9,AC9)</f>
        <v>15.79623655913978</v>
      </c>
      <c r="AI9" s="4">
        <f>AVERAGE(T9,Y9,AD9)</f>
        <v>39.723333333333336</v>
      </c>
    </row>
    <row r="10">
      <c r="A10" s="2" t="inlineStr">
        <is>
          <t xml:space="preserve">2006-02</t>
        </is>
      </c>
      <c r="B10" s="2">
        <v>2006</v>
      </c>
      <c r="C10" s="2">
        <v>2</v>
      </c>
      <c r="D10" s="2" t="inlineStr">
        <is>
          <t xml:space="preserve">Feb</t>
        </is>
      </c>
      <c r="E10" s="2" t="inlineStr">
        <is>
          <t xml:space="preserve">2005/06</t>
        </is>
      </c>
      <c r="F10" s="2">
        <v>8</v>
      </c>
      <c r="G10" s="9">
        <v>38749</v>
      </c>
      <c r="H10" s="9">
        <v>38776</v>
      </c>
      <c r="I10" s="2">
        <f>H10-G10+1</f>
        <v>28</v>
      </c>
      <c r="J10" s="2">
        <f>COUNTIF(Daily!$B$3:$B$7756,A10)</f>
        <v>28</v>
      </c>
      <c r="K10" s="2" t="str">
        <f>IF(J10=I10,"complete","partial ("&amp;J10&amp;" days)")</f>
        <v>complete</v>
      </c>
      <c r="L10" s="3">
        <f>INDEX(ENSO_monthly!$F:$F,MATCH(A10,ENSO_monthly!$A:$A,0))</f>
        <v>-0.8</v>
      </c>
      <c r="M10" s="2" t="str">
        <f>INDEX(ENSO_monthly!$D:$D,MATCH(A10,ENSO_monthly!$A:$A,0))</f>
        <v>JFM</v>
      </c>
      <c r="N10" s="5" t="str">
        <f>INDEX(ENSO_monthly!$L:$L,MATCH(A10,ENSO_monthly!$A:$A,0))</f>
        <v>La Niña</v>
      </c>
      <c r="O10" s="12" t="str">
        <f>INDEX(ENSO_seasons!$U:$U,MATCH(E10,ENSO_seasons!$A:$A,0))</f>
        <v>La Niña</v>
      </c>
      <c r="P10" s="4">
        <f>SUMIFS(Daily!$D$3:$D$7756,Daily!$B$3:$B$7756,$A10)</f>
        <v>0.79</v>
      </c>
      <c r="Q10" s="3">
        <f>AVERAGEIFS(Daily!$E$3:$E$7756,Daily!$B$3:$B$7756,$A10)</f>
        <v>20.67892857142857</v>
      </c>
      <c r="R10" s="3">
        <f>AVERAGEIFS(Daily!$F$3:$F$7756,Daily!$B$3:$B$7756,$A10)</f>
        <v>28.490000000000002</v>
      </c>
      <c r="S10" s="3">
        <f>AVERAGEIFS(Daily!$G$3:$G$7756,Daily!$B$3:$B$7756,$A10)</f>
        <v>14.883214285714287</v>
      </c>
      <c r="T10" s="4">
        <f>SUMIFS(Daily!$H$3:$H$7756,Daily!$B$3:$B$7756,$A10)</f>
        <v>11.24</v>
      </c>
      <c r="U10" s="4">
        <f>SUMIFS(Daily!$I$3:$I$7756,Daily!$B$3:$B$7756,$A10)</f>
        <v>3.885</v>
      </c>
      <c r="V10" s="3">
        <f>AVERAGEIFS(Daily!$J$3:$J$7756,Daily!$B$3:$B$7756,$A10)</f>
        <v>20.568571428571428</v>
      </c>
      <c r="W10" s="3">
        <f>AVERAGEIFS(Daily!$K$3:$K$7756,Daily!$B$3:$B$7756,$A10)</f>
        <v>27.65571428571429</v>
      </c>
      <c r="X10" s="3">
        <f>AVERAGEIFS(Daily!$L$3:$L$7756,Daily!$B$3:$B$7756,$A10)</f>
        <v>15.40142857142857</v>
      </c>
      <c r="Y10" s="4">
        <f>SUMIFS(Daily!$M$3:$M$7756,Daily!$B$3:$B$7756,$A10)</f>
        <v>11.16</v>
      </c>
      <c r="Z10" s="4">
        <f>SUMIFS(Daily!$N$3:$N$7756,Daily!$B$3:$B$7756,$A10)</f>
        <v>12.137</v>
      </c>
      <c r="AA10" s="3">
        <f>AVERAGEIFS(Daily!$O$3:$O$7756,Daily!$B$3:$B$7756,$A10)</f>
        <v>19.858571428571423</v>
      </c>
      <c r="AB10" s="3">
        <f>AVERAGEIFS(Daily!$P$3:$P$7756,Daily!$B$3:$B$7756,$A10)</f>
        <v>25.90607142857143</v>
      </c>
      <c r="AC10" s="3">
        <f>AVERAGEIFS(Daily!$Q$3:$Q$7756,Daily!$B$3:$B$7756,$A10)</f>
        <v>15.680714285714288</v>
      </c>
      <c r="AD10" s="4">
        <f>SUMIFS(Daily!$R$3:$R$7756,Daily!$B$3:$B$7756,$A10)</f>
        <v>30.95</v>
      </c>
      <c r="AE10" s="4">
        <f>AVERAGE(P10,U10,Z10)</f>
        <v>5.604</v>
      </c>
      <c r="AF10" s="3">
        <f>AVERAGE(Q10,V10,AA10)</f>
        <v>20.368690476190476</v>
      </c>
      <c r="AG10" s="3">
        <f>AVERAGE(R10,W10,AB10)</f>
        <v>27.35059523809524</v>
      </c>
      <c r="AH10" s="3">
        <f>AVERAGE(S10,X10,AC10)</f>
        <v>15.321785714285715</v>
      </c>
      <c r="AI10" s="4">
        <f>AVERAGE(T10,Y10,AD10)</f>
        <v>17.78333333333333</v>
      </c>
    </row>
    <row r="11">
      <c r="A11" s="2" t="inlineStr">
        <is>
          <t xml:space="preserve">2006-03</t>
        </is>
      </c>
      <c r="B11" s="2">
        <v>2006</v>
      </c>
      <c r="C11" s="2">
        <v>3</v>
      </c>
      <c r="D11" s="2" t="inlineStr">
        <is>
          <t xml:space="preserve">Mar</t>
        </is>
      </c>
      <c r="E11" s="2" t="inlineStr">
        <is>
          <t xml:space="preserve">2005/06</t>
        </is>
      </c>
      <c r="F11" s="2">
        <v>9</v>
      </c>
      <c r="G11" s="9">
        <v>38777</v>
      </c>
      <c r="H11" s="9">
        <v>38807</v>
      </c>
      <c r="I11" s="2">
        <f>H11-G11+1</f>
        <v>31</v>
      </c>
      <c r="J11" s="2">
        <f>COUNTIF(Daily!$B$3:$B$7756,A11)</f>
        <v>31</v>
      </c>
      <c r="K11" s="2" t="str">
        <f>IF(J11=I11,"complete","partial ("&amp;J11&amp;" days)")</f>
        <v>complete</v>
      </c>
      <c r="L11" s="3">
        <f>INDEX(ENSO_monthly!$F:$F,MATCH(A11,ENSO_monthly!$A:$A,0))</f>
        <v>-0.63</v>
      </c>
      <c r="M11" s="2" t="str">
        <f>INDEX(ENSO_monthly!$D:$D,MATCH(A11,ENSO_monthly!$A:$A,0))</f>
        <v>FMA</v>
      </c>
      <c r="N11" s="5" t="str">
        <f>INDEX(ENSO_monthly!$L:$L,MATCH(A11,ENSO_monthly!$A:$A,0))</f>
        <v>La Niña</v>
      </c>
      <c r="O11" s="12" t="str">
        <f>INDEX(ENSO_seasons!$U:$U,MATCH(E11,ENSO_seasons!$A:$A,0))</f>
        <v>La Niña</v>
      </c>
      <c r="P11" s="4">
        <f>SUMIFS(Daily!$D$3:$D$7756,Daily!$B$3:$B$7756,$A11)</f>
        <v>0.797</v>
      </c>
      <c r="Q11" s="3">
        <f>AVERAGEIFS(Daily!$E$3:$E$7756,Daily!$B$3:$B$7756,$A11)</f>
        <v>23.187096774193545</v>
      </c>
      <c r="R11" s="3">
        <f>AVERAGEIFS(Daily!$F$3:$F$7756,Daily!$B$3:$B$7756,$A11)</f>
        <v>32.14290322580646</v>
      </c>
      <c r="S11" s="3">
        <f>AVERAGEIFS(Daily!$G$3:$G$7756,Daily!$B$3:$B$7756,$A11)</f>
        <v>16.11258064516129</v>
      </c>
      <c r="T11" s="4">
        <f>SUMIFS(Daily!$H$3:$H$7756,Daily!$B$3:$B$7756,$A11)</f>
        <v>6.63</v>
      </c>
      <c r="U11" s="4">
        <f>SUMIFS(Daily!$I$3:$I$7756,Daily!$B$3:$B$7756,$A11)</f>
        <v>4.185</v>
      </c>
      <c r="V11" s="3">
        <f>AVERAGEIFS(Daily!$J$3:$J$7756,Daily!$B$3:$B$7756,$A11)</f>
        <v>22.932258064516127</v>
      </c>
      <c r="W11" s="3">
        <f>AVERAGEIFS(Daily!$K$3:$K$7756,Daily!$B$3:$B$7756,$A11)</f>
        <v>31.27258064516129</v>
      </c>
      <c r="X11" s="3">
        <f>AVERAGEIFS(Daily!$L$3:$L$7756,Daily!$B$3:$B$7756,$A11)</f>
        <v>16.519354838709678</v>
      </c>
      <c r="Y11" s="4">
        <f>SUMIFS(Daily!$M$3:$M$7756,Daily!$B$3:$B$7756,$A11)</f>
        <v>11.56</v>
      </c>
      <c r="Z11" s="4">
        <f>SUMIFS(Daily!$N$3:$N$7756,Daily!$B$3:$B$7756,$A11)</f>
        <v>10.905</v>
      </c>
      <c r="AA11" s="3">
        <f>AVERAGEIFS(Daily!$O$3:$O$7756,Daily!$B$3:$B$7756,$A11)</f>
        <v>22.384838709677414</v>
      </c>
      <c r="AB11" s="3">
        <f>AVERAGEIFS(Daily!$P$3:$P$7756,Daily!$B$3:$B$7756,$A11)</f>
        <v>30.151935483870965</v>
      </c>
      <c r="AC11" s="3">
        <f>AVERAGEIFS(Daily!$Q$3:$Q$7756,Daily!$B$3:$B$7756,$A11)</f>
        <v>16.761612903225803</v>
      </c>
      <c r="AD11" s="4">
        <f>SUMIFS(Daily!$R$3:$R$7756,Daily!$B$3:$B$7756,$A11)</f>
        <v>34.74</v>
      </c>
      <c r="AE11" s="4">
        <f>AVERAGE(P11,U11,Z11)</f>
        <v>5.2956666666666665</v>
      </c>
      <c r="AF11" s="3">
        <f>AVERAGE(Q11,V11,AA11)</f>
        <v>22.834731182795693</v>
      </c>
      <c r="AG11" s="3">
        <f>AVERAGE(R11,W11,AB11)</f>
        <v>31.189139784946235</v>
      </c>
      <c r="AH11" s="3">
        <f>AVERAGE(S11,X11,AC11)</f>
        <v>16.46451612903226</v>
      </c>
      <c r="AI11" s="4">
        <f>AVERAGE(T11,Y11,AD11)</f>
        <v>17.643333333333334</v>
      </c>
    </row>
    <row r="12">
      <c r="A12" s="2" t="inlineStr">
        <is>
          <t xml:space="preserve">2006-04</t>
        </is>
      </c>
      <c r="B12" s="2">
        <v>2006</v>
      </c>
      <c r="C12" s="2">
        <v>4</v>
      </c>
      <c r="D12" s="2" t="inlineStr">
        <is>
          <t xml:space="preserve">Apr</t>
        </is>
      </c>
      <c r="E12" s="2" t="inlineStr">
        <is>
          <t xml:space="preserve">2005/06</t>
        </is>
      </c>
      <c r="F12" s="2">
        <v>10</v>
      </c>
      <c r="G12" s="9">
        <v>38808</v>
      </c>
      <c r="H12" s="9">
        <v>38837</v>
      </c>
      <c r="I12" s="2">
        <f>H12-G12+1</f>
        <v>30</v>
      </c>
      <c r="J12" s="2">
        <f>COUNTIF(Daily!$B$3:$B$7756,A12)</f>
        <v>30</v>
      </c>
      <c r="K12" s="2" t="str">
        <f>IF(J12=I12,"complete","partial ("&amp;J12&amp;" days)")</f>
        <v>complete</v>
      </c>
      <c r="L12" s="3">
        <f>INDEX(ENSO_monthly!$F:$F,MATCH(A12,ENSO_monthly!$A:$A,0))</f>
        <v>-0.45</v>
      </c>
      <c r="M12" s="2" t="str">
        <f>INDEX(ENSO_monthly!$D:$D,MATCH(A12,ENSO_monthly!$A:$A,0))</f>
        <v>MAM</v>
      </c>
      <c r="N12" s="5" t="str">
        <f>INDEX(ENSO_monthly!$L:$L,MATCH(A12,ENSO_monthly!$A:$A,0))</f>
        <v>La Niña</v>
      </c>
      <c r="O12" s="12" t="str">
        <f>INDEX(ENSO_seasons!$U:$U,MATCH(E12,ENSO_seasons!$A:$A,0))</f>
        <v>La Niña</v>
      </c>
      <c r="P12" s="4">
        <f>SUMIFS(Daily!$D$3:$D$7756,Daily!$B$3:$B$7756,$A12)</f>
        <v>25.603</v>
      </c>
      <c r="Q12" s="3">
        <f>AVERAGEIFS(Daily!$E$3:$E$7756,Daily!$B$3:$B$7756,$A12)</f>
        <v>24.347</v>
      </c>
      <c r="R12" s="3">
        <f>AVERAGEIFS(Daily!$F$3:$F$7756,Daily!$B$3:$B$7756,$A12)</f>
        <v>31.98433333333332</v>
      </c>
      <c r="S12" s="3">
        <f>AVERAGEIFS(Daily!$G$3:$G$7756,Daily!$B$3:$B$7756,$A12)</f>
        <v>18.291000000000004</v>
      </c>
      <c r="T12" s="4">
        <f>SUMIFS(Daily!$H$3:$H$7756,Daily!$B$3:$B$7756,$A12)</f>
        <v>29.71</v>
      </c>
      <c r="U12" s="4">
        <f>SUMIFS(Daily!$I$3:$I$7756,Daily!$B$3:$B$7756,$A12)</f>
        <v>33.662</v>
      </c>
      <c r="V12" s="3">
        <f>AVERAGEIFS(Daily!$J$3:$J$7756,Daily!$B$3:$B$7756,$A12)</f>
        <v>24.289666666666665</v>
      </c>
      <c r="W12" s="3">
        <f>AVERAGEIFS(Daily!$K$3:$K$7756,Daily!$B$3:$B$7756,$A12)</f>
        <v>31.677</v>
      </c>
      <c r="X12" s="3">
        <f>AVERAGEIFS(Daily!$L$3:$L$7756,Daily!$B$3:$B$7756,$A12)</f>
        <v>18.366</v>
      </c>
      <c r="Y12" s="4">
        <f>SUMIFS(Daily!$M$3:$M$7756,Daily!$B$3:$B$7756,$A12)</f>
        <v>46.51</v>
      </c>
      <c r="Z12" s="4">
        <f>SUMIFS(Daily!$N$3:$N$7756,Daily!$B$3:$B$7756,$A12)</f>
        <v>66.607</v>
      </c>
      <c r="AA12" s="3">
        <f>AVERAGEIFS(Daily!$O$3:$O$7756,Daily!$B$3:$B$7756,$A12)</f>
        <v>23.780666666666665</v>
      </c>
      <c r="AB12" s="3">
        <f>AVERAGEIFS(Daily!$P$3:$P$7756,Daily!$B$3:$B$7756,$A12)</f>
        <v>30.796666666666663</v>
      </c>
      <c r="AC12" s="3">
        <f>AVERAGEIFS(Daily!$Q$3:$Q$7756,Daily!$B$3:$B$7756,$A12)</f>
        <v>18.442333333333334</v>
      </c>
      <c r="AD12" s="4">
        <f>SUMIFS(Daily!$R$3:$R$7756,Daily!$B$3:$B$7756,$A12)</f>
        <v>69.59</v>
      </c>
      <c r="AE12" s="4">
        <f>AVERAGE(P12,U12,Z12)</f>
        <v>41.95733333333333</v>
      </c>
      <c r="AF12" s="3">
        <f>AVERAGE(Q12,V12,AA12)</f>
        <v>24.13911111111111</v>
      </c>
      <c r="AG12" s="3">
        <f>AVERAGE(R12,W12,AB12)</f>
        <v>31.485999999999994</v>
      </c>
      <c r="AH12" s="3">
        <f>AVERAGE(S12,X12,AC12)</f>
        <v>18.366444444444443</v>
      </c>
      <c r="AI12" s="4">
        <f>AVERAGE(T12,Y12,AD12)</f>
        <v>48.60333333333333</v>
      </c>
    </row>
    <row r="13">
      <c r="A13" s="2" t="inlineStr">
        <is>
          <t xml:space="preserve">2006-05</t>
        </is>
      </c>
      <c r="B13" s="2">
        <v>2006</v>
      </c>
      <c r="C13" s="2">
        <v>5</v>
      </c>
      <c r="D13" s="2" t="inlineStr">
        <is>
          <t xml:space="preserve">May</t>
        </is>
      </c>
      <c r="E13" s="2" t="inlineStr">
        <is>
          <t xml:space="preserve">2005/06</t>
        </is>
      </c>
      <c r="F13" s="2">
        <v>11</v>
      </c>
      <c r="G13" s="9">
        <v>38838</v>
      </c>
      <c r="H13" s="9">
        <v>38868</v>
      </c>
      <c r="I13" s="2">
        <f>H13-G13+1</f>
        <v>31</v>
      </c>
      <c r="J13" s="2">
        <f>COUNTIF(Daily!$B$3:$B$7756,A13)</f>
        <v>31</v>
      </c>
      <c r="K13" s="2" t="str">
        <f>IF(J13=I13,"complete","partial ("&amp;J13&amp;" days)")</f>
        <v>complete</v>
      </c>
      <c r="L13" s="3">
        <f>INDEX(ENSO_monthly!$F:$F,MATCH(A13,ENSO_monthly!$A:$A,0))</f>
        <v>-0.19</v>
      </c>
      <c r="M13" s="2" t="str">
        <f>INDEX(ENSO_monthly!$D:$D,MATCH(A13,ENSO_monthly!$A:$A,0))</f>
        <v>AMJ</v>
      </c>
      <c r="N13" s="2" t="str">
        <f>INDEX(ENSO_monthly!$L:$L,MATCH(A13,ENSO_monthly!$A:$A,0))</f>
        <v>—</v>
      </c>
      <c r="O13" s="12" t="str">
        <f>INDEX(ENSO_seasons!$U:$U,MATCH(E13,ENSO_seasons!$A:$A,0))</f>
        <v>La Niña</v>
      </c>
      <c r="P13" s="4">
        <f>SUMIFS(Daily!$D$3:$D$7756,Daily!$B$3:$B$7756,$A13)</f>
        <v>71.343</v>
      </c>
      <c r="Q13" s="3">
        <f>AVERAGEIFS(Daily!$E$3:$E$7756,Daily!$B$3:$B$7756,$A13)</f>
        <v>24.822580645161295</v>
      </c>
      <c r="R13" s="3">
        <f>AVERAGEIFS(Daily!$F$3:$F$7756,Daily!$B$3:$B$7756,$A13)</f>
        <v>31.5558064516129</v>
      </c>
      <c r="S13" s="3">
        <f>AVERAGEIFS(Daily!$G$3:$G$7756,Daily!$B$3:$B$7756,$A13)</f>
        <v>19.619032258064518</v>
      </c>
      <c r="T13" s="4">
        <f>SUMIFS(Daily!$H$3:$H$7756,Daily!$B$3:$B$7756,$A13)</f>
        <v>68.37</v>
      </c>
      <c r="U13" s="4">
        <f>SUMIFS(Daily!$I$3:$I$7756,Daily!$B$3:$B$7756,$A13)</f>
        <v>144.414</v>
      </c>
      <c r="V13" s="3">
        <f>AVERAGEIFS(Daily!$J$3:$J$7756,Daily!$B$3:$B$7756,$A13)</f>
        <v>24.474838709677417</v>
      </c>
      <c r="W13" s="3">
        <f>AVERAGEIFS(Daily!$K$3:$K$7756,Daily!$B$3:$B$7756,$A13)</f>
        <v>30.009677419354837</v>
      </c>
      <c r="X13" s="3">
        <f>AVERAGEIFS(Daily!$L$3:$L$7756,Daily!$B$3:$B$7756,$A13)</f>
        <v>20.075806451612905</v>
      </c>
      <c r="Y13" s="4">
        <f>SUMIFS(Daily!$M$3:$M$7756,Daily!$B$3:$B$7756,$A13)</f>
        <v>134.95</v>
      </c>
      <c r="Z13" s="4">
        <f>SUMIFS(Daily!$N$3:$N$7756,Daily!$B$3:$B$7756,$A13)</f>
        <v>134.088</v>
      </c>
      <c r="AA13" s="3">
        <f>AVERAGEIFS(Daily!$O$3:$O$7756,Daily!$B$3:$B$7756,$A13)</f>
        <v>24.147741935483868</v>
      </c>
      <c r="AB13" s="3">
        <f>AVERAGEIFS(Daily!$P$3:$P$7756,Daily!$B$3:$B$7756,$A13)</f>
        <v>29.875483870967745</v>
      </c>
      <c r="AC13" s="3">
        <f>AVERAGEIFS(Daily!$Q$3:$Q$7756,Daily!$B$3:$B$7756,$A13)</f>
        <v>20.164838709677415</v>
      </c>
      <c r="AD13" s="4">
        <f>SUMIFS(Daily!$R$3:$R$7756,Daily!$B$3:$B$7756,$A13)</f>
        <v>148.69</v>
      </c>
      <c r="AE13" s="4">
        <f>AVERAGE(P13,U13,Z13)</f>
        <v>116.61500000000001</v>
      </c>
      <c r="AF13" s="3">
        <f>AVERAGE(Q13,V13,AA13)</f>
        <v>24.481720430107526</v>
      </c>
      <c r="AG13" s="3">
        <f>AVERAGE(R13,W13,AB13)</f>
        <v>30.48032258064516</v>
      </c>
      <c r="AH13" s="3">
        <f>AVERAGE(S13,X13,AC13)</f>
        <v>19.953225806451613</v>
      </c>
      <c r="AI13" s="4">
        <f>AVERAGE(T13,Y13,AD13)</f>
        <v>117.33666666666666</v>
      </c>
    </row>
    <row r="14">
      <c r="A14" s="2" t="inlineStr">
        <is>
          <t xml:space="preserve">2006-06</t>
        </is>
      </c>
      <c r="B14" s="2">
        <v>2006</v>
      </c>
      <c r="C14" s="2">
        <v>6</v>
      </c>
      <c r="D14" s="2" t="inlineStr">
        <is>
          <t xml:space="preserve">Jun</t>
        </is>
      </c>
      <c r="E14" s="2" t="inlineStr">
        <is>
          <t xml:space="preserve">2005/06</t>
        </is>
      </c>
      <c r="F14" s="2">
        <v>12</v>
      </c>
      <c r="G14" s="9">
        <v>38869</v>
      </c>
      <c r="H14" s="9">
        <v>38898</v>
      </c>
      <c r="I14" s="2">
        <f>H14-G14+1</f>
        <v>30</v>
      </c>
      <c r="J14" s="2">
        <f>COUNTIF(Daily!$B$3:$B$7756,A14)</f>
        <v>30</v>
      </c>
      <c r="K14" s="2" t="str">
        <f>IF(J14=I14,"complete","partial ("&amp;J14&amp;" days)")</f>
        <v>complete</v>
      </c>
      <c r="L14" s="3">
        <f>INDEX(ENSO_monthly!$F:$F,MATCH(A14,ENSO_monthly!$A:$A,0))</f>
        <v>-0.05</v>
      </c>
      <c r="M14" s="2" t="str">
        <f>INDEX(ENSO_monthly!$D:$D,MATCH(A14,ENSO_monthly!$A:$A,0))</f>
        <v>MJJ</v>
      </c>
      <c r="N14" s="2" t="str">
        <f>INDEX(ENSO_monthly!$L:$L,MATCH(A14,ENSO_monthly!$A:$A,0))</f>
        <v>—</v>
      </c>
      <c r="O14" s="12" t="str">
        <f>INDEX(ENSO_seasons!$U:$U,MATCH(E14,ENSO_seasons!$A:$A,0))</f>
        <v>La Niña</v>
      </c>
      <c r="P14" s="4">
        <f>SUMIFS(Daily!$D$3:$D$7756,Daily!$B$3:$B$7756,$A14)</f>
        <v>213.956</v>
      </c>
      <c r="Q14" s="3">
        <f>AVERAGEIFS(Daily!$E$3:$E$7756,Daily!$B$3:$B$7756,$A14)</f>
        <v>22.343666666666675</v>
      </c>
      <c r="R14" s="3">
        <f>AVERAGEIFS(Daily!$F$3:$F$7756,Daily!$B$3:$B$7756,$A14)</f>
        <v>27.041666666666668</v>
      </c>
      <c r="S14" s="3">
        <f>AVERAGEIFS(Daily!$G$3:$G$7756,Daily!$B$3:$B$7756,$A14)</f>
        <v>18.942</v>
      </c>
      <c r="T14" s="4">
        <f>SUMIFS(Daily!$H$3:$H$7756,Daily!$B$3:$B$7756,$A14)</f>
        <v>213.86</v>
      </c>
      <c r="U14" s="4">
        <f>SUMIFS(Daily!$I$3:$I$7756,Daily!$B$3:$B$7756,$A14)</f>
        <v>189.236</v>
      </c>
      <c r="V14" s="3">
        <f>AVERAGEIFS(Daily!$J$3:$J$7756,Daily!$B$3:$B$7756,$A14)</f>
        <v>22.372333333333334</v>
      </c>
      <c r="W14" s="3">
        <f>AVERAGEIFS(Daily!$K$3:$K$7756,Daily!$B$3:$B$7756,$A14)</f>
        <v>26.08233333333333</v>
      </c>
      <c r="X14" s="3">
        <f>AVERAGEIFS(Daily!$L$3:$L$7756,Daily!$B$3:$B$7756,$A14)</f>
        <v>19.61633333333333</v>
      </c>
      <c r="Y14" s="4">
        <f>SUMIFS(Daily!$M$3:$M$7756,Daily!$B$3:$B$7756,$A14)</f>
        <v>236.62</v>
      </c>
      <c r="Z14" s="4">
        <f>SUMIFS(Daily!$N$3:$N$7756,Daily!$B$3:$B$7756,$A14)</f>
        <v>302.914</v>
      </c>
      <c r="AA14" s="3">
        <f>AVERAGEIFS(Daily!$O$3:$O$7756,Daily!$B$3:$B$7756,$A14)</f>
        <v>22.64666666666666</v>
      </c>
      <c r="AB14" s="3">
        <f>AVERAGEIFS(Daily!$P$3:$P$7756,Daily!$B$3:$B$7756,$A14)</f>
        <v>26.432999999999996</v>
      </c>
      <c r="AC14" s="3">
        <f>AVERAGEIFS(Daily!$Q$3:$Q$7756,Daily!$B$3:$B$7756,$A14)</f>
        <v>20.090666666666667</v>
      </c>
      <c r="AD14" s="4">
        <f>SUMIFS(Daily!$R$3:$R$7756,Daily!$B$3:$B$7756,$A14)</f>
        <v>273.34</v>
      </c>
      <c r="AE14" s="4">
        <f>AVERAGE(P14,U14,Z14)</f>
        <v>235.36866666666666</v>
      </c>
      <c r="AF14" s="3">
        <f>AVERAGE(Q14,V14,AA14)</f>
        <v>22.454222222222224</v>
      </c>
      <c r="AG14" s="3">
        <f>AVERAGE(R14,W14,AB14)</f>
        <v>26.518999999999995</v>
      </c>
      <c r="AH14" s="3">
        <f>AVERAGE(S14,X14,AC14)</f>
        <v>19.549666666666667</v>
      </c>
      <c r="AI14" s="4">
        <f>AVERAGE(T14,Y14,AD14)</f>
        <v>241.2733333333333</v>
      </c>
    </row>
    <row r="15">
      <c r="A15" s="2" t="inlineStr">
        <is>
          <t xml:space="preserve">2006-07</t>
        </is>
      </c>
      <c r="B15" s="2">
        <v>2006</v>
      </c>
      <c r="C15" s="2">
        <v>7</v>
      </c>
      <c r="D15" s="2" t="inlineStr">
        <is>
          <t xml:space="preserve">Jul</t>
        </is>
      </c>
      <c r="E15" s="2" t="inlineStr">
        <is>
          <t xml:space="preserve">2006/07</t>
        </is>
      </c>
      <c r="F15" s="2">
        <v>1</v>
      </c>
      <c r="G15" s="9">
        <v>38899</v>
      </c>
      <c r="H15" s="9">
        <v>38929</v>
      </c>
      <c r="I15" s="2">
        <f>H15-G15+1</f>
        <v>31</v>
      </c>
      <c r="J15" s="2">
        <f>COUNTIF(Daily!$B$3:$B$7756,A15)</f>
        <v>31</v>
      </c>
      <c r="K15" s="2" t="str">
        <f>IF(J15=I15,"complete","partial ("&amp;J15&amp;" days)")</f>
        <v>complete</v>
      </c>
      <c r="L15" s="3">
        <f>INDEX(ENSO_monthly!$F:$F,MATCH(A15,ENSO_monthly!$A:$A,0))</f>
        <v>0.12</v>
      </c>
      <c r="M15" s="2" t="str">
        <f>INDEX(ENSO_monthly!$D:$D,MATCH(A15,ENSO_monthly!$A:$A,0))</f>
        <v>JJA</v>
      </c>
      <c r="N15" s="2" t="str">
        <f>INDEX(ENSO_monthly!$L:$L,MATCH(A15,ENSO_monthly!$A:$A,0))</f>
        <v>—</v>
      </c>
      <c r="O15" s="11" t="str">
        <f>INDEX(ENSO_seasons!$U:$U,MATCH(E15,ENSO_seasons!$A:$A,0))</f>
        <v>El Niño</v>
      </c>
      <c r="P15" s="4">
        <f>SUMIFS(Daily!$D$3:$D$7756,Daily!$B$3:$B$7756,$A15)</f>
        <v>140.11</v>
      </c>
      <c r="Q15" s="3">
        <f>AVERAGEIFS(Daily!$E$3:$E$7756,Daily!$B$3:$B$7756,$A15)</f>
        <v>22.17677419354839</v>
      </c>
      <c r="R15" s="3">
        <f>AVERAGEIFS(Daily!$F$3:$F$7756,Daily!$B$3:$B$7756,$A15)</f>
        <v>27.061612903225804</v>
      </c>
      <c r="S15" s="3">
        <f>AVERAGEIFS(Daily!$G$3:$G$7756,Daily!$B$3:$B$7756,$A15)</f>
        <v>18.22032258064516</v>
      </c>
      <c r="T15" s="4">
        <f>SUMIFS(Daily!$H$3:$H$7756,Daily!$B$3:$B$7756,$A15)</f>
        <v>105.81</v>
      </c>
      <c r="U15" s="4">
        <f>SUMIFS(Daily!$I$3:$I$7756,Daily!$B$3:$B$7756,$A15)</f>
        <v>241.077</v>
      </c>
      <c r="V15" s="3">
        <f>AVERAGEIFS(Daily!$J$3:$J$7756,Daily!$B$3:$B$7756,$A15)</f>
        <v>22.558709677419355</v>
      </c>
      <c r="W15" s="3">
        <f>AVERAGEIFS(Daily!$K$3:$K$7756,Daily!$B$3:$B$7756,$A15)</f>
        <v>26.325806451612902</v>
      </c>
      <c r="X15" s="3">
        <f>AVERAGEIFS(Daily!$L$3:$L$7756,Daily!$B$3:$B$7756,$A15)</f>
        <v>19.582903225806454</v>
      </c>
      <c r="Y15" s="4">
        <f>SUMIFS(Daily!$M$3:$M$7756,Daily!$B$3:$B$7756,$A15)</f>
        <v>163.65</v>
      </c>
      <c r="Z15" s="4">
        <f>SUMIFS(Daily!$N$3:$N$7756,Daily!$B$3:$B$7756,$A15)</f>
        <v>111.276</v>
      </c>
      <c r="AA15" s="3">
        <f>AVERAGEIFS(Daily!$O$3:$O$7756,Daily!$B$3:$B$7756,$A15)</f>
        <v>22.668064516129032</v>
      </c>
      <c r="AB15" s="3">
        <f>AVERAGEIFS(Daily!$P$3:$P$7756,Daily!$B$3:$B$7756,$A15)</f>
        <v>26.354193548387098</v>
      </c>
      <c r="AC15" s="3">
        <f>AVERAGEIFS(Daily!$Q$3:$Q$7756,Daily!$B$3:$B$7756,$A15)</f>
        <v>20.12290322580645</v>
      </c>
      <c r="AD15" s="4">
        <f>SUMIFS(Daily!$R$3:$R$7756,Daily!$B$3:$B$7756,$A15)</f>
        <v>125.27</v>
      </c>
      <c r="AE15" s="4">
        <f>AVERAGE(P15,U15,Z15)</f>
        <v>164.15433333333334</v>
      </c>
      <c r="AF15" s="3">
        <f>AVERAGE(Q15,V15,AA15)</f>
        <v>22.467849462365592</v>
      </c>
      <c r="AG15" s="3">
        <f>AVERAGE(R15,W15,AB15)</f>
        <v>26.5805376344086</v>
      </c>
      <c r="AH15" s="3">
        <f>AVERAGE(S15,X15,AC15)</f>
        <v>19.308709677419355</v>
      </c>
      <c r="AI15" s="4">
        <f>AVERAGE(T15,Y15,AD15)</f>
        <v>131.57666666666668</v>
      </c>
    </row>
    <row r="16">
      <c r="A16" s="2" t="inlineStr">
        <is>
          <t xml:space="preserve">2006-08</t>
        </is>
      </c>
      <c r="B16" s="2">
        <v>2006</v>
      </c>
      <c r="C16" s="2">
        <v>8</v>
      </c>
      <c r="D16" s="2" t="inlineStr">
        <is>
          <t xml:space="preserve">Aug</t>
        </is>
      </c>
      <c r="E16" s="2" t="inlineStr">
        <is>
          <t xml:space="preserve">2006/07</t>
        </is>
      </c>
      <c r="F16" s="2">
        <v>2</v>
      </c>
      <c r="G16" s="9">
        <v>38930</v>
      </c>
      <c r="H16" s="9">
        <v>38960</v>
      </c>
      <c r="I16" s="2">
        <f>H16-G16+1</f>
        <v>31</v>
      </c>
      <c r="J16" s="2">
        <f>COUNTIF(Daily!$B$3:$B$7756,A16)</f>
        <v>31</v>
      </c>
      <c r="K16" s="2" t="str">
        <f>IF(J16=I16,"complete","partial ("&amp;J16&amp;" days)")</f>
        <v>complete</v>
      </c>
      <c r="L16" s="3">
        <f>INDEX(ENSO_monthly!$F:$F,MATCH(A16,ENSO_monthly!$A:$A,0))</f>
        <v>0.33</v>
      </c>
      <c r="M16" s="2" t="str">
        <f>INDEX(ENSO_monthly!$D:$D,MATCH(A16,ENSO_monthly!$A:$A,0))</f>
        <v>JAS</v>
      </c>
      <c r="N16" s="2" t="str">
        <f>INDEX(ENSO_monthly!$L:$L,MATCH(A16,ENSO_monthly!$A:$A,0))</f>
        <v>—</v>
      </c>
      <c r="O16" s="11" t="str">
        <f>INDEX(ENSO_seasons!$U:$U,MATCH(E16,ENSO_seasons!$A:$A,0))</f>
        <v>El Niño</v>
      </c>
      <c r="P16" s="4">
        <f>SUMIFS(Daily!$D$3:$D$7756,Daily!$B$3:$B$7756,$A16)</f>
        <v>54.827</v>
      </c>
      <c r="Q16" s="3">
        <f>AVERAGEIFS(Daily!$E$3:$E$7756,Daily!$B$3:$B$7756,$A16)</f>
        <v>23.211290322580652</v>
      </c>
      <c r="R16" s="3">
        <f>AVERAGEIFS(Daily!$F$3:$F$7756,Daily!$B$3:$B$7756,$A16)</f>
        <v>28.94645161290323</v>
      </c>
      <c r="S16" s="3">
        <f>AVERAGEIFS(Daily!$G$3:$G$7756,Daily!$B$3:$B$7756,$A16)</f>
        <v>18.671612903225803</v>
      </c>
      <c r="T16" s="4">
        <f>SUMIFS(Daily!$H$3:$H$7756,Daily!$B$3:$B$7756,$A16)</f>
        <v>60.96</v>
      </c>
      <c r="U16" s="4">
        <f>SUMIFS(Daily!$I$3:$I$7756,Daily!$B$3:$B$7756,$A16)</f>
        <v>151.768</v>
      </c>
      <c r="V16" s="3">
        <f>AVERAGEIFS(Daily!$J$3:$J$7756,Daily!$B$3:$B$7756,$A16)</f>
        <v>22.4641935483871</v>
      </c>
      <c r="W16" s="3">
        <f>AVERAGEIFS(Daily!$K$3:$K$7756,Daily!$B$3:$B$7756,$A16)</f>
        <v>26.285483870967735</v>
      </c>
      <c r="X16" s="3">
        <f>AVERAGEIFS(Daily!$L$3:$L$7756,Daily!$B$3:$B$7756,$A16)</f>
        <v>19.44935483870968</v>
      </c>
      <c r="Y16" s="4">
        <f>SUMIFS(Daily!$M$3:$M$7756,Daily!$B$3:$B$7756,$A16)</f>
        <v>159.63</v>
      </c>
      <c r="Z16" s="4">
        <f>SUMIFS(Daily!$N$3:$N$7756,Daily!$B$3:$B$7756,$A16)</f>
        <v>188.179</v>
      </c>
      <c r="AA16" s="3">
        <f>AVERAGEIFS(Daily!$O$3:$O$7756,Daily!$B$3:$B$7756,$A16)</f>
        <v>22.73838709677419</v>
      </c>
      <c r="AB16" s="3">
        <f>AVERAGEIFS(Daily!$P$3:$P$7756,Daily!$B$3:$B$7756,$A16)</f>
        <v>26.364516129032264</v>
      </c>
      <c r="AC16" s="3">
        <f>AVERAGEIFS(Daily!$Q$3:$Q$7756,Daily!$B$3:$B$7756,$A16)</f>
        <v>20.218387096774194</v>
      </c>
      <c r="AD16" s="4">
        <f>SUMIFS(Daily!$R$3:$R$7756,Daily!$B$3:$B$7756,$A16)</f>
        <v>193.97</v>
      </c>
      <c r="AE16" s="4">
        <f>AVERAGE(P16,U16,Z16)</f>
        <v>131.59133333333332</v>
      </c>
      <c r="AF16" s="3">
        <f>AVERAGE(Q16,V16,AA16)</f>
        <v>22.804623655913982</v>
      </c>
      <c r="AG16" s="3">
        <f>AVERAGE(R16,W16,AB16)</f>
        <v>27.198817204301076</v>
      </c>
      <c r="AH16" s="3">
        <f>AVERAGE(S16,X16,AC16)</f>
        <v>19.44645161290323</v>
      </c>
      <c r="AI16" s="4">
        <f>AVERAGE(T16,Y16,AD16)</f>
        <v>138.18666666666667</v>
      </c>
    </row>
    <row r="17">
      <c r="A17" s="2" t="inlineStr">
        <is>
          <t xml:space="preserve">2006-09</t>
        </is>
      </c>
      <c r="B17" s="2">
        <v>2006</v>
      </c>
      <c r="C17" s="2">
        <v>9</v>
      </c>
      <c r="D17" s="2" t="inlineStr">
        <is>
          <t xml:space="preserve">Sep</t>
        </is>
      </c>
      <c r="E17" s="2" t="inlineStr">
        <is>
          <t xml:space="preserve">2006/07</t>
        </is>
      </c>
      <c r="F17" s="2">
        <v>3</v>
      </c>
      <c r="G17" s="9">
        <v>38961</v>
      </c>
      <c r="H17" s="9">
        <v>38990</v>
      </c>
      <c r="I17" s="2">
        <f>H17-G17+1</f>
        <v>30</v>
      </c>
      <c r="J17" s="2">
        <f>COUNTIF(Daily!$B$3:$B$7756,A17)</f>
        <v>30</v>
      </c>
      <c r="K17" s="2" t="str">
        <f>IF(J17=I17,"complete","partial ("&amp;J17&amp;" days)")</f>
        <v>complete</v>
      </c>
      <c r="L17" s="3">
        <f>INDEX(ENSO_monthly!$F:$F,MATCH(A17,ENSO_monthly!$A:$A,0))</f>
        <v>0.54</v>
      </c>
      <c r="M17" s="2" t="str">
        <f>INDEX(ENSO_monthly!$D:$D,MATCH(A17,ENSO_monthly!$A:$A,0))</f>
        <v>ASO</v>
      </c>
      <c r="N17" s="6" t="str">
        <f>INDEX(ENSO_monthly!$L:$L,MATCH(A17,ENSO_monthly!$A:$A,0))</f>
        <v>El Niño</v>
      </c>
      <c r="O17" s="11" t="str">
        <f>INDEX(ENSO_seasons!$U:$U,MATCH(E17,ENSO_seasons!$A:$A,0))</f>
        <v>El Niño</v>
      </c>
      <c r="P17" s="4">
        <f>SUMIFS(Daily!$D$3:$D$7756,Daily!$B$3:$B$7756,$A17)</f>
        <v>183.784</v>
      </c>
      <c r="Q17" s="3">
        <f>AVERAGEIFS(Daily!$E$3:$E$7756,Daily!$B$3:$B$7756,$A17)</f>
        <v>22.943333333333335</v>
      </c>
      <c r="R17" s="3">
        <f>AVERAGEIFS(Daily!$F$3:$F$7756,Daily!$B$3:$B$7756,$A17)</f>
        <v>28.539666666666665</v>
      </c>
      <c r="S17" s="3">
        <f>AVERAGEIFS(Daily!$G$3:$G$7756,Daily!$B$3:$B$7756,$A17)</f>
        <v>18.493999999999996</v>
      </c>
      <c r="T17" s="4">
        <f>SUMIFS(Daily!$H$3:$H$7756,Daily!$B$3:$B$7756,$A17)</f>
        <v>151.6</v>
      </c>
      <c r="U17" s="4">
        <f>SUMIFS(Daily!$I$3:$I$7756,Daily!$B$3:$B$7756,$A17)</f>
        <v>130.361</v>
      </c>
      <c r="V17" s="3">
        <f>AVERAGEIFS(Daily!$J$3:$J$7756,Daily!$B$3:$B$7756,$A17)</f>
        <v>22.318666666666665</v>
      </c>
      <c r="W17" s="3">
        <f>AVERAGEIFS(Daily!$K$3:$K$7756,Daily!$B$3:$B$7756,$A17)</f>
        <v>26.274999999999995</v>
      </c>
      <c r="X17" s="3">
        <f>AVERAGEIFS(Daily!$L$3:$L$7756,Daily!$B$3:$B$7756,$A17)</f>
        <v>19.253666666666664</v>
      </c>
      <c r="Y17" s="4">
        <f>SUMIFS(Daily!$M$3:$M$7756,Daily!$B$3:$B$7756,$A17)</f>
        <v>145.47</v>
      </c>
      <c r="Z17" s="4">
        <f>SUMIFS(Daily!$N$3:$N$7756,Daily!$B$3:$B$7756,$A17)</f>
        <v>165.874</v>
      </c>
      <c r="AA17" s="3">
        <f>AVERAGEIFS(Daily!$O$3:$O$7756,Daily!$B$3:$B$7756,$A17)</f>
        <v>22.772000000000002</v>
      </c>
      <c r="AB17" s="3">
        <f>AVERAGEIFS(Daily!$P$3:$P$7756,Daily!$B$3:$B$7756,$A17)</f>
        <v>26.40866666666667</v>
      </c>
      <c r="AC17" s="3">
        <f>AVERAGEIFS(Daily!$Q$3:$Q$7756,Daily!$B$3:$B$7756,$A17)</f>
        <v>20.237000000000002</v>
      </c>
      <c r="AD17" s="4">
        <f>SUMIFS(Daily!$R$3:$R$7756,Daily!$B$3:$B$7756,$A17)</f>
        <v>168.57</v>
      </c>
      <c r="AE17" s="4">
        <f>AVERAGE(P17,U17,Z17)</f>
        <v>160.00633333333334</v>
      </c>
      <c r="AF17" s="3">
        <f>AVERAGE(Q17,V17,AA17)</f>
        <v>22.678</v>
      </c>
      <c r="AG17" s="3">
        <f>AVERAGE(R17,W17,AB17)</f>
        <v>27.074444444444442</v>
      </c>
      <c r="AH17" s="3">
        <f>AVERAGE(S17,X17,AC17)</f>
        <v>19.32822222222222</v>
      </c>
      <c r="AI17" s="4">
        <f>AVERAGE(T17,Y17,AD17)</f>
        <v>155.21333333333334</v>
      </c>
    </row>
    <row r="18">
      <c r="A18" s="2" t="inlineStr">
        <is>
          <t xml:space="preserve">2006-10</t>
        </is>
      </c>
      <c r="B18" s="2">
        <v>2006</v>
      </c>
      <c r="C18" s="2">
        <v>10</v>
      </c>
      <c r="D18" s="2" t="inlineStr">
        <is>
          <t xml:space="preserve">Oct</t>
        </is>
      </c>
      <c r="E18" s="2" t="inlineStr">
        <is>
          <t xml:space="preserve">2006/07</t>
        </is>
      </c>
      <c r="F18" s="2">
        <v>4</v>
      </c>
      <c r="G18" s="9">
        <v>38991</v>
      </c>
      <c r="H18" s="9">
        <v>39021</v>
      </c>
      <c r="I18" s="2">
        <f>H18-G18+1</f>
        <v>31</v>
      </c>
      <c r="J18" s="2">
        <f>COUNTIF(Daily!$B$3:$B$7756,A18)</f>
        <v>31</v>
      </c>
      <c r="K18" s="2" t="str">
        <f>IF(J18=I18,"complete","partial ("&amp;J18&amp;" days)")</f>
        <v>complete</v>
      </c>
      <c r="L18" s="3">
        <f>INDEX(ENSO_monthly!$F:$F,MATCH(A18,ENSO_monthly!$A:$A,0))</f>
        <v>0.71</v>
      </c>
      <c r="M18" s="2" t="str">
        <f>INDEX(ENSO_monthly!$D:$D,MATCH(A18,ENSO_monthly!$A:$A,0))</f>
        <v>SON</v>
      </c>
      <c r="N18" s="6" t="str">
        <f>INDEX(ENSO_monthly!$L:$L,MATCH(A18,ENSO_monthly!$A:$A,0))</f>
        <v>El Niño</v>
      </c>
      <c r="O18" s="11" t="str">
        <f>INDEX(ENSO_seasons!$U:$U,MATCH(E18,ENSO_seasons!$A:$A,0))</f>
        <v>El Niño</v>
      </c>
      <c r="P18" s="4">
        <f>SUMIFS(Daily!$D$3:$D$7756,Daily!$B$3:$B$7756,$A18)</f>
        <v>172.228</v>
      </c>
      <c r="Q18" s="3">
        <f>AVERAGEIFS(Daily!$E$3:$E$7756,Daily!$B$3:$B$7756,$A18)</f>
        <v>22.402580645161287</v>
      </c>
      <c r="R18" s="3">
        <f>AVERAGEIFS(Daily!$F$3:$F$7756,Daily!$B$3:$B$7756,$A18)</f>
        <v>27.522903225806452</v>
      </c>
      <c r="S18" s="3">
        <f>AVERAGEIFS(Daily!$G$3:$G$7756,Daily!$B$3:$B$7756,$A18)</f>
        <v>18.567741935483873</v>
      </c>
      <c r="T18" s="4">
        <f>SUMIFS(Daily!$H$3:$H$7756,Daily!$B$3:$B$7756,$A18)</f>
        <v>141.33</v>
      </c>
      <c r="U18" s="4">
        <f>SUMIFS(Daily!$I$3:$I$7756,Daily!$B$3:$B$7756,$A18)</f>
        <v>116.911</v>
      </c>
      <c r="V18" s="3">
        <f>AVERAGEIFS(Daily!$J$3:$J$7756,Daily!$B$3:$B$7756,$A18)</f>
        <v>22.07032258064516</v>
      </c>
      <c r="W18" s="3">
        <f>AVERAGEIFS(Daily!$K$3:$K$7756,Daily!$B$3:$B$7756,$A18)</f>
        <v>26.088709677419356</v>
      </c>
      <c r="X18" s="3">
        <f>AVERAGEIFS(Daily!$L$3:$L$7756,Daily!$B$3:$B$7756,$A18)</f>
        <v>19.010322580645155</v>
      </c>
      <c r="Y18" s="4">
        <f>SUMIFS(Daily!$M$3:$M$7756,Daily!$B$3:$B$7756,$A18)</f>
        <v>134.62</v>
      </c>
      <c r="Z18" s="4">
        <f>SUMIFS(Daily!$N$3:$N$7756,Daily!$B$3:$B$7756,$A18)</f>
        <v>113.251</v>
      </c>
      <c r="AA18" s="3">
        <f>AVERAGEIFS(Daily!$O$3:$O$7756,Daily!$B$3:$B$7756,$A18)</f>
        <v>22.518387096774187</v>
      </c>
      <c r="AB18" s="3">
        <f>AVERAGEIFS(Daily!$P$3:$P$7756,Daily!$B$3:$B$7756,$A18)</f>
        <v>26.421935483870964</v>
      </c>
      <c r="AC18" s="3">
        <f>AVERAGEIFS(Daily!$Q$3:$Q$7756,Daily!$B$3:$B$7756,$A18)</f>
        <v>19.683870967741935</v>
      </c>
      <c r="AD18" s="4">
        <f>SUMIFS(Daily!$R$3:$R$7756,Daily!$B$3:$B$7756,$A18)</f>
        <v>159.95</v>
      </c>
      <c r="AE18" s="4">
        <f>AVERAGE(P18,U18,Z18)</f>
        <v>134.13</v>
      </c>
      <c r="AF18" s="3">
        <f>AVERAGE(Q18,V18,AA18)</f>
        <v>22.33043010752688</v>
      </c>
      <c r="AG18" s="3">
        <f>AVERAGE(R18,W18,AB18)</f>
        <v>26.67784946236559</v>
      </c>
      <c r="AH18" s="3">
        <f>AVERAGE(S18,X18,AC18)</f>
        <v>19.08731182795699</v>
      </c>
      <c r="AI18" s="4">
        <f>AVERAGE(T18,Y18,AD18)</f>
        <v>145.3</v>
      </c>
    </row>
    <row r="19">
      <c r="A19" s="2" t="inlineStr">
        <is>
          <t xml:space="preserve">2006-11</t>
        </is>
      </c>
      <c r="B19" s="2">
        <v>2006</v>
      </c>
      <c r="C19" s="2">
        <v>11</v>
      </c>
      <c r="D19" s="2" t="inlineStr">
        <is>
          <t xml:space="preserve">Nov</t>
        </is>
      </c>
      <c r="E19" s="2" t="inlineStr">
        <is>
          <t xml:space="preserve">2006/07</t>
        </is>
      </c>
      <c r="F19" s="2">
        <v>5</v>
      </c>
      <c r="G19" s="9">
        <v>39022</v>
      </c>
      <c r="H19" s="9">
        <v>39051</v>
      </c>
      <c r="I19" s="2">
        <f>H19-G19+1</f>
        <v>30</v>
      </c>
      <c r="J19" s="2">
        <f>COUNTIF(Daily!$B$3:$B$7756,A19)</f>
        <v>30</v>
      </c>
      <c r="K19" s="2" t="str">
        <f>IF(J19=I19,"complete","partial ("&amp;J19&amp;" days)")</f>
        <v>complete</v>
      </c>
      <c r="L19" s="3">
        <f>INDEX(ENSO_monthly!$F:$F,MATCH(A19,ENSO_monthly!$A:$A,0))</f>
        <v>0.88</v>
      </c>
      <c r="M19" s="2" t="str">
        <f>INDEX(ENSO_monthly!$D:$D,MATCH(A19,ENSO_monthly!$A:$A,0))</f>
        <v>OND</v>
      </c>
      <c r="N19" s="6" t="str">
        <f>INDEX(ENSO_monthly!$L:$L,MATCH(A19,ENSO_monthly!$A:$A,0))</f>
        <v>El Niño</v>
      </c>
      <c r="O19" s="11" t="str">
        <f>INDEX(ENSO_seasons!$U:$U,MATCH(E19,ENSO_seasons!$A:$A,0))</f>
        <v>El Niño</v>
      </c>
      <c r="P19" s="4">
        <f>SUMIFS(Daily!$D$3:$D$7756,Daily!$B$3:$B$7756,$A19)</f>
        <v>55.998</v>
      </c>
      <c r="Q19" s="3">
        <f>AVERAGEIFS(Daily!$E$3:$E$7756,Daily!$B$3:$B$7756,$A19)</f>
        <v>19.812</v>
      </c>
      <c r="R19" s="3">
        <f>AVERAGEIFS(Daily!$F$3:$F$7756,Daily!$B$3:$B$7756,$A19)</f>
        <v>24.985666666666667</v>
      </c>
      <c r="S19" s="3">
        <f>AVERAGEIFS(Daily!$G$3:$G$7756,Daily!$B$3:$B$7756,$A19)</f>
        <v>16.045666666666662</v>
      </c>
      <c r="T19" s="4">
        <f>SUMIFS(Daily!$H$3:$H$7756,Daily!$B$3:$B$7756,$A19)</f>
        <v>61.06</v>
      </c>
      <c r="U19" s="4">
        <f>SUMIFS(Daily!$I$3:$I$7756,Daily!$B$3:$B$7756,$A19)</f>
        <v>49.418</v>
      </c>
      <c r="V19" s="3">
        <f>AVERAGEIFS(Daily!$J$3:$J$7756,Daily!$B$3:$B$7756,$A19)</f>
        <v>19.708333333333336</v>
      </c>
      <c r="W19" s="3">
        <f>AVERAGEIFS(Daily!$K$3:$K$7756,Daily!$B$3:$B$7756,$A19)</f>
        <v>24.128000000000004</v>
      </c>
      <c r="X19" s="3">
        <f>AVERAGEIFS(Daily!$L$3:$L$7756,Daily!$B$3:$B$7756,$A19)</f>
        <v>16.574666666666666</v>
      </c>
      <c r="Y19" s="4">
        <f>SUMIFS(Daily!$M$3:$M$7756,Daily!$B$3:$B$7756,$A19)</f>
        <v>54.45</v>
      </c>
      <c r="Z19" s="4">
        <f>SUMIFS(Daily!$N$3:$N$7756,Daily!$B$3:$B$7756,$A19)</f>
        <v>39.969</v>
      </c>
      <c r="AA19" s="3">
        <f>AVERAGEIFS(Daily!$O$3:$O$7756,Daily!$B$3:$B$7756,$A19)</f>
        <v>19.887333333333334</v>
      </c>
      <c r="AB19" s="3">
        <f>AVERAGEIFS(Daily!$P$3:$P$7756,Daily!$B$3:$B$7756,$A19)</f>
        <v>23.869000000000003</v>
      </c>
      <c r="AC19" s="3">
        <f>AVERAGEIFS(Daily!$Q$3:$Q$7756,Daily!$B$3:$B$7756,$A19)</f>
        <v>17.19766666666667</v>
      </c>
      <c r="AD19" s="4">
        <f>SUMIFS(Daily!$R$3:$R$7756,Daily!$B$3:$B$7756,$A19)</f>
        <v>68.68</v>
      </c>
      <c r="AE19" s="4">
        <f>AVERAGE(P19,U19,Z19)</f>
        <v>48.461666666666666</v>
      </c>
      <c r="AF19" s="3">
        <f>AVERAGE(Q19,V19,AA19)</f>
        <v>19.802555555555557</v>
      </c>
      <c r="AG19" s="3">
        <f>AVERAGE(R19,W19,AB19)</f>
        <v>24.32755555555556</v>
      </c>
      <c r="AH19" s="3">
        <f>AVERAGE(S19,X19,AC19)</f>
        <v>16.605999999999998</v>
      </c>
      <c r="AI19" s="4">
        <f>AVERAGE(T19,Y19,AD19)</f>
        <v>61.39666666666667</v>
      </c>
    </row>
    <row r="20">
      <c r="A20" s="2" t="inlineStr">
        <is>
          <t xml:space="preserve">2006-12</t>
        </is>
      </c>
      <c r="B20" s="2">
        <v>2006</v>
      </c>
      <c r="C20" s="2">
        <v>12</v>
      </c>
      <c r="D20" s="2" t="inlineStr">
        <is>
          <t xml:space="preserve">Dec</t>
        </is>
      </c>
      <c r="E20" s="2" t="inlineStr">
        <is>
          <t xml:space="preserve">2006/07</t>
        </is>
      </c>
      <c r="F20" s="2">
        <v>6</v>
      </c>
      <c r="G20" s="9">
        <v>39052</v>
      </c>
      <c r="H20" s="9">
        <v>39082</v>
      </c>
      <c r="I20" s="2">
        <f>H20-G20+1</f>
        <v>31</v>
      </c>
      <c r="J20" s="2">
        <f>COUNTIF(Daily!$B$3:$B$7756,A20)</f>
        <v>31</v>
      </c>
      <c r="K20" s="2" t="str">
        <f>IF(J20=I20,"complete","partial ("&amp;J20&amp;" days)")</f>
        <v>complete</v>
      </c>
      <c r="L20" s="3">
        <f>INDEX(ENSO_monthly!$F:$F,MATCH(A20,ENSO_monthly!$A:$A,0))</f>
        <v>0.88</v>
      </c>
      <c r="M20" s="2" t="str">
        <f>INDEX(ENSO_monthly!$D:$D,MATCH(A20,ENSO_monthly!$A:$A,0))</f>
        <v>NDJ</v>
      </c>
      <c r="N20" s="6" t="str">
        <f>INDEX(ENSO_monthly!$L:$L,MATCH(A20,ENSO_monthly!$A:$A,0))</f>
        <v>El Niño</v>
      </c>
      <c r="O20" s="11" t="str">
        <f>INDEX(ENSO_seasons!$U:$U,MATCH(E20,ENSO_seasons!$A:$A,0))</f>
        <v>El Niño</v>
      </c>
      <c r="P20" s="4">
        <f>SUMIFS(Daily!$D$3:$D$7756,Daily!$B$3:$B$7756,$A20)</f>
        <v>32.25</v>
      </c>
      <c r="Q20" s="3">
        <f>AVERAGEIFS(Daily!$E$3:$E$7756,Daily!$B$3:$B$7756,$A20)</f>
        <v>20.261290322580646</v>
      </c>
      <c r="R20" s="3">
        <f>AVERAGEIFS(Daily!$F$3:$F$7756,Daily!$B$3:$B$7756,$A20)</f>
        <v>25.921612903225803</v>
      </c>
      <c r="S20" s="3">
        <f>AVERAGEIFS(Daily!$G$3:$G$7756,Daily!$B$3:$B$7756,$A20)</f>
        <v>16.20258064516129</v>
      </c>
      <c r="T20" s="4">
        <f>SUMIFS(Daily!$H$3:$H$7756,Daily!$B$3:$B$7756,$A20)</f>
        <v>63.13</v>
      </c>
      <c r="U20" s="4">
        <f>SUMIFS(Daily!$I$3:$I$7756,Daily!$B$3:$B$7756,$A20)</f>
        <v>40.567</v>
      </c>
      <c r="V20" s="3">
        <f>AVERAGEIFS(Daily!$J$3:$J$7756,Daily!$B$3:$B$7756,$A20)</f>
        <v>20.178387096774188</v>
      </c>
      <c r="W20" s="3">
        <f>AVERAGEIFS(Daily!$K$3:$K$7756,Daily!$B$3:$B$7756,$A20)</f>
        <v>24.932903225806445</v>
      </c>
      <c r="X20" s="3">
        <f>AVERAGEIFS(Daily!$L$3:$L$7756,Daily!$B$3:$B$7756,$A20)</f>
        <v>16.79967741935484</v>
      </c>
      <c r="Y20" s="4">
        <f>SUMIFS(Daily!$M$3:$M$7756,Daily!$B$3:$B$7756,$A20)</f>
        <v>68.58</v>
      </c>
      <c r="Z20" s="4">
        <f>SUMIFS(Daily!$N$3:$N$7756,Daily!$B$3:$B$7756,$A20)</f>
        <v>98.523</v>
      </c>
      <c r="AA20" s="3">
        <f>AVERAGEIFS(Daily!$O$3:$O$7756,Daily!$B$3:$B$7756,$A20)</f>
        <v>20.093870967741935</v>
      </c>
      <c r="AB20" s="3">
        <f>AVERAGEIFS(Daily!$P$3:$P$7756,Daily!$B$3:$B$7756,$A20)</f>
        <v>24.173870967741934</v>
      </c>
      <c r="AC20" s="3">
        <f>AVERAGEIFS(Daily!$Q$3:$Q$7756,Daily!$B$3:$B$7756,$A20)</f>
        <v>17.449032258064516</v>
      </c>
      <c r="AD20" s="4">
        <f>SUMIFS(Daily!$R$3:$R$7756,Daily!$B$3:$B$7756,$A20)</f>
        <v>128.15</v>
      </c>
      <c r="AE20" s="4">
        <f>AVERAGE(P20,U20,Z20)</f>
        <v>57.11333333333334</v>
      </c>
      <c r="AF20" s="3">
        <f>AVERAGE(Q20,V20,AA20)</f>
        <v>20.17784946236559</v>
      </c>
      <c r="AG20" s="3">
        <f>AVERAGE(R20,W20,AB20)</f>
        <v>25.009462365591393</v>
      </c>
      <c r="AH20" s="3">
        <f>AVERAGE(S20,X20,AC20)</f>
        <v>16.817096774193548</v>
      </c>
      <c r="AI20" s="4">
        <f>AVERAGE(T20,Y20,AD20)</f>
        <v>86.62</v>
      </c>
    </row>
    <row r="21">
      <c r="A21" s="2" t="inlineStr">
        <is>
          <t xml:space="preserve">2007-01</t>
        </is>
      </c>
      <c r="B21" s="2">
        <v>2007</v>
      </c>
      <c r="C21" s="2">
        <v>1</v>
      </c>
      <c r="D21" s="2" t="inlineStr">
        <is>
          <t xml:space="preserve">Jan</t>
        </is>
      </c>
      <c r="E21" s="2" t="inlineStr">
        <is>
          <t xml:space="preserve">2006/07</t>
        </is>
      </c>
      <c r="F21" s="2">
        <v>7</v>
      </c>
      <c r="G21" s="9">
        <v>39083</v>
      </c>
      <c r="H21" s="9">
        <v>39113</v>
      </c>
      <c r="I21" s="2">
        <f>H21-G21+1</f>
        <v>31</v>
      </c>
      <c r="J21" s="2">
        <f>COUNTIF(Daily!$B$3:$B$7756,A21)</f>
        <v>31</v>
      </c>
      <c r="K21" s="2" t="str">
        <f>IF(J21=I21,"complete","partial ("&amp;J21&amp;" days)")</f>
        <v>complete</v>
      </c>
      <c r="L21" s="3">
        <f>INDEX(ENSO_monthly!$F:$F,MATCH(A21,ENSO_monthly!$A:$A,0))</f>
        <v>0.62</v>
      </c>
      <c r="M21" s="2" t="str">
        <f>INDEX(ENSO_monthly!$D:$D,MATCH(A21,ENSO_monthly!$A:$A,0))</f>
        <v>DJF</v>
      </c>
      <c r="N21" s="6" t="str">
        <f>INDEX(ENSO_monthly!$L:$L,MATCH(A21,ENSO_monthly!$A:$A,0))</f>
        <v>El Niño</v>
      </c>
      <c r="O21" s="11" t="str">
        <f>INDEX(ENSO_seasons!$U:$U,MATCH(E21,ENSO_seasons!$A:$A,0))</f>
        <v>El Niño</v>
      </c>
      <c r="P21" s="4">
        <f>SUMIFS(Daily!$D$3:$D$7756,Daily!$B$3:$B$7756,$A21)</f>
        <v>2.74</v>
      </c>
      <c r="Q21" s="3">
        <f>AVERAGEIFS(Daily!$E$3:$E$7756,Daily!$B$3:$B$7756,$A21)</f>
        <v>20.432903225806452</v>
      </c>
      <c r="R21" s="3">
        <f>AVERAGEIFS(Daily!$F$3:$F$7756,Daily!$B$3:$B$7756,$A21)</f>
        <v>27.590645161290325</v>
      </c>
      <c r="S21" s="3">
        <f>AVERAGEIFS(Daily!$G$3:$G$7756,Daily!$B$3:$B$7756,$A21)</f>
        <v>15.368709677419355</v>
      </c>
      <c r="T21" s="4">
        <f>SUMIFS(Daily!$H$3:$H$7756,Daily!$B$3:$B$7756,$A21)</f>
        <v>24.36</v>
      </c>
      <c r="U21" s="4">
        <f>SUMIFS(Daily!$I$3:$I$7756,Daily!$B$3:$B$7756,$A21)</f>
        <v>17.497</v>
      </c>
      <c r="V21" s="3">
        <f>AVERAGEIFS(Daily!$J$3:$J$7756,Daily!$B$3:$B$7756,$A21)</f>
        <v>20.612258064516134</v>
      </c>
      <c r="W21" s="3">
        <f>AVERAGEIFS(Daily!$K$3:$K$7756,Daily!$B$3:$B$7756,$A21)</f>
        <v>26.387096774193548</v>
      </c>
      <c r="X21" s="3">
        <f>AVERAGEIFS(Daily!$L$3:$L$7756,Daily!$B$3:$B$7756,$A21)</f>
        <v>16.486129032258063</v>
      </c>
      <c r="Y21" s="4">
        <f>SUMIFS(Daily!$M$3:$M$7756,Daily!$B$3:$B$7756,$A21)</f>
        <v>38.91</v>
      </c>
      <c r="Z21" s="4">
        <f>SUMIFS(Daily!$N$3:$N$7756,Daily!$B$3:$B$7756,$A21)</f>
        <v>43.994</v>
      </c>
      <c r="AA21" s="3">
        <f>AVERAGEIFS(Daily!$O$3:$O$7756,Daily!$B$3:$B$7756,$A21)</f>
        <v>19.9941935483871</v>
      </c>
      <c r="AB21" s="3">
        <f>AVERAGEIFS(Daily!$P$3:$P$7756,Daily!$B$3:$B$7756,$A21)</f>
        <v>24.272580645161284</v>
      </c>
      <c r="AC21" s="3">
        <f>AVERAGEIFS(Daily!$Q$3:$Q$7756,Daily!$B$3:$B$7756,$A21)</f>
        <v>17.092903225806456</v>
      </c>
      <c r="AD21" s="4">
        <f>SUMIFS(Daily!$R$3:$R$7756,Daily!$B$3:$B$7756,$A21)</f>
        <v>96.78</v>
      </c>
      <c r="AE21" s="4">
        <f>AVERAGE(P21,U21,Z21)</f>
        <v>21.41033333333333</v>
      </c>
      <c r="AF21" s="3">
        <f>AVERAGE(Q21,V21,AA21)</f>
        <v>20.346451612903227</v>
      </c>
      <c r="AG21" s="3">
        <f>AVERAGE(R21,W21,AB21)</f>
        <v>26.083440860215052</v>
      </c>
      <c r="AH21" s="3">
        <f>AVERAGE(S21,X21,AC21)</f>
        <v>16.315913978494624</v>
      </c>
      <c r="AI21" s="4">
        <f>AVERAGE(T21,Y21,AD21)</f>
        <v>53.35</v>
      </c>
    </row>
    <row r="22">
      <c r="A22" s="2" t="inlineStr">
        <is>
          <t xml:space="preserve">2007-02</t>
        </is>
      </c>
      <c r="B22" s="2">
        <v>2007</v>
      </c>
      <c r="C22" s="2">
        <v>2</v>
      </c>
      <c r="D22" s="2" t="inlineStr">
        <is>
          <t xml:space="preserve">Feb</t>
        </is>
      </c>
      <c r="E22" s="2" t="inlineStr">
        <is>
          <t xml:space="preserve">2006/07</t>
        </is>
      </c>
      <c r="F22" s="2">
        <v>8</v>
      </c>
      <c r="G22" s="9">
        <v>39114</v>
      </c>
      <c r="H22" s="9">
        <v>39141</v>
      </c>
      <c r="I22" s="2">
        <f>H22-G22+1</f>
        <v>28</v>
      </c>
      <c r="J22" s="2">
        <f>COUNTIF(Daily!$B$3:$B$7756,A22)</f>
        <v>28</v>
      </c>
      <c r="K22" s="2" t="str">
        <f>IF(J22=I22,"complete","partial ("&amp;J22&amp;" days)")</f>
        <v>complete</v>
      </c>
      <c r="L22" s="3">
        <f>INDEX(ENSO_monthly!$F:$F,MATCH(A22,ENSO_monthly!$A:$A,0))</f>
        <v>0.19</v>
      </c>
      <c r="M22" s="2" t="str">
        <f>INDEX(ENSO_monthly!$D:$D,MATCH(A22,ENSO_monthly!$A:$A,0))</f>
        <v>JFM</v>
      </c>
      <c r="N22" s="2" t="str">
        <f>INDEX(ENSO_monthly!$L:$L,MATCH(A22,ENSO_monthly!$A:$A,0))</f>
        <v>—</v>
      </c>
      <c r="O22" s="11" t="str">
        <f>INDEX(ENSO_seasons!$U:$U,MATCH(E22,ENSO_seasons!$A:$A,0))</f>
        <v>El Niño</v>
      </c>
      <c r="P22" s="4">
        <f>SUMIFS(Daily!$D$3:$D$7756,Daily!$B$3:$B$7756,$A22)</f>
        <v>2.085</v>
      </c>
      <c r="Q22" s="3">
        <f>AVERAGEIFS(Daily!$E$3:$E$7756,Daily!$B$3:$B$7756,$A22)</f>
        <v>22.0625</v>
      </c>
      <c r="R22" s="3">
        <f>AVERAGEIFS(Daily!$F$3:$F$7756,Daily!$B$3:$B$7756,$A22)</f>
        <v>30.456428571428578</v>
      </c>
      <c r="S22" s="3">
        <f>AVERAGEIFS(Daily!$G$3:$G$7756,Daily!$B$3:$B$7756,$A22)</f>
        <v>15.483571428571425</v>
      </c>
      <c r="T22" s="4">
        <f>SUMIFS(Daily!$H$3:$H$7756,Daily!$B$3:$B$7756,$A22)</f>
        <v>14.58</v>
      </c>
      <c r="U22" s="4">
        <f>SUMIFS(Daily!$I$3:$I$7756,Daily!$B$3:$B$7756,$A22)</f>
        <v>12.882</v>
      </c>
      <c r="V22" s="3">
        <f>AVERAGEIFS(Daily!$J$3:$J$7756,Daily!$B$3:$B$7756,$A22)</f>
        <v>21.62857142857143</v>
      </c>
      <c r="W22" s="3">
        <f>AVERAGEIFS(Daily!$K$3:$K$7756,Daily!$B$3:$B$7756,$A22)</f>
        <v>28.969642857142855</v>
      </c>
      <c r="X22" s="3">
        <f>AVERAGEIFS(Daily!$L$3:$L$7756,Daily!$B$3:$B$7756,$A22)</f>
        <v>15.907142857142858</v>
      </c>
      <c r="Y22" s="4">
        <f>SUMIFS(Daily!$M$3:$M$7756,Daily!$B$3:$B$7756,$A22)</f>
        <v>20.74</v>
      </c>
      <c r="Z22" s="4">
        <f>SUMIFS(Daily!$N$3:$N$7756,Daily!$B$3:$B$7756,$A22)</f>
        <v>18.063</v>
      </c>
      <c r="AA22" s="3">
        <f>AVERAGEIFS(Daily!$O$3:$O$7756,Daily!$B$3:$B$7756,$A22)</f>
        <v>20.448571428571427</v>
      </c>
      <c r="AB22" s="3">
        <f>AVERAGEIFS(Daily!$P$3:$P$7756,Daily!$B$3:$B$7756,$A22)</f>
        <v>26.300357142857138</v>
      </c>
      <c r="AC22" s="3">
        <f>AVERAGEIFS(Daily!$Q$3:$Q$7756,Daily!$B$3:$B$7756,$A22)</f>
        <v>15.882499999999997</v>
      </c>
      <c r="AD22" s="4">
        <f>SUMIFS(Daily!$R$3:$R$7756,Daily!$B$3:$B$7756,$A22)</f>
        <v>38.49</v>
      </c>
      <c r="AE22" s="4">
        <f>AVERAGE(P22,U22,Z22)</f>
        <v>11.01</v>
      </c>
      <c r="AF22" s="3">
        <f>AVERAGE(Q22,V22,AA22)</f>
        <v>21.379880952380955</v>
      </c>
      <c r="AG22" s="3">
        <f>AVERAGE(R22,W22,AB22)</f>
        <v>28.57547619047619</v>
      </c>
      <c r="AH22" s="3">
        <f>AVERAGE(S22,X22,AC22)</f>
        <v>15.757738095238091</v>
      </c>
      <c r="AI22" s="4">
        <f>AVERAGE(T22,Y22,AD22)</f>
        <v>24.603333333333335</v>
      </c>
    </row>
    <row r="23">
      <c r="A23" s="2" t="inlineStr">
        <is>
          <t xml:space="preserve">2007-03</t>
        </is>
      </c>
      <c r="B23" s="2">
        <v>2007</v>
      </c>
      <c r="C23" s="2">
        <v>3</v>
      </c>
      <c r="D23" s="2" t="inlineStr">
        <is>
          <t xml:space="preserve">Mar</t>
        </is>
      </c>
      <c r="E23" s="2" t="inlineStr">
        <is>
          <t xml:space="preserve">2006/07</t>
        </is>
      </c>
      <c r="F23" s="2">
        <v>9</v>
      </c>
      <c r="G23" s="9">
        <v>39142</v>
      </c>
      <c r="H23" s="9">
        <v>39172</v>
      </c>
      <c r="I23" s="2">
        <f>H23-G23+1</f>
        <v>31</v>
      </c>
      <c r="J23" s="2">
        <f>COUNTIF(Daily!$B$3:$B$7756,A23)</f>
        <v>31</v>
      </c>
      <c r="K23" s="2" t="str">
        <f>IF(J23=I23,"complete","partial ("&amp;J23&amp;" days)")</f>
        <v>complete</v>
      </c>
      <c r="L23" s="3">
        <f>INDEX(ENSO_monthly!$F:$F,MATCH(A23,ENSO_monthly!$A:$A,0))</f>
        <v>-0.12</v>
      </c>
      <c r="M23" s="2" t="str">
        <f>INDEX(ENSO_monthly!$D:$D,MATCH(A23,ENSO_monthly!$A:$A,0))</f>
        <v>FMA</v>
      </c>
      <c r="N23" s="2" t="str">
        <f>INDEX(ENSO_monthly!$L:$L,MATCH(A23,ENSO_monthly!$A:$A,0))</f>
        <v>—</v>
      </c>
      <c r="O23" s="11" t="str">
        <f>INDEX(ENSO_seasons!$U:$U,MATCH(E23,ENSO_seasons!$A:$A,0))</f>
        <v>El Niño</v>
      </c>
      <c r="P23" s="4">
        <f>SUMIFS(Daily!$D$3:$D$7756,Daily!$B$3:$B$7756,$A23)</f>
        <v>5.48</v>
      </c>
      <c r="Q23" s="3">
        <f>AVERAGEIFS(Daily!$E$3:$E$7756,Daily!$B$3:$B$7756,$A23)</f>
        <v>22.59709677419355</v>
      </c>
      <c r="R23" s="3">
        <f>AVERAGEIFS(Daily!$F$3:$F$7756,Daily!$B$3:$B$7756,$A23)</f>
        <v>30.532258064516128</v>
      </c>
      <c r="S23" s="3">
        <f>AVERAGEIFS(Daily!$G$3:$G$7756,Daily!$B$3:$B$7756,$A23)</f>
        <v>16.77</v>
      </c>
      <c r="T23" s="4">
        <f>SUMIFS(Daily!$H$3:$H$7756,Daily!$B$3:$B$7756,$A23)</f>
        <v>28.83</v>
      </c>
      <c r="U23" s="4">
        <f>SUMIFS(Daily!$I$3:$I$7756,Daily!$B$3:$B$7756,$A23)</f>
        <v>9.826</v>
      </c>
      <c r="V23" s="3">
        <f>AVERAGEIFS(Daily!$J$3:$J$7756,Daily!$B$3:$B$7756,$A23)</f>
        <v>22.585161290322585</v>
      </c>
      <c r="W23" s="3">
        <f>AVERAGEIFS(Daily!$K$3:$K$7756,Daily!$B$3:$B$7756,$A23)</f>
        <v>29.727096774193544</v>
      </c>
      <c r="X23" s="3">
        <f>AVERAGEIFS(Daily!$L$3:$L$7756,Daily!$B$3:$B$7756,$A23)</f>
        <v>17.352903225806454</v>
      </c>
      <c r="Y23" s="4">
        <f>SUMIFS(Daily!$M$3:$M$7756,Daily!$B$3:$B$7756,$A23)</f>
        <v>18.24</v>
      </c>
      <c r="Z23" s="4">
        <f>SUMIFS(Daily!$N$3:$N$7756,Daily!$B$3:$B$7756,$A23)</f>
        <v>17.174</v>
      </c>
      <c r="AA23" s="3">
        <f>AVERAGEIFS(Daily!$O$3:$O$7756,Daily!$B$3:$B$7756,$A23)</f>
        <v>21.30129032258065</v>
      </c>
      <c r="AB23" s="3">
        <f>AVERAGEIFS(Daily!$P$3:$P$7756,Daily!$B$3:$B$7756,$A23)</f>
        <v>27.207741935483874</v>
      </c>
      <c r="AC23" s="3">
        <f>AVERAGEIFS(Daily!$Q$3:$Q$7756,Daily!$B$3:$B$7756,$A23)</f>
        <v>17.199999999999996</v>
      </c>
      <c r="AD23" s="4">
        <f>SUMIFS(Daily!$R$3:$R$7756,Daily!$B$3:$B$7756,$A23)</f>
        <v>42.48</v>
      </c>
      <c r="AE23" s="4">
        <f>AVERAGE(P23,U23,Z23)</f>
        <v>10.826666666666668</v>
      </c>
      <c r="AF23" s="3">
        <f>AVERAGE(Q23,V23,AA23)</f>
        <v>22.16118279569893</v>
      </c>
      <c r="AG23" s="3">
        <f>AVERAGE(R23,W23,AB23)</f>
        <v>29.155698924731183</v>
      </c>
      <c r="AH23" s="3">
        <f>AVERAGE(S23,X23,AC23)</f>
        <v>17.10763440860215</v>
      </c>
      <c r="AI23" s="4">
        <f>AVERAGE(T23,Y23,AD23)</f>
        <v>29.849999999999994</v>
      </c>
    </row>
    <row r="24">
      <c r="A24" s="2" t="inlineStr">
        <is>
          <t xml:space="preserve">2007-04</t>
        </is>
      </c>
      <c r="B24" s="2">
        <v>2007</v>
      </c>
      <c r="C24" s="2">
        <v>4</v>
      </c>
      <c r="D24" s="2" t="inlineStr">
        <is>
          <t xml:space="preserve">Apr</t>
        </is>
      </c>
      <c r="E24" s="2" t="inlineStr">
        <is>
          <t xml:space="preserve">2006/07</t>
        </is>
      </c>
      <c r="F24" s="2">
        <v>10</v>
      </c>
      <c r="G24" s="9">
        <v>39173</v>
      </c>
      <c r="H24" s="9">
        <v>39202</v>
      </c>
      <c r="I24" s="2">
        <f>H24-G24+1</f>
        <v>30</v>
      </c>
      <c r="J24" s="2">
        <f>COUNTIF(Daily!$B$3:$B$7756,A24)</f>
        <v>30</v>
      </c>
      <c r="K24" s="2" t="str">
        <f>IF(J24=I24,"complete","partial ("&amp;J24&amp;" days)")</f>
        <v>complete</v>
      </c>
      <c r="L24" s="3">
        <f>INDEX(ENSO_monthly!$F:$F,MATCH(A24,ENSO_monthly!$A:$A,0))</f>
        <v>-0.32</v>
      </c>
      <c r="M24" s="2" t="str">
        <f>INDEX(ENSO_monthly!$D:$D,MATCH(A24,ENSO_monthly!$A:$A,0))</f>
        <v>MAM</v>
      </c>
      <c r="N24" s="2" t="str">
        <f>INDEX(ENSO_monthly!$L:$L,MATCH(A24,ENSO_monthly!$A:$A,0))</f>
        <v>—</v>
      </c>
      <c r="O24" s="11" t="str">
        <f>INDEX(ENSO_seasons!$U:$U,MATCH(E24,ENSO_seasons!$A:$A,0))</f>
        <v>El Niño</v>
      </c>
      <c r="P24" s="4">
        <f>SUMIFS(Daily!$D$3:$D$7756,Daily!$B$3:$B$7756,$A24)</f>
        <v>58.081</v>
      </c>
      <c r="Q24" s="3">
        <f>AVERAGEIFS(Daily!$E$3:$E$7756,Daily!$B$3:$B$7756,$A24)</f>
        <v>24.424333333333333</v>
      </c>
      <c r="R24" s="3">
        <f>AVERAGEIFS(Daily!$F$3:$F$7756,Daily!$B$3:$B$7756,$A24)</f>
        <v>31.805333333333337</v>
      </c>
      <c r="S24" s="3">
        <f>AVERAGEIFS(Daily!$G$3:$G$7756,Daily!$B$3:$B$7756,$A24)</f>
        <v>18.525</v>
      </c>
      <c r="T24" s="4">
        <f>SUMIFS(Daily!$H$3:$H$7756,Daily!$B$3:$B$7756,$A24)</f>
        <v>68.1</v>
      </c>
      <c r="U24" s="4">
        <f>SUMIFS(Daily!$I$3:$I$7756,Daily!$B$3:$B$7756,$A24)</f>
        <v>37.349</v>
      </c>
      <c r="V24" s="3">
        <f>AVERAGEIFS(Daily!$J$3:$J$7756,Daily!$B$3:$B$7756,$A24)</f>
        <v>24.719333333333335</v>
      </c>
      <c r="W24" s="3">
        <f>AVERAGEIFS(Daily!$K$3:$K$7756,Daily!$B$3:$B$7756,$A24)</f>
        <v>31.74</v>
      </c>
      <c r="X24" s="3">
        <f>AVERAGEIFS(Daily!$L$3:$L$7756,Daily!$B$3:$B$7756,$A24)</f>
        <v>19.139999999999997</v>
      </c>
      <c r="Y24" s="4">
        <f>SUMIFS(Daily!$M$3:$M$7756,Daily!$B$3:$B$7756,$A24)</f>
        <v>36.57</v>
      </c>
      <c r="Z24" s="4">
        <f>SUMIFS(Daily!$N$3:$N$7756,Daily!$B$3:$B$7756,$A24)</f>
        <v>31.204</v>
      </c>
      <c r="AA24" s="3">
        <f>AVERAGEIFS(Daily!$O$3:$O$7756,Daily!$B$3:$B$7756,$A24)</f>
        <v>23.993</v>
      </c>
      <c r="AB24" s="3">
        <f>AVERAGEIFS(Daily!$P$3:$P$7756,Daily!$B$3:$B$7756,$A24)</f>
        <v>30.67366666666667</v>
      </c>
      <c r="AC24" s="3">
        <f>AVERAGEIFS(Daily!$Q$3:$Q$7756,Daily!$B$3:$B$7756,$A24)</f>
        <v>19.00133333333333</v>
      </c>
      <c r="AD24" s="4">
        <f>SUMIFS(Daily!$R$3:$R$7756,Daily!$B$3:$B$7756,$A24)</f>
        <v>36.05</v>
      </c>
      <c r="AE24" s="4">
        <f>AVERAGE(P24,U24,Z24)</f>
        <v>42.211333333333336</v>
      </c>
      <c r="AF24" s="3">
        <f>AVERAGE(Q24,V24,AA24)</f>
        <v>24.37888888888889</v>
      </c>
      <c r="AG24" s="3">
        <f>AVERAGE(R24,W24,AB24)</f>
        <v>31.406333333333333</v>
      </c>
      <c r="AH24" s="3">
        <f>AVERAGE(S24,X24,AC24)</f>
        <v>18.888777777777776</v>
      </c>
      <c r="AI24" s="4">
        <f>AVERAGE(T24,Y24,AD24)</f>
        <v>46.90666666666666</v>
      </c>
    </row>
    <row r="25">
      <c r="A25" s="2" t="inlineStr">
        <is>
          <t xml:space="preserve">2007-05</t>
        </is>
      </c>
      <c r="B25" s="2">
        <v>2007</v>
      </c>
      <c r="C25" s="2">
        <v>5</v>
      </c>
      <c r="D25" s="2" t="inlineStr">
        <is>
          <t xml:space="preserve">May</t>
        </is>
      </c>
      <c r="E25" s="2" t="inlineStr">
        <is>
          <t xml:space="preserve">2006/07</t>
        </is>
      </c>
      <c r="F25" s="2">
        <v>11</v>
      </c>
      <c r="G25" s="9">
        <v>39203</v>
      </c>
      <c r="H25" s="9">
        <v>39233</v>
      </c>
      <c r="I25" s="2">
        <f>H25-G25+1</f>
        <v>31</v>
      </c>
      <c r="J25" s="2">
        <f>COUNTIF(Daily!$B$3:$B$7756,A25)</f>
        <v>31</v>
      </c>
      <c r="K25" s="2" t="str">
        <f>IF(J25=I25,"complete","partial ("&amp;J25&amp;" days)")</f>
        <v>complete</v>
      </c>
      <c r="L25" s="3">
        <f>INDEX(ENSO_monthly!$F:$F,MATCH(A25,ENSO_monthly!$A:$A,0))</f>
        <v>-0.34</v>
      </c>
      <c r="M25" s="2" t="str">
        <f>INDEX(ENSO_monthly!$D:$D,MATCH(A25,ENSO_monthly!$A:$A,0))</f>
        <v>AMJ</v>
      </c>
      <c r="N25" s="2" t="str">
        <f>INDEX(ENSO_monthly!$L:$L,MATCH(A25,ENSO_monthly!$A:$A,0))</f>
        <v>—</v>
      </c>
      <c r="O25" s="11" t="str">
        <f>INDEX(ENSO_seasons!$U:$U,MATCH(E25,ENSO_seasons!$A:$A,0))</f>
        <v>El Niño</v>
      </c>
      <c r="P25" s="4">
        <f>SUMIFS(Daily!$D$3:$D$7756,Daily!$B$3:$B$7756,$A25)</f>
        <v>77.63</v>
      </c>
      <c r="Q25" s="3">
        <f>AVERAGEIFS(Daily!$E$3:$E$7756,Daily!$B$3:$B$7756,$A25)</f>
        <v>24.415806451612905</v>
      </c>
      <c r="R25" s="3">
        <f>AVERAGEIFS(Daily!$F$3:$F$7756,Daily!$B$3:$B$7756,$A25)</f>
        <v>31.278064516129035</v>
      </c>
      <c r="S25" s="3">
        <f>AVERAGEIFS(Daily!$G$3:$G$7756,Daily!$B$3:$B$7756,$A25)</f>
        <v>18.77064516129032</v>
      </c>
      <c r="T25" s="4">
        <f>SUMIFS(Daily!$H$3:$H$7756,Daily!$B$3:$B$7756,$A25)</f>
        <v>81.14</v>
      </c>
      <c r="U25" s="4">
        <f>SUMIFS(Daily!$I$3:$I$7756,Daily!$B$3:$B$7756,$A25)</f>
        <v>102.166</v>
      </c>
      <c r="V25" s="3">
        <f>AVERAGEIFS(Daily!$J$3:$J$7756,Daily!$B$3:$B$7756,$A25)</f>
        <v>25.443548387096786</v>
      </c>
      <c r="W25" s="3">
        <f>AVERAGEIFS(Daily!$K$3:$K$7756,Daily!$B$3:$B$7756,$A25)</f>
        <v>32.16677419354839</v>
      </c>
      <c r="X25" s="3">
        <f>AVERAGEIFS(Daily!$L$3:$L$7756,Daily!$B$3:$B$7756,$A25)</f>
        <v>19.790967741935486</v>
      </c>
      <c r="Y25" s="4">
        <f>SUMIFS(Daily!$M$3:$M$7756,Daily!$B$3:$B$7756,$A25)</f>
        <v>97.93</v>
      </c>
      <c r="Z25" s="4">
        <f>SUMIFS(Daily!$N$3:$N$7756,Daily!$B$3:$B$7756,$A25)</f>
        <v>108.226</v>
      </c>
      <c r="AA25" s="3">
        <f>AVERAGEIFS(Daily!$O$3:$O$7756,Daily!$B$3:$B$7756,$A25)</f>
        <v>24.879032258064516</v>
      </c>
      <c r="AB25" s="3">
        <f>AVERAGEIFS(Daily!$P$3:$P$7756,Daily!$B$3:$B$7756,$A25)</f>
        <v>31.661612903225805</v>
      </c>
      <c r="AC25" s="3">
        <f>AVERAGEIFS(Daily!$Q$3:$Q$7756,Daily!$B$3:$B$7756,$A25)</f>
        <v>19.59709677419355</v>
      </c>
      <c r="AD25" s="4">
        <f>SUMIFS(Daily!$R$3:$R$7756,Daily!$B$3:$B$7756,$A25)</f>
        <v>81.46</v>
      </c>
      <c r="AE25" s="4">
        <f>AVERAGE(P25,U25,Z25)</f>
        <v>96.00733333333334</v>
      </c>
      <c r="AF25" s="3">
        <f>AVERAGE(Q25,V25,AA25)</f>
        <v>24.912795698924736</v>
      </c>
      <c r="AG25" s="3">
        <f>AVERAGE(R25,W25,AB25)</f>
        <v>31.70215053763441</v>
      </c>
      <c r="AH25" s="3">
        <f>AVERAGE(S25,X25,AC25)</f>
        <v>19.386236559139785</v>
      </c>
      <c r="AI25" s="4">
        <f>AVERAGE(T25,Y25,AD25)</f>
        <v>86.84333333333332</v>
      </c>
    </row>
    <row r="26">
      <c r="A26" s="2" t="inlineStr">
        <is>
          <t xml:space="preserve">2007-06</t>
        </is>
      </c>
      <c r="B26" s="2">
        <v>2007</v>
      </c>
      <c r="C26" s="2">
        <v>6</v>
      </c>
      <c r="D26" s="2" t="inlineStr">
        <is>
          <t xml:space="preserve">Jun</t>
        </is>
      </c>
      <c r="E26" s="2" t="inlineStr">
        <is>
          <t xml:space="preserve">2006/07</t>
        </is>
      </c>
      <c r="F26" s="2">
        <v>12</v>
      </c>
      <c r="G26" s="9">
        <v>39234</v>
      </c>
      <c r="H26" s="9">
        <v>39263</v>
      </c>
      <c r="I26" s="2">
        <f>H26-G26+1</f>
        <v>30</v>
      </c>
      <c r="J26" s="2">
        <f>COUNTIF(Daily!$B$3:$B$7756,A26)</f>
        <v>30</v>
      </c>
      <c r="K26" s="2" t="str">
        <f>IF(J26=I26,"complete","partial ("&amp;J26&amp;" days)")</f>
        <v>complete</v>
      </c>
      <c r="L26" s="3">
        <f>INDEX(ENSO_monthly!$F:$F,MATCH(A26,ENSO_monthly!$A:$A,0))</f>
        <v>-0.41</v>
      </c>
      <c r="M26" s="2" t="str">
        <f>INDEX(ENSO_monthly!$D:$D,MATCH(A26,ENSO_monthly!$A:$A,0))</f>
        <v>MJJ</v>
      </c>
      <c r="N26" s="2" t="str">
        <f>INDEX(ENSO_monthly!$L:$L,MATCH(A26,ENSO_monthly!$A:$A,0))</f>
        <v>—</v>
      </c>
      <c r="O26" s="11" t="str">
        <f>INDEX(ENSO_seasons!$U:$U,MATCH(E26,ENSO_seasons!$A:$A,0))</f>
        <v>El Niño</v>
      </c>
      <c r="P26" s="4">
        <f>SUMIFS(Daily!$D$3:$D$7756,Daily!$B$3:$B$7756,$A26)</f>
        <v>191.058</v>
      </c>
      <c r="Q26" s="3">
        <f>AVERAGEIFS(Daily!$E$3:$E$7756,Daily!$B$3:$B$7756,$A26)</f>
        <v>22.939666666666664</v>
      </c>
      <c r="R26" s="3">
        <f>AVERAGEIFS(Daily!$F$3:$F$7756,Daily!$B$3:$B$7756,$A26)</f>
        <v>28.244999999999997</v>
      </c>
      <c r="S26" s="3">
        <f>AVERAGEIFS(Daily!$G$3:$G$7756,Daily!$B$3:$B$7756,$A26)</f>
        <v>18.74366666666667</v>
      </c>
      <c r="T26" s="4">
        <f>SUMIFS(Daily!$H$3:$H$7756,Daily!$B$3:$B$7756,$A26)</f>
        <v>159.9</v>
      </c>
      <c r="U26" s="4">
        <f>SUMIFS(Daily!$I$3:$I$7756,Daily!$B$3:$B$7756,$A26)</f>
        <v>215.052</v>
      </c>
      <c r="V26" s="3">
        <f>AVERAGEIFS(Daily!$J$3:$J$7756,Daily!$B$3:$B$7756,$A26)</f>
        <v>23.074666666666666</v>
      </c>
      <c r="W26" s="3">
        <f>AVERAGEIFS(Daily!$K$3:$K$7756,Daily!$B$3:$B$7756,$A26)</f>
        <v>27.379999999999995</v>
      </c>
      <c r="X26" s="3">
        <f>AVERAGEIFS(Daily!$L$3:$L$7756,Daily!$B$3:$B$7756,$A26)</f>
        <v>19.556666666666665</v>
      </c>
      <c r="Y26" s="4">
        <f>SUMIFS(Daily!$M$3:$M$7756,Daily!$B$3:$B$7756,$A26)</f>
        <v>204.84</v>
      </c>
      <c r="Z26" s="4">
        <f>SUMIFS(Daily!$N$3:$N$7756,Daily!$B$3:$B$7756,$A26)</f>
        <v>252.203</v>
      </c>
      <c r="AA26" s="3">
        <f>AVERAGEIFS(Daily!$O$3:$O$7756,Daily!$B$3:$B$7756,$A26)</f>
        <v>23.538999999999998</v>
      </c>
      <c r="AB26" s="3">
        <f>AVERAGEIFS(Daily!$P$3:$P$7756,Daily!$B$3:$B$7756,$A26)</f>
        <v>28.167666666666662</v>
      </c>
      <c r="AC26" s="3">
        <f>AVERAGEIFS(Daily!$Q$3:$Q$7756,Daily!$B$3:$B$7756,$A26)</f>
        <v>20.211333333333336</v>
      </c>
      <c r="AD26" s="4">
        <f>SUMIFS(Daily!$R$3:$R$7756,Daily!$B$3:$B$7756,$A26)</f>
        <v>199.69</v>
      </c>
      <c r="AE26" s="4">
        <f>AVERAGE(P26,U26,Z26)</f>
        <v>219.43766666666667</v>
      </c>
      <c r="AF26" s="3">
        <f>AVERAGE(Q26,V26,AA26)</f>
        <v>23.18444444444444</v>
      </c>
      <c r="AG26" s="3">
        <f>AVERAGE(R26,W26,AB26)</f>
        <v>27.930888888888887</v>
      </c>
      <c r="AH26" s="3">
        <f>AVERAGE(S26,X26,AC26)</f>
        <v>19.50388888888889</v>
      </c>
      <c r="AI26" s="4">
        <f>AVERAGE(T26,Y26,AD26)</f>
        <v>188.14333333333335</v>
      </c>
    </row>
    <row r="27">
      <c r="A27" s="2" t="inlineStr">
        <is>
          <t xml:space="preserve">2007-07</t>
        </is>
      </c>
      <c r="B27" s="2">
        <v>2007</v>
      </c>
      <c r="C27" s="2">
        <v>7</v>
      </c>
      <c r="D27" s="2" t="inlineStr">
        <is>
          <t xml:space="preserve">Jul</t>
        </is>
      </c>
      <c r="E27" s="2" t="inlineStr">
        <is>
          <t xml:space="preserve">2007/08</t>
        </is>
      </c>
      <c r="F27" s="2">
        <v>1</v>
      </c>
      <c r="G27" s="9">
        <v>39264</v>
      </c>
      <c r="H27" s="9">
        <v>39294</v>
      </c>
      <c r="I27" s="2">
        <f>H27-G27+1</f>
        <v>31</v>
      </c>
      <c r="J27" s="2">
        <f>COUNTIF(Daily!$B$3:$B$7756,A27)</f>
        <v>31</v>
      </c>
      <c r="K27" s="2" t="str">
        <f>IF(J27=I27,"complete","partial ("&amp;J27&amp;" days)")</f>
        <v>complete</v>
      </c>
      <c r="L27" s="3">
        <f>INDEX(ENSO_monthly!$F:$F,MATCH(A27,ENSO_monthly!$A:$A,0))</f>
        <v>-0.49</v>
      </c>
      <c r="M27" s="2" t="str">
        <f>INDEX(ENSO_monthly!$D:$D,MATCH(A27,ENSO_monthly!$A:$A,0))</f>
        <v>JJA</v>
      </c>
      <c r="N27" s="5" t="str">
        <f>INDEX(ENSO_monthly!$L:$L,MATCH(A27,ENSO_monthly!$A:$A,0))</f>
        <v>La Niña</v>
      </c>
      <c r="O27" s="12" t="str">
        <f>INDEX(ENSO_seasons!$U:$U,MATCH(E27,ENSO_seasons!$A:$A,0))</f>
        <v>La Niña</v>
      </c>
      <c r="P27" s="4">
        <f>SUMIFS(Daily!$D$3:$D$7756,Daily!$B$3:$B$7756,$A27)</f>
        <v>146.112</v>
      </c>
      <c r="Q27" s="3">
        <f>AVERAGEIFS(Daily!$E$3:$E$7756,Daily!$B$3:$B$7756,$A27)</f>
        <v>22.554838709677423</v>
      </c>
      <c r="R27" s="3">
        <f>AVERAGEIFS(Daily!$F$3:$F$7756,Daily!$B$3:$B$7756,$A27)</f>
        <v>28.092258064516134</v>
      </c>
      <c r="S27" s="3">
        <f>AVERAGEIFS(Daily!$G$3:$G$7756,Daily!$B$3:$B$7756,$A27)</f>
        <v>17.948709677419355</v>
      </c>
      <c r="T27" s="4">
        <f>SUMIFS(Daily!$H$3:$H$7756,Daily!$B$3:$B$7756,$A27)</f>
        <v>110.04</v>
      </c>
      <c r="U27" s="4">
        <f>SUMIFS(Daily!$I$3:$I$7756,Daily!$B$3:$B$7756,$A27)</f>
        <v>217.112</v>
      </c>
      <c r="V27" s="3">
        <f>AVERAGEIFS(Daily!$J$3:$J$7756,Daily!$B$3:$B$7756,$A27)</f>
        <v>22.861935483870973</v>
      </c>
      <c r="W27" s="3">
        <f>AVERAGEIFS(Daily!$K$3:$K$7756,Daily!$B$3:$B$7756,$A27)</f>
        <v>27.099999999999998</v>
      </c>
      <c r="X27" s="3">
        <f>AVERAGEIFS(Daily!$L$3:$L$7756,Daily!$B$3:$B$7756,$A27)</f>
        <v>19.269354838709674</v>
      </c>
      <c r="Y27" s="4">
        <f>SUMIFS(Daily!$M$3:$M$7756,Daily!$B$3:$B$7756,$A27)</f>
        <v>202.45</v>
      </c>
      <c r="Z27" s="4">
        <f>SUMIFS(Daily!$N$3:$N$7756,Daily!$B$3:$B$7756,$A27)</f>
        <v>264.3</v>
      </c>
      <c r="AA27" s="3">
        <f>AVERAGEIFS(Daily!$O$3:$O$7756,Daily!$B$3:$B$7756,$A27)</f>
        <v>23.09387096774194</v>
      </c>
      <c r="AB27" s="3">
        <f>AVERAGEIFS(Daily!$P$3:$P$7756,Daily!$B$3:$B$7756,$A27)</f>
        <v>27.59</v>
      </c>
      <c r="AC27" s="3">
        <f>AVERAGEIFS(Daily!$Q$3:$Q$7756,Daily!$B$3:$B$7756,$A27)</f>
        <v>19.916774193548385</v>
      </c>
      <c r="AD27" s="4">
        <f>SUMIFS(Daily!$R$3:$R$7756,Daily!$B$3:$B$7756,$A27)</f>
        <v>206.67</v>
      </c>
      <c r="AE27" s="4">
        <f>AVERAGE(P27,U27,Z27)</f>
        <v>209.17466666666667</v>
      </c>
      <c r="AF27" s="3">
        <f>AVERAGE(Q27,V27,AA27)</f>
        <v>22.83688172043011</v>
      </c>
      <c r="AG27" s="3">
        <f>AVERAGE(R27,W27,AB27)</f>
        <v>27.594086021505376</v>
      </c>
      <c r="AH27" s="3">
        <f>AVERAGE(S27,X27,AC27)</f>
        <v>19.044946236559138</v>
      </c>
      <c r="AI27" s="4">
        <f>AVERAGE(T27,Y27,AD27)</f>
        <v>173.0533333333333</v>
      </c>
    </row>
    <row r="28">
      <c r="A28" s="2" t="inlineStr">
        <is>
          <t xml:space="preserve">2007-08</t>
        </is>
      </c>
      <c r="B28" s="2">
        <v>2007</v>
      </c>
      <c r="C28" s="2">
        <v>8</v>
      </c>
      <c r="D28" s="2" t="inlineStr">
        <is>
          <t xml:space="preserve">Aug</t>
        </is>
      </c>
      <c r="E28" s="2" t="inlineStr">
        <is>
          <t xml:space="preserve">2007/08</t>
        </is>
      </c>
      <c r="F28" s="2">
        <v>2</v>
      </c>
      <c r="G28" s="9">
        <v>39295</v>
      </c>
      <c r="H28" s="9">
        <v>39325</v>
      </c>
      <c r="I28" s="2">
        <f>H28-G28+1</f>
        <v>31</v>
      </c>
      <c r="J28" s="2">
        <f>COUNTIF(Daily!$B$3:$B$7756,A28)</f>
        <v>31</v>
      </c>
      <c r="K28" s="2" t="str">
        <f>IF(J28=I28,"complete","partial ("&amp;J28&amp;" days)")</f>
        <v>complete</v>
      </c>
      <c r="L28" s="3">
        <f>INDEX(ENSO_monthly!$F:$F,MATCH(A28,ENSO_monthly!$A:$A,0))</f>
        <v>-0.77</v>
      </c>
      <c r="M28" s="2" t="str">
        <f>INDEX(ENSO_monthly!$D:$D,MATCH(A28,ENSO_monthly!$A:$A,0))</f>
        <v>JAS</v>
      </c>
      <c r="N28" s="5" t="str">
        <f>INDEX(ENSO_monthly!$L:$L,MATCH(A28,ENSO_monthly!$A:$A,0))</f>
        <v>La Niña</v>
      </c>
      <c r="O28" s="12" t="str">
        <f>INDEX(ENSO_seasons!$U:$U,MATCH(E28,ENSO_seasons!$A:$A,0))</f>
        <v>La Niña</v>
      </c>
      <c r="P28" s="4">
        <f>SUMIFS(Daily!$D$3:$D$7756,Daily!$B$3:$B$7756,$A28)</f>
        <v>196.552</v>
      </c>
      <c r="Q28" s="3">
        <f>AVERAGEIFS(Daily!$E$3:$E$7756,Daily!$B$3:$B$7756,$A28)</f>
        <v>22.38612903225807</v>
      </c>
      <c r="R28" s="3">
        <f>AVERAGEIFS(Daily!$F$3:$F$7756,Daily!$B$3:$B$7756,$A28)</f>
        <v>27.40806451612903</v>
      </c>
      <c r="S28" s="3">
        <f>AVERAGEIFS(Daily!$G$3:$G$7756,Daily!$B$3:$B$7756,$A28)</f>
        <v>18.48612903225807</v>
      </c>
      <c r="T28" s="4">
        <f>SUMIFS(Daily!$H$3:$H$7756,Daily!$B$3:$B$7756,$A28)</f>
        <v>177.46</v>
      </c>
      <c r="U28" s="4">
        <f>SUMIFS(Daily!$I$3:$I$7756,Daily!$B$3:$B$7756,$A28)</f>
        <v>237.352</v>
      </c>
      <c r="V28" s="3">
        <f>AVERAGEIFS(Daily!$J$3:$J$7756,Daily!$B$3:$B$7756,$A28)</f>
        <v>22.172903225806447</v>
      </c>
      <c r="W28" s="3">
        <f>AVERAGEIFS(Daily!$K$3:$K$7756,Daily!$B$3:$B$7756,$A28)</f>
        <v>26.066129032258065</v>
      </c>
      <c r="X28" s="3">
        <f>AVERAGEIFS(Daily!$L$3:$L$7756,Daily!$B$3:$B$7756,$A28)</f>
        <v>19.15354838709677</v>
      </c>
      <c r="Y28" s="4">
        <f>SUMIFS(Daily!$M$3:$M$7756,Daily!$B$3:$B$7756,$A28)</f>
        <v>241.28</v>
      </c>
      <c r="Z28" s="4">
        <f>SUMIFS(Daily!$N$3:$N$7756,Daily!$B$3:$B$7756,$A28)</f>
        <v>213.736</v>
      </c>
      <c r="AA28" s="3">
        <f>AVERAGEIFS(Daily!$O$3:$O$7756,Daily!$B$3:$B$7756,$A28)</f>
        <v>22.842580645161295</v>
      </c>
      <c r="AB28" s="3">
        <f>AVERAGEIFS(Daily!$P$3:$P$7756,Daily!$B$3:$B$7756,$A28)</f>
        <v>26.959677419354836</v>
      </c>
      <c r="AC28" s="3">
        <f>AVERAGEIFS(Daily!$Q$3:$Q$7756,Daily!$B$3:$B$7756,$A28)</f>
        <v>19.946129032258067</v>
      </c>
      <c r="AD28" s="4">
        <f>SUMIFS(Daily!$R$3:$R$7756,Daily!$B$3:$B$7756,$A28)</f>
        <v>230.01</v>
      </c>
      <c r="AE28" s="4">
        <f>AVERAGE(P28,U28,Z28)</f>
        <v>215.88</v>
      </c>
      <c r="AF28" s="3">
        <f>AVERAGE(Q28,V28,AA28)</f>
        <v>22.46720430107527</v>
      </c>
      <c r="AG28" s="3">
        <f>AVERAGE(R28,W28,AB28)</f>
        <v>26.811290322580643</v>
      </c>
      <c r="AH28" s="3">
        <f>AVERAGE(S28,X28,AC28)</f>
        <v>19.195268817204305</v>
      </c>
      <c r="AI28" s="4">
        <f>AVERAGE(T28,Y28,AD28)</f>
        <v>216.25</v>
      </c>
    </row>
    <row r="29">
      <c r="A29" s="2" t="inlineStr">
        <is>
          <t xml:space="preserve">2007-09</t>
        </is>
      </c>
      <c r="B29" s="2">
        <v>2007</v>
      </c>
      <c r="C29" s="2">
        <v>9</v>
      </c>
      <c r="D29" s="2" t="inlineStr">
        <is>
          <t xml:space="preserve">Sep</t>
        </is>
      </c>
      <c r="E29" s="2" t="inlineStr">
        <is>
          <t xml:space="preserve">2007/08</t>
        </is>
      </c>
      <c r="F29" s="2">
        <v>3</v>
      </c>
      <c r="G29" s="9">
        <v>39326</v>
      </c>
      <c r="H29" s="9">
        <v>39355</v>
      </c>
      <c r="I29" s="2">
        <f>H29-G29+1</f>
        <v>30</v>
      </c>
      <c r="J29" s="2">
        <f>COUNTIF(Daily!$B$3:$B$7756,A29)</f>
        <v>30</v>
      </c>
      <c r="K29" s="2" t="str">
        <f>IF(J29=I29,"complete","partial ("&amp;J29&amp;" days)")</f>
        <v>complete</v>
      </c>
      <c r="L29" s="3">
        <f>INDEX(ENSO_monthly!$F:$F,MATCH(A29,ENSO_monthly!$A:$A,0))</f>
        <v>-1.05</v>
      </c>
      <c r="M29" s="2" t="str">
        <f>INDEX(ENSO_monthly!$D:$D,MATCH(A29,ENSO_monthly!$A:$A,0))</f>
        <v>ASO</v>
      </c>
      <c r="N29" s="5" t="str">
        <f>INDEX(ENSO_monthly!$L:$L,MATCH(A29,ENSO_monthly!$A:$A,0))</f>
        <v>La Niña</v>
      </c>
      <c r="O29" s="12" t="str">
        <f>INDEX(ENSO_seasons!$U:$U,MATCH(E29,ENSO_seasons!$A:$A,0))</f>
        <v>La Niña</v>
      </c>
      <c r="P29" s="4">
        <f>SUMIFS(Daily!$D$3:$D$7756,Daily!$B$3:$B$7756,$A29)</f>
        <v>269.679</v>
      </c>
      <c r="Q29" s="3">
        <f>AVERAGEIFS(Daily!$E$3:$E$7756,Daily!$B$3:$B$7756,$A29)</f>
        <v>21.390000000000004</v>
      </c>
      <c r="R29" s="3">
        <f>AVERAGEIFS(Daily!$F$3:$F$7756,Daily!$B$3:$B$7756,$A29)</f>
        <v>25.86766666666666</v>
      </c>
      <c r="S29" s="3">
        <f>AVERAGEIFS(Daily!$G$3:$G$7756,Daily!$B$3:$B$7756,$A29)</f>
        <v>17.950666666666667</v>
      </c>
      <c r="T29" s="4">
        <f>SUMIFS(Daily!$H$3:$H$7756,Daily!$B$3:$B$7756,$A29)</f>
        <v>252.02</v>
      </c>
      <c r="U29" s="4">
        <f>SUMIFS(Daily!$I$3:$I$7756,Daily!$B$3:$B$7756,$A29)</f>
        <v>289.355</v>
      </c>
      <c r="V29" s="3">
        <f>AVERAGEIFS(Daily!$J$3:$J$7756,Daily!$B$3:$B$7756,$A29)</f>
        <v>21.87166666666667</v>
      </c>
      <c r="W29" s="3">
        <f>AVERAGEIFS(Daily!$K$3:$K$7756,Daily!$B$3:$B$7756,$A29)</f>
        <v>25.79766666666667</v>
      </c>
      <c r="X29" s="3">
        <f>AVERAGEIFS(Daily!$L$3:$L$7756,Daily!$B$3:$B$7756,$A29)</f>
        <v>18.865666666666662</v>
      </c>
      <c r="Y29" s="4">
        <f>SUMIFS(Daily!$M$3:$M$7756,Daily!$B$3:$B$7756,$A29)</f>
        <v>295.89</v>
      </c>
      <c r="Z29" s="4">
        <f>SUMIFS(Daily!$N$3:$N$7756,Daily!$B$3:$B$7756,$A29)</f>
        <v>308.432</v>
      </c>
      <c r="AA29" s="3">
        <f>AVERAGEIFS(Daily!$O$3:$O$7756,Daily!$B$3:$B$7756,$A29)</f>
        <v>22.14533333333333</v>
      </c>
      <c r="AB29" s="3">
        <f>AVERAGEIFS(Daily!$P$3:$P$7756,Daily!$B$3:$B$7756,$A29)</f>
        <v>25.887</v>
      </c>
      <c r="AC29" s="3">
        <f>AVERAGEIFS(Daily!$Q$3:$Q$7756,Daily!$B$3:$B$7756,$A29)</f>
        <v>19.538</v>
      </c>
      <c r="AD29" s="4">
        <f>SUMIFS(Daily!$R$3:$R$7756,Daily!$B$3:$B$7756,$A29)</f>
        <v>318.94</v>
      </c>
      <c r="AE29" s="4">
        <f>AVERAGE(P29,U29,Z29)</f>
        <v>289.1553333333333</v>
      </c>
      <c r="AF29" s="3">
        <f>AVERAGE(Q29,V29,AA29)</f>
        <v>21.802333333333333</v>
      </c>
      <c r="AG29" s="3">
        <f>AVERAGE(R29,W29,AB29)</f>
        <v>25.85077777777778</v>
      </c>
      <c r="AH29" s="3">
        <f>AVERAGE(S29,X29,AC29)</f>
        <v>18.784777777777776</v>
      </c>
      <c r="AI29" s="4">
        <f>AVERAGE(T29,Y29,AD29)</f>
        <v>288.95</v>
      </c>
    </row>
    <row r="30">
      <c r="A30" s="2" t="inlineStr">
        <is>
          <t xml:space="preserve">2007-10</t>
        </is>
      </c>
      <c r="B30" s="2">
        <v>2007</v>
      </c>
      <c r="C30" s="2">
        <v>10</v>
      </c>
      <c r="D30" s="2" t="inlineStr">
        <is>
          <t xml:space="preserve">Oct</t>
        </is>
      </c>
      <c r="E30" s="2" t="inlineStr">
        <is>
          <t xml:space="preserve">2007/08</t>
        </is>
      </c>
      <c r="F30" s="2">
        <v>4</v>
      </c>
      <c r="G30" s="9">
        <v>39356</v>
      </c>
      <c r="H30" s="9">
        <v>39386</v>
      </c>
      <c r="I30" s="2">
        <f>H30-G30+1</f>
        <v>31</v>
      </c>
      <c r="J30" s="2">
        <f>COUNTIF(Daily!$B$3:$B$7756,A30)</f>
        <v>31</v>
      </c>
      <c r="K30" s="2" t="str">
        <f>IF(J30=I30,"complete","partial ("&amp;J30&amp;" days)")</f>
        <v>complete</v>
      </c>
      <c r="L30" s="3">
        <f>INDEX(ENSO_monthly!$F:$F,MATCH(A30,ENSO_monthly!$A:$A,0))</f>
        <v>-1.38</v>
      </c>
      <c r="M30" s="2" t="str">
        <f>INDEX(ENSO_monthly!$D:$D,MATCH(A30,ENSO_monthly!$A:$A,0))</f>
        <v>SON</v>
      </c>
      <c r="N30" s="5" t="str">
        <f>INDEX(ENSO_monthly!$L:$L,MATCH(A30,ENSO_monthly!$A:$A,0))</f>
        <v>La Niña</v>
      </c>
      <c r="O30" s="12" t="str">
        <f>INDEX(ENSO_seasons!$U:$U,MATCH(E30,ENSO_seasons!$A:$A,0))</f>
        <v>La Niña</v>
      </c>
      <c r="P30" s="4">
        <f>SUMIFS(Daily!$D$3:$D$7756,Daily!$B$3:$B$7756,$A30)</f>
        <v>197.275</v>
      </c>
      <c r="Q30" s="3">
        <f>AVERAGEIFS(Daily!$E$3:$E$7756,Daily!$B$3:$B$7756,$A30)</f>
        <v>20.509032258064508</v>
      </c>
      <c r="R30" s="3">
        <f>AVERAGEIFS(Daily!$F$3:$F$7756,Daily!$B$3:$B$7756,$A30)</f>
        <v>24.489677419354837</v>
      </c>
      <c r="S30" s="3">
        <f>AVERAGEIFS(Daily!$G$3:$G$7756,Daily!$B$3:$B$7756,$A30)</f>
        <v>17.49161290322581</v>
      </c>
      <c r="T30" s="4">
        <f>SUMIFS(Daily!$H$3:$H$7756,Daily!$B$3:$B$7756,$A30)</f>
        <v>183.12</v>
      </c>
      <c r="U30" s="4">
        <f>SUMIFS(Daily!$I$3:$I$7756,Daily!$B$3:$B$7756,$A30)</f>
        <v>210.576</v>
      </c>
      <c r="V30" s="3">
        <f>AVERAGEIFS(Daily!$J$3:$J$7756,Daily!$B$3:$B$7756,$A30)</f>
        <v>20.824516129032258</v>
      </c>
      <c r="W30" s="3">
        <f>AVERAGEIFS(Daily!$K$3:$K$7756,Daily!$B$3:$B$7756,$A30)</f>
        <v>24.75483870967741</v>
      </c>
      <c r="X30" s="3">
        <f>AVERAGEIFS(Daily!$L$3:$L$7756,Daily!$B$3:$B$7756,$A30)</f>
        <v>18.00709677419355</v>
      </c>
      <c r="Y30" s="4">
        <f>SUMIFS(Daily!$M$3:$M$7756,Daily!$B$3:$B$7756,$A30)</f>
        <v>199.9</v>
      </c>
      <c r="Z30" s="4">
        <f>SUMIFS(Daily!$N$3:$N$7756,Daily!$B$3:$B$7756,$A30)</f>
        <v>224.085</v>
      </c>
      <c r="AA30" s="3">
        <f>AVERAGEIFS(Daily!$O$3:$O$7756,Daily!$B$3:$B$7756,$A30)</f>
        <v>21.4041935483871</v>
      </c>
      <c r="AB30" s="3">
        <f>AVERAGEIFS(Daily!$P$3:$P$7756,Daily!$B$3:$B$7756,$A30)</f>
        <v>25.257096774193553</v>
      </c>
      <c r="AC30" s="3">
        <f>AVERAGEIFS(Daily!$Q$3:$Q$7756,Daily!$B$3:$B$7756,$A30)</f>
        <v>18.613548387096778</v>
      </c>
      <c r="AD30" s="4">
        <f>SUMIFS(Daily!$R$3:$R$7756,Daily!$B$3:$B$7756,$A30)</f>
        <v>186.25</v>
      </c>
      <c r="AE30" s="4">
        <f>AVERAGE(P30,U30,Z30)</f>
        <v>210.64533333333335</v>
      </c>
      <c r="AF30" s="3">
        <f>AVERAGE(Q30,V30,AA30)</f>
        <v>20.912580645161288</v>
      </c>
      <c r="AG30" s="3">
        <f>AVERAGE(R30,W30,AB30)</f>
        <v>24.833870967741934</v>
      </c>
      <c r="AH30" s="3">
        <f>AVERAGE(S30,X30,AC30)</f>
        <v>18.03741935483871</v>
      </c>
      <c r="AI30" s="4">
        <f>AVERAGE(T30,Y30,AD30)</f>
        <v>189.75666666666666</v>
      </c>
    </row>
    <row r="31">
      <c r="A31" s="2" t="inlineStr">
        <is>
          <t xml:space="preserve">2007-11</t>
        </is>
      </c>
      <c r="B31" s="2">
        <v>2007</v>
      </c>
      <c r="C31" s="2">
        <v>11</v>
      </c>
      <c r="D31" s="2" t="inlineStr">
        <is>
          <t xml:space="preserve">Nov</t>
        </is>
      </c>
      <c r="E31" s="2" t="inlineStr">
        <is>
          <t xml:space="preserve">2007/08</t>
        </is>
      </c>
      <c r="F31" s="2">
        <v>5</v>
      </c>
      <c r="G31" s="9">
        <v>39387</v>
      </c>
      <c r="H31" s="9">
        <v>39416</v>
      </c>
      <c r="I31" s="2">
        <f>H31-G31+1</f>
        <v>30</v>
      </c>
      <c r="J31" s="2">
        <f>COUNTIF(Daily!$B$3:$B$7756,A31)</f>
        <v>30</v>
      </c>
      <c r="K31" s="2" t="str">
        <f>IF(J31=I31,"complete","partial ("&amp;J31&amp;" days)")</f>
        <v>complete</v>
      </c>
      <c r="L31" s="3">
        <f>INDEX(ENSO_monthly!$F:$F,MATCH(A31,ENSO_monthly!$A:$A,0))</f>
        <v>-1.57</v>
      </c>
      <c r="M31" s="2" t="str">
        <f>INDEX(ENSO_monthly!$D:$D,MATCH(A31,ENSO_monthly!$A:$A,0))</f>
        <v>OND</v>
      </c>
      <c r="N31" s="5" t="str">
        <f>INDEX(ENSO_monthly!$L:$L,MATCH(A31,ENSO_monthly!$A:$A,0))</f>
        <v>La Niña</v>
      </c>
      <c r="O31" s="12" t="str">
        <f>INDEX(ENSO_seasons!$U:$U,MATCH(E31,ENSO_seasons!$A:$A,0))</f>
        <v>La Niña</v>
      </c>
      <c r="P31" s="4">
        <f>SUMIFS(Daily!$D$3:$D$7756,Daily!$B$3:$B$7756,$A31)</f>
        <v>9.777</v>
      </c>
      <c r="Q31" s="3">
        <f>AVERAGEIFS(Daily!$E$3:$E$7756,Daily!$B$3:$B$7756,$A31)</f>
        <v>19.098666666666666</v>
      </c>
      <c r="R31" s="3">
        <f>AVERAGEIFS(Daily!$F$3:$F$7756,Daily!$B$3:$B$7756,$A31)</f>
        <v>23.486</v>
      </c>
      <c r="S31" s="3">
        <f>AVERAGEIFS(Daily!$G$3:$G$7756,Daily!$B$3:$B$7756,$A31)</f>
        <v>16.163666666666668</v>
      </c>
      <c r="T31" s="4">
        <f>SUMIFS(Daily!$H$3:$H$7756,Daily!$B$3:$B$7756,$A31)</f>
        <v>65.27</v>
      </c>
      <c r="U31" s="4">
        <f>SUMIFS(Daily!$I$3:$I$7756,Daily!$B$3:$B$7756,$A31)</f>
        <v>38.861</v>
      </c>
      <c r="V31" s="3">
        <f>AVERAGEIFS(Daily!$J$3:$J$7756,Daily!$B$3:$B$7756,$A31)</f>
        <v>19.36466666666667</v>
      </c>
      <c r="W31" s="3">
        <f>AVERAGEIFS(Daily!$K$3:$K$7756,Daily!$B$3:$B$7756,$A31)</f>
        <v>23.529333333333337</v>
      </c>
      <c r="X31" s="3">
        <f>AVERAGEIFS(Daily!$L$3:$L$7756,Daily!$B$3:$B$7756,$A31)</f>
        <v>16.454666666666665</v>
      </c>
      <c r="Y31" s="4">
        <f>SUMIFS(Daily!$M$3:$M$7756,Daily!$B$3:$B$7756,$A31)</f>
        <v>59.48</v>
      </c>
      <c r="Z31" s="4">
        <f>SUMIFS(Daily!$N$3:$N$7756,Daily!$B$3:$B$7756,$A31)</f>
        <v>63.516</v>
      </c>
      <c r="AA31" s="3">
        <f>AVERAGEIFS(Daily!$O$3:$O$7756,Daily!$B$3:$B$7756,$A31)</f>
        <v>19.67066666666667</v>
      </c>
      <c r="AB31" s="3">
        <f>AVERAGEIFS(Daily!$P$3:$P$7756,Daily!$B$3:$B$7756,$A31)</f>
        <v>23.33533333333333</v>
      </c>
      <c r="AC31" s="3">
        <f>AVERAGEIFS(Daily!$Q$3:$Q$7756,Daily!$B$3:$B$7756,$A31)</f>
        <v>17.18733333333333</v>
      </c>
      <c r="AD31" s="4">
        <f>SUMIFS(Daily!$R$3:$R$7756,Daily!$B$3:$B$7756,$A31)</f>
        <v>130.33</v>
      </c>
      <c r="AE31" s="4">
        <f>AVERAGE(P31,U31,Z31)</f>
        <v>37.38466666666667</v>
      </c>
      <c r="AF31" s="3">
        <f>AVERAGE(Q31,V31,AA31)</f>
        <v>19.378000000000004</v>
      </c>
      <c r="AG31" s="3">
        <f>AVERAGE(R31,W31,AB31)</f>
        <v>23.450222222222223</v>
      </c>
      <c r="AH31" s="3">
        <f>AVERAGE(S31,X31,AC31)</f>
        <v>16.60188888888889</v>
      </c>
      <c r="AI31" s="4">
        <f>AVERAGE(T31,Y31,AD31)</f>
        <v>85.02666666666667</v>
      </c>
    </row>
    <row r="32">
      <c r="A32" s="2" t="inlineStr">
        <is>
          <t xml:space="preserve">2007-12</t>
        </is>
      </c>
      <c r="B32" s="2">
        <v>2007</v>
      </c>
      <c r="C32" s="2">
        <v>12</v>
      </c>
      <c r="D32" s="2" t="inlineStr">
        <is>
          <t xml:space="preserve">Dec</t>
        </is>
      </c>
      <c r="E32" s="2" t="inlineStr">
        <is>
          <t xml:space="preserve">2007/08</t>
        </is>
      </c>
      <c r="F32" s="2">
        <v>6</v>
      </c>
      <c r="G32" s="9">
        <v>39417</v>
      </c>
      <c r="H32" s="9">
        <v>39447</v>
      </c>
      <c r="I32" s="2">
        <f>H32-G32+1</f>
        <v>31</v>
      </c>
      <c r="J32" s="2">
        <f>COUNTIF(Daily!$B$3:$B$7756,A32)</f>
        <v>31</v>
      </c>
      <c r="K32" s="2" t="str">
        <f>IF(J32=I32,"complete","partial ("&amp;J32&amp;" days)")</f>
        <v>complete</v>
      </c>
      <c r="L32" s="3">
        <f>INDEX(ENSO_monthly!$F:$F,MATCH(A32,ENSO_monthly!$A:$A,0))</f>
        <v>-1.72</v>
      </c>
      <c r="M32" s="2" t="str">
        <f>INDEX(ENSO_monthly!$D:$D,MATCH(A32,ENSO_monthly!$A:$A,0))</f>
        <v>NDJ</v>
      </c>
      <c r="N32" s="5" t="str">
        <f>INDEX(ENSO_monthly!$L:$L,MATCH(A32,ENSO_monthly!$A:$A,0))</f>
        <v>La Niña</v>
      </c>
      <c r="O32" s="12" t="str">
        <f>INDEX(ENSO_seasons!$U:$U,MATCH(E32,ENSO_seasons!$A:$A,0))</f>
        <v>La Niña</v>
      </c>
      <c r="P32" s="4">
        <f>SUMIFS(Daily!$D$3:$D$7756,Daily!$B$3:$B$7756,$A32)</f>
        <v>3.293</v>
      </c>
      <c r="Q32" s="3">
        <f>AVERAGEIFS(Daily!$E$3:$E$7756,Daily!$B$3:$B$7756,$A32)</f>
        <v>18.827419354838714</v>
      </c>
      <c r="R32" s="3">
        <f>AVERAGEIFS(Daily!$F$3:$F$7756,Daily!$B$3:$B$7756,$A32)</f>
        <v>24.31612903225807</v>
      </c>
      <c r="S32" s="3">
        <f>AVERAGEIFS(Daily!$G$3:$G$7756,Daily!$B$3:$B$7756,$A32)</f>
        <v>14.851290322580645</v>
      </c>
      <c r="T32" s="4">
        <f>SUMIFS(Daily!$H$3:$H$7756,Daily!$B$3:$B$7756,$A32)</f>
        <v>17.1</v>
      </c>
      <c r="U32" s="4">
        <f>SUMIFS(Daily!$I$3:$I$7756,Daily!$B$3:$B$7756,$A32)</f>
        <v>11.685</v>
      </c>
      <c r="V32" s="3">
        <f>AVERAGEIFS(Daily!$J$3:$J$7756,Daily!$B$3:$B$7756,$A32)</f>
        <v>19.235806451612902</v>
      </c>
      <c r="W32" s="3">
        <f>AVERAGEIFS(Daily!$K$3:$K$7756,Daily!$B$3:$B$7756,$A32)</f>
        <v>24.421290322580653</v>
      </c>
      <c r="X32" s="3">
        <f>AVERAGEIFS(Daily!$L$3:$L$7756,Daily!$B$3:$B$7756,$A32)</f>
        <v>15.473225806451612</v>
      </c>
      <c r="Y32" s="4">
        <f>SUMIFS(Daily!$M$3:$M$7756,Daily!$B$3:$B$7756,$A32)</f>
        <v>17.7</v>
      </c>
      <c r="Z32" s="4">
        <f>SUMIFS(Daily!$N$3:$N$7756,Daily!$B$3:$B$7756,$A32)</f>
        <v>18.061</v>
      </c>
      <c r="AA32" s="3">
        <f>AVERAGEIFS(Daily!$O$3:$O$7756,Daily!$B$3:$B$7756,$A32)</f>
        <v>19.447096774193554</v>
      </c>
      <c r="AB32" s="3">
        <f>AVERAGEIFS(Daily!$P$3:$P$7756,Daily!$B$3:$B$7756,$A32)</f>
        <v>23.962258064516128</v>
      </c>
      <c r="AC32" s="3">
        <f>AVERAGEIFS(Daily!$Q$3:$Q$7756,Daily!$B$3:$B$7756,$A32)</f>
        <v>16.284516129032255</v>
      </c>
      <c r="AD32" s="4">
        <f>SUMIFS(Daily!$R$3:$R$7756,Daily!$B$3:$B$7756,$A32)</f>
        <v>36.86</v>
      </c>
      <c r="AE32" s="4">
        <f>AVERAGE(P32,U32,Z32)</f>
        <v>11.013</v>
      </c>
      <c r="AF32" s="3">
        <f>AVERAGE(Q32,V32,AA32)</f>
        <v>19.170107526881722</v>
      </c>
      <c r="AG32" s="3">
        <f>AVERAGE(R32,W32,AB32)</f>
        <v>24.233225806451618</v>
      </c>
      <c r="AH32" s="3">
        <f>AVERAGE(S32,X32,AC32)</f>
        <v>15.536344086021506</v>
      </c>
      <c r="AI32" s="4">
        <f>AVERAGE(T32,Y32,AD32)</f>
        <v>23.886666666666667</v>
      </c>
    </row>
    <row r="33">
      <c r="A33" s="2" t="inlineStr">
        <is>
          <t xml:space="preserve">2008-01</t>
        </is>
      </c>
      <c r="B33" s="2">
        <v>2008</v>
      </c>
      <c r="C33" s="2">
        <v>1</v>
      </c>
      <c r="D33" s="2" t="inlineStr">
        <is>
          <t xml:space="preserve">Jan</t>
        </is>
      </c>
      <c r="E33" s="2" t="inlineStr">
        <is>
          <t xml:space="preserve">2007/08</t>
        </is>
      </c>
      <c r="F33" s="2">
        <v>7</v>
      </c>
      <c r="G33" s="9">
        <v>39448</v>
      </c>
      <c r="H33" s="9">
        <v>39478</v>
      </c>
      <c r="I33" s="2">
        <f>H33-G33+1</f>
        <v>31</v>
      </c>
      <c r="J33" s="2">
        <f>COUNTIF(Daily!$B$3:$B$7756,A33)</f>
        <v>31</v>
      </c>
      <c r="K33" s="2" t="str">
        <f>IF(J33=I33,"complete","partial ("&amp;J33&amp;" days)")</f>
        <v>complete</v>
      </c>
      <c r="L33" s="3">
        <f>INDEX(ENSO_monthly!$F:$F,MATCH(A33,ENSO_monthly!$A:$A,0))</f>
        <v>-1.76</v>
      </c>
      <c r="M33" s="2" t="str">
        <f>INDEX(ENSO_monthly!$D:$D,MATCH(A33,ENSO_monthly!$A:$A,0))</f>
        <v>DJF</v>
      </c>
      <c r="N33" s="5" t="str">
        <f>INDEX(ENSO_monthly!$L:$L,MATCH(A33,ENSO_monthly!$A:$A,0))</f>
        <v>La Niña</v>
      </c>
      <c r="O33" s="12" t="str">
        <f>INDEX(ENSO_seasons!$U:$U,MATCH(E33,ENSO_seasons!$A:$A,0))</f>
        <v>La Niña</v>
      </c>
      <c r="P33" s="4">
        <f>SUMIFS(Daily!$D$3:$D$7756,Daily!$B$3:$B$7756,$A33)</f>
        <v>5.726</v>
      </c>
      <c r="Q33" s="3">
        <f>AVERAGEIFS(Daily!$E$3:$E$7756,Daily!$B$3:$B$7756,$A33)</f>
        <v>19.47677419354839</v>
      </c>
      <c r="R33" s="3">
        <f>AVERAGEIFS(Daily!$F$3:$F$7756,Daily!$B$3:$B$7756,$A33)</f>
        <v>25.818709677419353</v>
      </c>
      <c r="S33" s="3">
        <f>AVERAGEIFS(Daily!$G$3:$G$7756,Daily!$B$3:$B$7756,$A33)</f>
        <v>14.90225806451613</v>
      </c>
      <c r="T33" s="4">
        <f>SUMIFS(Daily!$H$3:$H$7756,Daily!$B$3:$B$7756,$A33)</f>
        <v>28.07</v>
      </c>
      <c r="U33" s="4">
        <f>SUMIFS(Daily!$I$3:$I$7756,Daily!$B$3:$B$7756,$A33)</f>
        <v>25.694</v>
      </c>
      <c r="V33" s="3">
        <f>AVERAGEIFS(Daily!$J$3:$J$7756,Daily!$B$3:$B$7756,$A33)</f>
        <v>19.117741935483867</v>
      </c>
      <c r="W33" s="3">
        <f>AVERAGEIFS(Daily!$K$3:$K$7756,Daily!$B$3:$B$7756,$A33)</f>
        <v>24.375161290322577</v>
      </c>
      <c r="X33" s="3">
        <f>AVERAGEIFS(Daily!$L$3:$L$7756,Daily!$B$3:$B$7756,$A33)</f>
        <v>15.233548387096775</v>
      </c>
      <c r="Y33" s="4">
        <f>SUMIFS(Daily!$M$3:$M$7756,Daily!$B$3:$B$7756,$A33)</f>
        <v>32.1</v>
      </c>
      <c r="Z33" s="4">
        <f>SUMIFS(Daily!$N$3:$N$7756,Daily!$B$3:$B$7756,$A33)</f>
        <v>42.528</v>
      </c>
      <c r="AA33" s="3">
        <f>AVERAGEIFS(Daily!$O$3:$O$7756,Daily!$B$3:$B$7756,$A33)</f>
        <v>19.158709677419353</v>
      </c>
      <c r="AB33" s="3">
        <f>AVERAGEIFS(Daily!$P$3:$P$7756,Daily!$B$3:$B$7756,$A33)</f>
        <v>23.64451612903226</v>
      </c>
      <c r="AC33" s="3">
        <f>AVERAGEIFS(Daily!$Q$3:$Q$7756,Daily!$B$3:$B$7756,$A33)</f>
        <v>16.078709677419358</v>
      </c>
      <c r="AD33" s="4">
        <f>SUMIFS(Daily!$R$3:$R$7756,Daily!$B$3:$B$7756,$A33)</f>
        <v>53.8</v>
      </c>
      <c r="AE33" s="4">
        <f>AVERAGE(P33,U33,Z33)</f>
        <v>24.64933333333333</v>
      </c>
      <c r="AF33" s="3">
        <f>AVERAGE(Q33,V33,AA33)</f>
        <v>19.251075268817203</v>
      </c>
      <c r="AG33" s="3">
        <f>AVERAGE(R33,W33,AB33)</f>
        <v>24.61279569892473</v>
      </c>
      <c r="AH33" s="3">
        <f>AVERAGE(S33,X33,AC33)</f>
        <v>15.40483870967742</v>
      </c>
      <c r="AI33" s="4">
        <f>AVERAGE(T33,Y33,AD33)</f>
        <v>37.99</v>
      </c>
    </row>
    <row r="34">
      <c r="A34" s="2" t="inlineStr">
        <is>
          <t xml:space="preserve">2008-02</t>
        </is>
      </c>
      <c r="B34" s="2">
        <v>2008</v>
      </c>
      <c r="C34" s="2">
        <v>2</v>
      </c>
      <c r="D34" s="2" t="inlineStr">
        <is>
          <t xml:space="preserve">Feb</t>
        </is>
      </c>
      <c r="E34" s="2" t="inlineStr">
        <is>
          <t xml:space="preserve">2007/08</t>
        </is>
      </c>
      <c r="F34" s="2">
        <v>8</v>
      </c>
      <c r="G34" s="9">
        <v>39479</v>
      </c>
      <c r="H34" s="9">
        <v>39507</v>
      </c>
      <c r="I34" s="2">
        <f>H34-G34+1</f>
        <v>29</v>
      </c>
      <c r="J34" s="2">
        <f>COUNTIF(Daily!$B$3:$B$7756,A34)</f>
        <v>29</v>
      </c>
      <c r="K34" s="2" t="str">
        <f>IF(J34=I34,"complete","partial ("&amp;J34&amp;" days)")</f>
        <v>complete</v>
      </c>
      <c r="L34" s="3">
        <f>INDEX(ENSO_monthly!$F:$F,MATCH(A34,ENSO_monthly!$A:$A,0))</f>
        <v>-1.61</v>
      </c>
      <c r="M34" s="2" t="str">
        <f>INDEX(ENSO_monthly!$D:$D,MATCH(A34,ENSO_monthly!$A:$A,0))</f>
        <v>JFM</v>
      </c>
      <c r="N34" s="5" t="str">
        <f>INDEX(ENSO_monthly!$L:$L,MATCH(A34,ENSO_monthly!$A:$A,0))</f>
        <v>La Niña</v>
      </c>
      <c r="O34" s="12" t="str">
        <f>INDEX(ENSO_seasons!$U:$U,MATCH(E34,ENSO_seasons!$A:$A,0))</f>
        <v>La Niña</v>
      </c>
      <c r="P34" s="4">
        <f>SUMIFS(Daily!$D$3:$D$7756,Daily!$B$3:$B$7756,$A34)</f>
        <v>6.983</v>
      </c>
      <c r="Q34" s="3">
        <f>AVERAGEIFS(Daily!$E$3:$E$7756,Daily!$B$3:$B$7756,$A34)</f>
        <v>21.523448275862073</v>
      </c>
      <c r="R34" s="3">
        <f>AVERAGEIFS(Daily!$F$3:$F$7756,Daily!$B$3:$B$7756,$A34)</f>
        <v>28.941034482758617</v>
      </c>
      <c r="S34" s="3">
        <f>AVERAGEIFS(Daily!$G$3:$G$7756,Daily!$B$3:$B$7756,$A34)</f>
        <v>15.943448275862071</v>
      </c>
      <c r="T34" s="4">
        <f>SUMIFS(Daily!$H$3:$H$7756,Daily!$B$3:$B$7756,$A34)</f>
        <v>25.65</v>
      </c>
      <c r="U34" s="4">
        <f>SUMIFS(Daily!$I$3:$I$7756,Daily!$B$3:$B$7756,$A34)</f>
        <v>15.238</v>
      </c>
      <c r="V34" s="3">
        <f>AVERAGEIFS(Daily!$J$3:$J$7756,Daily!$B$3:$B$7756,$A34)</f>
        <v>21.356896551724137</v>
      </c>
      <c r="W34" s="3">
        <f>AVERAGEIFS(Daily!$K$3:$K$7756,Daily!$B$3:$B$7756,$A34)</f>
        <v>27.459655172413793</v>
      </c>
      <c r="X34" s="3">
        <f>AVERAGEIFS(Daily!$L$3:$L$7756,Daily!$B$3:$B$7756,$A34)</f>
        <v>16.702413793103446</v>
      </c>
      <c r="Y34" s="4">
        <f>SUMIFS(Daily!$M$3:$M$7756,Daily!$B$3:$B$7756,$A34)</f>
        <v>25.47</v>
      </c>
      <c r="Z34" s="4">
        <f>SUMIFS(Daily!$N$3:$N$7756,Daily!$B$3:$B$7756,$A34)</f>
        <v>18.866</v>
      </c>
      <c r="AA34" s="3">
        <f>AVERAGEIFS(Daily!$O$3:$O$7756,Daily!$B$3:$B$7756,$A34)</f>
        <v>20.481724137931035</v>
      </c>
      <c r="AB34" s="3">
        <f>AVERAGEIFS(Daily!$P$3:$P$7756,Daily!$B$3:$B$7756,$A34)</f>
        <v>25.418965517241375</v>
      </c>
      <c r="AC34" s="3">
        <f>AVERAGEIFS(Daily!$Q$3:$Q$7756,Daily!$B$3:$B$7756,$A34)</f>
        <v>16.813793103448276</v>
      </c>
      <c r="AD34" s="4">
        <f>SUMIFS(Daily!$R$3:$R$7756,Daily!$B$3:$B$7756,$A34)</f>
        <v>53.04</v>
      </c>
      <c r="AE34" s="4">
        <f>AVERAGE(P34,U34,Z34)</f>
        <v>13.695666666666668</v>
      </c>
      <c r="AF34" s="3">
        <f>AVERAGE(Q34,V34,AA34)</f>
        <v>21.120689655172416</v>
      </c>
      <c r="AG34" s="3">
        <f>AVERAGE(R34,W34,AB34)</f>
        <v>27.273218390804598</v>
      </c>
      <c r="AH34" s="3">
        <f>AVERAGE(S34,X34,AC34)</f>
        <v>16.48655172413793</v>
      </c>
      <c r="AI34" s="4">
        <f>AVERAGE(T34,Y34,AD34)</f>
        <v>34.72</v>
      </c>
    </row>
    <row r="35">
      <c r="A35" s="2" t="inlineStr">
        <is>
          <t xml:space="preserve">2008-03</t>
        </is>
      </c>
      <c r="B35" s="2">
        <v>2008</v>
      </c>
      <c r="C35" s="2">
        <v>3</v>
      </c>
      <c r="D35" s="2" t="inlineStr">
        <is>
          <t xml:space="preserve">Mar</t>
        </is>
      </c>
      <c r="E35" s="2" t="inlineStr">
        <is>
          <t xml:space="preserve">2007/08</t>
        </is>
      </c>
      <c r="F35" s="2">
        <v>9</v>
      </c>
      <c r="G35" s="9">
        <v>39508</v>
      </c>
      <c r="H35" s="9">
        <v>39538</v>
      </c>
      <c r="I35" s="2">
        <f>H35-G35+1</f>
        <v>31</v>
      </c>
      <c r="J35" s="2">
        <f>COUNTIF(Daily!$B$3:$B$7756,A35)</f>
        <v>31</v>
      </c>
      <c r="K35" s="2" t="str">
        <f>IF(J35=I35,"complete","partial ("&amp;J35&amp;" days)")</f>
        <v>complete</v>
      </c>
      <c r="L35" s="3">
        <f>INDEX(ENSO_monthly!$F:$F,MATCH(A35,ENSO_monthly!$A:$A,0))</f>
        <v>-1.37</v>
      </c>
      <c r="M35" s="2" t="str">
        <f>INDEX(ENSO_monthly!$D:$D,MATCH(A35,ENSO_monthly!$A:$A,0))</f>
        <v>FMA</v>
      </c>
      <c r="N35" s="5" t="str">
        <f>INDEX(ENSO_monthly!$L:$L,MATCH(A35,ENSO_monthly!$A:$A,0))</f>
        <v>La Niña</v>
      </c>
      <c r="O35" s="12" t="str">
        <f>INDEX(ENSO_seasons!$U:$U,MATCH(E35,ENSO_seasons!$A:$A,0))</f>
        <v>La Niña</v>
      </c>
      <c r="P35" s="4">
        <f>SUMIFS(Daily!$D$3:$D$7756,Daily!$B$3:$B$7756,$A35)</f>
        <v>4.322</v>
      </c>
      <c r="Q35" s="3">
        <f>AVERAGEIFS(Daily!$E$3:$E$7756,Daily!$B$3:$B$7756,$A35)</f>
        <v>22.901935483870968</v>
      </c>
      <c r="R35" s="3">
        <f>AVERAGEIFS(Daily!$F$3:$F$7756,Daily!$B$3:$B$7756,$A35)</f>
        <v>30.795483870967736</v>
      </c>
      <c r="S35" s="3">
        <f>AVERAGEIFS(Daily!$G$3:$G$7756,Daily!$B$3:$B$7756,$A35)</f>
        <v>16.523548387096774</v>
      </c>
      <c r="T35" s="4">
        <f>SUMIFS(Daily!$H$3:$H$7756,Daily!$B$3:$B$7756,$A35)</f>
        <v>16.61</v>
      </c>
      <c r="U35" s="4">
        <f>SUMIFS(Daily!$I$3:$I$7756,Daily!$B$3:$B$7756,$A35)</f>
        <v>8.767</v>
      </c>
      <c r="V35" s="3">
        <f>AVERAGEIFS(Daily!$J$3:$J$7756,Daily!$B$3:$B$7756,$A35)</f>
        <v>22.66580645161291</v>
      </c>
      <c r="W35" s="3">
        <f>AVERAGEIFS(Daily!$K$3:$K$7756,Daily!$B$3:$B$7756,$A35)</f>
        <v>29.992580645161286</v>
      </c>
      <c r="X35" s="3">
        <f>AVERAGEIFS(Daily!$L$3:$L$7756,Daily!$B$3:$B$7756,$A35)</f>
        <v>16.902903225806448</v>
      </c>
      <c r="Y35" s="4">
        <f>SUMIFS(Daily!$M$3:$M$7756,Daily!$B$3:$B$7756,$A35)</f>
        <v>12.54</v>
      </c>
      <c r="Z35" s="4">
        <f>SUMIFS(Daily!$N$3:$N$7756,Daily!$B$3:$B$7756,$A35)</f>
        <v>12.903</v>
      </c>
      <c r="AA35" s="3">
        <f>AVERAGEIFS(Daily!$O$3:$O$7756,Daily!$B$3:$B$7756,$A35)</f>
        <v>21.845483870967733</v>
      </c>
      <c r="AB35" s="3">
        <f>AVERAGEIFS(Daily!$P$3:$P$7756,Daily!$B$3:$B$7756,$A35)</f>
        <v>28.314838709677414</v>
      </c>
      <c r="AC35" s="3">
        <f>AVERAGEIFS(Daily!$Q$3:$Q$7756,Daily!$B$3:$B$7756,$A35)</f>
        <v>17.017096774193547</v>
      </c>
      <c r="AD35" s="4">
        <f>SUMIFS(Daily!$R$3:$R$7756,Daily!$B$3:$B$7756,$A35)</f>
        <v>25.37</v>
      </c>
      <c r="AE35" s="4">
        <f>AVERAGE(P35,U35,Z35)</f>
        <v>8.664</v>
      </c>
      <c r="AF35" s="3">
        <f>AVERAGE(Q35,V35,AA35)</f>
        <v>22.471075268817202</v>
      </c>
      <c r="AG35" s="3">
        <f>AVERAGE(R35,W35,AB35)</f>
        <v>29.700967741935482</v>
      </c>
      <c r="AH35" s="3">
        <f>AVERAGE(S35,X35,AC35)</f>
        <v>16.814516129032256</v>
      </c>
      <c r="AI35" s="4">
        <f>AVERAGE(T35,Y35,AD35)</f>
        <v>18.173333333333332</v>
      </c>
    </row>
    <row r="36">
      <c r="A36" s="2" t="inlineStr">
        <is>
          <t xml:space="preserve">2008-04</t>
        </is>
      </c>
      <c r="B36" s="2">
        <v>2008</v>
      </c>
      <c r="C36" s="2">
        <v>4</v>
      </c>
      <c r="D36" s="2" t="inlineStr">
        <is>
          <t xml:space="preserve">Apr</t>
        </is>
      </c>
      <c r="E36" s="2" t="inlineStr">
        <is>
          <t xml:space="preserve">2007/08</t>
        </is>
      </c>
      <c r="F36" s="2">
        <v>10</v>
      </c>
      <c r="G36" s="9">
        <v>39539</v>
      </c>
      <c r="H36" s="9">
        <v>39568</v>
      </c>
      <c r="I36" s="2">
        <f>H36-G36+1</f>
        <v>30</v>
      </c>
      <c r="J36" s="2">
        <f>COUNTIF(Daily!$B$3:$B$7756,A36)</f>
        <v>30</v>
      </c>
      <c r="K36" s="2" t="str">
        <f>IF(J36=I36,"complete","partial ("&amp;J36&amp;" days)")</f>
        <v>complete</v>
      </c>
      <c r="L36" s="3">
        <f>INDEX(ENSO_monthly!$F:$F,MATCH(A36,ENSO_monthly!$A:$A,0))</f>
        <v>-1.05</v>
      </c>
      <c r="M36" s="2" t="str">
        <f>INDEX(ENSO_monthly!$D:$D,MATCH(A36,ENSO_monthly!$A:$A,0))</f>
        <v>MAM</v>
      </c>
      <c r="N36" s="5" t="str">
        <f>INDEX(ENSO_monthly!$L:$L,MATCH(A36,ENSO_monthly!$A:$A,0))</f>
        <v>La Niña</v>
      </c>
      <c r="O36" s="12" t="str">
        <f>INDEX(ENSO_seasons!$U:$U,MATCH(E36,ENSO_seasons!$A:$A,0))</f>
        <v>La Niña</v>
      </c>
      <c r="P36" s="4">
        <f>SUMIFS(Daily!$D$3:$D$7756,Daily!$B$3:$B$7756,$A36)</f>
        <v>32.516</v>
      </c>
      <c r="Q36" s="3">
        <f>AVERAGEIFS(Daily!$E$3:$E$7756,Daily!$B$3:$B$7756,$A36)</f>
        <v>24.436666666666664</v>
      </c>
      <c r="R36" s="3">
        <f>AVERAGEIFS(Daily!$F$3:$F$7756,Daily!$B$3:$B$7756,$A36)</f>
        <v>32.12</v>
      </c>
      <c r="S36" s="3">
        <f>AVERAGEIFS(Daily!$G$3:$G$7756,Daily!$B$3:$B$7756,$A36)</f>
        <v>18.194666666666667</v>
      </c>
      <c r="T36" s="4">
        <f>SUMIFS(Daily!$H$3:$H$7756,Daily!$B$3:$B$7756,$A36)</f>
        <v>31.69</v>
      </c>
      <c r="U36" s="4">
        <f>SUMIFS(Daily!$I$3:$I$7756,Daily!$B$3:$B$7756,$A36)</f>
        <v>52.865</v>
      </c>
      <c r="V36" s="3">
        <f>AVERAGEIFS(Daily!$J$3:$J$7756,Daily!$B$3:$B$7756,$A36)</f>
        <v>24.08333333333334</v>
      </c>
      <c r="W36" s="3">
        <f>AVERAGEIFS(Daily!$K$3:$K$7756,Daily!$B$3:$B$7756,$A36)</f>
        <v>31.24766666666667</v>
      </c>
      <c r="X36" s="3">
        <f>AVERAGEIFS(Daily!$L$3:$L$7756,Daily!$B$3:$B$7756,$A36)</f>
        <v>18.455000000000002</v>
      </c>
      <c r="Y36" s="4">
        <f>SUMIFS(Daily!$M$3:$M$7756,Daily!$B$3:$B$7756,$A36)</f>
        <v>54.59</v>
      </c>
      <c r="Z36" s="4">
        <f>SUMIFS(Daily!$N$3:$N$7756,Daily!$B$3:$B$7756,$A36)</f>
        <v>58.894</v>
      </c>
      <c r="AA36" s="3">
        <f>AVERAGEIFS(Daily!$O$3:$O$7756,Daily!$B$3:$B$7756,$A36)</f>
        <v>23.482666666666667</v>
      </c>
      <c r="AB36" s="3">
        <f>AVERAGEIFS(Daily!$P$3:$P$7756,Daily!$B$3:$B$7756,$A36)</f>
        <v>30.356333333333332</v>
      </c>
      <c r="AC36" s="3">
        <f>AVERAGEIFS(Daily!$Q$3:$Q$7756,Daily!$B$3:$B$7756,$A36)</f>
        <v>18.55866666666667</v>
      </c>
      <c r="AD36" s="4">
        <f>SUMIFS(Daily!$R$3:$R$7756,Daily!$B$3:$B$7756,$A36)</f>
        <v>64.09</v>
      </c>
      <c r="AE36" s="4">
        <f>AVERAGE(P36,U36,Z36)</f>
        <v>48.09166666666667</v>
      </c>
      <c r="AF36" s="3">
        <f>AVERAGE(Q36,V36,AA36)</f>
        <v>24.00088888888889</v>
      </c>
      <c r="AG36" s="3">
        <f>AVERAGE(R36,W36,AB36)</f>
        <v>31.24133333333333</v>
      </c>
      <c r="AH36" s="3">
        <f>AVERAGE(S36,X36,AC36)</f>
        <v>18.402777777777782</v>
      </c>
      <c r="AI36" s="4">
        <f>AVERAGE(T36,Y36,AD36)</f>
        <v>50.123333333333335</v>
      </c>
    </row>
    <row r="37">
      <c r="A37" s="2" t="inlineStr">
        <is>
          <t xml:space="preserve">2008-05</t>
        </is>
      </c>
      <c r="B37" s="2">
        <v>2008</v>
      </c>
      <c r="C37" s="2">
        <v>5</v>
      </c>
      <c r="D37" s="2" t="inlineStr">
        <is>
          <t xml:space="preserve">May</t>
        </is>
      </c>
      <c r="E37" s="2" t="inlineStr">
        <is>
          <t xml:space="preserve">2007/08</t>
        </is>
      </c>
      <c r="F37" s="2">
        <v>11</v>
      </c>
      <c r="G37" s="9">
        <v>39569</v>
      </c>
      <c r="H37" s="9">
        <v>39599</v>
      </c>
      <c r="I37" s="2">
        <f>H37-G37+1</f>
        <v>31</v>
      </c>
      <c r="J37" s="2">
        <f>COUNTIF(Daily!$B$3:$B$7756,A37)</f>
        <v>31</v>
      </c>
      <c r="K37" s="2" t="str">
        <f>IF(J37=I37,"complete","partial ("&amp;J37&amp;" days)")</f>
        <v>complete</v>
      </c>
      <c r="L37" s="3">
        <f>INDEX(ENSO_monthly!$F:$F,MATCH(A37,ENSO_monthly!$A:$A,0))</f>
        <v>-0.85</v>
      </c>
      <c r="M37" s="2" t="str">
        <f>INDEX(ENSO_monthly!$D:$D,MATCH(A37,ENSO_monthly!$A:$A,0))</f>
        <v>AMJ</v>
      </c>
      <c r="N37" s="5" t="str">
        <f>INDEX(ENSO_monthly!$L:$L,MATCH(A37,ENSO_monthly!$A:$A,0))</f>
        <v>La Niña</v>
      </c>
      <c r="O37" s="12" t="str">
        <f>INDEX(ENSO_seasons!$U:$U,MATCH(E37,ENSO_seasons!$A:$A,0))</f>
        <v>La Niña</v>
      </c>
      <c r="P37" s="4">
        <f>SUMIFS(Daily!$D$3:$D$7756,Daily!$B$3:$B$7756,$A37)</f>
        <v>139.098</v>
      </c>
      <c r="Q37" s="3">
        <f>AVERAGEIFS(Daily!$E$3:$E$7756,Daily!$B$3:$B$7756,$A37)</f>
        <v>25.06612903225807</v>
      </c>
      <c r="R37" s="3">
        <f>AVERAGEIFS(Daily!$F$3:$F$7756,Daily!$B$3:$B$7756,$A37)</f>
        <v>31.83967741935484</v>
      </c>
      <c r="S37" s="3">
        <f>AVERAGEIFS(Daily!$G$3:$G$7756,Daily!$B$3:$B$7756,$A37)</f>
        <v>19.590645161290325</v>
      </c>
      <c r="T37" s="4">
        <f>SUMIFS(Daily!$H$3:$H$7756,Daily!$B$3:$B$7756,$A37)</f>
        <v>121.58</v>
      </c>
      <c r="U37" s="4">
        <f>SUMIFS(Daily!$I$3:$I$7756,Daily!$B$3:$B$7756,$A37)</f>
        <v>106.164</v>
      </c>
      <c r="V37" s="3">
        <f>AVERAGEIFS(Daily!$J$3:$J$7756,Daily!$B$3:$B$7756,$A37)</f>
        <v>24.565806451612893</v>
      </c>
      <c r="W37" s="3">
        <f>AVERAGEIFS(Daily!$K$3:$K$7756,Daily!$B$3:$B$7756,$A37)</f>
        <v>30.435806451612898</v>
      </c>
      <c r="X37" s="3">
        <f>AVERAGEIFS(Daily!$L$3:$L$7756,Daily!$B$3:$B$7756,$A37)</f>
        <v>19.99548387096775</v>
      </c>
      <c r="Y37" s="4">
        <f>SUMIFS(Daily!$M$3:$M$7756,Daily!$B$3:$B$7756,$A37)</f>
        <v>108.24</v>
      </c>
      <c r="Z37" s="4">
        <f>SUMIFS(Daily!$N$3:$N$7756,Daily!$B$3:$B$7756,$A37)</f>
        <v>86.194</v>
      </c>
      <c r="AA37" s="3">
        <f>AVERAGEIFS(Daily!$O$3:$O$7756,Daily!$B$3:$B$7756,$A37)</f>
        <v>24.955161290322582</v>
      </c>
      <c r="AB37" s="3">
        <f>AVERAGEIFS(Daily!$P$3:$P$7756,Daily!$B$3:$B$7756,$A37)</f>
        <v>31.283870967741937</v>
      </c>
      <c r="AC37" s="3">
        <f>AVERAGEIFS(Daily!$Q$3:$Q$7756,Daily!$B$3:$B$7756,$A37)</f>
        <v>20.248709677419356</v>
      </c>
      <c r="AD37" s="4">
        <f>SUMIFS(Daily!$R$3:$R$7756,Daily!$B$3:$B$7756,$A37)</f>
        <v>95.54</v>
      </c>
      <c r="AE37" s="4">
        <f>AVERAGE(P37,U37,Z37)</f>
        <v>110.48533333333334</v>
      </c>
      <c r="AF37" s="3">
        <f>AVERAGE(Q37,V37,AA37)</f>
        <v>24.862365591397847</v>
      </c>
      <c r="AG37" s="3">
        <f>AVERAGE(R37,W37,AB37)</f>
        <v>31.186451612903223</v>
      </c>
      <c r="AH37" s="3">
        <f>AVERAGE(S37,X37,AC37)</f>
        <v>19.944946236559144</v>
      </c>
      <c r="AI37" s="4">
        <f>AVERAGE(T37,Y37,AD37)</f>
        <v>108.45333333333333</v>
      </c>
    </row>
    <row r="38">
      <c r="A38" s="2" t="inlineStr">
        <is>
          <t xml:space="preserve">2008-06</t>
        </is>
      </c>
      <c r="B38" s="2">
        <v>2008</v>
      </c>
      <c r="C38" s="2">
        <v>6</v>
      </c>
      <c r="D38" s="2" t="inlineStr">
        <is>
          <t xml:space="preserve">Jun</t>
        </is>
      </c>
      <c r="E38" s="2" t="inlineStr">
        <is>
          <t xml:space="preserve">2007/08</t>
        </is>
      </c>
      <c r="F38" s="2">
        <v>12</v>
      </c>
      <c r="G38" s="9">
        <v>39600</v>
      </c>
      <c r="H38" s="9">
        <v>39629</v>
      </c>
      <c r="I38" s="2">
        <f>H38-G38+1</f>
        <v>30</v>
      </c>
      <c r="J38" s="2">
        <f>COUNTIF(Daily!$B$3:$B$7756,A38)</f>
        <v>30</v>
      </c>
      <c r="K38" s="2" t="str">
        <f>IF(J38=I38,"complete","partial ("&amp;J38&amp;" days)")</f>
        <v>complete</v>
      </c>
      <c r="L38" s="3">
        <f>INDEX(ENSO_monthly!$F:$F,MATCH(A38,ENSO_monthly!$A:$A,0))</f>
        <v>-0.56</v>
      </c>
      <c r="M38" s="2" t="str">
        <f>INDEX(ENSO_monthly!$D:$D,MATCH(A38,ENSO_monthly!$A:$A,0))</f>
        <v>MJJ</v>
      </c>
      <c r="N38" s="5" t="str">
        <f>INDEX(ENSO_monthly!$L:$L,MATCH(A38,ENSO_monthly!$A:$A,0))</f>
        <v>La Niña</v>
      </c>
      <c r="O38" s="12" t="str">
        <f>INDEX(ENSO_seasons!$U:$U,MATCH(E38,ENSO_seasons!$A:$A,0))</f>
        <v>La Niña</v>
      </c>
      <c r="P38" s="4">
        <f>SUMIFS(Daily!$D$3:$D$7756,Daily!$B$3:$B$7756,$A38)</f>
        <v>172.321</v>
      </c>
      <c r="Q38" s="3">
        <f>AVERAGEIFS(Daily!$E$3:$E$7756,Daily!$B$3:$B$7756,$A38)</f>
        <v>22.063</v>
      </c>
      <c r="R38" s="3">
        <f>AVERAGEIFS(Daily!$F$3:$F$7756,Daily!$B$3:$B$7756,$A38)</f>
        <v>27.014666666666667</v>
      </c>
      <c r="S38" s="3">
        <f>AVERAGEIFS(Daily!$G$3:$G$7756,Daily!$B$3:$B$7756,$A38)</f>
        <v>18.263666666666666</v>
      </c>
      <c r="T38" s="4">
        <f>SUMIFS(Daily!$H$3:$H$7756,Daily!$B$3:$B$7756,$A38)</f>
        <v>159.42</v>
      </c>
      <c r="U38" s="4">
        <f>SUMIFS(Daily!$I$3:$I$7756,Daily!$B$3:$B$7756,$A38)</f>
        <v>186.665</v>
      </c>
      <c r="V38" s="3">
        <f>AVERAGEIFS(Daily!$J$3:$J$7756,Daily!$B$3:$B$7756,$A38)</f>
        <v>22.56966666666667</v>
      </c>
      <c r="W38" s="3">
        <f>AVERAGEIFS(Daily!$K$3:$K$7756,Daily!$B$3:$B$7756,$A38)</f>
        <v>26.731666666666666</v>
      </c>
      <c r="X38" s="3">
        <f>AVERAGEIFS(Daily!$L$3:$L$7756,Daily!$B$3:$B$7756,$A38)</f>
        <v>19.296</v>
      </c>
      <c r="Y38" s="4">
        <f>SUMIFS(Daily!$M$3:$M$7756,Daily!$B$3:$B$7756,$A38)</f>
        <v>194.5</v>
      </c>
      <c r="Z38" s="4">
        <f>SUMIFS(Daily!$N$3:$N$7756,Daily!$B$3:$B$7756,$A38)</f>
        <v>188.332</v>
      </c>
      <c r="AA38" s="3">
        <f>AVERAGEIFS(Daily!$O$3:$O$7756,Daily!$B$3:$B$7756,$A38)</f>
        <v>22.814999999999998</v>
      </c>
      <c r="AB38" s="3">
        <f>AVERAGEIFS(Daily!$P$3:$P$7756,Daily!$B$3:$B$7756,$A38)</f>
        <v>27.155333333333335</v>
      </c>
      <c r="AC38" s="3">
        <f>AVERAGEIFS(Daily!$Q$3:$Q$7756,Daily!$B$3:$B$7756,$A38)</f>
        <v>19.851999999999997</v>
      </c>
      <c r="AD38" s="4">
        <f>SUMIFS(Daily!$R$3:$R$7756,Daily!$B$3:$B$7756,$A38)</f>
        <v>206.82</v>
      </c>
      <c r="AE38" s="4">
        <f>AVERAGE(P38,U38,Z38)</f>
        <v>182.43933333333334</v>
      </c>
      <c r="AF38" s="3">
        <f>AVERAGE(Q38,V38,AA38)</f>
        <v>22.482555555555553</v>
      </c>
      <c r="AG38" s="3">
        <f>AVERAGE(R38,W38,AB38)</f>
        <v>26.967222222222222</v>
      </c>
      <c r="AH38" s="3">
        <f>AVERAGE(S38,X38,AC38)</f>
        <v>19.13722222222222</v>
      </c>
      <c r="AI38" s="4">
        <f>AVERAGE(T38,Y38,AD38)</f>
        <v>186.91333333333333</v>
      </c>
    </row>
    <row r="39">
      <c r="A39" s="2" t="inlineStr">
        <is>
          <t xml:space="preserve">2008-07</t>
        </is>
      </c>
      <c r="B39" s="2">
        <v>2008</v>
      </c>
      <c r="C39" s="2">
        <v>7</v>
      </c>
      <c r="D39" s="2" t="inlineStr">
        <is>
          <t xml:space="preserve">Jul</t>
        </is>
      </c>
      <c r="E39" s="2" t="inlineStr">
        <is>
          <t xml:space="preserve">2008/09</t>
        </is>
      </c>
      <c r="F39" s="2">
        <v>1</v>
      </c>
      <c r="G39" s="9">
        <v>39630</v>
      </c>
      <c r="H39" s="9">
        <v>39660</v>
      </c>
      <c r="I39" s="2">
        <f>H39-G39+1</f>
        <v>31</v>
      </c>
      <c r="J39" s="2">
        <f>COUNTIF(Daily!$B$3:$B$7756,A39)</f>
        <v>31</v>
      </c>
      <c r="K39" s="2" t="str">
        <f>IF(J39=I39,"complete","partial ("&amp;J39&amp;" days)")</f>
        <v>complete</v>
      </c>
      <c r="L39" s="3">
        <f>INDEX(ENSO_monthly!$F:$F,MATCH(A39,ENSO_monthly!$A:$A,0))</f>
        <v>-0.33</v>
      </c>
      <c r="M39" s="2" t="str">
        <f>INDEX(ENSO_monthly!$D:$D,MATCH(A39,ENSO_monthly!$A:$A,0))</f>
        <v>JJA</v>
      </c>
      <c r="N39" s="2" t="str">
        <f>INDEX(ENSO_monthly!$L:$L,MATCH(A39,ENSO_monthly!$A:$A,0))</f>
        <v>—</v>
      </c>
      <c r="O39" s="12" t="str">
        <f>INDEX(ENSO_seasons!$U:$U,MATCH(E39,ENSO_seasons!$A:$A,0))</f>
        <v>La Niña</v>
      </c>
      <c r="P39" s="4">
        <f>SUMIFS(Daily!$D$3:$D$7756,Daily!$B$3:$B$7756,$A39)</f>
        <v>298.911</v>
      </c>
      <c r="Q39" s="3">
        <f>AVERAGEIFS(Daily!$E$3:$E$7756,Daily!$B$3:$B$7756,$A39)</f>
        <v>20.92032258064516</v>
      </c>
      <c r="R39" s="3">
        <f>AVERAGEIFS(Daily!$F$3:$F$7756,Daily!$B$3:$B$7756,$A39)</f>
        <v>25.491935483870968</v>
      </c>
      <c r="S39" s="3">
        <f>AVERAGEIFS(Daily!$G$3:$G$7756,Daily!$B$3:$B$7756,$A39)</f>
        <v>17.26451612903226</v>
      </c>
      <c r="T39" s="4">
        <f>SUMIFS(Daily!$H$3:$H$7756,Daily!$B$3:$B$7756,$A39)</f>
        <v>233.43</v>
      </c>
      <c r="U39" s="4">
        <f>SUMIFS(Daily!$I$3:$I$7756,Daily!$B$3:$B$7756,$A39)</f>
        <v>357.091</v>
      </c>
      <c r="V39" s="3">
        <f>AVERAGEIFS(Daily!$J$3:$J$7756,Daily!$B$3:$B$7756,$A39)</f>
        <v>22.10096774193548</v>
      </c>
      <c r="W39" s="3">
        <f>AVERAGEIFS(Daily!$K$3:$K$7756,Daily!$B$3:$B$7756,$A39)</f>
        <v>26.016774193548386</v>
      </c>
      <c r="X39" s="3">
        <f>AVERAGEIFS(Daily!$L$3:$L$7756,Daily!$B$3:$B$7756,$A39)</f>
        <v>18.97741935483871</v>
      </c>
      <c r="Y39" s="4">
        <f>SUMIFS(Daily!$M$3:$M$7756,Daily!$B$3:$B$7756,$A39)</f>
        <v>347.85</v>
      </c>
      <c r="Z39" s="4">
        <f>SUMIFS(Daily!$N$3:$N$7756,Daily!$B$3:$B$7756,$A39)</f>
        <v>404.252</v>
      </c>
      <c r="AA39" s="3">
        <f>AVERAGEIFS(Daily!$O$3:$O$7756,Daily!$B$3:$B$7756,$A39)</f>
        <v>22.24548387096774</v>
      </c>
      <c r="AB39" s="3">
        <f>AVERAGEIFS(Daily!$P$3:$P$7756,Daily!$B$3:$B$7756,$A39)</f>
        <v>26.02451612903226</v>
      </c>
      <c r="AC39" s="3">
        <f>AVERAGEIFS(Daily!$Q$3:$Q$7756,Daily!$B$3:$B$7756,$A39)</f>
        <v>19.47935483870968</v>
      </c>
      <c r="AD39" s="4">
        <f>SUMIFS(Daily!$R$3:$R$7756,Daily!$B$3:$B$7756,$A39)</f>
        <v>373.71</v>
      </c>
      <c r="AE39" s="4">
        <f>AVERAGE(P39,U39,Z39)</f>
        <v>353.41799999999995</v>
      </c>
      <c r="AF39" s="3">
        <f>AVERAGE(Q39,V39,AA39)</f>
        <v>21.755591397849457</v>
      </c>
      <c r="AG39" s="3">
        <f>AVERAGE(R39,W39,AB39)</f>
        <v>25.844408602150537</v>
      </c>
      <c r="AH39" s="3">
        <f>AVERAGE(S39,X39,AC39)</f>
        <v>18.573763440860215</v>
      </c>
      <c r="AI39" s="4">
        <f>AVERAGE(T39,Y39,AD39)</f>
        <v>318.33</v>
      </c>
    </row>
    <row r="40">
      <c r="A40" s="2" t="inlineStr">
        <is>
          <t xml:space="preserve">2008-08</t>
        </is>
      </c>
      <c r="B40" s="2">
        <v>2008</v>
      </c>
      <c r="C40" s="2">
        <v>8</v>
      </c>
      <c r="D40" s="2" t="inlineStr">
        <is>
          <t xml:space="preserve">Aug</t>
        </is>
      </c>
      <c r="E40" s="2" t="inlineStr">
        <is>
          <t xml:space="preserve">2008/09</t>
        </is>
      </c>
      <c r="F40" s="2">
        <v>2</v>
      </c>
      <c r="G40" s="9">
        <v>39661</v>
      </c>
      <c r="H40" s="9">
        <v>39691</v>
      </c>
      <c r="I40" s="2">
        <f>H40-G40+1</f>
        <v>31</v>
      </c>
      <c r="J40" s="2">
        <f>COUNTIF(Daily!$B$3:$B$7756,A40)</f>
        <v>31</v>
      </c>
      <c r="K40" s="2" t="str">
        <f>IF(J40=I40,"complete","partial ("&amp;J40&amp;" days)")</f>
        <v>complete</v>
      </c>
      <c r="L40" s="3">
        <f>INDEX(ENSO_monthly!$F:$F,MATCH(A40,ENSO_monthly!$A:$A,0))</f>
        <v>-0.2</v>
      </c>
      <c r="M40" s="2" t="str">
        <f>INDEX(ENSO_monthly!$D:$D,MATCH(A40,ENSO_monthly!$A:$A,0))</f>
        <v>JAS</v>
      </c>
      <c r="N40" s="2" t="str">
        <f>INDEX(ENSO_monthly!$L:$L,MATCH(A40,ENSO_monthly!$A:$A,0))</f>
        <v>—</v>
      </c>
      <c r="O40" s="12" t="str">
        <f>INDEX(ENSO_seasons!$U:$U,MATCH(E40,ENSO_seasons!$A:$A,0))</f>
        <v>La Niña</v>
      </c>
      <c r="P40" s="4">
        <f>SUMIFS(Daily!$D$3:$D$7756,Daily!$B$3:$B$7756,$A40)</f>
        <v>261.903</v>
      </c>
      <c r="Q40" s="3">
        <f>AVERAGEIFS(Daily!$E$3:$E$7756,Daily!$B$3:$B$7756,$A40)</f>
        <v>21.499354838709678</v>
      </c>
      <c r="R40" s="3">
        <f>AVERAGEIFS(Daily!$F$3:$F$7756,Daily!$B$3:$B$7756,$A40)</f>
        <v>26.325806451612905</v>
      </c>
      <c r="S40" s="3">
        <f>AVERAGEIFS(Daily!$G$3:$G$7756,Daily!$B$3:$B$7756,$A40)</f>
        <v>17.567741935483877</v>
      </c>
      <c r="T40" s="4">
        <f>SUMIFS(Daily!$H$3:$H$7756,Daily!$B$3:$B$7756,$A40)</f>
        <v>212.48</v>
      </c>
      <c r="U40" s="4">
        <f>SUMIFS(Daily!$I$3:$I$7756,Daily!$B$3:$B$7756,$A40)</f>
        <v>263.939</v>
      </c>
      <c r="V40" s="3">
        <f>AVERAGEIFS(Daily!$J$3:$J$7756,Daily!$B$3:$B$7756,$A40)</f>
        <v>22.404838709677417</v>
      </c>
      <c r="W40" s="3">
        <f>AVERAGEIFS(Daily!$K$3:$K$7756,Daily!$B$3:$B$7756,$A40)</f>
        <v>26.523870967741935</v>
      </c>
      <c r="X40" s="3">
        <f>AVERAGEIFS(Daily!$L$3:$L$7756,Daily!$B$3:$B$7756,$A40)</f>
        <v>18.97645161290323</v>
      </c>
      <c r="Y40" s="4">
        <f>SUMIFS(Daily!$M$3:$M$7756,Daily!$B$3:$B$7756,$A40)</f>
        <v>270.46</v>
      </c>
      <c r="Z40" s="4">
        <f>SUMIFS(Daily!$N$3:$N$7756,Daily!$B$3:$B$7756,$A40)</f>
        <v>300.71</v>
      </c>
      <c r="AA40" s="3">
        <f>AVERAGEIFS(Daily!$O$3:$O$7756,Daily!$B$3:$B$7756,$A40)</f>
        <v>22.787741935483872</v>
      </c>
      <c r="AB40" s="3">
        <f>AVERAGEIFS(Daily!$P$3:$P$7756,Daily!$B$3:$B$7756,$A40)</f>
        <v>26.960967741935484</v>
      </c>
      <c r="AC40" s="3">
        <f>AVERAGEIFS(Daily!$Q$3:$Q$7756,Daily!$B$3:$B$7756,$A40)</f>
        <v>19.669677419354837</v>
      </c>
      <c r="AD40" s="4">
        <f>SUMIFS(Daily!$R$3:$R$7756,Daily!$B$3:$B$7756,$A40)</f>
        <v>271.95</v>
      </c>
      <c r="AE40" s="4">
        <f>AVERAGE(P40,U40,Z40)</f>
        <v>275.5173333333334</v>
      </c>
      <c r="AF40" s="3">
        <f>AVERAGE(Q40,V40,AA40)</f>
        <v>22.230645161290322</v>
      </c>
      <c r="AG40" s="3">
        <f>AVERAGE(R40,W40,AB40)</f>
        <v>26.603548387096776</v>
      </c>
      <c r="AH40" s="3">
        <f>AVERAGE(S40,X40,AC40)</f>
        <v>18.737956989247312</v>
      </c>
      <c r="AI40" s="4">
        <f>AVERAGE(T40,Y40,AD40)</f>
        <v>251.62999999999997</v>
      </c>
    </row>
    <row r="41">
      <c r="A41" s="2" t="inlineStr">
        <is>
          <t xml:space="preserve">2008-09</t>
        </is>
      </c>
      <c r="B41" s="2">
        <v>2008</v>
      </c>
      <c r="C41" s="2">
        <v>9</v>
      </c>
      <c r="D41" s="2" t="inlineStr">
        <is>
          <t xml:space="preserve">Sep</t>
        </is>
      </c>
      <c r="E41" s="2" t="inlineStr">
        <is>
          <t xml:space="preserve">2008/09</t>
        </is>
      </c>
      <c r="F41" s="2">
        <v>3</v>
      </c>
      <c r="G41" s="9">
        <v>39692</v>
      </c>
      <c r="H41" s="9">
        <v>39721</v>
      </c>
      <c r="I41" s="2">
        <f>H41-G41+1</f>
        <v>30</v>
      </c>
      <c r="J41" s="2">
        <f>COUNTIF(Daily!$B$3:$B$7756,A41)</f>
        <v>30</v>
      </c>
      <c r="K41" s="2" t="str">
        <f>IF(J41=I41,"complete","partial ("&amp;J41&amp;" days)")</f>
        <v>complete</v>
      </c>
      <c r="L41" s="3">
        <f>INDEX(ENSO_monthly!$F:$F,MATCH(A41,ENSO_monthly!$A:$A,0))</f>
        <v>-0.25</v>
      </c>
      <c r="M41" s="2" t="str">
        <f>INDEX(ENSO_monthly!$D:$D,MATCH(A41,ENSO_monthly!$A:$A,0))</f>
        <v>ASO</v>
      </c>
      <c r="N41" s="2" t="str">
        <f>INDEX(ENSO_monthly!$L:$L,MATCH(A41,ENSO_monthly!$A:$A,0))</f>
        <v>—</v>
      </c>
      <c r="O41" s="12" t="str">
        <f>INDEX(ENSO_seasons!$U:$U,MATCH(E41,ENSO_seasons!$A:$A,0))</f>
        <v>La Niña</v>
      </c>
      <c r="P41" s="4">
        <f>SUMIFS(Daily!$D$3:$D$7756,Daily!$B$3:$B$7756,$A41)</f>
        <v>298.214</v>
      </c>
      <c r="Q41" s="3">
        <f>AVERAGEIFS(Daily!$E$3:$E$7756,Daily!$B$3:$B$7756,$A41)</f>
        <v>21.823666666666668</v>
      </c>
      <c r="R41" s="3">
        <f>AVERAGEIFS(Daily!$F$3:$F$7756,Daily!$B$3:$B$7756,$A41)</f>
        <v>25.999999999999996</v>
      </c>
      <c r="S41" s="3">
        <f>AVERAGEIFS(Daily!$G$3:$G$7756,Daily!$B$3:$B$7756,$A41)</f>
        <v>18.467666666666666</v>
      </c>
      <c r="T41" s="4">
        <f>SUMIFS(Daily!$H$3:$H$7756,Daily!$B$3:$B$7756,$A41)</f>
        <v>271.41</v>
      </c>
      <c r="U41" s="4">
        <f>SUMIFS(Daily!$I$3:$I$7756,Daily!$B$3:$B$7756,$A41)</f>
        <v>394.322</v>
      </c>
      <c r="V41" s="3">
        <f>AVERAGEIFS(Daily!$J$3:$J$7756,Daily!$B$3:$B$7756,$A41)</f>
        <v>22.105999999999998</v>
      </c>
      <c r="W41" s="3">
        <f>AVERAGEIFS(Daily!$K$3:$K$7756,Daily!$B$3:$B$7756,$A41)</f>
        <v>25.989333333333327</v>
      </c>
      <c r="X41" s="3">
        <f>AVERAGEIFS(Daily!$L$3:$L$7756,Daily!$B$3:$B$7756,$A41)</f>
        <v>19.242333333333338</v>
      </c>
      <c r="Y41" s="4">
        <f>SUMIFS(Daily!$M$3:$M$7756,Daily!$B$3:$B$7756,$A41)</f>
        <v>359.64</v>
      </c>
      <c r="Z41" s="4">
        <f>SUMIFS(Daily!$N$3:$N$7756,Daily!$B$3:$B$7756,$A41)</f>
        <v>436.868</v>
      </c>
      <c r="AA41" s="3">
        <f>AVERAGEIFS(Daily!$O$3:$O$7756,Daily!$B$3:$B$7756,$A41)</f>
        <v>22.87466666666667</v>
      </c>
      <c r="AB41" s="3">
        <f>AVERAGEIFS(Daily!$P$3:$P$7756,Daily!$B$3:$B$7756,$A41)</f>
        <v>26.648333333333333</v>
      </c>
      <c r="AC41" s="3">
        <f>AVERAGEIFS(Daily!$Q$3:$Q$7756,Daily!$B$3:$B$7756,$A41)</f>
        <v>19.942000000000004</v>
      </c>
      <c r="AD41" s="4">
        <f>SUMIFS(Daily!$R$3:$R$7756,Daily!$B$3:$B$7756,$A41)</f>
        <v>380.22</v>
      </c>
      <c r="AE41" s="4">
        <f>AVERAGE(P41,U41,Z41)</f>
        <v>376.468</v>
      </c>
      <c r="AF41" s="3">
        <f>AVERAGE(Q41,V41,AA41)</f>
        <v>22.26811111111111</v>
      </c>
      <c r="AG41" s="3">
        <f>AVERAGE(R41,W41,AB41)</f>
        <v>26.212555555555554</v>
      </c>
      <c r="AH41" s="3">
        <f>AVERAGE(S41,X41,AC41)</f>
        <v>19.21733333333334</v>
      </c>
      <c r="AI41" s="4">
        <f>AVERAGE(T41,Y41,AD41)</f>
        <v>337.09</v>
      </c>
    </row>
    <row r="42">
      <c r="A42" s="2" t="inlineStr">
        <is>
          <t xml:space="preserve">2008-10</t>
        </is>
      </c>
      <c r="B42" s="2">
        <v>2008</v>
      </c>
      <c r="C42" s="2">
        <v>10</v>
      </c>
      <c r="D42" s="2" t="inlineStr">
        <is>
          <t xml:space="preserve">Oct</t>
        </is>
      </c>
      <c r="E42" s="2" t="inlineStr">
        <is>
          <t xml:space="preserve">2008/09</t>
        </is>
      </c>
      <c r="F42" s="2">
        <v>4</v>
      </c>
      <c r="G42" s="9">
        <v>39722</v>
      </c>
      <c r="H42" s="9">
        <v>39752</v>
      </c>
      <c r="I42" s="2">
        <f>H42-G42+1</f>
        <v>31</v>
      </c>
      <c r="J42" s="2">
        <f>COUNTIF(Daily!$B$3:$B$7756,A42)</f>
        <v>31</v>
      </c>
      <c r="K42" s="2" t="str">
        <f>IF(J42=I42,"complete","partial ("&amp;J42&amp;" days)")</f>
        <v>complete</v>
      </c>
      <c r="L42" s="3">
        <f>INDEX(ENSO_monthly!$F:$F,MATCH(A42,ENSO_monthly!$A:$A,0))</f>
        <v>-0.36</v>
      </c>
      <c r="M42" s="2" t="str">
        <f>INDEX(ENSO_monthly!$D:$D,MATCH(A42,ENSO_monthly!$A:$A,0))</f>
        <v>SON</v>
      </c>
      <c r="N42" s="2" t="str">
        <f>INDEX(ENSO_monthly!$L:$L,MATCH(A42,ENSO_monthly!$A:$A,0))</f>
        <v>—</v>
      </c>
      <c r="O42" s="12" t="str">
        <f>INDEX(ENSO_seasons!$U:$U,MATCH(E42,ENSO_seasons!$A:$A,0))</f>
        <v>La Niña</v>
      </c>
      <c r="P42" s="4">
        <f>SUMIFS(Daily!$D$3:$D$7756,Daily!$B$3:$B$7756,$A42)</f>
        <v>207.098</v>
      </c>
      <c r="Q42" s="3">
        <f>AVERAGEIFS(Daily!$E$3:$E$7756,Daily!$B$3:$B$7756,$A42)</f>
        <v>20.55548387096774</v>
      </c>
      <c r="R42" s="3">
        <f>AVERAGEIFS(Daily!$F$3:$F$7756,Daily!$B$3:$B$7756,$A42)</f>
        <v>24.360967741935482</v>
      </c>
      <c r="S42" s="3">
        <f>AVERAGEIFS(Daily!$G$3:$G$7756,Daily!$B$3:$B$7756,$A42)</f>
        <v>17.77709677419355</v>
      </c>
      <c r="T42" s="4">
        <f>SUMIFS(Daily!$H$3:$H$7756,Daily!$B$3:$B$7756,$A42)</f>
        <v>308.61</v>
      </c>
      <c r="U42" s="4">
        <f>SUMIFS(Daily!$I$3:$I$7756,Daily!$B$3:$B$7756,$A42)</f>
        <v>174.157</v>
      </c>
      <c r="V42" s="3">
        <f>AVERAGEIFS(Daily!$J$3:$J$7756,Daily!$B$3:$B$7756,$A42)</f>
        <v>20.840645161290325</v>
      </c>
      <c r="W42" s="3">
        <f>AVERAGEIFS(Daily!$K$3:$K$7756,Daily!$B$3:$B$7756,$A42)</f>
        <v>24.456129032258065</v>
      </c>
      <c r="X42" s="3">
        <f>AVERAGEIFS(Daily!$L$3:$L$7756,Daily!$B$3:$B$7756,$A42)</f>
        <v>18.257741935483875</v>
      </c>
      <c r="Y42" s="4">
        <f>SUMIFS(Daily!$M$3:$M$7756,Daily!$B$3:$B$7756,$A42)</f>
        <v>194.86</v>
      </c>
      <c r="Z42" s="4">
        <f>SUMIFS(Daily!$N$3:$N$7756,Daily!$B$3:$B$7756,$A42)</f>
        <v>199.493</v>
      </c>
      <c r="AA42" s="3">
        <f>AVERAGEIFS(Daily!$O$3:$O$7756,Daily!$B$3:$B$7756,$A42)</f>
        <v>21.17322580645161</v>
      </c>
      <c r="AB42" s="3">
        <f>AVERAGEIFS(Daily!$P$3:$P$7756,Daily!$B$3:$B$7756,$A42)</f>
        <v>24.474516129032256</v>
      </c>
      <c r="AC42" s="3">
        <f>AVERAGEIFS(Daily!$Q$3:$Q$7756,Daily!$B$3:$B$7756,$A42)</f>
        <v>18.902903225806455</v>
      </c>
      <c r="AD42" s="4">
        <f>SUMIFS(Daily!$R$3:$R$7756,Daily!$B$3:$B$7756,$A42)</f>
        <v>259.94</v>
      </c>
      <c r="AE42" s="4">
        <f>AVERAGE(P42,U42,Z42)</f>
        <v>193.58266666666668</v>
      </c>
      <c r="AF42" s="3">
        <f>AVERAGE(Q42,V42,AA42)</f>
        <v>20.856451612903225</v>
      </c>
      <c r="AG42" s="3">
        <f>AVERAGE(R42,W42,AB42)</f>
        <v>24.430537634408598</v>
      </c>
      <c r="AH42" s="3">
        <f>AVERAGE(S42,X42,AC42)</f>
        <v>18.312580645161294</v>
      </c>
      <c r="AI42" s="4">
        <f>AVERAGE(T42,Y42,AD42)</f>
        <v>254.47000000000003</v>
      </c>
    </row>
    <row r="43">
      <c r="A43" s="2" t="inlineStr">
        <is>
          <t xml:space="preserve">2008-11</t>
        </is>
      </c>
      <c r="B43" s="2">
        <v>2008</v>
      </c>
      <c r="C43" s="2">
        <v>11</v>
      </c>
      <c r="D43" s="2" t="inlineStr">
        <is>
          <t xml:space="preserve">Nov</t>
        </is>
      </c>
      <c r="E43" s="2" t="inlineStr">
        <is>
          <t xml:space="preserve">2008/09</t>
        </is>
      </c>
      <c r="F43" s="2">
        <v>5</v>
      </c>
      <c r="G43" s="9">
        <v>39753</v>
      </c>
      <c r="H43" s="9">
        <v>39782</v>
      </c>
      <c r="I43" s="2">
        <f>H43-G43+1</f>
        <v>30</v>
      </c>
      <c r="J43" s="2">
        <f>COUNTIF(Daily!$B$3:$B$7756,A43)</f>
        <v>30</v>
      </c>
      <c r="K43" s="2" t="str">
        <f>IF(J43=I43,"complete","partial ("&amp;J43&amp;" days)")</f>
        <v>complete</v>
      </c>
      <c r="L43" s="3">
        <f>INDEX(ENSO_monthly!$F:$F,MATCH(A43,ENSO_monthly!$A:$A,0))</f>
        <v>-0.57</v>
      </c>
      <c r="M43" s="2" t="str">
        <f>INDEX(ENSO_monthly!$D:$D,MATCH(A43,ENSO_monthly!$A:$A,0))</f>
        <v>OND</v>
      </c>
      <c r="N43" s="5" t="str">
        <f>INDEX(ENSO_monthly!$L:$L,MATCH(A43,ENSO_monthly!$A:$A,0))</f>
        <v>La Niña</v>
      </c>
      <c r="O43" s="12" t="str">
        <f>INDEX(ENSO_seasons!$U:$U,MATCH(E43,ENSO_seasons!$A:$A,0))</f>
        <v>La Niña</v>
      </c>
      <c r="P43" s="4">
        <f>SUMIFS(Daily!$D$3:$D$7756,Daily!$B$3:$B$7756,$A43)</f>
        <v>3.902</v>
      </c>
      <c r="Q43" s="3">
        <f>AVERAGEIFS(Daily!$E$3:$E$7756,Daily!$B$3:$B$7756,$A43)</f>
        <v>18.329333333333334</v>
      </c>
      <c r="R43" s="3">
        <f>AVERAGEIFS(Daily!$F$3:$F$7756,Daily!$B$3:$B$7756,$A43)</f>
        <v>22.924</v>
      </c>
      <c r="S43" s="3">
        <f>AVERAGEIFS(Daily!$G$3:$G$7756,Daily!$B$3:$B$7756,$A43)</f>
        <v>14.914999999999997</v>
      </c>
      <c r="T43" s="4">
        <f>SUMIFS(Daily!$H$3:$H$7756,Daily!$B$3:$B$7756,$A43)</f>
        <v>37.18</v>
      </c>
      <c r="U43" s="4">
        <f>SUMIFS(Daily!$I$3:$I$7756,Daily!$B$3:$B$7756,$A43)</f>
        <v>21.868</v>
      </c>
      <c r="V43" s="3">
        <f>AVERAGEIFS(Daily!$J$3:$J$7756,Daily!$B$3:$B$7756,$A43)</f>
        <v>18.483999999999998</v>
      </c>
      <c r="W43" s="3">
        <f>AVERAGEIFS(Daily!$K$3:$K$7756,Daily!$B$3:$B$7756,$A43)</f>
        <v>23.107666666666663</v>
      </c>
      <c r="X43" s="3">
        <f>AVERAGEIFS(Daily!$L$3:$L$7756,Daily!$B$3:$B$7756,$A43)</f>
        <v>15.200000000000005</v>
      </c>
      <c r="Y43" s="4">
        <f>SUMIFS(Daily!$M$3:$M$7756,Daily!$B$3:$B$7756,$A43)</f>
        <v>25.13</v>
      </c>
      <c r="Z43" s="4">
        <f>SUMIFS(Daily!$N$3:$N$7756,Daily!$B$3:$B$7756,$A43)</f>
        <v>36.068</v>
      </c>
      <c r="AA43" s="3">
        <f>AVERAGEIFS(Daily!$O$3:$O$7756,Daily!$B$3:$B$7756,$A43)</f>
        <v>18.725666666666665</v>
      </c>
      <c r="AB43" s="3">
        <f>AVERAGEIFS(Daily!$P$3:$P$7756,Daily!$B$3:$B$7756,$A43)</f>
        <v>22.955333333333336</v>
      </c>
      <c r="AC43" s="3">
        <f>AVERAGEIFS(Daily!$Q$3:$Q$7756,Daily!$B$3:$B$7756,$A43)</f>
        <v>15.807333333333332</v>
      </c>
      <c r="AD43" s="4">
        <f>SUMIFS(Daily!$R$3:$R$7756,Daily!$B$3:$B$7756,$A43)</f>
        <v>37.26</v>
      </c>
      <c r="AE43" s="4">
        <f>AVERAGE(P43,U43,Z43)</f>
        <v>20.612666666666666</v>
      </c>
      <c r="AF43" s="3">
        <f>AVERAGE(Q43,V43,AA43)</f>
        <v>18.513</v>
      </c>
      <c r="AG43" s="3">
        <f>AVERAGE(R43,W43,AB43)</f>
        <v>22.995666666666665</v>
      </c>
      <c r="AH43" s="3">
        <f>AVERAGE(S43,X43,AC43)</f>
        <v>15.307444444444444</v>
      </c>
      <c r="AI43" s="4">
        <f>AVERAGE(T43,Y43,AD43)</f>
        <v>33.19</v>
      </c>
    </row>
    <row r="44">
      <c r="A44" s="2" t="inlineStr">
        <is>
          <t xml:space="preserve">2008-12</t>
        </is>
      </c>
      <c r="B44" s="2">
        <v>2008</v>
      </c>
      <c r="C44" s="2">
        <v>12</v>
      </c>
      <c r="D44" s="2" t="inlineStr">
        <is>
          <t xml:space="preserve">Dec</t>
        </is>
      </c>
      <c r="E44" s="2" t="inlineStr">
        <is>
          <t xml:space="preserve">2008/09</t>
        </is>
      </c>
      <c r="F44" s="2">
        <v>6</v>
      </c>
      <c r="G44" s="9">
        <v>39783</v>
      </c>
      <c r="H44" s="9">
        <v>39813</v>
      </c>
      <c r="I44" s="2">
        <f>H44-G44+1</f>
        <v>31</v>
      </c>
      <c r="J44" s="2">
        <f>COUNTIF(Daily!$B$3:$B$7756,A44)</f>
        <v>31</v>
      </c>
      <c r="K44" s="2" t="str">
        <f>IF(J44=I44,"complete","partial ("&amp;J44&amp;" days)")</f>
        <v>complete</v>
      </c>
      <c r="L44" s="3">
        <f>INDEX(ENSO_monthly!$F:$F,MATCH(A44,ENSO_monthly!$A:$A,0))</f>
        <v>-0.79</v>
      </c>
      <c r="M44" s="2" t="str">
        <f>INDEX(ENSO_monthly!$D:$D,MATCH(A44,ENSO_monthly!$A:$A,0))</f>
        <v>NDJ</v>
      </c>
      <c r="N44" s="5" t="str">
        <f>INDEX(ENSO_monthly!$L:$L,MATCH(A44,ENSO_monthly!$A:$A,0))</f>
        <v>La Niña</v>
      </c>
      <c r="O44" s="12" t="str">
        <f>INDEX(ENSO_seasons!$U:$U,MATCH(E44,ENSO_seasons!$A:$A,0))</f>
        <v>La Niña</v>
      </c>
      <c r="P44" s="4">
        <f>SUMIFS(Daily!$D$3:$D$7756,Daily!$B$3:$B$7756,$A44)</f>
        <v>6.58</v>
      </c>
      <c r="Q44" s="3">
        <f>AVERAGEIFS(Daily!$E$3:$E$7756,Daily!$B$3:$B$7756,$A44)</f>
        <v>18.084193548387102</v>
      </c>
      <c r="R44" s="3">
        <f>AVERAGEIFS(Daily!$F$3:$F$7756,Daily!$B$3:$B$7756,$A44)</f>
        <v>22.96193548387097</v>
      </c>
      <c r="S44" s="3">
        <f>AVERAGEIFS(Daily!$G$3:$G$7756,Daily!$B$3:$B$7756,$A44)</f>
        <v>14.528064516129033</v>
      </c>
      <c r="T44" s="4">
        <f>SUMIFS(Daily!$H$3:$H$7756,Daily!$B$3:$B$7756,$A44)</f>
        <v>23.44</v>
      </c>
      <c r="U44" s="4">
        <f>SUMIFS(Daily!$I$3:$I$7756,Daily!$B$3:$B$7756,$A44)</f>
        <v>58.165</v>
      </c>
      <c r="V44" s="3">
        <f>AVERAGEIFS(Daily!$J$3:$J$7756,Daily!$B$3:$B$7756,$A44)</f>
        <v>18.619032258064514</v>
      </c>
      <c r="W44" s="3">
        <f>AVERAGEIFS(Daily!$K$3:$K$7756,Daily!$B$3:$B$7756,$A44)</f>
        <v>23.618387096774196</v>
      </c>
      <c r="X44" s="3">
        <f>AVERAGEIFS(Daily!$L$3:$L$7756,Daily!$B$3:$B$7756,$A44)</f>
        <v>14.909354838709678</v>
      </c>
      <c r="Y44" s="4">
        <f>SUMIFS(Daily!$M$3:$M$7756,Daily!$B$3:$B$7756,$A44)</f>
        <v>61.45</v>
      </c>
      <c r="Z44" s="4">
        <f>SUMIFS(Daily!$N$3:$N$7756,Daily!$B$3:$B$7756,$A44)</f>
        <v>87.874</v>
      </c>
      <c r="AA44" s="3">
        <f>AVERAGEIFS(Daily!$O$3:$O$7756,Daily!$B$3:$B$7756,$A44)</f>
        <v>18.797096774193548</v>
      </c>
      <c r="AB44" s="3">
        <f>AVERAGEIFS(Daily!$P$3:$P$7756,Daily!$B$3:$B$7756,$A44)</f>
        <v>23.101612903225806</v>
      </c>
      <c r="AC44" s="3">
        <f>AVERAGEIFS(Daily!$Q$3:$Q$7756,Daily!$B$3:$B$7756,$A44)</f>
        <v>15.744838709677419</v>
      </c>
      <c r="AD44" s="4">
        <f>SUMIFS(Daily!$R$3:$R$7756,Daily!$B$3:$B$7756,$A44)</f>
        <v>93.49</v>
      </c>
      <c r="AE44" s="4">
        <f>AVERAGE(P44,U44,Z44)</f>
        <v>50.873</v>
      </c>
      <c r="AF44" s="3">
        <f>AVERAGE(Q44,V44,AA44)</f>
        <v>18.50010752688172</v>
      </c>
      <c r="AG44" s="3">
        <f>AVERAGE(R44,W44,AB44)</f>
        <v>23.227311827956992</v>
      </c>
      <c r="AH44" s="3">
        <f>AVERAGE(S44,X44,AC44)</f>
        <v>15.060752688172043</v>
      </c>
      <c r="AI44" s="4">
        <f>AVERAGE(T44,Y44,AD44)</f>
        <v>59.46</v>
      </c>
    </row>
    <row r="45">
      <c r="A45" s="2" t="inlineStr">
        <is>
          <t xml:space="preserve">2009-01</t>
        </is>
      </c>
      <c r="B45" s="2">
        <v>2009</v>
      </c>
      <c r="C45" s="2">
        <v>1</v>
      </c>
      <c r="D45" s="2" t="inlineStr">
        <is>
          <t xml:space="preserve">Jan</t>
        </is>
      </c>
      <c r="E45" s="2" t="inlineStr">
        <is>
          <t xml:space="preserve">2008/09</t>
        </is>
      </c>
      <c r="F45" s="2">
        <v>7</v>
      </c>
      <c r="G45" s="9">
        <v>39814</v>
      </c>
      <c r="H45" s="9">
        <v>39844</v>
      </c>
      <c r="I45" s="2">
        <f>H45-G45+1</f>
        <v>31</v>
      </c>
      <c r="J45" s="2">
        <f>COUNTIF(Daily!$B$3:$B$7756,A45)</f>
        <v>31</v>
      </c>
      <c r="K45" s="2" t="str">
        <f>IF(J45=I45,"complete","partial ("&amp;J45&amp;" days)")</f>
        <v>complete</v>
      </c>
      <c r="L45" s="3">
        <f>INDEX(ENSO_monthly!$F:$F,MATCH(A45,ENSO_monthly!$A:$A,0))</f>
        <v>-0.89</v>
      </c>
      <c r="M45" s="2" t="str">
        <f>INDEX(ENSO_monthly!$D:$D,MATCH(A45,ENSO_monthly!$A:$A,0))</f>
        <v>DJF</v>
      </c>
      <c r="N45" s="5" t="str">
        <f>INDEX(ENSO_monthly!$L:$L,MATCH(A45,ENSO_monthly!$A:$A,0))</f>
        <v>La Niña</v>
      </c>
      <c r="O45" s="12" t="str">
        <f>INDEX(ENSO_seasons!$U:$U,MATCH(E45,ENSO_seasons!$A:$A,0))</f>
        <v>La Niña</v>
      </c>
      <c r="P45" s="4">
        <f>SUMIFS(Daily!$D$3:$D$7756,Daily!$B$3:$B$7756,$A45)</f>
        <v>4.084</v>
      </c>
      <c r="Q45" s="3">
        <f>AVERAGEIFS(Daily!$E$3:$E$7756,Daily!$B$3:$B$7756,$A45)</f>
        <v>18.124838709677416</v>
      </c>
      <c r="R45" s="3">
        <f>AVERAGEIFS(Daily!$F$3:$F$7756,Daily!$B$3:$B$7756,$A45)</f>
        <v>23.47741935483871</v>
      </c>
      <c r="S45" s="3">
        <f>AVERAGEIFS(Daily!$G$3:$G$7756,Daily!$B$3:$B$7756,$A45)</f>
        <v>14.104516129032257</v>
      </c>
      <c r="T45" s="4">
        <f>SUMIFS(Daily!$H$3:$H$7756,Daily!$B$3:$B$7756,$A45)</f>
        <v>22.48</v>
      </c>
      <c r="U45" s="4">
        <f>SUMIFS(Daily!$I$3:$I$7756,Daily!$B$3:$B$7756,$A45)</f>
        <v>8.723</v>
      </c>
      <c r="V45" s="3">
        <f>AVERAGEIFS(Daily!$J$3:$J$7756,Daily!$B$3:$B$7756,$A45)</f>
        <v>18.591612903225805</v>
      </c>
      <c r="W45" s="3">
        <f>AVERAGEIFS(Daily!$K$3:$K$7756,Daily!$B$3:$B$7756,$A45)</f>
        <v>23.668387096774186</v>
      </c>
      <c r="X45" s="3">
        <f>AVERAGEIFS(Daily!$L$3:$L$7756,Daily!$B$3:$B$7756,$A45)</f>
        <v>14.985806451612905</v>
      </c>
      <c r="Y45" s="4">
        <f>SUMIFS(Daily!$M$3:$M$7756,Daily!$B$3:$B$7756,$A45)</f>
        <v>35.36</v>
      </c>
      <c r="Z45" s="4">
        <f>SUMIFS(Daily!$N$3:$N$7756,Daily!$B$3:$B$7756,$A45)</f>
        <v>36.652</v>
      </c>
      <c r="AA45" s="3">
        <f>AVERAGEIFS(Daily!$O$3:$O$7756,Daily!$B$3:$B$7756,$A45)</f>
        <v>18.77709677419354</v>
      </c>
      <c r="AB45" s="3">
        <f>AVERAGEIFS(Daily!$P$3:$P$7756,Daily!$B$3:$B$7756,$A45)</f>
        <v>23.11290322580645</v>
      </c>
      <c r="AC45" s="3">
        <f>AVERAGEIFS(Daily!$Q$3:$Q$7756,Daily!$B$3:$B$7756,$A45)</f>
        <v>15.848709677419356</v>
      </c>
      <c r="AD45" s="4">
        <f>SUMIFS(Daily!$R$3:$R$7756,Daily!$B$3:$B$7756,$A45)</f>
        <v>106.5</v>
      </c>
      <c r="AE45" s="4">
        <f>AVERAGE(P45,U45,Z45)</f>
        <v>16.486333333333334</v>
      </c>
      <c r="AF45" s="3">
        <f>AVERAGE(Q45,V45,AA45)</f>
        <v>18.49784946236559</v>
      </c>
      <c r="AG45" s="3">
        <f>AVERAGE(R45,W45,AB45)</f>
        <v>23.419569892473117</v>
      </c>
      <c r="AH45" s="3">
        <f>AVERAGE(S45,X45,AC45)</f>
        <v>14.979677419354841</v>
      </c>
      <c r="AI45" s="4">
        <f>AVERAGE(T45,Y45,AD45)</f>
        <v>54.78</v>
      </c>
    </row>
    <row r="46">
      <c r="A46" s="2" t="inlineStr">
        <is>
          <t xml:space="preserve">2009-02</t>
        </is>
      </c>
      <c r="B46" s="2">
        <v>2009</v>
      </c>
      <c r="C46" s="2">
        <v>2</v>
      </c>
      <c r="D46" s="2" t="inlineStr">
        <is>
          <t xml:space="preserve">Feb</t>
        </is>
      </c>
      <c r="E46" s="2" t="inlineStr">
        <is>
          <t xml:space="preserve">2008/09</t>
        </is>
      </c>
      <c r="F46" s="2">
        <v>8</v>
      </c>
      <c r="G46" s="9">
        <v>39845</v>
      </c>
      <c r="H46" s="9">
        <v>39872</v>
      </c>
      <c r="I46" s="2">
        <f>H46-G46+1</f>
        <v>28</v>
      </c>
      <c r="J46" s="2">
        <f>COUNTIF(Daily!$B$3:$B$7756,A46)</f>
        <v>28</v>
      </c>
      <c r="K46" s="2" t="str">
        <f>IF(J46=I46,"complete","partial ("&amp;J46&amp;" days)")</f>
        <v>complete</v>
      </c>
      <c r="L46" s="3">
        <f>INDEX(ENSO_monthly!$F:$F,MATCH(A46,ENSO_monthly!$A:$A,0))</f>
        <v>-0.84</v>
      </c>
      <c r="M46" s="2" t="str">
        <f>INDEX(ENSO_monthly!$D:$D,MATCH(A46,ENSO_monthly!$A:$A,0))</f>
        <v>JFM</v>
      </c>
      <c r="N46" s="5" t="str">
        <f>INDEX(ENSO_monthly!$L:$L,MATCH(A46,ENSO_monthly!$A:$A,0))</f>
        <v>La Niña</v>
      </c>
      <c r="O46" s="12" t="str">
        <f>INDEX(ENSO_seasons!$U:$U,MATCH(E46,ENSO_seasons!$A:$A,0))</f>
        <v>La Niña</v>
      </c>
      <c r="P46" s="4">
        <f>SUMIFS(Daily!$D$3:$D$7756,Daily!$B$3:$B$7756,$A46)</f>
        <v>4.438</v>
      </c>
      <c r="Q46" s="3">
        <f>AVERAGEIFS(Daily!$E$3:$E$7756,Daily!$B$3:$B$7756,$A46)</f>
        <v>19.190714285714286</v>
      </c>
      <c r="R46" s="3">
        <f>AVERAGEIFS(Daily!$F$3:$F$7756,Daily!$B$3:$B$7756,$A46)</f>
        <v>25.664999999999996</v>
      </c>
      <c r="S46" s="3">
        <f>AVERAGEIFS(Daily!$G$3:$G$7756,Daily!$B$3:$B$7756,$A46)</f>
        <v>14.487142857142857</v>
      </c>
      <c r="T46" s="4">
        <f>SUMIFS(Daily!$H$3:$H$7756,Daily!$B$3:$B$7756,$A46)</f>
        <v>27.68</v>
      </c>
      <c r="U46" s="4">
        <f>SUMIFS(Daily!$I$3:$I$7756,Daily!$B$3:$B$7756,$A46)</f>
        <v>29.413</v>
      </c>
      <c r="V46" s="3">
        <f>AVERAGEIFS(Daily!$J$3:$J$7756,Daily!$B$3:$B$7756,$A46)</f>
        <v>19.25321428571429</v>
      </c>
      <c r="W46" s="3">
        <f>AVERAGEIFS(Daily!$K$3:$K$7756,Daily!$B$3:$B$7756,$A46)</f>
        <v>24.902142857142852</v>
      </c>
      <c r="X46" s="3">
        <f>AVERAGEIFS(Daily!$L$3:$L$7756,Daily!$B$3:$B$7756,$A46)</f>
        <v>15.141071428571431</v>
      </c>
      <c r="Y46" s="4">
        <f>SUMIFS(Daily!$M$3:$M$7756,Daily!$B$3:$B$7756,$A46)</f>
        <v>57.71</v>
      </c>
      <c r="Z46" s="4">
        <f>SUMIFS(Daily!$N$3:$N$7756,Daily!$B$3:$B$7756,$A46)</f>
        <v>110.994</v>
      </c>
      <c r="AA46" s="3">
        <f>AVERAGEIFS(Daily!$O$3:$O$7756,Daily!$B$3:$B$7756,$A46)</f>
        <v>18.893214285714286</v>
      </c>
      <c r="AB46" s="3">
        <f>AVERAGEIFS(Daily!$P$3:$P$7756,Daily!$B$3:$B$7756,$A46)</f>
        <v>23.434642857142848</v>
      </c>
      <c r="AC46" s="3">
        <f>AVERAGEIFS(Daily!$Q$3:$Q$7756,Daily!$B$3:$B$7756,$A46)</f>
        <v>15.776785714285714</v>
      </c>
      <c r="AD46" s="4">
        <f>SUMIFS(Daily!$R$3:$R$7756,Daily!$B$3:$B$7756,$A46)</f>
        <v>106.02</v>
      </c>
      <c r="AE46" s="4">
        <f>AVERAGE(P46,U46,Z46)</f>
        <v>48.281666666666666</v>
      </c>
      <c r="AF46" s="3">
        <f>AVERAGE(Q46,V46,AA46)</f>
        <v>19.112380952380953</v>
      </c>
      <c r="AG46" s="3">
        <f>AVERAGE(R46,W46,AB46)</f>
        <v>24.667261904761897</v>
      </c>
      <c r="AH46" s="3">
        <f>AVERAGE(S46,X46,AC46)</f>
        <v>15.135</v>
      </c>
      <c r="AI46" s="4">
        <f>AVERAGE(T46,Y46,AD46)</f>
        <v>63.803333333333335</v>
      </c>
    </row>
    <row r="47">
      <c r="A47" s="2" t="inlineStr">
        <is>
          <t xml:space="preserve">2009-03</t>
        </is>
      </c>
      <c r="B47" s="2">
        <v>2009</v>
      </c>
      <c r="C47" s="2">
        <v>3</v>
      </c>
      <c r="D47" s="2" t="inlineStr">
        <is>
          <t xml:space="preserve">Mar</t>
        </is>
      </c>
      <c r="E47" s="2" t="inlineStr">
        <is>
          <t xml:space="preserve">2008/09</t>
        </is>
      </c>
      <c r="F47" s="2">
        <v>9</v>
      </c>
      <c r="G47" s="9">
        <v>39873</v>
      </c>
      <c r="H47" s="9">
        <v>39903</v>
      </c>
      <c r="I47" s="2">
        <f>H47-G47+1</f>
        <v>31</v>
      </c>
      <c r="J47" s="2">
        <f>COUNTIF(Daily!$B$3:$B$7756,A47)</f>
        <v>31</v>
      </c>
      <c r="K47" s="2" t="str">
        <f>IF(J47=I47,"complete","partial ("&amp;J47&amp;" days)")</f>
        <v>complete</v>
      </c>
      <c r="L47" s="3">
        <f>INDEX(ENSO_monthly!$F:$F,MATCH(A47,ENSO_monthly!$A:$A,0))</f>
        <v>-0.63</v>
      </c>
      <c r="M47" s="2" t="str">
        <f>INDEX(ENSO_monthly!$D:$D,MATCH(A47,ENSO_monthly!$A:$A,0))</f>
        <v>FMA</v>
      </c>
      <c r="N47" s="5" t="str">
        <f>INDEX(ENSO_monthly!$L:$L,MATCH(A47,ENSO_monthly!$A:$A,0))</f>
        <v>La Niña</v>
      </c>
      <c r="O47" s="12" t="str">
        <f>INDEX(ENSO_seasons!$U:$U,MATCH(E47,ENSO_seasons!$A:$A,0))</f>
        <v>La Niña</v>
      </c>
      <c r="P47" s="4">
        <f>SUMIFS(Daily!$D$3:$D$7756,Daily!$B$3:$B$7756,$A47)</f>
        <v>1.058</v>
      </c>
      <c r="Q47" s="3">
        <f>AVERAGEIFS(Daily!$E$3:$E$7756,Daily!$B$3:$B$7756,$A47)</f>
        <v>20.811612903225804</v>
      </c>
      <c r="R47" s="3">
        <f>AVERAGEIFS(Daily!$F$3:$F$7756,Daily!$B$3:$B$7756,$A47)</f>
        <v>28.69032258064517</v>
      </c>
      <c r="S47" s="3">
        <f>AVERAGEIFS(Daily!$G$3:$G$7756,Daily!$B$3:$B$7756,$A47)</f>
        <v>14.575806451612907</v>
      </c>
      <c r="T47" s="4">
        <f>SUMIFS(Daily!$H$3:$H$7756,Daily!$B$3:$B$7756,$A47)</f>
        <v>7.66</v>
      </c>
      <c r="U47" s="4">
        <f>SUMIFS(Daily!$I$3:$I$7756,Daily!$B$3:$B$7756,$A47)</f>
        <v>3.56</v>
      </c>
      <c r="V47" s="3">
        <f>AVERAGEIFS(Daily!$J$3:$J$7756,Daily!$B$3:$B$7756,$A47)</f>
        <v>20.400645161290328</v>
      </c>
      <c r="W47" s="3">
        <f>AVERAGEIFS(Daily!$K$3:$K$7756,Daily!$B$3:$B$7756,$A47)</f>
        <v>27.29064516129033</v>
      </c>
      <c r="X47" s="3">
        <f>AVERAGEIFS(Daily!$L$3:$L$7756,Daily!$B$3:$B$7756,$A47)</f>
        <v>15.044838709677418</v>
      </c>
      <c r="Y47" s="4">
        <f>SUMIFS(Daily!$M$3:$M$7756,Daily!$B$3:$B$7756,$A47)</f>
        <v>8.8</v>
      </c>
      <c r="Z47" s="4">
        <f>SUMIFS(Daily!$N$3:$N$7756,Daily!$B$3:$B$7756,$A47)</f>
        <v>13.823</v>
      </c>
      <c r="AA47" s="3">
        <f>AVERAGEIFS(Daily!$O$3:$O$7756,Daily!$B$3:$B$7756,$A47)</f>
        <v>19.4041935483871</v>
      </c>
      <c r="AB47" s="3">
        <f>AVERAGEIFS(Daily!$P$3:$P$7756,Daily!$B$3:$B$7756,$A47)</f>
        <v>24.867096774193545</v>
      </c>
      <c r="AC47" s="3">
        <f>AVERAGEIFS(Daily!$Q$3:$Q$7756,Daily!$B$3:$B$7756,$A47)</f>
        <v>15.131612903225806</v>
      </c>
      <c r="AD47" s="4">
        <f>SUMIFS(Daily!$R$3:$R$7756,Daily!$B$3:$B$7756,$A47)</f>
        <v>19.86</v>
      </c>
      <c r="AE47" s="4">
        <f>AVERAGE(P47,U47,Z47)</f>
        <v>6.147000000000001</v>
      </c>
      <c r="AF47" s="3">
        <f>AVERAGE(Q47,V47,AA47)</f>
        <v>20.205483870967743</v>
      </c>
      <c r="AG47" s="3">
        <f>AVERAGE(R47,W47,AB47)</f>
        <v>26.94935483870968</v>
      </c>
      <c r="AH47" s="3">
        <f>AVERAGE(S47,X47,AC47)</f>
        <v>14.917419354838712</v>
      </c>
      <c r="AI47" s="4">
        <f>AVERAGE(T47,Y47,AD47)</f>
        <v>12.106666666666667</v>
      </c>
    </row>
    <row r="48">
      <c r="A48" s="2" t="inlineStr">
        <is>
          <t xml:space="preserve">2009-04</t>
        </is>
      </c>
      <c r="B48" s="2">
        <v>2009</v>
      </c>
      <c r="C48" s="2">
        <v>4</v>
      </c>
      <c r="D48" s="2" t="inlineStr">
        <is>
          <t xml:space="preserve">Apr</t>
        </is>
      </c>
      <c r="E48" s="2" t="inlineStr">
        <is>
          <t xml:space="preserve">2008/09</t>
        </is>
      </c>
      <c r="F48" s="2">
        <v>10</v>
      </c>
      <c r="G48" s="9">
        <v>39904</v>
      </c>
      <c r="H48" s="9">
        <v>39933</v>
      </c>
      <c r="I48" s="2">
        <f>H48-G48+1</f>
        <v>30</v>
      </c>
      <c r="J48" s="2">
        <f>COUNTIF(Daily!$B$3:$B$7756,A48)</f>
        <v>30</v>
      </c>
      <c r="K48" s="2" t="str">
        <f>IF(J48=I48,"complete","partial ("&amp;J48&amp;" days)")</f>
        <v>complete</v>
      </c>
      <c r="L48" s="3">
        <f>INDEX(ENSO_monthly!$F:$F,MATCH(A48,ENSO_monthly!$A:$A,0))</f>
        <v>-0.35</v>
      </c>
      <c r="M48" s="2" t="str">
        <f>INDEX(ENSO_monthly!$D:$D,MATCH(A48,ENSO_monthly!$A:$A,0))</f>
        <v>MAM</v>
      </c>
      <c r="N48" s="2" t="str">
        <f>INDEX(ENSO_monthly!$L:$L,MATCH(A48,ENSO_monthly!$A:$A,0))</f>
        <v>—</v>
      </c>
      <c r="O48" s="12" t="str">
        <f>INDEX(ENSO_seasons!$U:$U,MATCH(E48,ENSO_seasons!$A:$A,0))</f>
        <v>La Niña</v>
      </c>
      <c r="P48" s="4">
        <f>SUMIFS(Daily!$D$3:$D$7756,Daily!$B$3:$B$7756,$A48)</f>
        <v>9.363</v>
      </c>
      <c r="Q48" s="3">
        <f>AVERAGEIFS(Daily!$E$3:$E$7756,Daily!$B$3:$B$7756,$A48)</f>
        <v>24.516000000000002</v>
      </c>
      <c r="R48" s="3">
        <f>AVERAGEIFS(Daily!$F$3:$F$7756,Daily!$B$3:$B$7756,$A48)</f>
        <v>32.74</v>
      </c>
      <c r="S48" s="3">
        <f>AVERAGEIFS(Daily!$G$3:$G$7756,Daily!$B$3:$B$7756,$A48)</f>
        <v>17.651999999999997</v>
      </c>
      <c r="T48" s="4">
        <f>SUMIFS(Daily!$H$3:$H$7756,Daily!$B$3:$B$7756,$A48)</f>
        <v>11.31</v>
      </c>
      <c r="U48" s="4">
        <f>SUMIFS(Daily!$I$3:$I$7756,Daily!$B$3:$B$7756,$A48)</f>
        <v>19.22</v>
      </c>
      <c r="V48" s="3">
        <f>AVERAGEIFS(Daily!$J$3:$J$7756,Daily!$B$3:$B$7756,$A48)</f>
        <v>24.37166666666667</v>
      </c>
      <c r="W48" s="3">
        <f>AVERAGEIFS(Daily!$K$3:$K$7756,Daily!$B$3:$B$7756,$A48)</f>
        <v>31.735666666666663</v>
      </c>
      <c r="X48" s="3">
        <f>AVERAGEIFS(Daily!$L$3:$L$7756,Daily!$B$3:$B$7756,$A48)</f>
        <v>18.454666666666665</v>
      </c>
      <c r="Y48" s="4">
        <f>SUMIFS(Daily!$M$3:$M$7756,Daily!$B$3:$B$7756,$A48)</f>
        <v>21.33</v>
      </c>
      <c r="Z48" s="4">
        <f>SUMIFS(Daily!$N$3:$N$7756,Daily!$B$3:$B$7756,$A48)</f>
        <v>25.006</v>
      </c>
      <c r="AA48" s="3">
        <f>AVERAGEIFS(Daily!$O$3:$O$7756,Daily!$B$3:$B$7756,$A48)</f>
        <v>23.269666666666662</v>
      </c>
      <c r="AB48" s="3">
        <f>AVERAGEIFS(Daily!$P$3:$P$7756,Daily!$B$3:$B$7756,$A48)</f>
        <v>29.832666666666665</v>
      </c>
      <c r="AC48" s="3">
        <f>AVERAGEIFS(Daily!$Q$3:$Q$7756,Daily!$B$3:$B$7756,$A48)</f>
        <v>18.374666666666666</v>
      </c>
      <c r="AD48" s="4">
        <f>SUMIFS(Daily!$R$3:$R$7756,Daily!$B$3:$B$7756,$A48)</f>
        <v>36.01</v>
      </c>
      <c r="AE48" s="4">
        <f>AVERAGE(P48,U48,Z48)</f>
        <v>17.863</v>
      </c>
      <c r="AF48" s="3">
        <f>AVERAGE(Q48,V48,AA48)</f>
        <v>24.052444444444447</v>
      </c>
      <c r="AG48" s="3">
        <f>AVERAGE(R48,W48,AB48)</f>
        <v>31.436111111111114</v>
      </c>
      <c r="AH48" s="3">
        <f>AVERAGE(S48,X48,AC48)</f>
        <v>18.16044444444444</v>
      </c>
      <c r="AI48" s="4">
        <f>AVERAGE(T48,Y48,AD48)</f>
        <v>22.883333333333336</v>
      </c>
    </row>
    <row r="49">
      <c r="A49" s="2" t="inlineStr">
        <is>
          <t xml:space="preserve">2009-05</t>
        </is>
      </c>
      <c r="B49" s="2">
        <v>2009</v>
      </c>
      <c r="C49" s="2">
        <v>5</v>
      </c>
      <c r="D49" s="2" t="inlineStr">
        <is>
          <t xml:space="preserve">May</t>
        </is>
      </c>
      <c r="E49" s="2" t="inlineStr">
        <is>
          <t xml:space="preserve">2008/09</t>
        </is>
      </c>
      <c r="F49" s="2">
        <v>11</v>
      </c>
      <c r="G49" s="9">
        <v>39934</v>
      </c>
      <c r="H49" s="9">
        <v>39964</v>
      </c>
      <c r="I49" s="2">
        <f>H49-G49+1</f>
        <v>31</v>
      </c>
      <c r="J49" s="2">
        <f>COUNTIF(Daily!$B$3:$B$7756,A49)</f>
        <v>31</v>
      </c>
      <c r="K49" s="2" t="str">
        <f>IF(J49=I49,"complete","partial ("&amp;J49&amp;" days)")</f>
        <v>complete</v>
      </c>
      <c r="L49" s="3">
        <f>INDEX(ENSO_monthly!$F:$F,MATCH(A49,ENSO_monthly!$A:$A,0))</f>
        <v>0.03</v>
      </c>
      <c r="M49" s="2" t="str">
        <f>INDEX(ENSO_monthly!$D:$D,MATCH(A49,ENSO_monthly!$A:$A,0))</f>
        <v>AMJ</v>
      </c>
      <c r="N49" s="2" t="str">
        <f>INDEX(ENSO_monthly!$L:$L,MATCH(A49,ENSO_monthly!$A:$A,0))</f>
        <v>—</v>
      </c>
      <c r="O49" s="12" t="str">
        <f>INDEX(ENSO_seasons!$U:$U,MATCH(E49,ENSO_seasons!$A:$A,0))</f>
        <v>La Niña</v>
      </c>
      <c r="P49" s="4">
        <f>SUMIFS(Daily!$D$3:$D$7756,Daily!$B$3:$B$7756,$A49)</f>
        <v>247.94</v>
      </c>
      <c r="Q49" s="3">
        <f>AVERAGEIFS(Daily!$E$3:$E$7756,Daily!$B$3:$B$7756,$A49)</f>
        <v>23.329032258064515</v>
      </c>
      <c r="R49" s="3">
        <f>AVERAGEIFS(Daily!$F$3:$F$7756,Daily!$B$3:$B$7756,$A49)</f>
        <v>28.9732258064516</v>
      </c>
      <c r="S49" s="3">
        <f>AVERAGEIFS(Daily!$G$3:$G$7756,Daily!$B$3:$B$7756,$A49)</f>
        <v>19.172580645161286</v>
      </c>
      <c r="T49" s="4">
        <f>SUMIFS(Daily!$H$3:$H$7756,Daily!$B$3:$B$7756,$A49)</f>
        <v>167.04</v>
      </c>
      <c r="U49" s="4">
        <f>SUMIFS(Daily!$I$3:$I$7756,Daily!$B$3:$B$7756,$A49)</f>
        <v>194.216</v>
      </c>
      <c r="V49" s="3">
        <f>AVERAGEIFS(Daily!$J$3:$J$7756,Daily!$B$3:$B$7756,$A49)</f>
        <v>23.5441935483871</v>
      </c>
      <c r="W49" s="3">
        <f>AVERAGEIFS(Daily!$K$3:$K$7756,Daily!$B$3:$B$7756,$A49)</f>
        <v>28.564516129032253</v>
      </c>
      <c r="X49" s="3">
        <f>AVERAGEIFS(Daily!$L$3:$L$7756,Daily!$B$3:$B$7756,$A49)</f>
        <v>19.690967741935477</v>
      </c>
      <c r="Y49" s="4">
        <f>SUMIFS(Daily!$M$3:$M$7756,Daily!$B$3:$B$7756,$A49)</f>
        <v>182.4</v>
      </c>
      <c r="Z49" s="4">
        <f>SUMIFS(Daily!$N$3:$N$7756,Daily!$B$3:$B$7756,$A49)</f>
        <v>197.946</v>
      </c>
      <c r="AA49" s="3">
        <f>AVERAGEIFS(Daily!$O$3:$O$7756,Daily!$B$3:$B$7756,$A49)</f>
        <v>23.349677419354844</v>
      </c>
      <c r="AB49" s="3">
        <f>AVERAGEIFS(Daily!$P$3:$P$7756,Daily!$B$3:$B$7756,$A49)</f>
        <v>28.265806451612907</v>
      </c>
      <c r="AC49" s="3">
        <f>AVERAGEIFS(Daily!$Q$3:$Q$7756,Daily!$B$3:$B$7756,$A49)</f>
        <v>19.774193548387093</v>
      </c>
      <c r="AD49" s="4">
        <f>SUMIFS(Daily!$R$3:$R$7756,Daily!$B$3:$B$7756,$A49)</f>
        <v>161.06</v>
      </c>
      <c r="AE49" s="4">
        <f>AVERAGE(P49,U49,Z49)</f>
        <v>213.36733333333333</v>
      </c>
      <c r="AF49" s="3">
        <f>AVERAGE(Q49,V49,AA49)</f>
        <v>23.407634408602153</v>
      </c>
      <c r="AG49" s="3">
        <f>AVERAGE(R49,W49,AB49)</f>
        <v>28.601182795698918</v>
      </c>
      <c r="AH49" s="3">
        <f>AVERAGE(S49,X49,AC49)</f>
        <v>19.54591397849462</v>
      </c>
      <c r="AI49" s="4">
        <f>AVERAGE(T49,Y49,AD49)</f>
        <v>170.16666666666666</v>
      </c>
    </row>
    <row r="50">
      <c r="A50" s="2" t="inlineStr">
        <is>
          <t xml:space="preserve">2009-06</t>
        </is>
      </c>
      <c r="B50" s="2">
        <v>2009</v>
      </c>
      <c r="C50" s="2">
        <v>6</v>
      </c>
      <c r="D50" s="2" t="inlineStr">
        <is>
          <t xml:space="preserve">Jun</t>
        </is>
      </c>
      <c r="E50" s="2" t="inlineStr">
        <is>
          <t xml:space="preserve">2008/09</t>
        </is>
      </c>
      <c r="F50" s="2">
        <v>12</v>
      </c>
      <c r="G50" s="9">
        <v>39965</v>
      </c>
      <c r="H50" s="9">
        <v>39994</v>
      </c>
      <c r="I50" s="2">
        <f>H50-G50+1</f>
        <v>30</v>
      </c>
      <c r="J50" s="2">
        <f>COUNTIF(Daily!$B$3:$B$7756,A50)</f>
        <v>30</v>
      </c>
      <c r="K50" s="2" t="str">
        <f>IF(J50=I50,"complete","partial ("&amp;J50&amp;" days)")</f>
        <v>complete</v>
      </c>
      <c r="L50" s="3">
        <f>INDEX(ENSO_monthly!$F:$F,MATCH(A50,ENSO_monthly!$A:$A,0))</f>
        <v>0.34</v>
      </c>
      <c r="M50" s="2" t="str">
        <f>INDEX(ENSO_monthly!$D:$D,MATCH(A50,ENSO_monthly!$A:$A,0))</f>
        <v>MJJ</v>
      </c>
      <c r="N50" s="2" t="str">
        <f>INDEX(ENSO_monthly!$L:$L,MATCH(A50,ENSO_monthly!$A:$A,0))</f>
        <v>—</v>
      </c>
      <c r="O50" s="12" t="str">
        <f>INDEX(ENSO_seasons!$U:$U,MATCH(E50,ENSO_seasons!$A:$A,0))</f>
        <v>La Niña</v>
      </c>
      <c r="P50" s="4">
        <f>SUMIFS(Daily!$D$3:$D$7756,Daily!$B$3:$B$7756,$A50)</f>
        <v>351.166</v>
      </c>
      <c r="Q50" s="3">
        <f>AVERAGEIFS(Daily!$E$3:$E$7756,Daily!$B$3:$B$7756,$A50)</f>
        <v>22.43133333333333</v>
      </c>
      <c r="R50" s="3">
        <f>AVERAGEIFS(Daily!$F$3:$F$7756,Daily!$B$3:$B$7756,$A50)</f>
        <v>27.170333333333325</v>
      </c>
      <c r="S50" s="3">
        <f>AVERAGEIFS(Daily!$G$3:$G$7756,Daily!$B$3:$B$7756,$A50)</f>
        <v>18.756333333333327</v>
      </c>
      <c r="T50" s="4">
        <f>SUMIFS(Daily!$H$3:$H$7756,Daily!$B$3:$B$7756,$A50)</f>
        <v>285.42</v>
      </c>
      <c r="U50" s="4">
        <f>SUMIFS(Daily!$I$3:$I$7756,Daily!$B$3:$B$7756,$A50)</f>
        <v>132.516</v>
      </c>
      <c r="V50" s="3">
        <f>AVERAGEIFS(Daily!$J$3:$J$7756,Daily!$B$3:$B$7756,$A50)</f>
        <v>23.090666666666667</v>
      </c>
      <c r="W50" s="3">
        <f>AVERAGEIFS(Daily!$K$3:$K$7756,Daily!$B$3:$B$7756,$A50)</f>
        <v>27.50166666666667</v>
      </c>
      <c r="X50" s="3">
        <f>AVERAGEIFS(Daily!$L$3:$L$7756,Daily!$B$3:$B$7756,$A50)</f>
        <v>19.514666666666667</v>
      </c>
      <c r="Y50" s="4">
        <f>SUMIFS(Daily!$M$3:$M$7756,Daily!$B$3:$B$7756,$A50)</f>
        <v>182.64</v>
      </c>
      <c r="Z50" s="4">
        <f>SUMIFS(Daily!$N$3:$N$7756,Daily!$B$3:$B$7756,$A50)</f>
        <v>218.581</v>
      </c>
      <c r="AA50" s="3">
        <f>AVERAGEIFS(Daily!$O$3:$O$7756,Daily!$B$3:$B$7756,$A50)</f>
        <v>23.442333333333334</v>
      </c>
      <c r="AB50" s="3">
        <f>AVERAGEIFS(Daily!$P$3:$P$7756,Daily!$B$3:$B$7756,$A50)</f>
        <v>28.12466666666667</v>
      </c>
      <c r="AC50" s="3">
        <f>AVERAGEIFS(Daily!$Q$3:$Q$7756,Daily!$B$3:$B$7756,$A50)</f>
        <v>20.06166666666666</v>
      </c>
      <c r="AD50" s="4">
        <f>SUMIFS(Daily!$R$3:$R$7756,Daily!$B$3:$B$7756,$A50)</f>
        <v>190.5</v>
      </c>
      <c r="AE50" s="4">
        <f>AVERAGE(P50,U50,Z50)</f>
        <v>234.08766666666668</v>
      </c>
      <c r="AF50" s="3">
        <f>AVERAGE(Q50,V50,AA50)</f>
        <v>22.98811111111111</v>
      </c>
      <c r="AG50" s="3">
        <f>AVERAGE(R50,W50,AB50)</f>
        <v>27.59888888888889</v>
      </c>
      <c r="AH50" s="3">
        <f>AVERAGE(S50,X50,AC50)</f>
        <v>19.44422222222222</v>
      </c>
      <c r="AI50" s="4">
        <f>AVERAGE(T50,Y50,AD50)</f>
        <v>219.51999999999998</v>
      </c>
    </row>
    <row r="51">
      <c r="A51" s="2" t="inlineStr">
        <is>
          <t xml:space="preserve">2009-07</t>
        </is>
      </c>
      <c r="B51" s="2">
        <v>2009</v>
      </c>
      <c r="C51" s="2">
        <v>7</v>
      </c>
      <c r="D51" s="2" t="inlineStr">
        <is>
          <t xml:space="preserve">Jul</t>
        </is>
      </c>
      <c r="E51" s="2" t="inlineStr">
        <is>
          <t xml:space="preserve">2009/10</t>
        </is>
      </c>
      <c r="F51" s="2">
        <v>1</v>
      </c>
      <c r="G51" s="9">
        <v>39995</v>
      </c>
      <c r="H51" s="9">
        <v>40025</v>
      </c>
      <c r="I51" s="2">
        <f>H51-G51+1</f>
        <v>31</v>
      </c>
      <c r="J51" s="2">
        <f>COUNTIF(Daily!$B$3:$B$7756,A51)</f>
        <v>31</v>
      </c>
      <c r="K51" s="2" t="str">
        <f>IF(J51=I51,"complete","partial ("&amp;J51&amp;" days)")</f>
        <v>complete</v>
      </c>
      <c r="L51" s="3">
        <f>INDEX(ENSO_monthly!$F:$F,MATCH(A51,ENSO_monthly!$A:$A,0))</f>
        <v>0.5</v>
      </c>
      <c r="M51" s="2" t="str">
        <f>INDEX(ENSO_monthly!$D:$D,MATCH(A51,ENSO_monthly!$A:$A,0))</f>
        <v>JJA</v>
      </c>
      <c r="N51" s="6" t="str">
        <f>INDEX(ENSO_monthly!$L:$L,MATCH(A51,ENSO_monthly!$A:$A,0))</f>
        <v>El Niño</v>
      </c>
      <c r="O51" s="11" t="str">
        <f>INDEX(ENSO_seasons!$U:$U,MATCH(E51,ENSO_seasons!$A:$A,0))</f>
        <v>El Niño</v>
      </c>
      <c r="P51" s="4">
        <f>SUMIFS(Daily!$D$3:$D$7756,Daily!$B$3:$B$7756,$A51)</f>
        <v>154.351</v>
      </c>
      <c r="Q51" s="3">
        <f>AVERAGEIFS(Daily!$E$3:$E$7756,Daily!$B$3:$B$7756,$A51)</f>
        <v>21.751612903225805</v>
      </c>
      <c r="R51" s="3">
        <f>AVERAGEIFS(Daily!$F$3:$F$7756,Daily!$B$3:$B$7756,$A51)</f>
        <v>26.379677419354827</v>
      </c>
      <c r="S51" s="3">
        <f>AVERAGEIFS(Daily!$G$3:$G$7756,Daily!$B$3:$B$7756,$A51)</f>
        <v>17.985806451612905</v>
      </c>
      <c r="T51" s="4">
        <f>SUMIFS(Daily!$H$3:$H$7756,Daily!$B$3:$B$7756,$A51)</f>
        <v>118.48</v>
      </c>
      <c r="U51" s="4">
        <f>SUMIFS(Daily!$I$3:$I$7756,Daily!$B$3:$B$7756,$A51)</f>
        <v>193.474</v>
      </c>
      <c r="V51" s="3">
        <f>AVERAGEIFS(Daily!$J$3:$J$7756,Daily!$B$3:$B$7756,$A51)</f>
        <v>22.727096774193544</v>
      </c>
      <c r="W51" s="3">
        <f>AVERAGEIFS(Daily!$K$3:$K$7756,Daily!$B$3:$B$7756,$A51)</f>
        <v>26.870645161290323</v>
      </c>
      <c r="X51" s="3">
        <f>AVERAGEIFS(Daily!$L$3:$L$7756,Daily!$B$3:$B$7756,$A51)</f>
        <v>19.465806451612906</v>
      </c>
      <c r="Y51" s="4">
        <f>SUMIFS(Daily!$M$3:$M$7756,Daily!$B$3:$B$7756,$A51)</f>
        <v>166.4</v>
      </c>
      <c r="Z51" s="4">
        <f>SUMIFS(Daily!$N$3:$N$7756,Daily!$B$3:$B$7756,$A51)</f>
        <v>163.399</v>
      </c>
      <c r="AA51" s="3">
        <f>AVERAGEIFS(Daily!$O$3:$O$7756,Daily!$B$3:$B$7756,$A51)</f>
        <v>22.954193548387096</v>
      </c>
      <c r="AB51" s="3">
        <f>AVERAGEIFS(Daily!$P$3:$P$7756,Daily!$B$3:$B$7756,$A51)</f>
        <v>26.951290322580643</v>
      </c>
      <c r="AC51" s="3">
        <f>AVERAGEIFS(Daily!$Q$3:$Q$7756,Daily!$B$3:$B$7756,$A51)</f>
        <v>20.184193548387103</v>
      </c>
      <c r="AD51" s="4">
        <f>SUMIFS(Daily!$R$3:$R$7756,Daily!$B$3:$B$7756,$A51)</f>
        <v>160.36</v>
      </c>
      <c r="AE51" s="4">
        <f>AVERAGE(P51,U51,Z51)</f>
        <v>170.408</v>
      </c>
      <c r="AF51" s="3">
        <f>AVERAGE(Q51,V51,AA51)</f>
        <v>22.477634408602146</v>
      </c>
      <c r="AG51" s="3">
        <f>AVERAGE(R51,W51,AB51)</f>
        <v>26.733870967741932</v>
      </c>
      <c r="AH51" s="3">
        <f>AVERAGE(S51,X51,AC51)</f>
        <v>19.21193548387097</v>
      </c>
      <c r="AI51" s="4">
        <f>AVERAGE(T51,Y51,AD51)</f>
        <v>148.41333333333333</v>
      </c>
    </row>
    <row r="52">
      <c r="A52" s="2" t="inlineStr">
        <is>
          <t xml:space="preserve">2009-08</t>
        </is>
      </c>
      <c r="B52" s="2">
        <v>2009</v>
      </c>
      <c r="C52" s="2">
        <v>8</v>
      </c>
      <c r="D52" s="2" t="inlineStr">
        <is>
          <t xml:space="preserve">Aug</t>
        </is>
      </c>
      <c r="E52" s="2" t="inlineStr">
        <is>
          <t xml:space="preserve">2009/10</t>
        </is>
      </c>
      <c r="F52" s="2">
        <v>2</v>
      </c>
      <c r="G52" s="9">
        <v>40026</v>
      </c>
      <c r="H52" s="9">
        <v>40056</v>
      </c>
      <c r="I52" s="2">
        <f>H52-G52+1</f>
        <v>31</v>
      </c>
      <c r="J52" s="2">
        <f>COUNTIF(Daily!$B$3:$B$7756,A52)</f>
        <v>31</v>
      </c>
      <c r="K52" s="2" t="str">
        <f>IF(J52=I52,"complete","partial ("&amp;J52&amp;" days)")</f>
        <v>complete</v>
      </c>
      <c r="L52" s="3">
        <f>INDEX(ENSO_monthly!$F:$F,MATCH(A52,ENSO_monthly!$A:$A,0))</f>
        <v>0.56</v>
      </c>
      <c r="M52" s="2" t="str">
        <f>INDEX(ENSO_monthly!$D:$D,MATCH(A52,ENSO_monthly!$A:$A,0))</f>
        <v>JAS</v>
      </c>
      <c r="N52" s="6" t="str">
        <f>INDEX(ENSO_monthly!$L:$L,MATCH(A52,ENSO_monthly!$A:$A,0))</f>
        <v>El Niño</v>
      </c>
      <c r="O52" s="11" t="str">
        <f>INDEX(ENSO_seasons!$U:$U,MATCH(E52,ENSO_seasons!$A:$A,0))</f>
        <v>El Niño</v>
      </c>
      <c r="P52" s="4">
        <f>SUMIFS(Daily!$D$3:$D$7756,Daily!$B$3:$B$7756,$A52)</f>
        <v>159.515</v>
      </c>
      <c r="Q52" s="3">
        <f>AVERAGEIFS(Daily!$E$3:$E$7756,Daily!$B$3:$B$7756,$A52)</f>
        <v>21.994516129032263</v>
      </c>
      <c r="R52" s="3">
        <f>AVERAGEIFS(Daily!$F$3:$F$7756,Daily!$B$3:$B$7756,$A52)</f>
        <v>26.97096774193548</v>
      </c>
      <c r="S52" s="3">
        <f>AVERAGEIFS(Daily!$G$3:$G$7756,Daily!$B$3:$B$7756,$A52)</f>
        <v>18.075161290322583</v>
      </c>
      <c r="T52" s="4">
        <f>SUMIFS(Daily!$H$3:$H$7756,Daily!$B$3:$B$7756,$A52)</f>
        <v>135.89</v>
      </c>
      <c r="U52" s="4">
        <f>SUMIFS(Daily!$I$3:$I$7756,Daily!$B$3:$B$7756,$A52)</f>
        <v>265.009</v>
      </c>
      <c r="V52" s="3">
        <f>AVERAGEIFS(Daily!$J$3:$J$7756,Daily!$B$3:$B$7756,$A52)</f>
        <v>22.50451612903226</v>
      </c>
      <c r="W52" s="3">
        <f>AVERAGEIFS(Daily!$K$3:$K$7756,Daily!$B$3:$B$7756,$A52)</f>
        <v>26.540000000000003</v>
      </c>
      <c r="X52" s="3">
        <f>AVERAGEIFS(Daily!$L$3:$L$7756,Daily!$B$3:$B$7756,$A52)</f>
        <v>19.39967741935484</v>
      </c>
      <c r="Y52" s="4">
        <f>SUMIFS(Daily!$M$3:$M$7756,Daily!$B$3:$B$7756,$A52)</f>
        <v>238.58</v>
      </c>
      <c r="Z52" s="4">
        <f>SUMIFS(Daily!$N$3:$N$7756,Daily!$B$3:$B$7756,$A52)</f>
        <v>250.814</v>
      </c>
      <c r="AA52" s="3">
        <f>AVERAGEIFS(Daily!$O$3:$O$7756,Daily!$B$3:$B$7756,$A52)</f>
        <v>22.702903225806455</v>
      </c>
      <c r="AB52" s="3">
        <f>AVERAGEIFS(Daily!$P$3:$P$7756,Daily!$B$3:$B$7756,$A52)</f>
        <v>26.585806451612903</v>
      </c>
      <c r="AC52" s="3">
        <f>AVERAGEIFS(Daily!$Q$3:$Q$7756,Daily!$B$3:$B$7756,$A52)</f>
        <v>20.078387096774197</v>
      </c>
      <c r="AD52" s="4">
        <f>SUMIFS(Daily!$R$3:$R$7756,Daily!$B$3:$B$7756,$A52)</f>
        <v>244.83</v>
      </c>
      <c r="AE52" s="4">
        <f>AVERAGE(P52,U52,Z52)</f>
        <v>225.11266666666666</v>
      </c>
      <c r="AF52" s="3">
        <f>AVERAGE(Q52,V52,AA52)</f>
        <v>22.400645161290328</v>
      </c>
      <c r="AG52" s="3">
        <f>AVERAGE(R52,W52,AB52)</f>
        <v>26.698924731182796</v>
      </c>
      <c r="AH52" s="3">
        <f>AVERAGE(S52,X52,AC52)</f>
        <v>19.18440860215054</v>
      </c>
      <c r="AI52" s="4">
        <f>AVERAGE(T52,Y52,AD52)</f>
        <v>206.43333333333337</v>
      </c>
    </row>
    <row r="53">
      <c r="A53" s="2" t="inlineStr">
        <is>
          <t xml:space="preserve">2009-09</t>
        </is>
      </c>
      <c r="B53" s="2">
        <v>2009</v>
      </c>
      <c r="C53" s="2">
        <v>9</v>
      </c>
      <c r="D53" s="2" t="inlineStr">
        <is>
          <t xml:space="preserve">Sep</t>
        </is>
      </c>
      <c r="E53" s="2" t="inlineStr">
        <is>
          <t xml:space="preserve">2009/10</t>
        </is>
      </c>
      <c r="F53" s="2">
        <v>3</v>
      </c>
      <c r="G53" s="9">
        <v>40057</v>
      </c>
      <c r="H53" s="9">
        <v>40086</v>
      </c>
      <c r="I53" s="2">
        <f>H53-G53+1</f>
        <v>30</v>
      </c>
      <c r="J53" s="2">
        <f>COUNTIF(Daily!$B$3:$B$7756,A53)</f>
        <v>30</v>
      </c>
      <c r="K53" s="2" t="str">
        <f>IF(J53=I53,"complete","partial ("&amp;J53&amp;" days)")</f>
        <v>complete</v>
      </c>
      <c r="L53" s="3">
        <f>INDEX(ENSO_monthly!$F:$F,MATCH(A53,ENSO_monthly!$A:$A,0))</f>
        <v>0.66</v>
      </c>
      <c r="M53" s="2" t="str">
        <f>INDEX(ENSO_monthly!$D:$D,MATCH(A53,ENSO_monthly!$A:$A,0))</f>
        <v>ASO</v>
      </c>
      <c r="N53" s="6" t="str">
        <f>INDEX(ENSO_monthly!$L:$L,MATCH(A53,ENSO_monthly!$A:$A,0))</f>
        <v>El Niño</v>
      </c>
      <c r="O53" s="11" t="str">
        <f>INDEX(ENSO_seasons!$U:$U,MATCH(E53,ENSO_seasons!$A:$A,0))</f>
        <v>El Niño</v>
      </c>
      <c r="P53" s="4">
        <f>SUMIFS(Daily!$D$3:$D$7756,Daily!$B$3:$B$7756,$A53)</f>
        <v>157.755</v>
      </c>
      <c r="Q53" s="3">
        <f>AVERAGEIFS(Daily!$E$3:$E$7756,Daily!$B$3:$B$7756,$A53)</f>
        <v>22.47833333333333</v>
      </c>
      <c r="R53" s="3">
        <f>AVERAGEIFS(Daily!$F$3:$F$7756,Daily!$B$3:$B$7756,$A53)</f>
        <v>27.77966666666666</v>
      </c>
      <c r="S53" s="3">
        <f>AVERAGEIFS(Daily!$G$3:$G$7756,Daily!$B$3:$B$7756,$A53)</f>
        <v>18.324333333333332</v>
      </c>
      <c r="T53" s="4">
        <f>SUMIFS(Daily!$H$3:$H$7756,Daily!$B$3:$B$7756,$A53)</f>
        <v>117.84</v>
      </c>
      <c r="U53" s="4">
        <f>SUMIFS(Daily!$I$3:$I$7756,Daily!$B$3:$B$7756,$A53)</f>
        <v>181.344</v>
      </c>
      <c r="V53" s="3">
        <f>AVERAGEIFS(Daily!$J$3:$J$7756,Daily!$B$3:$B$7756,$A53)</f>
        <v>22.546333333333337</v>
      </c>
      <c r="W53" s="3">
        <f>AVERAGEIFS(Daily!$K$3:$K$7756,Daily!$B$3:$B$7756,$A53)</f>
        <v>26.604666666666667</v>
      </c>
      <c r="X53" s="3">
        <f>AVERAGEIFS(Daily!$L$3:$L$7756,Daily!$B$3:$B$7756,$A53)</f>
        <v>19.31366666666667</v>
      </c>
      <c r="Y53" s="4">
        <f>SUMIFS(Daily!$M$3:$M$7756,Daily!$B$3:$B$7756,$A53)</f>
        <v>142.67</v>
      </c>
      <c r="Z53" s="4">
        <f>SUMIFS(Daily!$N$3:$N$7756,Daily!$B$3:$B$7756,$A53)</f>
        <v>95.793</v>
      </c>
      <c r="AA53" s="3">
        <f>AVERAGEIFS(Daily!$O$3:$O$7756,Daily!$B$3:$B$7756,$A53)</f>
        <v>22.97933333333333</v>
      </c>
      <c r="AB53" s="3">
        <f>AVERAGEIFS(Daily!$P$3:$P$7756,Daily!$B$3:$B$7756,$A53)</f>
        <v>26.94333333333333</v>
      </c>
      <c r="AC53" s="3">
        <f>AVERAGEIFS(Daily!$Q$3:$Q$7756,Daily!$B$3:$B$7756,$A53)</f>
        <v>20.115666666666666</v>
      </c>
      <c r="AD53" s="4">
        <f>SUMIFS(Daily!$R$3:$R$7756,Daily!$B$3:$B$7756,$A53)</f>
        <v>119.49</v>
      </c>
      <c r="AE53" s="4">
        <f>AVERAGE(P53,U53,Z53)</f>
        <v>144.964</v>
      </c>
      <c r="AF53" s="3">
        <f>AVERAGE(Q53,V53,AA53)</f>
        <v>22.667999999999996</v>
      </c>
      <c r="AG53" s="3">
        <f>AVERAGE(R53,W53,AB53)</f>
        <v>27.10922222222222</v>
      </c>
      <c r="AH53" s="3">
        <f>AVERAGE(S53,X53,AC53)</f>
        <v>19.251222222222225</v>
      </c>
      <c r="AI53" s="4">
        <f>AVERAGE(T53,Y53,AD53)</f>
        <v>126.66666666666667</v>
      </c>
    </row>
    <row r="54">
      <c r="A54" s="2" t="inlineStr">
        <is>
          <t xml:space="preserve">2009-10</t>
        </is>
      </c>
      <c r="B54" s="2">
        <v>2009</v>
      </c>
      <c r="C54" s="2">
        <v>10</v>
      </c>
      <c r="D54" s="2" t="inlineStr">
        <is>
          <t xml:space="preserve">Oct</t>
        </is>
      </c>
      <c r="E54" s="2" t="inlineStr">
        <is>
          <t xml:space="preserve">2009/10</t>
        </is>
      </c>
      <c r="F54" s="2">
        <v>4</v>
      </c>
      <c r="G54" s="9">
        <v>40087</v>
      </c>
      <c r="H54" s="9">
        <v>40117</v>
      </c>
      <c r="I54" s="2">
        <f>H54-G54+1</f>
        <v>31</v>
      </c>
      <c r="J54" s="2">
        <f>COUNTIF(Daily!$B$3:$B$7756,A54)</f>
        <v>31</v>
      </c>
      <c r="K54" s="2" t="str">
        <f>IF(J54=I54,"complete","partial ("&amp;J54&amp;" days)")</f>
        <v>complete</v>
      </c>
      <c r="L54" s="3">
        <f>INDEX(ENSO_monthly!$F:$F,MATCH(A54,ENSO_monthly!$A:$A,0))</f>
        <v>0.92</v>
      </c>
      <c r="M54" s="2" t="str">
        <f>INDEX(ENSO_monthly!$D:$D,MATCH(A54,ENSO_monthly!$A:$A,0))</f>
        <v>SON</v>
      </c>
      <c r="N54" s="6" t="str">
        <f>INDEX(ENSO_monthly!$L:$L,MATCH(A54,ENSO_monthly!$A:$A,0))</f>
        <v>El Niño</v>
      </c>
      <c r="O54" s="11" t="str">
        <f>INDEX(ENSO_seasons!$U:$U,MATCH(E54,ENSO_seasons!$A:$A,0))</f>
        <v>El Niño</v>
      </c>
      <c r="P54" s="4">
        <f>SUMIFS(Daily!$D$3:$D$7756,Daily!$B$3:$B$7756,$A54)</f>
        <v>88.816</v>
      </c>
      <c r="Q54" s="3">
        <f>AVERAGEIFS(Daily!$E$3:$E$7756,Daily!$B$3:$B$7756,$A54)</f>
        <v>22.28548387096774</v>
      </c>
      <c r="R54" s="3">
        <f>AVERAGEIFS(Daily!$F$3:$F$7756,Daily!$B$3:$B$7756,$A54)</f>
        <v>28.244193548387106</v>
      </c>
      <c r="S54" s="3">
        <f>AVERAGEIFS(Daily!$G$3:$G$7756,Daily!$B$3:$B$7756,$A54)</f>
        <v>17.745806451612903</v>
      </c>
      <c r="T54" s="4">
        <f>SUMIFS(Daily!$H$3:$H$7756,Daily!$B$3:$B$7756,$A54)</f>
        <v>95.14</v>
      </c>
      <c r="U54" s="4">
        <f>SUMIFS(Daily!$I$3:$I$7756,Daily!$B$3:$B$7756,$A54)</f>
        <v>85.421</v>
      </c>
      <c r="V54" s="3">
        <f>AVERAGEIFS(Daily!$J$3:$J$7756,Daily!$B$3:$B$7756,$A54)</f>
        <v>22.35548387096775</v>
      </c>
      <c r="W54" s="3">
        <f>AVERAGEIFS(Daily!$K$3:$K$7756,Daily!$B$3:$B$7756,$A54)</f>
        <v>26.776451612903237</v>
      </c>
      <c r="X54" s="3">
        <f>AVERAGEIFS(Daily!$L$3:$L$7756,Daily!$B$3:$B$7756,$A54)</f>
        <v>18.82806451612903</v>
      </c>
      <c r="Y54" s="4">
        <f>SUMIFS(Daily!$M$3:$M$7756,Daily!$B$3:$B$7756,$A54)</f>
        <v>95.97</v>
      </c>
      <c r="Z54" s="4">
        <f>SUMIFS(Daily!$N$3:$N$7756,Daily!$B$3:$B$7756,$A54)</f>
        <v>115.473</v>
      </c>
      <c r="AA54" s="3">
        <f>AVERAGEIFS(Daily!$O$3:$O$7756,Daily!$B$3:$B$7756,$A54)</f>
        <v>22.726129032258065</v>
      </c>
      <c r="AB54" s="3">
        <f>AVERAGEIFS(Daily!$P$3:$P$7756,Daily!$B$3:$B$7756,$A54)</f>
        <v>27.29870967741935</v>
      </c>
      <c r="AC54" s="3">
        <f>AVERAGEIFS(Daily!$Q$3:$Q$7756,Daily!$B$3:$B$7756,$A54)</f>
        <v>19.50516129032258</v>
      </c>
      <c r="AD54" s="4">
        <f>SUMIFS(Daily!$R$3:$R$7756,Daily!$B$3:$B$7756,$A54)</f>
        <v>104.0</v>
      </c>
      <c r="AE54" s="4">
        <f>AVERAGE(P54,U54,Z54)</f>
        <v>96.57000000000001</v>
      </c>
      <c r="AF54" s="3">
        <f>AVERAGE(Q54,V54,AA54)</f>
        <v>22.455698924731184</v>
      </c>
      <c r="AG54" s="3">
        <f>AVERAGE(R54,W54,AB54)</f>
        <v>27.439784946236568</v>
      </c>
      <c r="AH54" s="3">
        <f>AVERAGE(S54,X54,AC54)</f>
        <v>18.69301075268817</v>
      </c>
      <c r="AI54" s="4">
        <f>AVERAGE(T54,Y54,AD54)</f>
        <v>98.37</v>
      </c>
    </row>
    <row r="55">
      <c r="A55" s="2" t="inlineStr">
        <is>
          <t xml:space="preserve">2009-11</t>
        </is>
      </c>
      <c r="B55" s="2">
        <v>2009</v>
      </c>
      <c r="C55" s="2">
        <v>11</v>
      </c>
      <c r="D55" s="2" t="inlineStr">
        <is>
          <t xml:space="preserve">Nov</t>
        </is>
      </c>
      <c r="E55" s="2" t="inlineStr">
        <is>
          <t xml:space="preserve">2009/10</t>
        </is>
      </c>
      <c r="F55" s="2">
        <v>5</v>
      </c>
      <c r="G55" s="9">
        <v>40118</v>
      </c>
      <c r="H55" s="9">
        <v>40147</v>
      </c>
      <c r="I55" s="2">
        <f>H55-G55+1</f>
        <v>30</v>
      </c>
      <c r="J55" s="2">
        <f>COUNTIF(Daily!$B$3:$B$7756,A55)</f>
        <v>30</v>
      </c>
      <c r="K55" s="2" t="str">
        <f>IF(J55=I55,"complete","partial ("&amp;J55&amp;" days)")</f>
        <v>complete</v>
      </c>
      <c r="L55" s="3">
        <f>INDEX(ENSO_monthly!$F:$F,MATCH(A55,ENSO_monthly!$A:$A,0))</f>
        <v>1.31</v>
      </c>
      <c r="M55" s="2" t="str">
        <f>INDEX(ENSO_monthly!$D:$D,MATCH(A55,ENSO_monthly!$A:$A,0))</f>
        <v>OND</v>
      </c>
      <c r="N55" s="6" t="str">
        <f>INDEX(ENSO_monthly!$L:$L,MATCH(A55,ENSO_monthly!$A:$A,0))</f>
        <v>El Niño</v>
      </c>
      <c r="O55" s="11" t="str">
        <f>INDEX(ENSO_seasons!$U:$U,MATCH(E55,ENSO_seasons!$A:$A,0))</f>
        <v>El Niño</v>
      </c>
      <c r="P55" s="4">
        <f>SUMIFS(Daily!$D$3:$D$7756,Daily!$B$3:$B$7756,$A55)</f>
        <v>101.03</v>
      </c>
      <c r="Q55" s="3">
        <f>AVERAGEIFS(Daily!$E$3:$E$7756,Daily!$B$3:$B$7756,$A55)</f>
        <v>20.468333333333337</v>
      </c>
      <c r="R55" s="3">
        <f>AVERAGEIFS(Daily!$F$3:$F$7756,Daily!$B$3:$B$7756,$A55)</f>
        <v>26.178</v>
      </c>
      <c r="S55" s="3">
        <f>AVERAGEIFS(Daily!$G$3:$G$7756,Daily!$B$3:$B$7756,$A55)</f>
        <v>16.494999999999994</v>
      </c>
      <c r="T55" s="4">
        <f>SUMIFS(Daily!$H$3:$H$7756,Daily!$B$3:$B$7756,$A55)</f>
        <v>84.78</v>
      </c>
      <c r="U55" s="4">
        <f>SUMIFS(Daily!$I$3:$I$7756,Daily!$B$3:$B$7756,$A55)</f>
        <v>104.896</v>
      </c>
      <c r="V55" s="3">
        <f>AVERAGEIFS(Daily!$J$3:$J$7756,Daily!$B$3:$B$7756,$A55)</f>
        <v>20.179333333333336</v>
      </c>
      <c r="W55" s="3">
        <f>AVERAGEIFS(Daily!$K$3:$K$7756,Daily!$B$3:$B$7756,$A55)</f>
        <v>24.84733333333333</v>
      </c>
      <c r="X55" s="3">
        <f>AVERAGEIFS(Daily!$L$3:$L$7756,Daily!$B$3:$B$7756,$A55)</f>
        <v>16.799000000000003</v>
      </c>
      <c r="Y55" s="4">
        <f>SUMIFS(Daily!$M$3:$M$7756,Daily!$B$3:$B$7756,$A55)</f>
        <v>91.22</v>
      </c>
      <c r="Z55" s="4">
        <f>SUMIFS(Daily!$N$3:$N$7756,Daily!$B$3:$B$7756,$A55)</f>
        <v>84.1</v>
      </c>
      <c r="AA55" s="3">
        <f>AVERAGEIFS(Daily!$O$3:$O$7756,Daily!$B$3:$B$7756,$A55)</f>
        <v>20.509999999999998</v>
      </c>
      <c r="AB55" s="3">
        <f>AVERAGEIFS(Daily!$P$3:$P$7756,Daily!$B$3:$B$7756,$A55)</f>
        <v>24.845333333333325</v>
      </c>
      <c r="AC55" s="3">
        <f>AVERAGEIFS(Daily!$Q$3:$Q$7756,Daily!$B$3:$B$7756,$A55)</f>
        <v>17.555</v>
      </c>
      <c r="AD55" s="4">
        <f>SUMIFS(Daily!$R$3:$R$7756,Daily!$B$3:$B$7756,$A55)</f>
        <v>81.75</v>
      </c>
      <c r="AE55" s="4">
        <f>AVERAGE(P55,U55,Z55)</f>
        <v>96.67533333333331</v>
      </c>
      <c r="AF55" s="3">
        <f>AVERAGE(Q55,V55,AA55)</f>
        <v>20.38588888888889</v>
      </c>
      <c r="AG55" s="3">
        <f>AVERAGE(R55,W55,AB55)</f>
        <v>25.290222222222223</v>
      </c>
      <c r="AH55" s="3">
        <f>AVERAGE(S55,X55,AC55)</f>
        <v>16.949666666666666</v>
      </c>
      <c r="AI55" s="4">
        <f>AVERAGE(T55,Y55,AD55)</f>
        <v>85.91666666666667</v>
      </c>
    </row>
    <row r="56">
      <c r="A56" s="2" t="inlineStr">
        <is>
          <t xml:space="preserve">2009-12</t>
        </is>
      </c>
      <c r="B56" s="2">
        <v>2009</v>
      </c>
      <c r="C56" s="2">
        <v>12</v>
      </c>
      <c r="D56" s="2" t="inlineStr">
        <is>
          <t xml:space="preserve">Dec</t>
        </is>
      </c>
      <c r="E56" s="2" t="inlineStr">
        <is>
          <t xml:space="preserve">2009/10</t>
        </is>
      </c>
      <c r="F56" s="2">
        <v>6</v>
      </c>
      <c r="G56" s="9">
        <v>40148</v>
      </c>
      <c r="H56" s="9">
        <v>40178</v>
      </c>
      <c r="I56" s="2">
        <f>H56-G56+1</f>
        <v>31</v>
      </c>
      <c r="J56" s="2">
        <f>COUNTIF(Daily!$B$3:$B$7756,A56)</f>
        <v>31</v>
      </c>
      <c r="K56" s="2" t="str">
        <f>IF(J56=I56,"complete","partial ("&amp;J56&amp;" days)")</f>
        <v>complete</v>
      </c>
      <c r="L56" s="3">
        <f>INDEX(ENSO_monthly!$F:$F,MATCH(A56,ENSO_monthly!$A:$A,0))</f>
        <v>1.5</v>
      </c>
      <c r="M56" s="2" t="str">
        <f>INDEX(ENSO_monthly!$D:$D,MATCH(A56,ENSO_monthly!$A:$A,0))</f>
        <v>NDJ</v>
      </c>
      <c r="N56" s="6" t="str">
        <f>INDEX(ENSO_monthly!$L:$L,MATCH(A56,ENSO_monthly!$A:$A,0))</f>
        <v>El Niño</v>
      </c>
      <c r="O56" s="11" t="str">
        <f>INDEX(ENSO_seasons!$U:$U,MATCH(E56,ENSO_seasons!$A:$A,0))</f>
        <v>El Niño</v>
      </c>
      <c r="P56" s="4">
        <f>SUMIFS(Daily!$D$3:$D$7756,Daily!$B$3:$B$7756,$A56)</f>
        <v>34.142</v>
      </c>
      <c r="Q56" s="3">
        <f>AVERAGEIFS(Daily!$E$3:$E$7756,Daily!$B$3:$B$7756,$A56)</f>
        <v>20.500645161290326</v>
      </c>
      <c r="R56" s="3">
        <f>AVERAGEIFS(Daily!$F$3:$F$7756,Daily!$B$3:$B$7756,$A56)</f>
        <v>27.398387096774197</v>
      </c>
      <c r="S56" s="3">
        <f>AVERAGEIFS(Daily!$G$3:$G$7756,Daily!$B$3:$B$7756,$A56)</f>
        <v>15.381935483870969</v>
      </c>
      <c r="T56" s="4">
        <f>SUMIFS(Daily!$H$3:$H$7756,Daily!$B$3:$B$7756,$A56)</f>
        <v>51.8</v>
      </c>
      <c r="U56" s="4">
        <f>SUMIFS(Daily!$I$3:$I$7756,Daily!$B$3:$B$7756,$A56)</f>
        <v>39.359</v>
      </c>
      <c r="V56" s="3">
        <f>AVERAGEIFS(Daily!$J$3:$J$7756,Daily!$B$3:$B$7756,$A56)</f>
        <v>20.128709677419355</v>
      </c>
      <c r="W56" s="3">
        <f>AVERAGEIFS(Daily!$K$3:$K$7756,Daily!$B$3:$B$7756,$A56)</f>
        <v>25.92129032258065</v>
      </c>
      <c r="X56" s="3">
        <f>AVERAGEIFS(Daily!$L$3:$L$7756,Daily!$B$3:$B$7756,$A56)</f>
        <v>15.979677419354838</v>
      </c>
      <c r="Y56" s="4">
        <f>SUMIFS(Daily!$M$3:$M$7756,Daily!$B$3:$B$7756,$A56)</f>
        <v>43.48</v>
      </c>
      <c r="Z56" s="4">
        <f>SUMIFS(Daily!$N$3:$N$7756,Daily!$B$3:$B$7756,$A56)</f>
        <v>44.657</v>
      </c>
      <c r="AA56" s="3">
        <f>AVERAGEIFS(Daily!$O$3:$O$7756,Daily!$B$3:$B$7756,$A56)</f>
        <v>20.48870967741935</v>
      </c>
      <c r="AB56" s="3">
        <f>AVERAGEIFS(Daily!$P$3:$P$7756,Daily!$B$3:$B$7756,$A56)</f>
        <v>25.809999999999995</v>
      </c>
      <c r="AC56" s="3">
        <f>AVERAGEIFS(Daily!$Q$3:$Q$7756,Daily!$B$3:$B$7756,$A56)</f>
        <v>16.782580645161286</v>
      </c>
      <c r="AD56" s="4">
        <f>SUMIFS(Daily!$R$3:$R$7756,Daily!$B$3:$B$7756,$A56)</f>
        <v>59.83</v>
      </c>
      <c r="AE56" s="4">
        <f>AVERAGE(P56,U56,Z56)</f>
        <v>39.386</v>
      </c>
      <c r="AF56" s="3">
        <f>AVERAGE(Q56,V56,AA56)</f>
        <v>20.37268817204301</v>
      </c>
      <c r="AG56" s="3">
        <f>AVERAGE(R56,W56,AB56)</f>
        <v>26.376559139784945</v>
      </c>
      <c r="AH56" s="3">
        <f>AVERAGE(S56,X56,AC56)</f>
        <v>16.04806451612903</v>
      </c>
      <c r="AI56" s="4">
        <f>AVERAGE(T56,Y56,AD56)</f>
        <v>51.70333333333334</v>
      </c>
    </row>
    <row r="57">
      <c r="A57" s="2" t="inlineStr">
        <is>
          <t xml:space="preserve">2010-01</t>
        </is>
      </c>
      <c r="B57" s="2">
        <v>2010</v>
      </c>
      <c r="C57" s="2">
        <v>1</v>
      </c>
      <c r="D57" s="2" t="inlineStr">
        <is>
          <t xml:space="preserve">Jan</t>
        </is>
      </c>
      <c r="E57" s="2" t="inlineStr">
        <is>
          <t xml:space="preserve">2009/10</t>
        </is>
      </c>
      <c r="F57" s="2">
        <v>7</v>
      </c>
      <c r="G57" s="9">
        <v>40179</v>
      </c>
      <c r="H57" s="9">
        <v>40209</v>
      </c>
      <c r="I57" s="2">
        <f>H57-G57+1</f>
        <v>31</v>
      </c>
      <c r="J57" s="2">
        <f>COUNTIF(Daily!$B$3:$B$7756,A57)</f>
        <v>31</v>
      </c>
      <c r="K57" s="2" t="str">
        <f>IF(J57=I57,"complete","partial ("&amp;J57&amp;" days)")</f>
        <v>complete</v>
      </c>
      <c r="L57" s="3">
        <f>INDEX(ENSO_monthly!$F:$F,MATCH(A57,ENSO_monthly!$A:$A,0))</f>
        <v>1.47</v>
      </c>
      <c r="M57" s="2" t="str">
        <f>INDEX(ENSO_monthly!$D:$D,MATCH(A57,ENSO_monthly!$A:$A,0))</f>
        <v>DJF</v>
      </c>
      <c r="N57" s="6" t="str">
        <f>INDEX(ENSO_monthly!$L:$L,MATCH(A57,ENSO_monthly!$A:$A,0))</f>
        <v>El Niño</v>
      </c>
      <c r="O57" s="11" t="str">
        <f>INDEX(ENSO_seasons!$U:$U,MATCH(E57,ENSO_seasons!$A:$A,0))</f>
        <v>El Niño</v>
      </c>
      <c r="P57" s="4">
        <f>SUMIFS(Daily!$D$3:$D$7756,Daily!$B$3:$B$7756,$A57)</f>
        <v>1.428</v>
      </c>
      <c r="Q57" s="3">
        <f>AVERAGEIFS(Daily!$E$3:$E$7756,Daily!$B$3:$B$7756,$A57)</f>
        <v>19.63096774193548</v>
      </c>
      <c r="R57" s="3">
        <f>AVERAGEIFS(Daily!$F$3:$F$7756,Daily!$B$3:$B$7756,$A57)</f>
        <v>26.671935483870964</v>
      </c>
      <c r="S57" s="3">
        <f>AVERAGEIFS(Daily!$G$3:$G$7756,Daily!$B$3:$B$7756,$A57)</f>
        <v>14.590645161290324</v>
      </c>
      <c r="T57" s="4">
        <f>SUMIFS(Daily!$H$3:$H$7756,Daily!$B$3:$B$7756,$A57)</f>
        <v>34.22</v>
      </c>
      <c r="U57" s="4">
        <f>SUMIFS(Daily!$I$3:$I$7756,Daily!$B$3:$B$7756,$A57)</f>
        <v>27.75</v>
      </c>
      <c r="V57" s="3">
        <f>AVERAGEIFS(Daily!$J$3:$J$7756,Daily!$B$3:$B$7756,$A57)</f>
        <v>19.22451612903226</v>
      </c>
      <c r="W57" s="3">
        <f>AVERAGEIFS(Daily!$K$3:$K$7756,Daily!$B$3:$B$7756,$A57)</f>
        <v>25.398064516129025</v>
      </c>
      <c r="X57" s="3">
        <f>AVERAGEIFS(Daily!$L$3:$L$7756,Daily!$B$3:$B$7756,$A57)</f>
        <v>14.844838709677422</v>
      </c>
      <c r="Y57" s="4">
        <f>SUMIFS(Daily!$M$3:$M$7756,Daily!$B$3:$B$7756,$A57)</f>
        <v>40.92</v>
      </c>
      <c r="Z57" s="4">
        <f>SUMIFS(Daily!$N$3:$N$7756,Daily!$B$3:$B$7756,$A57)</f>
        <v>41.859</v>
      </c>
      <c r="AA57" s="3">
        <f>AVERAGEIFS(Daily!$O$3:$O$7756,Daily!$B$3:$B$7756,$A57)</f>
        <v>18.9058064516129</v>
      </c>
      <c r="AB57" s="3">
        <f>AVERAGEIFS(Daily!$P$3:$P$7756,Daily!$B$3:$B$7756,$A57)</f>
        <v>23.970967741935482</v>
      </c>
      <c r="AC57" s="3">
        <f>AVERAGEIFS(Daily!$Q$3:$Q$7756,Daily!$B$3:$B$7756,$A57)</f>
        <v>15.215161290322577</v>
      </c>
      <c r="AD57" s="4">
        <f>SUMIFS(Daily!$R$3:$R$7756,Daily!$B$3:$B$7756,$A57)</f>
        <v>78.46</v>
      </c>
      <c r="AE57" s="4">
        <f>AVERAGE(P57,U57,Z57)</f>
        <v>23.679000000000002</v>
      </c>
      <c r="AF57" s="3">
        <f>AVERAGE(Q57,V57,AA57)</f>
        <v>19.25376344086021</v>
      </c>
      <c r="AG57" s="3">
        <f>AVERAGE(R57,W57,AB57)</f>
        <v>25.346989247311825</v>
      </c>
      <c r="AH57" s="3">
        <f>AVERAGE(S57,X57,AC57)</f>
        <v>14.883548387096774</v>
      </c>
      <c r="AI57" s="4">
        <f>AVERAGE(T57,Y57,AD57)</f>
        <v>51.199999999999996</v>
      </c>
    </row>
    <row r="58">
      <c r="A58" s="2" t="inlineStr">
        <is>
          <t xml:space="preserve">2010-02</t>
        </is>
      </c>
      <c r="B58" s="2">
        <v>2010</v>
      </c>
      <c r="C58" s="2">
        <v>2</v>
      </c>
      <c r="D58" s="2" t="inlineStr">
        <is>
          <t xml:space="preserve">Feb</t>
        </is>
      </c>
      <c r="E58" s="2" t="inlineStr">
        <is>
          <t xml:space="preserve">2009/10</t>
        </is>
      </c>
      <c r="F58" s="2">
        <v>8</v>
      </c>
      <c r="G58" s="9">
        <v>40210</v>
      </c>
      <c r="H58" s="9">
        <v>40237</v>
      </c>
      <c r="I58" s="2">
        <f>H58-G58+1</f>
        <v>28</v>
      </c>
      <c r="J58" s="2">
        <f>COUNTIF(Daily!$B$3:$B$7756,A58)</f>
        <v>28</v>
      </c>
      <c r="K58" s="2" t="str">
        <f>IF(J58=I58,"complete","partial ("&amp;J58&amp;" days)")</f>
        <v>complete</v>
      </c>
      <c r="L58" s="3">
        <f>INDEX(ENSO_monthly!$F:$F,MATCH(A58,ENSO_monthly!$A:$A,0))</f>
        <v>1.21</v>
      </c>
      <c r="M58" s="2" t="str">
        <f>INDEX(ENSO_monthly!$D:$D,MATCH(A58,ENSO_monthly!$A:$A,0))</f>
        <v>JFM</v>
      </c>
      <c r="N58" s="6" t="str">
        <f>INDEX(ENSO_monthly!$L:$L,MATCH(A58,ENSO_monthly!$A:$A,0))</f>
        <v>El Niño</v>
      </c>
      <c r="O58" s="11" t="str">
        <f>INDEX(ENSO_seasons!$U:$U,MATCH(E58,ENSO_seasons!$A:$A,0))</f>
        <v>El Niño</v>
      </c>
      <c r="P58" s="4">
        <f>SUMIFS(Daily!$D$3:$D$7756,Daily!$B$3:$B$7756,$A58)</f>
        <v>1.67</v>
      </c>
      <c r="Q58" s="3">
        <f>AVERAGEIFS(Daily!$E$3:$E$7756,Daily!$B$3:$B$7756,$A58)</f>
        <v>21.976428571428578</v>
      </c>
      <c r="R58" s="3">
        <f>AVERAGEIFS(Daily!$F$3:$F$7756,Daily!$B$3:$B$7756,$A58)</f>
        <v>29.978571428571428</v>
      </c>
      <c r="S58" s="3">
        <f>AVERAGEIFS(Daily!$G$3:$G$7756,Daily!$B$3:$B$7756,$A58)</f>
        <v>16.030714285714286</v>
      </c>
      <c r="T58" s="4">
        <f>SUMIFS(Daily!$H$3:$H$7756,Daily!$B$3:$B$7756,$A58)</f>
        <v>21.33</v>
      </c>
      <c r="U58" s="4">
        <f>SUMIFS(Daily!$I$3:$I$7756,Daily!$B$3:$B$7756,$A58)</f>
        <v>17.917</v>
      </c>
      <c r="V58" s="3">
        <f>AVERAGEIFS(Daily!$J$3:$J$7756,Daily!$B$3:$B$7756,$A58)</f>
        <v>21.903571428571432</v>
      </c>
      <c r="W58" s="3">
        <f>AVERAGEIFS(Daily!$K$3:$K$7756,Daily!$B$3:$B$7756,$A58)</f>
        <v>29.426785714285717</v>
      </c>
      <c r="X58" s="3">
        <f>AVERAGEIFS(Daily!$L$3:$L$7756,Daily!$B$3:$B$7756,$A58)</f>
        <v>16.06321428571429</v>
      </c>
      <c r="Y58" s="4">
        <f>SUMIFS(Daily!$M$3:$M$7756,Daily!$B$3:$B$7756,$A58)</f>
        <v>22.5</v>
      </c>
      <c r="Z58" s="4">
        <f>SUMIFS(Daily!$N$3:$N$7756,Daily!$B$3:$B$7756,$A58)</f>
        <v>26.009</v>
      </c>
      <c r="AA58" s="3">
        <f>AVERAGEIFS(Daily!$O$3:$O$7756,Daily!$B$3:$B$7756,$A58)</f>
        <v>21.299285714285713</v>
      </c>
      <c r="AB58" s="3">
        <f>AVERAGEIFS(Daily!$P$3:$P$7756,Daily!$B$3:$B$7756,$A58)</f>
        <v>28.168928571428562</v>
      </c>
      <c r="AC58" s="3">
        <f>AVERAGEIFS(Daily!$Q$3:$Q$7756,Daily!$B$3:$B$7756,$A58)</f>
        <v>16.16392857142857</v>
      </c>
      <c r="AD58" s="4">
        <f>SUMIFS(Daily!$R$3:$R$7756,Daily!$B$3:$B$7756,$A58)</f>
        <v>33.62</v>
      </c>
      <c r="AE58" s="4">
        <f>AVERAGE(P58,U58,Z58)</f>
        <v>15.198666666666668</v>
      </c>
      <c r="AF58" s="3">
        <f>AVERAGE(Q58,V58,AA58)</f>
        <v>21.726428571428574</v>
      </c>
      <c r="AG58" s="3">
        <f>AVERAGE(R58,W58,AB58)</f>
        <v>29.19142857142857</v>
      </c>
      <c r="AH58" s="3">
        <f>AVERAGE(S58,X58,AC58)</f>
        <v>16.08595238095238</v>
      </c>
      <c r="AI58" s="4">
        <f>AVERAGE(T58,Y58,AD58)</f>
        <v>25.816666666666663</v>
      </c>
    </row>
    <row r="59">
      <c r="A59" s="2" t="inlineStr">
        <is>
          <t xml:space="preserve">2010-03</t>
        </is>
      </c>
      <c r="B59" s="2">
        <v>2010</v>
      </c>
      <c r="C59" s="2">
        <v>3</v>
      </c>
      <c r="D59" s="2" t="inlineStr">
        <is>
          <t xml:space="preserve">Mar</t>
        </is>
      </c>
      <c r="E59" s="2" t="inlineStr">
        <is>
          <t xml:space="preserve">2009/10</t>
        </is>
      </c>
      <c r="F59" s="2">
        <v>9</v>
      </c>
      <c r="G59" s="9">
        <v>40238</v>
      </c>
      <c r="H59" s="9">
        <v>40268</v>
      </c>
      <c r="I59" s="2">
        <f>H59-G59+1</f>
        <v>31</v>
      </c>
      <c r="J59" s="2">
        <f>COUNTIF(Daily!$B$3:$B$7756,A59)</f>
        <v>31</v>
      </c>
      <c r="K59" s="2" t="str">
        <f>IF(J59=I59,"complete","partial ("&amp;J59&amp;" days)")</f>
        <v>complete</v>
      </c>
      <c r="L59" s="3">
        <f>INDEX(ENSO_monthly!$F:$F,MATCH(A59,ENSO_monthly!$A:$A,0))</f>
        <v>0.88</v>
      </c>
      <c r="M59" s="2" t="str">
        <f>INDEX(ENSO_monthly!$D:$D,MATCH(A59,ENSO_monthly!$A:$A,0))</f>
        <v>FMA</v>
      </c>
      <c r="N59" s="6" t="str">
        <f>INDEX(ENSO_monthly!$L:$L,MATCH(A59,ENSO_monthly!$A:$A,0))</f>
        <v>El Niño</v>
      </c>
      <c r="O59" s="11" t="str">
        <f>INDEX(ENSO_seasons!$U:$U,MATCH(E59,ENSO_seasons!$A:$A,0))</f>
        <v>El Niño</v>
      </c>
      <c r="P59" s="4">
        <f>SUMIFS(Daily!$D$3:$D$7756,Daily!$B$3:$B$7756,$A59)</f>
        <v>0.995</v>
      </c>
      <c r="Q59" s="3">
        <f>AVERAGEIFS(Daily!$E$3:$E$7756,Daily!$B$3:$B$7756,$A59)</f>
        <v>23.02967741935484</v>
      </c>
      <c r="R59" s="3">
        <f>AVERAGEIFS(Daily!$F$3:$F$7756,Daily!$B$3:$B$7756,$A59)</f>
        <v>31.917419354838714</v>
      </c>
      <c r="S59" s="3">
        <f>AVERAGEIFS(Daily!$G$3:$G$7756,Daily!$B$3:$B$7756,$A59)</f>
        <v>16.12838709677419</v>
      </c>
      <c r="T59" s="4">
        <f>SUMIFS(Daily!$H$3:$H$7756,Daily!$B$3:$B$7756,$A59)</f>
        <v>15.96</v>
      </c>
      <c r="U59" s="4">
        <f>SUMIFS(Daily!$I$3:$I$7756,Daily!$B$3:$B$7756,$A59)</f>
        <v>1.101</v>
      </c>
      <c r="V59" s="3">
        <f>AVERAGEIFS(Daily!$J$3:$J$7756,Daily!$B$3:$B$7756,$A59)</f>
        <v>23.350322580645162</v>
      </c>
      <c r="W59" s="3">
        <f>AVERAGEIFS(Daily!$K$3:$K$7756,Daily!$B$3:$B$7756,$A59)</f>
        <v>31.942580645161293</v>
      </c>
      <c r="X59" s="3">
        <f>AVERAGEIFS(Daily!$L$3:$L$7756,Daily!$B$3:$B$7756,$A59)</f>
        <v>16.616451612903226</v>
      </c>
      <c r="Y59" s="4">
        <f>SUMIFS(Daily!$M$3:$M$7756,Daily!$B$3:$B$7756,$A59)</f>
        <v>2.58</v>
      </c>
      <c r="Z59" s="4">
        <f>SUMIFS(Daily!$N$3:$N$7756,Daily!$B$3:$B$7756,$A59)</f>
        <v>1.796</v>
      </c>
      <c r="AA59" s="3">
        <f>AVERAGEIFS(Daily!$O$3:$O$7756,Daily!$B$3:$B$7756,$A59)</f>
        <v>22.70516129032258</v>
      </c>
      <c r="AB59" s="3">
        <f>AVERAGEIFS(Daily!$P$3:$P$7756,Daily!$B$3:$B$7756,$A59)</f>
        <v>30.8283870967742</v>
      </c>
      <c r="AC59" s="3">
        <f>AVERAGEIFS(Daily!$Q$3:$Q$7756,Daily!$B$3:$B$7756,$A59)</f>
        <v>16.651935483870968</v>
      </c>
      <c r="AD59" s="4">
        <f>SUMIFS(Daily!$R$3:$R$7756,Daily!$B$3:$B$7756,$A59)</f>
        <v>6.05</v>
      </c>
      <c r="AE59" s="4">
        <f>AVERAGE(P59,U59,Z59)</f>
        <v>1.2973333333333334</v>
      </c>
      <c r="AF59" s="3">
        <f>AVERAGE(Q59,V59,AA59)</f>
        <v>23.028387096774196</v>
      </c>
      <c r="AG59" s="3">
        <f>AVERAGE(R59,W59,AB59)</f>
        <v>31.562795698924734</v>
      </c>
      <c r="AH59" s="3">
        <f>AVERAGE(S59,X59,AC59)</f>
        <v>16.46559139784946</v>
      </c>
      <c r="AI59" s="4">
        <f>AVERAGE(T59,Y59,AD59)</f>
        <v>8.196666666666667</v>
      </c>
    </row>
    <row r="60">
      <c r="A60" s="2" t="inlineStr">
        <is>
          <t xml:space="preserve">2010-04</t>
        </is>
      </c>
      <c r="B60" s="2">
        <v>2010</v>
      </c>
      <c r="C60" s="2">
        <v>4</v>
      </c>
      <c r="D60" s="2" t="inlineStr">
        <is>
          <t xml:space="preserve">Apr</t>
        </is>
      </c>
      <c r="E60" s="2" t="inlineStr">
        <is>
          <t xml:space="preserve">2009/10</t>
        </is>
      </c>
      <c r="F60" s="2">
        <v>10</v>
      </c>
      <c r="G60" s="9">
        <v>40269</v>
      </c>
      <c r="H60" s="9">
        <v>40298</v>
      </c>
      <c r="I60" s="2">
        <f>H60-G60+1</f>
        <v>30</v>
      </c>
      <c r="J60" s="2">
        <f>COUNTIF(Daily!$B$3:$B$7756,A60)</f>
        <v>30</v>
      </c>
      <c r="K60" s="2" t="str">
        <f>IF(J60=I60,"complete","partial ("&amp;J60&amp;" days)")</f>
        <v>complete</v>
      </c>
      <c r="L60" s="3">
        <f>INDEX(ENSO_monthly!$F:$F,MATCH(A60,ENSO_monthly!$A:$A,0))</f>
        <v>0.38</v>
      </c>
      <c r="M60" s="2" t="str">
        <f>INDEX(ENSO_monthly!$D:$D,MATCH(A60,ENSO_monthly!$A:$A,0))</f>
        <v>MAM</v>
      </c>
      <c r="N60" s="2" t="str">
        <f>INDEX(ENSO_monthly!$L:$L,MATCH(A60,ENSO_monthly!$A:$A,0))</f>
        <v>—</v>
      </c>
      <c r="O60" s="11" t="str">
        <f>INDEX(ENSO_seasons!$U:$U,MATCH(E60,ENSO_seasons!$A:$A,0))</f>
        <v>El Niño</v>
      </c>
      <c r="P60" s="4">
        <f>SUMIFS(Daily!$D$3:$D$7756,Daily!$B$3:$B$7756,$A60)</f>
        <v>111.742</v>
      </c>
      <c r="Q60" s="3">
        <f>AVERAGEIFS(Daily!$E$3:$E$7756,Daily!$B$3:$B$7756,$A60)</f>
        <v>24.21766666666667</v>
      </c>
      <c r="R60" s="3">
        <f>AVERAGEIFS(Daily!$F$3:$F$7756,Daily!$B$3:$B$7756,$A60)</f>
        <v>30.856666666666666</v>
      </c>
      <c r="S60" s="3">
        <f>AVERAGEIFS(Daily!$G$3:$G$7756,Daily!$B$3:$B$7756,$A60)</f>
        <v>19.131333333333334</v>
      </c>
      <c r="T60" s="4">
        <f>SUMIFS(Daily!$H$3:$H$7756,Daily!$B$3:$B$7756,$A60)</f>
        <v>113.2</v>
      </c>
      <c r="U60" s="4">
        <f>SUMIFS(Daily!$I$3:$I$7756,Daily!$B$3:$B$7756,$A60)</f>
        <v>67.157</v>
      </c>
      <c r="V60" s="3">
        <f>AVERAGEIFS(Daily!$J$3:$J$7756,Daily!$B$3:$B$7756,$A60)</f>
        <v>25.24866666666667</v>
      </c>
      <c r="W60" s="3">
        <f>AVERAGEIFS(Daily!$K$3:$K$7756,Daily!$B$3:$B$7756,$A60)</f>
        <v>32.130333333333326</v>
      </c>
      <c r="X60" s="3">
        <f>AVERAGEIFS(Daily!$L$3:$L$7756,Daily!$B$3:$B$7756,$A60)</f>
        <v>19.906333333333336</v>
      </c>
      <c r="Y60" s="4">
        <f>SUMIFS(Daily!$M$3:$M$7756,Daily!$B$3:$B$7756,$A60)</f>
        <v>91.46</v>
      </c>
      <c r="Z60" s="4">
        <f>SUMIFS(Daily!$N$3:$N$7756,Daily!$B$3:$B$7756,$A60)</f>
        <v>137.995</v>
      </c>
      <c r="AA60" s="3">
        <f>AVERAGEIFS(Daily!$O$3:$O$7756,Daily!$B$3:$B$7756,$A60)</f>
        <v>24.877333333333333</v>
      </c>
      <c r="AB60" s="3">
        <f>AVERAGEIFS(Daily!$P$3:$P$7756,Daily!$B$3:$B$7756,$A60)</f>
        <v>31.653000000000002</v>
      </c>
      <c r="AC60" s="3">
        <f>AVERAGEIFS(Daily!$Q$3:$Q$7756,Daily!$B$3:$B$7756,$A60)</f>
        <v>20.026999999999997</v>
      </c>
      <c r="AD60" s="4">
        <f>SUMIFS(Daily!$R$3:$R$7756,Daily!$B$3:$B$7756,$A60)</f>
        <v>117.01</v>
      </c>
      <c r="AE60" s="4">
        <f>AVERAGE(P60,U60,Z60)</f>
        <v>105.63133333333333</v>
      </c>
      <c r="AF60" s="3">
        <f>AVERAGE(Q60,V60,AA60)</f>
        <v>24.781222222222226</v>
      </c>
      <c r="AG60" s="3">
        <f>AVERAGE(R60,W60,AB60)</f>
        <v>31.546666666666667</v>
      </c>
      <c r="AH60" s="3">
        <f>AVERAGE(S60,X60,AC60)</f>
        <v>19.688222222222223</v>
      </c>
      <c r="AI60" s="4">
        <f>AVERAGE(T60,Y60,AD60)</f>
        <v>107.22333333333334</v>
      </c>
    </row>
    <row r="61">
      <c r="A61" s="2" t="inlineStr">
        <is>
          <t xml:space="preserve">2010-05</t>
        </is>
      </c>
      <c r="B61" s="2">
        <v>2010</v>
      </c>
      <c r="C61" s="2">
        <v>5</v>
      </c>
      <c r="D61" s="2" t="inlineStr">
        <is>
          <t xml:space="preserve">May</t>
        </is>
      </c>
      <c r="E61" s="2" t="inlineStr">
        <is>
          <t xml:space="preserve">2009/10</t>
        </is>
      </c>
      <c r="F61" s="2">
        <v>11</v>
      </c>
      <c r="G61" s="9">
        <v>40299</v>
      </c>
      <c r="H61" s="9">
        <v>40329</v>
      </c>
      <c r="I61" s="2">
        <f>H61-G61+1</f>
        <v>31</v>
      </c>
      <c r="J61" s="2">
        <f>COUNTIF(Daily!$B$3:$B$7756,A61)</f>
        <v>31</v>
      </c>
      <c r="K61" s="2" t="str">
        <f>IF(J61=I61,"complete","partial ("&amp;J61&amp;" days)")</f>
        <v>complete</v>
      </c>
      <c r="L61" s="3">
        <f>INDEX(ENSO_monthly!$F:$F,MATCH(A61,ENSO_monthly!$A:$A,0))</f>
        <v>-0.16</v>
      </c>
      <c r="M61" s="2" t="str">
        <f>INDEX(ENSO_monthly!$D:$D,MATCH(A61,ENSO_monthly!$A:$A,0))</f>
        <v>AMJ</v>
      </c>
      <c r="N61" s="2" t="str">
        <f>INDEX(ENSO_monthly!$L:$L,MATCH(A61,ENSO_monthly!$A:$A,0))</f>
        <v>—</v>
      </c>
      <c r="O61" s="11" t="str">
        <f>INDEX(ENSO_seasons!$U:$U,MATCH(E61,ENSO_seasons!$A:$A,0))</f>
        <v>El Niño</v>
      </c>
      <c r="P61" s="4">
        <f>SUMIFS(Daily!$D$3:$D$7756,Daily!$B$3:$B$7756,$A61)</f>
        <v>320.1</v>
      </c>
      <c r="Q61" s="3">
        <f>AVERAGEIFS(Daily!$E$3:$E$7756,Daily!$B$3:$B$7756,$A61)</f>
        <v>24.053548387096768</v>
      </c>
      <c r="R61" s="3">
        <f>AVERAGEIFS(Daily!$F$3:$F$7756,Daily!$B$3:$B$7756,$A61)</f>
        <v>29.684838709677418</v>
      </c>
      <c r="S61" s="3">
        <f>AVERAGEIFS(Daily!$G$3:$G$7756,Daily!$B$3:$B$7756,$A61)</f>
        <v>19.576129032258066</v>
      </c>
      <c r="T61" s="4">
        <f>SUMIFS(Daily!$H$3:$H$7756,Daily!$B$3:$B$7756,$A61)</f>
        <v>293.33</v>
      </c>
      <c r="U61" s="4">
        <f>SUMIFS(Daily!$I$3:$I$7756,Daily!$B$3:$B$7756,$A61)</f>
        <v>223.127</v>
      </c>
      <c r="V61" s="3">
        <f>AVERAGEIFS(Daily!$J$3:$J$7756,Daily!$B$3:$B$7756,$A61)</f>
        <v>24.683548387096774</v>
      </c>
      <c r="W61" s="3">
        <f>AVERAGEIFS(Daily!$K$3:$K$7756,Daily!$B$3:$B$7756,$A61)</f>
        <v>30.441935483870967</v>
      </c>
      <c r="X61" s="3">
        <f>AVERAGEIFS(Daily!$L$3:$L$7756,Daily!$B$3:$B$7756,$A61)</f>
        <v>20.295483870967743</v>
      </c>
      <c r="Y61" s="4">
        <f>SUMIFS(Daily!$M$3:$M$7756,Daily!$B$3:$B$7756,$A61)</f>
        <v>230.44</v>
      </c>
      <c r="Z61" s="4">
        <f>SUMIFS(Daily!$N$3:$N$7756,Daily!$B$3:$B$7756,$A61)</f>
        <v>271.476</v>
      </c>
      <c r="AA61" s="3">
        <f>AVERAGEIFS(Daily!$O$3:$O$7756,Daily!$B$3:$B$7756,$A61)</f>
        <v>24.568709677419356</v>
      </c>
      <c r="AB61" s="3">
        <f>AVERAGEIFS(Daily!$P$3:$P$7756,Daily!$B$3:$B$7756,$A61)</f>
        <v>30.21967741935484</v>
      </c>
      <c r="AC61" s="3">
        <f>AVERAGEIFS(Daily!$Q$3:$Q$7756,Daily!$B$3:$B$7756,$A61)</f>
        <v>20.6216129032258</v>
      </c>
      <c r="AD61" s="4">
        <f>SUMIFS(Daily!$R$3:$R$7756,Daily!$B$3:$B$7756,$A61)</f>
        <v>215.34</v>
      </c>
      <c r="AE61" s="4">
        <f>AVERAGE(P61,U61,Z61)</f>
        <v>271.5676666666667</v>
      </c>
      <c r="AF61" s="3">
        <f>AVERAGE(Q61,V61,AA61)</f>
        <v>24.435268817204303</v>
      </c>
      <c r="AG61" s="3">
        <f>AVERAGE(R61,W61,AB61)</f>
        <v>30.11548387096774</v>
      </c>
      <c r="AH61" s="3">
        <f>AVERAGE(S61,X61,AC61)</f>
        <v>20.164408602150534</v>
      </c>
      <c r="AI61" s="4">
        <f>AVERAGE(T61,Y61,AD61)</f>
        <v>246.37</v>
      </c>
    </row>
    <row r="62">
      <c r="A62" s="2" t="inlineStr">
        <is>
          <t xml:space="preserve">2010-06</t>
        </is>
      </c>
      <c r="B62" s="2">
        <v>2010</v>
      </c>
      <c r="C62" s="2">
        <v>6</v>
      </c>
      <c r="D62" s="2" t="inlineStr">
        <is>
          <t xml:space="preserve">Jun</t>
        </is>
      </c>
      <c r="E62" s="2" t="inlineStr">
        <is>
          <t xml:space="preserve">2009/10</t>
        </is>
      </c>
      <c r="F62" s="2">
        <v>12</v>
      </c>
      <c r="G62" s="9">
        <v>40330</v>
      </c>
      <c r="H62" s="9">
        <v>40359</v>
      </c>
      <c r="I62" s="2">
        <f>H62-G62+1</f>
        <v>30</v>
      </c>
      <c r="J62" s="2">
        <f>COUNTIF(Daily!$B$3:$B$7756,A62)</f>
        <v>30</v>
      </c>
      <c r="K62" s="2" t="str">
        <f>IF(J62=I62,"complete","partial ("&amp;J62&amp;" days)")</f>
        <v>complete</v>
      </c>
      <c r="L62" s="3">
        <f>INDEX(ENSO_monthly!$F:$F,MATCH(A62,ENSO_monthly!$A:$A,0))</f>
        <v>-0.66</v>
      </c>
      <c r="M62" s="2" t="str">
        <f>INDEX(ENSO_monthly!$D:$D,MATCH(A62,ENSO_monthly!$A:$A,0))</f>
        <v>MJJ</v>
      </c>
      <c r="N62" s="5" t="str">
        <f>INDEX(ENSO_monthly!$L:$L,MATCH(A62,ENSO_monthly!$A:$A,0))</f>
        <v>La Niña</v>
      </c>
      <c r="O62" s="11" t="str">
        <f>INDEX(ENSO_seasons!$U:$U,MATCH(E62,ENSO_seasons!$A:$A,0))</f>
        <v>El Niño</v>
      </c>
      <c r="P62" s="4">
        <f>SUMIFS(Daily!$D$3:$D$7756,Daily!$B$3:$B$7756,$A62)</f>
        <v>250.838</v>
      </c>
      <c r="Q62" s="3">
        <f>AVERAGEIFS(Daily!$E$3:$E$7756,Daily!$B$3:$B$7756,$A62)</f>
        <v>22.292000000000005</v>
      </c>
      <c r="R62" s="3">
        <f>AVERAGEIFS(Daily!$F$3:$F$7756,Daily!$B$3:$B$7756,$A62)</f>
        <v>26.841999999999995</v>
      </c>
      <c r="S62" s="3">
        <f>AVERAGEIFS(Daily!$G$3:$G$7756,Daily!$B$3:$B$7756,$A62)</f>
        <v>18.679</v>
      </c>
      <c r="T62" s="4">
        <f>SUMIFS(Daily!$H$3:$H$7756,Daily!$B$3:$B$7756,$A62)</f>
        <v>201.37</v>
      </c>
      <c r="U62" s="4">
        <f>SUMIFS(Daily!$I$3:$I$7756,Daily!$B$3:$B$7756,$A62)</f>
        <v>290.553</v>
      </c>
      <c r="V62" s="3">
        <f>AVERAGEIFS(Daily!$J$3:$J$7756,Daily!$B$3:$B$7756,$A62)</f>
        <v>22.95433333333333</v>
      </c>
      <c r="W62" s="3">
        <f>AVERAGEIFS(Daily!$K$3:$K$7756,Daily!$B$3:$B$7756,$A62)</f>
        <v>27.03633333333333</v>
      </c>
      <c r="X62" s="3">
        <f>AVERAGEIFS(Daily!$L$3:$L$7756,Daily!$B$3:$B$7756,$A62)</f>
        <v>19.839333333333332</v>
      </c>
      <c r="Y62" s="4">
        <f>SUMIFS(Daily!$M$3:$M$7756,Daily!$B$3:$B$7756,$A62)</f>
        <v>292.03</v>
      </c>
      <c r="Z62" s="4">
        <f>SUMIFS(Daily!$N$3:$N$7756,Daily!$B$3:$B$7756,$A62)</f>
        <v>306.941</v>
      </c>
      <c r="AA62" s="3">
        <f>AVERAGEIFS(Daily!$O$3:$O$7756,Daily!$B$3:$B$7756,$A62)</f>
        <v>23.57066666666667</v>
      </c>
      <c r="AB62" s="3">
        <f>AVERAGEIFS(Daily!$P$3:$P$7756,Daily!$B$3:$B$7756,$A62)</f>
        <v>27.751666666666672</v>
      </c>
      <c r="AC62" s="3">
        <f>AVERAGEIFS(Daily!$Q$3:$Q$7756,Daily!$B$3:$B$7756,$A62)</f>
        <v>20.413</v>
      </c>
      <c r="AD62" s="4">
        <f>SUMIFS(Daily!$R$3:$R$7756,Daily!$B$3:$B$7756,$A62)</f>
        <v>257.24</v>
      </c>
      <c r="AE62" s="4">
        <f>AVERAGE(P62,U62,Z62)</f>
        <v>282.7773333333333</v>
      </c>
      <c r="AF62" s="3">
        <f>AVERAGE(Q62,V62,AA62)</f>
        <v>22.939000000000004</v>
      </c>
      <c r="AG62" s="3">
        <f>AVERAGE(R62,W62,AB62)</f>
        <v>27.209999999999997</v>
      </c>
      <c r="AH62" s="3">
        <f>AVERAGE(S62,X62,AC62)</f>
        <v>19.643777777777775</v>
      </c>
      <c r="AI62" s="4">
        <f>AVERAGE(T62,Y62,AD62)</f>
        <v>250.21333333333334</v>
      </c>
    </row>
    <row r="63">
      <c r="A63" s="2" t="inlineStr">
        <is>
          <t xml:space="preserve">2010-07</t>
        </is>
      </c>
      <c r="B63" s="2">
        <v>2010</v>
      </c>
      <c r="C63" s="2">
        <v>7</v>
      </c>
      <c r="D63" s="2" t="inlineStr">
        <is>
          <t xml:space="preserve">Jul</t>
        </is>
      </c>
      <c r="E63" s="2" t="inlineStr">
        <is>
          <t xml:space="preserve">2010/11</t>
        </is>
      </c>
      <c r="F63" s="2">
        <v>1</v>
      </c>
      <c r="G63" s="9">
        <v>40360</v>
      </c>
      <c r="H63" s="9">
        <v>40390</v>
      </c>
      <c r="I63" s="2">
        <f>H63-G63+1</f>
        <v>31</v>
      </c>
      <c r="J63" s="2">
        <f>COUNTIF(Daily!$B$3:$B$7756,A63)</f>
        <v>31</v>
      </c>
      <c r="K63" s="2" t="str">
        <f>IF(J63=I63,"complete","partial ("&amp;J63&amp;" days)")</f>
        <v>complete</v>
      </c>
      <c r="L63" s="3">
        <f>INDEX(ENSO_monthly!$F:$F,MATCH(A63,ENSO_monthly!$A:$A,0))</f>
        <v>-0.98</v>
      </c>
      <c r="M63" s="2" t="str">
        <f>INDEX(ENSO_monthly!$D:$D,MATCH(A63,ENSO_monthly!$A:$A,0))</f>
        <v>JJA</v>
      </c>
      <c r="N63" s="5" t="str">
        <f>INDEX(ENSO_monthly!$L:$L,MATCH(A63,ENSO_monthly!$A:$A,0))</f>
        <v>La Niña</v>
      </c>
      <c r="O63" s="12" t="str">
        <f>INDEX(ENSO_seasons!$U:$U,MATCH(E63,ENSO_seasons!$A:$A,0))</f>
        <v>La Niña</v>
      </c>
      <c r="P63" s="4">
        <f>SUMIFS(Daily!$D$3:$D$7756,Daily!$B$3:$B$7756,$A63)</f>
        <v>280.249</v>
      </c>
      <c r="Q63" s="3">
        <f>AVERAGEIFS(Daily!$E$3:$E$7756,Daily!$B$3:$B$7756,$A63)</f>
        <v>21.72290322580646</v>
      </c>
      <c r="R63" s="3">
        <f>AVERAGEIFS(Daily!$F$3:$F$7756,Daily!$B$3:$B$7756,$A63)</f>
        <v>26.00935483870968</v>
      </c>
      <c r="S63" s="3">
        <f>AVERAGEIFS(Daily!$G$3:$G$7756,Daily!$B$3:$B$7756,$A63)</f>
        <v>18.14838709677419</v>
      </c>
      <c r="T63" s="4">
        <f>SUMIFS(Daily!$H$3:$H$7756,Daily!$B$3:$B$7756,$A63)</f>
        <v>253.17</v>
      </c>
      <c r="U63" s="4">
        <f>SUMIFS(Daily!$I$3:$I$7756,Daily!$B$3:$B$7756,$A63)</f>
        <v>193.684</v>
      </c>
      <c r="V63" s="3">
        <f>AVERAGEIFS(Daily!$J$3:$J$7756,Daily!$B$3:$B$7756,$A63)</f>
        <v>22.41645161290322</v>
      </c>
      <c r="W63" s="3">
        <f>AVERAGEIFS(Daily!$K$3:$K$7756,Daily!$B$3:$B$7756,$A63)</f>
        <v>26.411290322580644</v>
      </c>
      <c r="X63" s="3">
        <f>AVERAGEIFS(Daily!$L$3:$L$7756,Daily!$B$3:$B$7756,$A63)</f>
        <v>19.271612903225805</v>
      </c>
      <c r="Y63" s="4">
        <f>SUMIFS(Daily!$M$3:$M$7756,Daily!$B$3:$B$7756,$A63)</f>
        <v>181.73</v>
      </c>
      <c r="Z63" s="4">
        <f>SUMIFS(Daily!$N$3:$N$7756,Daily!$B$3:$B$7756,$A63)</f>
        <v>123.154</v>
      </c>
      <c r="AA63" s="3">
        <f>AVERAGEIFS(Daily!$O$3:$O$7756,Daily!$B$3:$B$7756,$A63)</f>
        <v>23.024838709677415</v>
      </c>
      <c r="AB63" s="3">
        <f>AVERAGEIFS(Daily!$P$3:$P$7756,Daily!$B$3:$B$7756,$A63)</f>
        <v>27.193548387096765</v>
      </c>
      <c r="AC63" s="3">
        <f>AVERAGEIFS(Daily!$Q$3:$Q$7756,Daily!$B$3:$B$7756,$A63)</f>
        <v>19.87935483870968</v>
      </c>
      <c r="AD63" s="4">
        <f>SUMIFS(Daily!$R$3:$R$7756,Daily!$B$3:$B$7756,$A63)</f>
        <v>165.86</v>
      </c>
      <c r="AE63" s="4">
        <f>AVERAGE(P63,U63,Z63)</f>
        <v>199.029</v>
      </c>
      <c r="AF63" s="3">
        <f>AVERAGE(Q63,V63,AA63)</f>
        <v>22.38806451612903</v>
      </c>
      <c r="AG63" s="3">
        <f>AVERAGE(R63,W63,AB63)</f>
        <v>26.53806451612903</v>
      </c>
      <c r="AH63" s="3">
        <f>AVERAGE(S63,X63,AC63)</f>
        <v>19.099784946236557</v>
      </c>
      <c r="AI63" s="4">
        <f>AVERAGE(T63,Y63,AD63)</f>
        <v>200.25333333333333</v>
      </c>
    </row>
    <row r="64">
      <c r="A64" s="2" t="inlineStr">
        <is>
          <t xml:space="preserve">2010-08</t>
        </is>
      </c>
      <c r="B64" s="2">
        <v>2010</v>
      </c>
      <c r="C64" s="2">
        <v>8</v>
      </c>
      <c r="D64" s="2" t="inlineStr">
        <is>
          <t xml:space="preserve">Aug</t>
        </is>
      </c>
      <c r="E64" s="2" t="inlineStr">
        <is>
          <t xml:space="preserve">2010/11</t>
        </is>
      </c>
      <c r="F64" s="2">
        <v>2</v>
      </c>
      <c r="G64" s="9">
        <v>40391</v>
      </c>
      <c r="H64" s="9">
        <v>40421</v>
      </c>
      <c r="I64" s="2">
        <f>H64-G64+1</f>
        <v>31</v>
      </c>
      <c r="J64" s="2">
        <f>COUNTIF(Daily!$B$3:$B$7756,A64)</f>
        <v>31</v>
      </c>
      <c r="K64" s="2" t="str">
        <f>IF(J64=I64,"complete","partial ("&amp;J64&amp;" days)")</f>
        <v>complete</v>
      </c>
      <c r="L64" s="3">
        <f>INDEX(ENSO_monthly!$F:$F,MATCH(A64,ENSO_monthly!$A:$A,0))</f>
        <v>-1.24</v>
      </c>
      <c r="M64" s="2" t="str">
        <f>INDEX(ENSO_monthly!$D:$D,MATCH(A64,ENSO_monthly!$A:$A,0))</f>
        <v>JAS</v>
      </c>
      <c r="N64" s="5" t="str">
        <f>INDEX(ENSO_monthly!$L:$L,MATCH(A64,ENSO_monthly!$A:$A,0))</f>
        <v>La Niña</v>
      </c>
      <c r="O64" s="12" t="str">
        <f>INDEX(ENSO_seasons!$U:$U,MATCH(E64,ENSO_seasons!$A:$A,0))</f>
        <v>La Niña</v>
      </c>
      <c r="P64" s="4">
        <f>SUMIFS(Daily!$D$3:$D$7756,Daily!$B$3:$B$7756,$A64)</f>
        <v>274.56</v>
      </c>
      <c r="Q64" s="3">
        <f>AVERAGEIFS(Daily!$E$3:$E$7756,Daily!$B$3:$B$7756,$A64)</f>
        <v>21.82709677419355</v>
      </c>
      <c r="R64" s="3">
        <f>AVERAGEIFS(Daily!$F$3:$F$7756,Daily!$B$3:$B$7756,$A64)</f>
        <v>26.09774193548388</v>
      </c>
      <c r="S64" s="3">
        <f>AVERAGEIFS(Daily!$G$3:$G$7756,Daily!$B$3:$B$7756,$A64)</f>
        <v>18.27032258064516</v>
      </c>
      <c r="T64" s="4">
        <f>SUMIFS(Daily!$H$3:$H$7756,Daily!$B$3:$B$7756,$A64)</f>
        <v>241.94</v>
      </c>
      <c r="U64" s="4">
        <f>SUMIFS(Daily!$I$3:$I$7756,Daily!$B$3:$B$7756,$A64)</f>
        <v>274.91</v>
      </c>
      <c r="V64" s="3">
        <f>AVERAGEIFS(Daily!$J$3:$J$7756,Daily!$B$3:$B$7756,$A64)</f>
        <v>22.22516129032258</v>
      </c>
      <c r="W64" s="3">
        <f>AVERAGEIFS(Daily!$K$3:$K$7756,Daily!$B$3:$B$7756,$A64)</f>
        <v>26.05967741935483</v>
      </c>
      <c r="X64" s="3">
        <f>AVERAGEIFS(Daily!$L$3:$L$7756,Daily!$B$3:$B$7756,$A64)</f>
        <v>19.332258064516132</v>
      </c>
      <c r="Y64" s="4">
        <f>SUMIFS(Daily!$M$3:$M$7756,Daily!$B$3:$B$7756,$A64)</f>
        <v>297.77</v>
      </c>
      <c r="Z64" s="4">
        <f>SUMIFS(Daily!$N$3:$N$7756,Daily!$B$3:$B$7756,$A64)</f>
        <v>331.006</v>
      </c>
      <c r="AA64" s="3">
        <f>AVERAGEIFS(Daily!$O$3:$O$7756,Daily!$B$3:$B$7756,$A64)</f>
        <v>23.05806451612903</v>
      </c>
      <c r="AB64" s="3">
        <f>AVERAGEIFS(Daily!$P$3:$P$7756,Daily!$B$3:$B$7756,$A64)</f>
        <v>26.866774193548384</v>
      </c>
      <c r="AC64" s="3">
        <f>AVERAGEIFS(Daily!$Q$3:$Q$7756,Daily!$B$3:$B$7756,$A64)</f>
        <v>20.29903225806451</v>
      </c>
      <c r="AD64" s="4">
        <f>SUMIFS(Daily!$R$3:$R$7756,Daily!$B$3:$B$7756,$A64)</f>
        <v>317.17</v>
      </c>
      <c r="AE64" s="4">
        <f>AVERAGE(P64,U64,Z64)</f>
        <v>293.492</v>
      </c>
      <c r="AF64" s="3">
        <f>AVERAGE(Q64,V64,AA64)</f>
        <v>22.370107526881714</v>
      </c>
      <c r="AG64" s="3">
        <f>AVERAGE(R64,W64,AB64)</f>
        <v>26.341397849462364</v>
      </c>
      <c r="AH64" s="3">
        <f>AVERAGE(S64,X64,AC64)</f>
        <v>19.300537634408602</v>
      </c>
      <c r="AI64" s="4">
        <f>AVERAGE(T64,Y64,AD64)</f>
        <v>285.6266666666667</v>
      </c>
    </row>
    <row r="65">
      <c r="A65" s="2" t="inlineStr">
        <is>
          <t xml:space="preserve">2010-09</t>
        </is>
      </c>
      <c r="B65" s="2">
        <v>2010</v>
      </c>
      <c r="C65" s="2">
        <v>9</v>
      </c>
      <c r="D65" s="2" t="inlineStr">
        <is>
          <t xml:space="preserve">Sep</t>
        </is>
      </c>
      <c r="E65" s="2" t="inlineStr">
        <is>
          <t xml:space="preserve">2010/11</t>
        </is>
      </c>
      <c r="F65" s="2">
        <v>3</v>
      </c>
      <c r="G65" s="9">
        <v>40422</v>
      </c>
      <c r="H65" s="9">
        <v>40451</v>
      </c>
      <c r="I65" s="2">
        <f>H65-G65+1</f>
        <v>30</v>
      </c>
      <c r="J65" s="2">
        <f>COUNTIF(Daily!$B$3:$B$7756,A65)</f>
        <v>30</v>
      </c>
      <c r="K65" s="2" t="str">
        <f>IF(J65=I65,"complete","partial ("&amp;J65&amp;" days)")</f>
        <v>complete</v>
      </c>
      <c r="L65" s="3">
        <f>INDEX(ENSO_monthly!$F:$F,MATCH(A65,ENSO_monthly!$A:$A,0))</f>
        <v>-1.43</v>
      </c>
      <c r="M65" s="2" t="str">
        <f>INDEX(ENSO_monthly!$D:$D,MATCH(A65,ENSO_monthly!$A:$A,0))</f>
        <v>ASO</v>
      </c>
      <c r="N65" s="5" t="str">
        <f>INDEX(ENSO_monthly!$L:$L,MATCH(A65,ENSO_monthly!$A:$A,0))</f>
        <v>La Niña</v>
      </c>
      <c r="O65" s="12" t="str">
        <f>INDEX(ENSO_seasons!$U:$U,MATCH(E65,ENSO_seasons!$A:$A,0))</f>
        <v>La Niña</v>
      </c>
      <c r="P65" s="4">
        <f>SUMIFS(Daily!$D$3:$D$7756,Daily!$B$3:$B$7756,$A65)</f>
        <v>232.771</v>
      </c>
      <c r="Q65" s="3">
        <f>AVERAGEIFS(Daily!$E$3:$E$7756,Daily!$B$3:$B$7756,$A65)</f>
        <v>21.644999999999996</v>
      </c>
      <c r="R65" s="3">
        <f>AVERAGEIFS(Daily!$F$3:$F$7756,Daily!$B$3:$B$7756,$A65)</f>
        <v>25.714333333333336</v>
      </c>
      <c r="S65" s="3">
        <f>AVERAGEIFS(Daily!$G$3:$G$7756,Daily!$B$3:$B$7756,$A65)</f>
        <v>18.509333333333334</v>
      </c>
      <c r="T65" s="4">
        <f>SUMIFS(Daily!$H$3:$H$7756,Daily!$B$3:$B$7756,$A65)</f>
        <v>242.32</v>
      </c>
      <c r="U65" s="4">
        <f>SUMIFS(Daily!$I$3:$I$7756,Daily!$B$3:$B$7756,$A65)</f>
        <v>186.942</v>
      </c>
      <c r="V65" s="3">
        <f>AVERAGEIFS(Daily!$J$3:$J$7756,Daily!$B$3:$B$7756,$A65)</f>
        <v>21.82766666666667</v>
      </c>
      <c r="W65" s="3">
        <f>AVERAGEIFS(Daily!$K$3:$K$7756,Daily!$B$3:$B$7756,$A65)</f>
        <v>25.443333333333335</v>
      </c>
      <c r="X65" s="3">
        <f>AVERAGEIFS(Daily!$L$3:$L$7756,Daily!$B$3:$B$7756,$A65)</f>
        <v>19.207666666666665</v>
      </c>
      <c r="Y65" s="4">
        <f>SUMIFS(Daily!$M$3:$M$7756,Daily!$B$3:$B$7756,$A65)</f>
        <v>219.03</v>
      </c>
      <c r="Z65" s="4">
        <f>SUMIFS(Daily!$N$3:$N$7756,Daily!$B$3:$B$7756,$A65)</f>
        <v>190.439</v>
      </c>
      <c r="AA65" s="3">
        <f>AVERAGEIFS(Daily!$O$3:$O$7756,Daily!$B$3:$B$7756,$A65)</f>
        <v>22.667999999999996</v>
      </c>
      <c r="AB65" s="3">
        <f>AVERAGEIFS(Daily!$P$3:$P$7756,Daily!$B$3:$B$7756,$A65)</f>
        <v>26.371999999999996</v>
      </c>
      <c r="AC65" s="3">
        <f>AVERAGEIFS(Daily!$Q$3:$Q$7756,Daily!$B$3:$B$7756,$A65)</f>
        <v>19.858666666666668</v>
      </c>
      <c r="AD65" s="4">
        <f>SUMIFS(Daily!$R$3:$R$7756,Daily!$B$3:$B$7756,$A65)</f>
        <v>228.99</v>
      </c>
      <c r="AE65" s="4">
        <f>AVERAGE(P65,U65,Z65)</f>
        <v>203.384</v>
      </c>
      <c r="AF65" s="3">
        <f>AVERAGE(Q65,V65,AA65)</f>
        <v>22.046888888888887</v>
      </c>
      <c r="AG65" s="3">
        <f>AVERAGE(R65,W65,AB65)</f>
        <v>25.843222222222224</v>
      </c>
      <c r="AH65" s="3">
        <f>AVERAGE(S65,X65,AC65)</f>
        <v>19.191888888888887</v>
      </c>
      <c r="AI65" s="4">
        <f>AVERAGE(T65,Y65,AD65)</f>
        <v>230.11333333333334</v>
      </c>
    </row>
    <row r="66">
      <c r="A66" s="2" t="inlineStr">
        <is>
          <t xml:space="preserve">2010-10</t>
        </is>
      </c>
      <c r="B66" s="2">
        <v>2010</v>
      </c>
      <c r="C66" s="2">
        <v>10</v>
      </c>
      <c r="D66" s="2" t="inlineStr">
        <is>
          <t xml:space="preserve">Oct</t>
        </is>
      </c>
      <c r="E66" s="2" t="inlineStr">
        <is>
          <t xml:space="preserve">2010/11</t>
        </is>
      </c>
      <c r="F66" s="2">
        <v>4</v>
      </c>
      <c r="G66" s="9">
        <v>40452</v>
      </c>
      <c r="H66" s="9">
        <v>40482</v>
      </c>
      <c r="I66" s="2">
        <f>H66-G66+1</f>
        <v>31</v>
      </c>
      <c r="J66" s="2">
        <f>COUNTIF(Daily!$B$3:$B$7756,A66)</f>
        <v>31</v>
      </c>
      <c r="K66" s="2" t="str">
        <f>IF(J66=I66,"complete","partial ("&amp;J66&amp;" days)")</f>
        <v>complete</v>
      </c>
      <c r="L66" s="3">
        <f>INDEX(ENSO_monthly!$F:$F,MATCH(A66,ENSO_monthly!$A:$A,0))</f>
        <v>-1.54</v>
      </c>
      <c r="M66" s="2" t="str">
        <f>INDEX(ENSO_monthly!$D:$D,MATCH(A66,ENSO_monthly!$A:$A,0))</f>
        <v>SON</v>
      </c>
      <c r="N66" s="5" t="str">
        <f>INDEX(ENSO_monthly!$L:$L,MATCH(A66,ENSO_monthly!$A:$A,0))</f>
        <v>La Niña</v>
      </c>
      <c r="O66" s="12" t="str">
        <f>INDEX(ENSO_seasons!$U:$U,MATCH(E66,ENSO_seasons!$A:$A,0))</f>
        <v>La Niña</v>
      </c>
      <c r="P66" s="4">
        <f>SUMIFS(Daily!$D$3:$D$7756,Daily!$B$3:$B$7756,$A66)</f>
        <v>19.304</v>
      </c>
      <c r="Q66" s="3">
        <f>AVERAGEIFS(Daily!$E$3:$E$7756,Daily!$B$3:$B$7756,$A66)</f>
        <v>19.763548387096776</v>
      </c>
      <c r="R66" s="3">
        <f>AVERAGEIFS(Daily!$F$3:$F$7756,Daily!$B$3:$B$7756,$A66)</f>
        <v>24.37870967741935</v>
      </c>
      <c r="S66" s="3">
        <f>AVERAGEIFS(Daily!$G$3:$G$7756,Daily!$B$3:$B$7756,$A66)</f>
        <v>16.350322580645162</v>
      </c>
      <c r="T66" s="4">
        <f>SUMIFS(Daily!$H$3:$H$7756,Daily!$B$3:$B$7756,$A66)</f>
        <v>34.9</v>
      </c>
      <c r="U66" s="4">
        <f>SUMIFS(Daily!$I$3:$I$7756,Daily!$B$3:$B$7756,$A66)</f>
        <v>20.887</v>
      </c>
      <c r="V66" s="3">
        <f>AVERAGEIFS(Daily!$J$3:$J$7756,Daily!$B$3:$B$7756,$A66)</f>
        <v>20.096451612903227</v>
      </c>
      <c r="W66" s="3">
        <f>AVERAGEIFS(Daily!$K$3:$K$7756,Daily!$B$3:$B$7756,$A66)</f>
        <v>24.589354838709678</v>
      </c>
      <c r="X66" s="3">
        <f>AVERAGEIFS(Daily!$L$3:$L$7756,Daily!$B$3:$B$7756,$A66)</f>
        <v>16.66129032258064</v>
      </c>
      <c r="Y66" s="4">
        <f>SUMIFS(Daily!$M$3:$M$7756,Daily!$B$3:$B$7756,$A66)</f>
        <v>22.39</v>
      </c>
      <c r="Z66" s="4">
        <f>SUMIFS(Daily!$N$3:$N$7756,Daily!$B$3:$B$7756,$A66)</f>
        <v>33.731</v>
      </c>
      <c r="AA66" s="3">
        <f>AVERAGEIFS(Daily!$O$3:$O$7756,Daily!$B$3:$B$7756,$A66)</f>
        <v>20.53870967741935</v>
      </c>
      <c r="AB66" s="3">
        <f>AVERAGEIFS(Daily!$P$3:$P$7756,Daily!$B$3:$B$7756,$A66)</f>
        <v>24.723225806451612</v>
      </c>
      <c r="AC66" s="3">
        <f>AVERAGEIFS(Daily!$Q$3:$Q$7756,Daily!$B$3:$B$7756,$A66)</f>
        <v>17.45870967741935</v>
      </c>
      <c r="AD66" s="4">
        <f>SUMIFS(Daily!$R$3:$R$7756,Daily!$B$3:$B$7756,$A66)</f>
        <v>35.18</v>
      </c>
      <c r="AE66" s="4">
        <f>AVERAGE(P66,U66,Z66)</f>
        <v>24.640666666666664</v>
      </c>
      <c r="AF66" s="3">
        <f>AVERAGE(Q66,V66,AA66)</f>
        <v>20.132903225806448</v>
      </c>
      <c r="AG66" s="3">
        <f>AVERAGE(R66,W66,AB66)</f>
        <v>24.563763440860214</v>
      </c>
      <c r="AH66" s="3">
        <f>AVERAGE(S66,X66,AC66)</f>
        <v>16.82344086021505</v>
      </c>
      <c r="AI66" s="4">
        <f>AVERAGE(T66,Y66,AD66)</f>
        <v>30.823333333333334</v>
      </c>
    </row>
    <row r="67">
      <c r="A67" s="2" t="inlineStr">
        <is>
          <t xml:space="preserve">2010-11</t>
        </is>
      </c>
      <c r="B67" s="2">
        <v>2010</v>
      </c>
      <c r="C67" s="2">
        <v>11</v>
      </c>
      <c r="D67" s="2" t="inlineStr">
        <is>
          <t xml:space="preserve">Nov</t>
        </is>
      </c>
      <c r="E67" s="2" t="inlineStr">
        <is>
          <t xml:space="preserve">2010/11</t>
        </is>
      </c>
      <c r="F67" s="2">
        <v>5</v>
      </c>
      <c r="G67" s="9">
        <v>40483</v>
      </c>
      <c r="H67" s="9">
        <v>40512</v>
      </c>
      <c r="I67" s="2">
        <f>H67-G67+1</f>
        <v>30</v>
      </c>
      <c r="J67" s="2">
        <f>COUNTIF(Daily!$B$3:$B$7756,A67)</f>
        <v>30</v>
      </c>
      <c r="K67" s="2" t="str">
        <f>IF(J67=I67,"complete","partial ("&amp;J67&amp;" days)")</f>
        <v>complete</v>
      </c>
      <c r="L67" s="3">
        <f>INDEX(ENSO_monthly!$F:$F,MATCH(A67,ENSO_monthly!$A:$A,0))</f>
        <v>-1.57</v>
      </c>
      <c r="M67" s="2" t="str">
        <f>INDEX(ENSO_monthly!$D:$D,MATCH(A67,ENSO_monthly!$A:$A,0))</f>
        <v>OND</v>
      </c>
      <c r="N67" s="5" t="str">
        <f>INDEX(ENSO_monthly!$L:$L,MATCH(A67,ENSO_monthly!$A:$A,0))</f>
        <v>La Niña</v>
      </c>
      <c r="O67" s="12" t="str">
        <f>INDEX(ENSO_seasons!$U:$U,MATCH(E67,ENSO_seasons!$A:$A,0))</f>
        <v>La Niña</v>
      </c>
      <c r="P67" s="4">
        <f>SUMIFS(Daily!$D$3:$D$7756,Daily!$B$3:$B$7756,$A67)</f>
        <v>7.254</v>
      </c>
      <c r="Q67" s="3">
        <f>AVERAGEIFS(Daily!$E$3:$E$7756,Daily!$B$3:$B$7756,$A67)</f>
        <v>18.627666666666666</v>
      </c>
      <c r="R67" s="3">
        <f>AVERAGEIFS(Daily!$F$3:$F$7756,Daily!$B$3:$B$7756,$A67)</f>
        <v>23.57333333333333</v>
      </c>
      <c r="S67" s="3">
        <f>AVERAGEIFS(Daily!$G$3:$G$7756,Daily!$B$3:$B$7756,$A67)</f>
        <v>14.812000000000001</v>
      </c>
      <c r="T67" s="4">
        <f>SUMIFS(Daily!$H$3:$H$7756,Daily!$B$3:$B$7756,$A67)</f>
        <v>33.05</v>
      </c>
      <c r="U67" s="4">
        <f>SUMIFS(Daily!$I$3:$I$7756,Daily!$B$3:$B$7756,$A67)</f>
        <v>11.228</v>
      </c>
      <c r="V67" s="3">
        <f>AVERAGEIFS(Daily!$J$3:$J$7756,Daily!$B$3:$B$7756,$A67)</f>
        <v>19.249666666666666</v>
      </c>
      <c r="W67" s="3">
        <f>AVERAGEIFS(Daily!$K$3:$K$7756,Daily!$B$3:$B$7756,$A67)</f>
        <v>24.201</v>
      </c>
      <c r="X67" s="3">
        <f>AVERAGEIFS(Daily!$L$3:$L$7756,Daily!$B$3:$B$7756,$A67)</f>
        <v>15.399000000000001</v>
      </c>
      <c r="Y67" s="4">
        <f>SUMIFS(Daily!$M$3:$M$7756,Daily!$B$3:$B$7756,$A67)</f>
        <v>26.1</v>
      </c>
      <c r="Z67" s="4">
        <f>SUMIFS(Daily!$N$3:$N$7756,Daily!$B$3:$B$7756,$A67)</f>
        <v>34.399</v>
      </c>
      <c r="AA67" s="3">
        <f>AVERAGEIFS(Daily!$O$3:$O$7756,Daily!$B$3:$B$7756,$A67)</f>
        <v>19.387000000000004</v>
      </c>
      <c r="AB67" s="3">
        <f>AVERAGEIFS(Daily!$P$3:$P$7756,Daily!$B$3:$B$7756,$A67)</f>
        <v>23.871333333333332</v>
      </c>
      <c r="AC67" s="3">
        <f>AVERAGEIFS(Daily!$Q$3:$Q$7756,Daily!$B$3:$B$7756,$A67)</f>
        <v>16.031999999999996</v>
      </c>
      <c r="AD67" s="4">
        <f>SUMIFS(Daily!$R$3:$R$7756,Daily!$B$3:$B$7756,$A67)</f>
        <v>54.93</v>
      </c>
      <c r="AE67" s="4">
        <f>AVERAGE(P67,U67,Z67)</f>
        <v>17.627</v>
      </c>
      <c r="AF67" s="3">
        <f>AVERAGE(Q67,V67,AA67)</f>
        <v>19.088111111111115</v>
      </c>
      <c r="AG67" s="3">
        <f>AVERAGE(R67,W67,AB67)</f>
        <v>23.88188888888889</v>
      </c>
      <c r="AH67" s="3">
        <f>AVERAGE(S67,X67,AC67)</f>
        <v>15.414333333333332</v>
      </c>
      <c r="AI67" s="4">
        <f>AVERAGE(T67,Y67,AD67)</f>
        <v>38.026666666666664</v>
      </c>
    </row>
    <row r="68">
      <c r="A68" s="2" t="inlineStr">
        <is>
          <t xml:space="preserve">2010-12</t>
        </is>
      </c>
      <c r="B68" s="2">
        <v>2010</v>
      </c>
      <c r="C68" s="2">
        <v>12</v>
      </c>
      <c r="D68" s="2" t="inlineStr">
        <is>
          <t xml:space="preserve">Dec</t>
        </is>
      </c>
      <c r="E68" s="2" t="inlineStr">
        <is>
          <t xml:space="preserve">2010/11</t>
        </is>
      </c>
      <c r="F68" s="2">
        <v>6</v>
      </c>
      <c r="G68" s="9">
        <v>40513</v>
      </c>
      <c r="H68" s="9">
        <v>40543</v>
      </c>
      <c r="I68" s="2">
        <f>H68-G68+1</f>
        <v>31</v>
      </c>
      <c r="J68" s="2">
        <f>COUNTIF(Daily!$B$3:$B$7756,A68)</f>
        <v>31</v>
      </c>
      <c r="K68" s="2" t="str">
        <f>IF(J68=I68,"complete","partial ("&amp;J68&amp;" days)")</f>
        <v>complete</v>
      </c>
      <c r="L68" s="3">
        <f>INDEX(ENSO_monthly!$F:$F,MATCH(A68,ENSO_monthly!$A:$A,0))</f>
        <v>-1.48</v>
      </c>
      <c r="M68" s="2" t="str">
        <f>INDEX(ENSO_monthly!$D:$D,MATCH(A68,ENSO_monthly!$A:$A,0))</f>
        <v>NDJ</v>
      </c>
      <c r="N68" s="5" t="str">
        <f>INDEX(ENSO_monthly!$L:$L,MATCH(A68,ENSO_monthly!$A:$A,0))</f>
        <v>La Niña</v>
      </c>
      <c r="O68" s="12" t="str">
        <f>INDEX(ENSO_seasons!$U:$U,MATCH(E68,ENSO_seasons!$A:$A,0))</f>
        <v>La Niña</v>
      </c>
      <c r="P68" s="4">
        <f>SUMIFS(Daily!$D$3:$D$7756,Daily!$B$3:$B$7756,$A68)</f>
        <v>0.626</v>
      </c>
      <c r="Q68" s="3">
        <f>AVERAGEIFS(Daily!$E$3:$E$7756,Daily!$B$3:$B$7756,$A68)</f>
        <v>17.037096774193547</v>
      </c>
      <c r="R68" s="3">
        <f>AVERAGEIFS(Daily!$F$3:$F$7756,Daily!$B$3:$B$7756,$A68)</f>
        <v>22.660645161290326</v>
      </c>
      <c r="S68" s="3">
        <f>AVERAGEIFS(Daily!$G$3:$G$7756,Daily!$B$3:$B$7756,$A68)</f>
        <v>12.906451612903224</v>
      </c>
      <c r="T68" s="4">
        <f>SUMIFS(Daily!$H$3:$H$7756,Daily!$B$3:$B$7756,$A68)</f>
        <v>23.72</v>
      </c>
      <c r="U68" s="4">
        <f>SUMIFS(Daily!$I$3:$I$7756,Daily!$B$3:$B$7756,$A68)</f>
        <v>8.218</v>
      </c>
      <c r="V68" s="3">
        <f>AVERAGEIFS(Daily!$J$3:$J$7756,Daily!$B$3:$B$7756,$A68)</f>
        <v>17.245806451612903</v>
      </c>
      <c r="W68" s="3">
        <f>AVERAGEIFS(Daily!$K$3:$K$7756,Daily!$B$3:$B$7756,$A68)</f>
        <v>22.709999999999994</v>
      </c>
      <c r="X68" s="3">
        <f>AVERAGEIFS(Daily!$L$3:$L$7756,Daily!$B$3:$B$7756,$A68)</f>
        <v>13.333548387096773</v>
      </c>
      <c r="Y68" s="4">
        <f>SUMIFS(Daily!$M$3:$M$7756,Daily!$B$3:$B$7756,$A68)</f>
        <v>19.55</v>
      </c>
      <c r="Z68" s="4">
        <f>SUMIFS(Daily!$N$3:$N$7756,Daily!$B$3:$B$7756,$A68)</f>
        <v>29.659</v>
      </c>
      <c r="AA68" s="3">
        <f>AVERAGEIFS(Daily!$O$3:$O$7756,Daily!$B$3:$B$7756,$A68)</f>
        <v>17.328387096774193</v>
      </c>
      <c r="AB68" s="3">
        <f>AVERAGEIFS(Daily!$P$3:$P$7756,Daily!$B$3:$B$7756,$A68)</f>
        <v>21.930967741935483</v>
      </c>
      <c r="AC68" s="3">
        <f>AVERAGEIFS(Daily!$Q$3:$Q$7756,Daily!$B$3:$B$7756,$A68)</f>
        <v>13.956774193548389</v>
      </c>
      <c r="AD68" s="4">
        <f>SUMIFS(Daily!$R$3:$R$7756,Daily!$B$3:$B$7756,$A68)</f>
        <v>41.39</v>
      </c>
      <c r="AE68" s="4">
        <f>AVERAGE(P68,U68,Z68)</f>
        <v>12.834333333333333</v>
      </c>
      <c r="AF68" s="3">
        <f>AVERAGE(Q68,V68,AA68)</f>
        <v>17.203763440860214</v>
      </c>
      <c r="AG68" s="3">
        <f>AVERAGE(R68,W68,AB68)</f>
        <v>22.433870967741935</v>
      </c>
      <c r="AH68" s="3">
        <f>AVERAGE(S68,X68,AC68)</f>
        <v>13.398924731182795</v>
      </c>
      <c r="AI68" s="4">
        <f>AVERAGE(T68,Y68,AD68)</f>
        <v>28.22</v>
      </c>
    </row>
    <row r="69">
      <c r="A69" s="2" t="inlineStr">
        <is>
          <t xml:space="preserve">2011-01</t>
        </is>
      </c>
      <c r="B69" s="2">
        <v>2011</v>
      </c>
      <c r="C69" s="2">
        <v>1</v>
      </c>
      <c r="D69" s="2" t="inlineStr">
        <is>
          <t xml:space="preserve">Jan</t>
        </is>
      </c>
      <c r="E69" s="2" t="inlineStr">
        <is>
          <t xml:space="preserve">2010/11</t>
        </is>
      </c>
      <c r="F69" s="2">
        <v>7</v>
      </c>
      <c r="G69" s="9">
        <v>40544</v>
      </c>
      <c r="H69" s="9">
        <v>40574</v>
      </c>
      <c r="I69" s="2">
        <f>H69-G69+1</f>
        <v>31</v>
      </c>
      <c r="J69" s="2">
        <f>COUNTIF(Daily!$B$3:$B$7756,A69)</f>
        <v>31</v>
      </c>
      <c r="K69" s="2" t="str">
        <f>IF(J69=I69,"complete","partial ("&amp;J69&amp;" days)")</f>
        <v>complete</v>
      </c>
      <c r="L69" s="3">
        <f>INDEX(ENSO_monthly!$F:$F,MATCH(A69,ENSO_monthly!$A:$A,0))</f>
        <v>-1.29</v>
      </c>
      <c r="M69" s="2" t="str">
        <f>INDEX(ENSO_monthly!$D:$D,MATCH(A69,ENSO_monthly!$A:$A,0))</f>
        <v>DJF</v>
      </c>
      <c r="N69" s="5" t="str">
        <f>INDEX(ENSO_monthly!$L:$L,MATCH(A69,ENSO_monthly!$A:$A,0))</f>
        <v>La Niña</v>
      </c>
      <c r="O69" s="12" t="str">
        <f>INDEX(ENSO_seasons!$U:$U,MATCH(E69,ENSO_seasons!$A:$A,0))</f>
        <v>La Niña</v>
      </c>
      <c r="P69" s="4">
        <f>SUMIFS(Daily!$D$3:$D$7756,Daily!$B$3:$B$7756,$A69)</f>
        <v>7.491</v>
      </c>
      <c r="Q69" s="3">
        <f>AVERAGEIFS(Daily!$E$3:$E$7756,Daily!$B$3:$B$7756,$A69)</f>
        <v>19.704516129032257</v>
      </c>
      <c r="R69" s="3">
        <f>AVERAGEIFS(Daily!$F$3:$F$7756,Daily!$B$3:$B$7756,$A69)</f>
        <v>26.373870967741937</v>
      </c>
      <c r="S69" s="3">
        <f>AVERAGEIFS(Daily!$G$3:$G$7756,Daily!$B$3:$B$7756,$A69)</f>
        <v>14.892258064516128</v>
      </c>
      <c r="T69" s="4">
        <f>SUMIFS(Daily!$H$3:$H$7756,Daily!$B$3:$B$7756,$A69)</f>
        <v>48.74</v>
      </c>
      <c r="U69" s="4">
        <f>SUMIFS(Daily!$I$3:$I$7756,Daily!$B$3:$B$7756,$A69)</f>
        <v>8.262</v>
      </c>
      <c r="V69" s="3">
        <f>AVERAGEIFS(Daily!$J$3:$J$7756,Daily!$B$3:$B$7756,$A69)</f>
        <v>20.43258064516129</v>
      </c>
      <c r="W69" s="3">
        <f>AVERAGEIFS(Daily!$K$3:$K$7756,Daily!$B$3:$B$7756,$A69)</f>
        <v>27.0241935483871</v>
      </c>
      <c r="X69" s="3">
        <f>AVERAGEIFS(Daily!$L$3:$L$7756,Daily!$B$3:$B$7756,$A69)</f>
        <v>15.618709677419352</v>
      </c>
      <c r="Y69" s="4">
        <f>SUMIFS(Daily!$M$3:$M$7756,Daily!$B$3:$B$7756,$A69)</f>
        <v>21.43</v>
      </c>
      <c r="Z69" s="4">
        <f>SUMIFS(Daily!$N$3:$N$7756,Daily!$B$3:$B$7756,$A69)</f>
        <v>29.628</v>
      </c>
      <c r="AA69" s="3">
        <f>AVERAGEIFS(Daily!$O$3:$O$7756,Daily!$B$3:$B$7756,$A69)</f>
        <v>19.68870967741935</v>
      </c>
      <c r="AB69" s="3">
        <f>AVERAGEIFS(Daily!$P$3:$P$7756,Daily!$B$3:$B$7756,$A69)</f>
        <v>25.041612903225804</v>
      </c>
      <c r="AC69" s="3">
        <f>AVERAGEIFS(Daily!$Q$3:$Q$7756,Daily!$B$3:$B$7756,$A69)</f>
        <v>15.930967741935483</v>
      </c>
      <c r="AD69" s="4">
        <f>SUMIFS(Daily!$R$3:$R$7756,Daily!$B$3:$B$7756,$A69)</f>
        <v>38.37</v>
      </c>
      <c r="AE69" s="4">
        <f>AVERAGE(P69,U69,Z69)</f>
        <v>15.127</v>
      </c>
      <c r="AF69" s="3">
        <f>AVERAGE(Q69,V69,AA69)</f>
        <v>19.941935483870967</v>
      </c>
      <c r="AG69" s="3">
        <f>AVERAGE(R69,W69,AB69)</f>
        <v>26.146559139784944</v>
      </c>
      <c r="AH69" s="3">
        <f>AVERAGE(S69,X69,AC69)</f>
        <v>15.48064516129032</v>
      </c>
      <c r="AI69" s="4">
        <f>AVERAGE(T69,Y69,AD69)</f>
        <v>36.18</v>
      </c>
    </row>
    <row r="70">
      <c r="A70" s="2" t="inlineStr">
        <is>
          <t xml:space="preserve">2011-02</t>
        </is>
      </c>
      <c r="B70" s="2">
        <v>2011</v>
      </c>
      <c r="C70" s="2">
        <v>2</v>
      </c>
      <c r="D70" s="2" t="inlineStr">
        <is>
          <t xml:space="preserve">Feb</t>
        </is>
      </c>
      <c r="E70" s="2" t="inlineStr">
        <is>
          <t xml:space="preserve">2010/11</t>
        </is>
      </c>
      <c r="F70" s="2">
        <v>8</v>
      </c>
      <c r="G70" s="9">
        <v>40575</v>
      </c>
      <c r="H70" s="9">
        <v>40602</v>
      </c>
      <c r="I70" s="2">
        <f>H70-G70+1</f>
        <v>28</v>
      </c>
      <c r="J70" s="2">
        <f>COUNTIF(Daily!$B$3:$B$7756,A70)</f>
        <v>28</v>
      </c>
      <c r="K70" s="2" t="str">
        <f>IF(J70=I70,"complete","partial ("&amp;J70&amp;" days)")</f>
        <v>complete</v>
      </c>
      <c r="L70" s="3">
        <f>INDEX(ENSO_monthly!$F:$F,MATCH(A70,ENSO_monthly!$A:$A,0))</f>
        <v>-1.06</v>
      </c>
      <c r="M70" s="2" t="str">
        <f>INDEX(ENSO_monthly!$D:$D,MATCH(A70,ENSO_monthly!$A:$A,0))</f>
        <v>JFM</v>
      </c>
      <c r="N70" s="5" t="str">
        <f>INDEX(ENSO_monthly!$L:$L,MATCH(A70,ENSO_monthly!$A:$A,0))</f>
        <v>La Niña</v>
      </c>
      <c r="O70" s="12" t="str">
        <f>INDEX(ENSO_seasons!$U:$U,MATCH(E70,ENSO_seasons!$A:$A,0))</f>
        <v>La Niña</v>
      </c>
      <c r="P70" s="4">
        <f>SUMIFS(Daily!$D$3:$D$7756,Daily!$B$3:$B$7756,$A70)</f>
        <v>31.816</v>
      </c>
      <c r="Q70" s="3">
        <f>AVERAGEIFS(Daily!$E$3:$E$7756,Daily!$B$3:$B$7756,$A70)</f>
        <v>20.911071428571432</v>
      </c>
      <c r="R70" s="3">
        <f>AVERAGEIFS(Daily!$F$3:$F$7756,Daily!$B$3:$B$7756,$A70)</f>
        <v>28.425</v>
      </c>
      <c r="S70" s="3">
        <f>AVERAGEIFS(Daily!$G$3:$G$7756,Daily!$B$3:$B$7756,$A70)</f>
        <v>15.632142857142856</v>
      </c>
      <c r="T70" s="4">
        <f>SUMIFS(Daily!$H$3:$H$7756,Daily!$B$3:$B$7756,$A70)</f>
        <v>30.1</v>
      </c>
      <c r="U70" s="4">
        <f>SUMIFS(Daily!$I$3:$I$7756,Daily!$B$3:$B$7756,$A70)</f>
        <v>16.499</v>
      </c>
      <c r="V70" s="3">
        <f>AVERAGEIFS(Daily!$J$3:$J$7756,Daily!$B$3:$B$7756,$A70)</f>
        <v>21.602857142857143</v>
      </c>
      <c r="W70" s="3">
        <f>AVERAGEIFS(Daily!$K$3:$K$7756,Daily!$B$3:$B$7756,$A70)</f>
        <v>28.803571428571427</v>
      </c>
      <c r="X70" s="3">
        <f>AVERAGEIFS(Daily!$L$3:$L$7756,Daily!$B$3:$B$7756,$A70)</f>
        <v>16.326428571428572</v>
      </c>
      <c r="Y70" s="4">
        <f>SUMIFS(Daily!$M$3:$M$7756,Daily!$B$3:$B$7756,$A70)</f>
        <v>22.69</v>
      </c>
      <c r="Z70" s="4">
        <f>SUMIFS(Daily!$N$3:$N$7756,Daily!$B$3:$B$7756,$A70)</f>
        <v>27.009</v>
      </c>
      <c r="AA70" s="3">
        <f>AVERAGEIFS(Daily!$O$3:$O$7756,Daily!$B$3:$B$7756,$A70)</f>
        <v>20.706428571428575</v>
      </c>
      <c r="AB70" s="3">
        <f>AVERAGEIFS(Daily!$P$3:$P$7756,Daily!$B$3:$B$7756,$A70)</f>
        <v>26.909285714285712</v>
      </c>
      <c r="AC70" s="3">
        <f>AVERAGEIFS(Daily!$Q$3:$Q$7756,Daily!$B$3:$B$7756,$A70)</f>
        <v>16.479642857142856</v>
      </c>
      <c r="AD70" s="4">
        <f>SUMIFS(Daily!$R$3:$R$7756,Daily!$B$3:$B$7756,$A70)</f>
        <v>33.68</v>
      </c>
      <c r="AE70" s="4">
        <f>AVERAGE(P70,U70,Z70)</f>
        <v>25.108</v>
      </c>
      <c r="AF70" s="3">
        <f>AVERAGE(Q70,V70,AA70)</f>
        <v>21.073452380952386</v>
      </c>
      <c r="AG70" s="3">
        <f>AVERAGE(R70,W70,AB70)</f>
        <v>28.045952380952382</v>
      </c>
      <c r="AH70" s="3">
        <f>AVERAGE(S70,X70,AC70)</f>
        <v>16.146071428571428</v>
      </c>
      <c r="AI70" s="4">
        <f>AVERAGE(T70,Y70,AD70)</f>
        <v>28.823333333333334</v>
      </c>
    </row>
    <row r="71">
      <c r="A71" s="2" t="inlineStr">
        <is>
          <t xml:space="preserve">2011-03</t>
        </is>
      </c>
      <c r="B71" s="2">
        <v>2011</v>
      </c>
      <c r="C71" s="2">
        <v>3</v>
      </c>
      <c r="D71" s="2" t="inlineStr">
        <is>
          <t xml:space="preserve">Mar</t>
        </is>
      </c>
      <c r="E71" s="2" t="inlineStr">
        <is>
          <t xml:space="preserve">2010/11</t>
        </is>
      </c>
      <c r="F71" s="2">
        <v>9</v>
      </c>
      <c r="G71" s="9">
        <v>40603</v>
      </c>
      <c r="H71" s="9">
        <v>40633</v>
      </c>
      <c r="I71" s="2">
        <f>H71-G71+1</f>
        <v>31</v>
      </c>
      <c r="J71" s="2">
        <f>COUNTIF(Daily!$B$3:$B$7756,A71)</f>
        <v>31</v>
      </c>
      <c r="K71" s="2" t="str">
        <f>IF(J71=I71,"complete","partial ("&amp;J71&amp;" days)")</f>
        <v>complete</v>
      </c>
      <c r="L71" s="3">
        <f>INDEX(ENSO_monthly!$F:$F,MATCH(A71,ENSO_monthly!$A:$A,0))</f>
        <v>-0.85</v>
      </c>
      <c r="M71" s="2" t="str">
        <f>INDEX(ENSO_monthly!$D:$D,MATCH(A71,ENSO_monthly!$A:$A,0))</f>
        <v>FMA</v>
      </c>
      <c r="N71" s="5" t="str">
        <f>INDEX(ENSO_monthly!$L:$L,MATCH(A71,ENSO_monthly!$A:$A,0))</f>
        <v>La Niña</v>
      </c>
      <c r="O71" s="12" t="str">
        <f>INDEX(ENSO_seasons!$U:$U,MATCH(E71,ENSO_seasons!$A:$A,0))</f>
        <v>La Niña</v>
      </c>
      <c r="P71" s="4">
        <f>SUMIFS(Daily!$D$3:$D$7756,Daily!$B$3:$B$7756,$A71)</f>
        <v>17.813</v>
      </c>
      <c r="Q71" s="3">
        <f>AVERAGEIFS(Daily!$E$3:$E$7756,Daily!$B$3:$B$7756,$A71)</f>
        <v>21.889354838709675</v>
      </c>
      <c r="R71" s="3">
        <f>AVERAGEIFS(Daily!$F$3:$F$7756,Daily!$B$3:$B$7756,$A71)</f>
        <v>29.976774193548387</v>
      </c>
      <c r="S71" s="3">
        <f>AVERAGEIFS(Daily!$G$3:$G$7756,Daily!$B$3:$B$7756,$A71)</f>
        <v>15.499677419354835</v>
      </c>
      <c r="T71" s="4">
        <f>SUMIFS(Daily!$H$3:$H$7756,Daily!$B$3:$B$7756,$A71)</f>
        <v>19.73</v>
      </c>
      <c r="U71" s="4">
        <f>SUMIFS(Daily!$I$3:$I$7756,Daily!$B$3:$B$7756,$A71)</f>
        <v>6.637</v>
      </c>
      <c r="V71" s="3">
        <f>AVERAGEIFS(Daily!$J$3:$J$7756,Daily!$B$3:$B$7756,$A71)</f>
        <v>22.266129032258057</v>
      </c>
      <c r="W71" s="3">
        <f>AVERAGEIFS(Daily!$K$3:$K$7756,Daily!$B$3:$B$7756,$A71)</f>
        <v>30.23225806451613</v>
      </c>
      <c r="X71" s="3">
        <f>AVERAGEIFS(Daily!$L$3:$L$7756,Daily!$B$3:$B$7756,$A71)</f>
        <v>15.989354838709678</v>
      </c>
      <c r="Y71" s="4">
        <f>SUMIFS(Daily!$M$3:$M$7756,Daily!$B$3:$B$7756,$A71)</f>
        <v>14.34</v>
      </c>
      <c r="Z71" s="4">
        <f>SUMIFS(Daily!$N$3:$N$7756,Daily!$B$3:$B$7756,$A71)</f>
        <v>13.181</v>
      </c>
      <c r="AA71" s="3">
        <f>AVERAGEIFS(Daily!$O$3:$O$7756,Daily!$B$3:$B$7756,$A71)</f>
        <v>21.930645161290325</v>
      </c>
      <c r="AB71" s="3">
        <f>AVERAGEIFS(Daily!$P$3:$P$7756,Daily!$B$3:$B$7756,$A71)</f>
        <v>29.244838709677413</v>
      </c>
      <c r="AC71" s="3">
        <f>AVERAGEIFS(Daily!$Q$3:$Q$7756,Daily!$B$3:$B$7756,$A71)</f>
        <v>16.296774193548387</v>
      </c>
      <c r="AD71" s="4">
        <f>SUMIFS(Daily!$R$3:$R$7756,Daily!$B$3:$B$7756,$A71)</f>
        <v>35.79</v>
      </c>
      <c r="AE71" s="4">
        <f>AVERAGE(P71,U71,Z71)</f>
        <v>12.543666666666667</v>
      </c>
      <c r="AF71" s="3">
        <f>AVERAGE(Q71,V71,AA71)</f>
        <v>22.028709677419354</v>
      </c>
      <c r="AG71" s="3">
        <f>AVERAGE(R71,W71,AB71)</f>
        <v>29.81795698924731</v>
      </c>
      <c r="AH71" s="3">
        <f>AVERAGE(S71,X71,AC71)</f>
        <v>15.928602150537634</v>
      </c>
      <c r="AI71" s="4">
        <f>AVERAGE(T71,Y71,AD71)</f>
        <v>23.286666666666665</v>
      </c>
    </row>
    <row r="72">
      <c r="A72" s="2" t="inlineStr">
        <is>
          <t xml:space="preserve">2011-04</t>
        </is>
      </c>
      <c r="B72" s="2">
        <v>2011</v>
      </c>
      <c r="C72" s="2">
        <v>4</v>
      </c>
      <c r="D72" s="2" t="inlineStr">
        <is>
          <t xml:space="preserve">Apr</t>
        </is>
      </c>
      <c r="E72" s="2" t="inlineStr">
        <is>
          <t xml:space="preserve">2010/11</t>
        </is>
      </c>
      <c r="F72" s="2">
        <v>10</v>
      </c>
      <c r="G72" s="9">
        <v>40634</v>
      </c>
      <c r="H72" s="9">
        <v>40663</v>
      </c>
      <c r="I72" s="2">
        <f>H72-G72+1</f>
        <v>30</v>
      </c>
      <c r="J72" s="2">
        <f>COUNTIF(Daily!$B$3:$B$7756,A72)</f>
        <v>30</v>
      </c>
      <c r="K72" s="2" t="str">
        <f>IF(J72=I72,"complete","partial ("&amp;J72&amp;" days)")</f>
        <v>complete</v>
      </c>
      <c r="L72" s="3">
        <f>INDEX(ENSO_monthly!$F:$F,MATCH(A72,ENSO_monthly!$A:$A,0))</f>
        <v>-0.68</v>
      </c>
      <c r="M72" s="2" t="str">
        <f>INDEX(ENSO_monthly!$D:$D,MATCH(A72,ENSO_monthly!$A:$A,0))</f>
        <v>MAM</v>
      </c>
      <c r="N72" s="5" t="str">
        <f>INDEX(ENSO_monthly!$L:$L,MATCH(A72,ENSO_monthly!$A:$A,0))</f>
        <v>La Niña</v>
      </c>
      <c r="O72" s="12" t="str">
        <f>INDEX(ENSO_seasons!$U:$U,MATCH(E72,ENSO_seasons!$A:$A,0))</f>
        <v>La Niña</v>
      </c>
      <c r="P72" s="4">
        <f>SUMIFS(Daily!$D$3:$D$7756,Daily!$B$3:$B$7756,$A72)</f>
        <v>62.379</v>
      </c>
      <c r="Q72" s="3">
        <f>AVERAGEIFS(Daily!$E$3:$E$7756,Daily!$B$3:$B$7756,$A72)</f>
        <v>24.286333333333324</v>
      </c>
      <c r="R72" s="3">
        <f>AVERAGEIFS(Daily!$F$3:$F$7756,Daily!$B$3:$B$7756,$A72)</f>
        <v>31.927000000000003</v>
      </c>
      <c r="S72" s="3">
        <f>AVERAGEIFS(Daily!$G$3:$G$7756,Daily!$B$3:$B$7756,$A72)</f>
        <v>17.699333333333332</v>
      </c>
      <c r="T72" s="4">
        <f>SUMIFS(Daily!$H$3:$H$7756,Daily!$B$3:$B$7756,$A72)</f>
        <v>49.29</v>
      </c>
      <c r="U72" s="4">
        <f>SUMIFS(Daily!$I$3:$I$7756,Daily!$B$3:$B$7756,$A72)</f>
        <v>46.635</v>
      </c>
      <c r="V72" s="3">
        <f>AVERAGEIFS(Daily!$J$3:$J$7756,Daily!$B$3:$B$7756,$A72)</f>
        <v>25.080666666666673</v>
      </c>
      <c r="W72" s="3">
        <f>AVERAGEIFS(Daily!$K$3:$K$7756,Daily!$B$3:$B$7756,$A72)</f>
        <v>32.38133333333334</v>
      </c>
      <c r="X72" s="3">
        <f>AVERAGEIFS(Daily!$L$3:$L$7756,Daily!$B$3:$B$7756,$A72)</f>
        <v>19.045666666666666</v>
      </c>
      <c r="Y72" s="4">
        <f>SUMIFS(Daily!$M$3:$M$7756,Daily!$B$3:$B$7756,$A72)</f>
        <v>67.62</v>
      </c>
      <c r="Z72" s="4">
        <f>SUMIFS(Daily!$N$3:$N$7756,Daily!$B$3:$B$7756,$A72)</f>
        <v>108.153</v>
      </c>
      <c r="AA72" s="3">
        <f>AVERAGEIFS(Daily!$O$3:$O$7756,Daily!$B$3:$B$7756,$A72)</f>
        <v>24.332333333333338</v>
      </c>
      <c r="AB72" s="3">
        <f>AVERAGEIFS(Daily!$P$3:$P$7756,Daily!$B$3:$B$7756,$A72)</f>
        <v>31.489666666666665</v>
      </c>
      <c r="AC72" s="3">
        <f>AVERAGEIFS(Daily!$Q$3:$Q$7756,Daily!$B$3:$B$7756,$A72)</f>
        <v>18.901</v>
      </c>
      <c r="AD72" s="4">
        <f>SUMIFS(Daily!$R$3:$R$7756,Daily!$B$3:$B$7756,$A72)</f>
        <v>80.39</v>
      </c>
      <c r="AE72" s="4">
        <f>AVERAGE(P72,U72,Z72)</f>
        <v>72.389</v>
      </c>
      <c r="AF72" s="3">
        <f>AVERAGE(Q72,V72,AA72)</f>
        <v>24.566444444444443</v>
      </c>
      <c r="AG72" s="3">
        <f>AVERAGE(R72,W72,AB72)</f>
        <v>31.932666666666666</v>
      </c>
      <c r="AH72" s="3">
        <f>AVERAGE(S72,X72,AC72)</f>
        <v>18.548666666666666</v>
      </c>
      <c r="AI72" s="4">
        <f>AVERAGE(T72,Y72,AD72)</f>
        <v>65.76666666666667</v>
      </c>
    </row>
    <row r="73">
      <c r="A73" s="2" t="inlineStr">
        <is>
          <t xml:space="preserve">2011-05</t>
        </is>
      </c>
      <c r="B73" s="2">
        <v>2011</v>
      </c>
      <c r="C73" s="2">
        <v>5</v>
      </c>
      <c r="D73" s="2" t="inlineStr">
        <is>
          <t xml:space="preserve">May</t>
        </is>
      </c>
      <c r="E73" s="2" t="inlineStr">
        <is>
          <t xml:space="preserve">2010/11</t>
        </is>
      </c>
      <c r="F73" s="2">
        <v>11</v>
      </c>
      <c r="G73" s="9">
        <v>40664</v>
      </c>
      <c r="H73" s="9">
        <v>40694</v>
      </c>
      <c r="I73" s="2">
        <f>H73-G73+1</f>
        <v>31</v>
      </c>
      <c r="J73" s="2">
        <f>COUNTIF(Daily!$B$3:$B$7756,A73)</f>
        <v>31</v>
      </c>
      <c r="K73" s="2" t="str">
        <f>IF(J73=I73,"complete","partial ("&amp;J73&amp;" days)")</f>
        <v>complete</v>
      </c>
      <c r="L73" s="3">
        <f>INDEX(ENSO_monthly!$F:$F,MATCH(A73,ENSO_monthly!$A:$A,0))</f>
        <v>-0.5</v>
      </c>
      <c r="M73" s="2" t="str">
        <f>INDEX(ENSO_monthly!$D:$D,MATCH(A73,ENSO_monthly!$A:$A,0))</f>
        <v>AMJ</v>
      </c>
      <c r="N73" s="5" t="str">
        <f>INDEX(ENSO_monthly!$L:$L,MATCH(A73,ENSO_monthly!$A:$A,0))</f>
        <v>La Niña</v>
      </c>
      <c r="O73" s="12" t="str">
        <f>INDEX(ENSO_seasons!$U:$U,MATCH(E73,ENSO_seasons!$A:$A,0))</f>
        <v>La Niña</v>
      </c>
      <c r="P73" s="4">
        <f>SUMIFS(Daily!$D$3:$D$7756,Daily!$B$3:$B$7756,$A73)</f>
        <v>114.301</v>
      </c>
      <c r="Q73" s="3">
        <f>AVERAGEIFS(Daily!$E$3:$E$7756,Daily!$B$3:$B$7756,$A73)</f>
        <v>24.112580645161295</v>
      </c>
      <c r="R73" s="3">
        <f>AVERAGEIFS(Daily!$F$3:$F$7756,Daily!$B$3:$B$7756,$A73)</f>
        <v>30.571612903225812</v>
      </c>
      <c r="S73" s="3">
        <f>AVERAGEIFS(Daily!$G$3:$G$7756,Daily!$B$3:$B$7756,$A73)</f>
        <v>19.181612903225798</v>
      </c>
      <c r="T73" s="4">
        <f>SUMIFS(Daily!$H$3:$H$7756,Daily!$B$3:$B$7756,$A73)</f>
        <v>121.96</v>
      </c>
      <c r="U73" s="4">
        <f>SUMIFS(Daily!$I$3:$I$7756,Daily!$B$3:$B$7756,$A73)</f>
        <v>141.937</v>
      </c>
      <c r="V73" s="3">
        <f>AVERAGEIFS(Daily!$J$3:$J$7756,Daily!$B$3:$B$7756,$A73)</f>
        <v>24.168064516129036</v>
      </c>
      <c r="W73" s="3">
        <f>AVERAGEIFS(Daily!$K$3:$K$7756,Daily!$B$3:$B$7756,$A73)</f>
        <v>29.937741935483864</v>
      </c>
      <c r="X73" s="3">
        <f>AVERAGEIFS(Daily!$L$3:$L$7756,Daily!$B$3:$B$7756,$A73)</f>
        <v>19.675483870967742</v>
      </c>
      <c r="Y73" s="4">
        <f>SUMIFS(Daily!$M$3:$M$7756,Daily!$B$3:$B$7756,$A73)</f>
        <v>150.37</v>
      </c>
      <c r="Z73" s="4">
        <f>SUMIFS(Daily!$N$3:$N$7756,Daily!$B$3:$B$7756,$A73)</f>
        <v>165.297</v>
      </c>
      <c r="AA73" s="3">
        <f>AVERAGEIFS(Daily!$O$3:$O$7756,Daily!$B$3:$B$7756,$A73)</f>
        <v>24.11709677419355</v>
      </c>
      <c r="AB73" s="3">
        <f>AVERAGEIFS(Daily!$P$3:$P$7756,Daily!$B$3:$B$7756,$A73)</f>
        <v>29.70096774193549</v>
      </c>
      <c r="AC73" s="3">
        <f>AVERAGEIFS(Daily!$Q$3:$Q$7756,Daily!$B$3:$B$7756,$A73)</f>
        <v>19.956129032258065</v>
      </c>
      <c r="AD73" s="4">
        <f>SUMIFS(Daily!$R$3:$R$7756,Daily!$B$3:$B$7756,$A73)</f>
        <v>174.9</v>
      </c>
      <c r="AE73" s="4">
        <f>AVERAGE(P73,U73,Z73)</f>
        <v>140.51166666666666</v>
      </c>
      <c r="AF73" s="3">
        <f>AVERAGE(Q73,V73,AA73)</f>
        <v>24.132580645161294</v>
      </c>
      <c r="AG73" s="3">
        <f>AVERAGE(R73,W73,AB73)</f>
        <v>30.070107526881724</v>
      </c>
      <c r="AH73" s="3">
        <f>AVERAGE(S73,X73,AC73)</f>
        <v>19.60440860215053</v>
      </c>
      <c r="AI73" s="4">
        <f>AVERAGE(T73,Y73,AD73)</f>
        <v>149.07666666666668</v>
      </c>
    </row>
    <row r="74">
      <c r="A74" s="2" t="inlineStr">
        <is>
          <t xml:space="preserve">2011-06</t>
        </is>
      </c>
      <c r="B74" s="2">
        <v>2011</v>
      </c>
      <c r="C74" s="2">
        <v>6</v>
      </c>
      <c r="D74" s="2" t="inlineStr">
        <is>
          <t xml:space="preserve">Jun</t>
        </is>
      </c>
      <c r="E74" s="2" t="inlineStr">
        <is>
          <t xml:space="preserve">2010/11</t>
        </is>
      </c>
      <c r="F74" s="2">
        <v>12</v>
      </c>
      <c r="G74" s="9">
        <v>40695</v>
      </c>
      <c r="H74" s="9">
        <v>40724</v>
      </c>
      <c r="I74" s="2">
        <f>H74-G74+1</f>
        <v>30</v>
      </c>
      <c r="J74" s="2">
        <f>COUNTIF(Daily!$B$3:$B$7756,A74)</f>
        <v>30</v>
      </c>
      <c r="K74" s="2" t="str">
        <f>IF(J74=I74,"complete","partial ("&amp;J74&amp;" days)")</f>
        <v>complete</v>
      </c>
      <c r="L74" s="3">
        <f>INDEX(ENSO_monthly!$F:$F,MATCH(A74,ENSO_monthly!$A:$A,0))</f>
        <v>-0.34</v>
      </c>
      <c r="M74" s="2" t="str">
        <f>INDEX(ENSO_monthly!$D:$D,MATCH(A74,ENSO_monthly!$A:$A,0))</f>
        <v>MJJ</v>
      </c>
      <c r="N74" s="2" t="str">
        <f>INDEX(ENSO_monthly!$L:$L,MATCH(A74,ENSO_monthly!$A:$A,0))</f>
        <v>—</v>
      </c>
      <c r="O74" s="12" t="str">
        <f>INDEX(ENSO_seasons!$U:$U,MATCH(E74,ENSO_seasons!$A:$A,0))</f>
        <v>La Niña</v>
      </c>
      <c r="P74" s="4">
        <f>SUMIFS(Daily!$D$3:$D$7756,Daily!$B$3:$B$7756,$A74)</f>
        <v>257.146</v>
      </c>
      <c r="Q74" s="3">
        <f>AVERAGEIFS(Daily!$E$3:$E$7756,Daily!$B$3:$B$7756,$A74)</f>
        <v>22.604</v>
      </c>
      <c r="R74" s="3">
        <f>AVERAGEIFS(Daily!$F$3:$F$7756,Daily!$B$3:$B$7756,$A74)</f>
        <v>27.59766666666667</v>
      </c>
      <c r="S74" s="3">
        <f>AVERAGEIFS(Daily!$G$3:$G$7756,Daily!$B$3:$B$7756,$A74)</f>
        <v>18.674666666666667</v>
      </c>
      <c r="T74" s="4">
        <f>SUMIFS(Daily!$H$3:$H$7756,Daily!$B$3:$B$7756,$A74)</f>
        <v>212.85</v>
      </c>
      <c r="U74" s="4">
        <f>SUMIFS(Daily!$I$3:$I$7756,Daily!$B$3:$B$7756,$A74)</f>
        <v>195.032</v>
      </c>
      <c r="V74" s="3">
        <f>AVERAGEIFS(Daily!$J$3:$J$7756,Daily!$B$3:$B$7756,$A74)</f>
        <v>22.87333333333334</v>
      </c>
      <c r="W74" s="3">
        <f>AVERAGEIFS(Daily!$K$3:$K$7756,Daily!$B$3:$B$7756,$A74)</f>
        <v>26.84266666666667</v>
      </c>
      <c r="X74" s="3">
        <f>AVERAGEIFS(Daily!$L$3:$L$7756,Daily!$B$3:$B$7756,$A74)</f>
        <v>19.595000000000002</v>
      </c>
      <c r="Y74" s="4">
        <f>SUMIFS(Daily!$M$3:$M$7756,Daily!$B$3:$B$7756,$A74)</f>
        <v>248.4</v>
      </c>
      <c r="Z74" s="4">
        <f>SUMIFS(Daily!$N$3:$N$7756,Daily!$B$3:$B$7756,$A74)</f>
        <v>353.024</v>
      </c>
      <c r="AA74" s="3">
        <f>AVERAGEIFS(Daily!$O$3:$O$7756,Daily!$B$3:$B$7756,$A74)</f>
        <v>23.122333333333337</v>
      </c>
      <c r="AB74" s="3">
        <f>AVERAGEIFS(Daily!$P$3:$P$7756,Daily!$B$3:$B$7756,$A74)</f>
        <v>27.171333333333337</v>
      </c>
      <c r="AC74" s="3">
        <f>AVERAGEIFS(Daily!$Q$3:$Q$7756,Daily!$B$3:$B$7756,$A74)</f>
        <v>20.116999999999997</v>
      </c>
      <c r="AD74" s="4">
        <f>SUMIFS(Daily!$R$3:$R$7756,Daily!$B$3:$B$7756,$A74)</f>
        <v>315.73</v>
      </c>
      <c r="AE74" s="4">
        <f>AVERAGE(P74,U74,Z74)</f>
        <v>268.40066666666667</v>
      </c>
      <c r="AF74" s="3">
        <f>AVERAGE(Q74,V74,AA74)</f>
        <v>22.86655555555556</v>
      </c>
      <c r="AG74" s="3">
        <f>AVERAGE(R74,W74,AB74)</f>
        <v>27.203888888888894</v>
      </c>
      <c r="AH74" s="3">
        <f>AVERAGE(S74,X74,AC74)</f>
        <v>19.46222222222222</v>
      </c>
      <c r="AI74" s="4">
        <f>AVERAGE(T74,Y74,AD74)</f>
        <v>258.99333333333334</v>
      </c>
    </row>
    <row r="75">
      <c r="A75" s="2" t="inlineStr">
        <is>
          <t xml:space="preserve">2011-07</t>
        </is>
      </c>
      <c r="B75" s="2">
        <v>2011</v>
      </c>
      <c r="C75" s="2">
        <v>7</v>
      </c>
      <c r="D75" s="2" t="inlineStr">
        <is>
          <t xml:space="preserve">Jul</t>
        </is>
      </c>
      <c r="E75" s="2" t="inlineStr">
        <is>
          <t xml:space="preserve">2011/12</t>
        </is>
      </c>
      <c r="F75" s="2">
        <v>1</v>
      </c>
      <c r="G75" s="9">
        <v>40725</v>
      </c>
      <c r="H75" s="9">
        <v>40755</v>
      </c>
      <c r="I75" s="2">
        <f>H75-G75+1</f>
        <v>31</v>
      </c>
      <c r="J75" s="2">
        <f>COUNTIF(Daily!$B$3:$B$7756,A75)</f>
        <v>31</v>
      </c>
      <c r="K75" s="2" t="str">
        <f>IF(J75=I75,"complete","partial ("&amp;J75&amp;" days)")</f>
        <v>complete</v>
      </c>
      <c r="L75" s="3">
        <f>INDEX(ENSO_monthly!$F:$F,MATCH(A75,ENSO_monthly!$A:$A,0))</f>
        <v>-0.37</v>
      </c>
      <c r="M75" s="2" t="str">
        <f>INDEX(ENSO_monthly!$D:$D,MATCH(A75,ENSO_monthly!$A:$A,0))</f>
        <v>JJA</v>
      </c>
      <c r="N75" s="2" t="str">
        <f>INDEX(ENSO_monthly!$L:$L,MATCH(A75,ENSO_monthly!$A:$A,0))</f>
        <v>—</v>
      </c>
      <c r="O75" s="12" t="str">
        <f>INDEX(ENSO_seasons!$U:$U,MATCH(E75,ENSO_seasons!$A:$A,0))</f>
        <v>La Niña</v>
      </c>
      <c r="P75" s="4">
        <f>SUMIFS(Daily!$D$3:$D$7756,Daily!$B$3:$B$7756,$A75)</f>
        <v>287.013</v>
      </c>
      <c r="Q75" s="3">
        <f>AVERAGEIFS(Daily!$E$3:$E$7756,Daily!$B$3:$B$7756,$A75)</f>
        <v>21.600967741935484</v>
      </c>
      <c r="R75" s="3">
        <f>AVERAGEIFS(Daily!$F$3:$F$7756,Daily!$B$3:$B$7756,$A75)</f>
        <v>26.20935483870967</v>
      </c>
      <c r="S75" s="3">
        <f>AVERAGEIFS(Daily!$G$3:$G$7756,Daily!$B$3:$B$7756,$A75)</f>
        <v>17.860645161290325</v>
      </c>
      <c r="T75" s="4">
        <f>SUMIFS(Daily!$H$3:$H$7756,Daily!$B$3:$B$7756,$A75)</f>
        <v>253.44</v>
      </c>
      <c r="U75" s="4">
        <f>SUMIFS(Daily!$I$3:$I$7756,Daily!$B$3:$B$7756,$A75)</f>
        <v>296.705</v>
      </c>
      <c r="V75" s="3">
        <f>AVERAGEIFS(Daily!$J$3:$J$7756,Daily!$B$3:$B$7756,$A75)</f>
        <v>22.288064516129023</v>
      </c>
      <c r="W75" s="3">
        <f>AVERAGEIFS(Daily!$K$3:$K$7756,Daily!$B$3:$B$7756,$A75)</f>
        <v>26.02258064516129</v>
      </c>
      <c r="X75" s="3">
        <f>AVERAGEIFS(Daily!$L$3:$L$7756,Daily!$B$3:$B$7756,$A75)</f>
        <v>19.350322580645162</v>
      </c>
      <c r="Y75" s="4">
        <f>SUMIFS(Daily!$M$3:$M$7756,Daily!$B$3:$B$7756,$A75)</f>
        <v>303.92</v>
      </c>
      <c r="Z75" s="4">
        <f>SUMIFS(Daily!$N$3:$N$7756,Daily!$B$3:$B$7756,$A75)</f>
        <v>349.576</v>
      </c>
      <c r="AA75" s="3">
        <f>AVERAGEIFS(Daily!$O$3:$O$7756,Daily!$B$3:$B$7756,$A75)</f>
        <v>22.646129032258067</v>
      </c>
      <c r="AB75" s="3">
        <f>AVERAGEIFS(Daily!$P$3:$P$7756,Daily!$B$3:$B$7756,$A75)</f>
        <v>26.31677419354839</v>
      </c>
      <c r="AC75" s="3">
        <f>AVERAGEIFS(Daily!$Q$3:$Q$7756,Daily!$B$3:$B$7756,$A75)</f>
        <v>20.033548387096772</v>
      </c>
      <c r="AD75" s="4">
        <f>SUMIFS(Daily!$R$3:$R$7756,Daily!$B$3:$B$7756,$A75)</f>
        <v>347.35</v>
      </c>
      <c r="AE75" s="4">
        <f>AVERAGE(P75,U75,Z75)</f>
        <v>311.098</v>
      </c>
      <c r="AF75" s="3">
        <f>AVERAGE(Q75,V75,AA75)</f>
        <v>22.17838709677419</v>
      </c>
      <c r="AG75" s="3">
        <f>AVERAGE(R75,W75,AB75)</f>
        <v>26.182903225806452</v>
      </c>
      <c r="AH75" s="3">
        <f>AVERAGE(S75,X75,AC75)</f>
        <v>19.081505376344086</v>
      </c>
      <c r="AI75" s="4">
        <f>AVERAGE(T75,Y75,AD75)</f>
        <v>301.57</v>
      </c>
    </row>
    <row r="76">
      <c r="A76" s="2" t="inlineStr">
        <is>
          <t xml:space="preserve">2011-08</t>
        </is>
      </c>
      <c r="B76" s="2">
        <v>2011</v>
      </c>
      <c r="C76" s="2">
        <v>8</v>
      </c>
      <c r="D76" s="2" t="inlineStr">
        <is>
          <t xml:space="preserve">Aug</t>
        </is>
      </c>
      <c r="E76" s="2" t="inlineStr">
        <is>
          <t xml:space="preserve">2011/12</t>
        </is>
      </c>
      <c r="F76" s="2">
        <v>2</v>
      </c>
      <c r="G76" s="9">
        <v>40756</v>
      </c>
      <c r="H76" s="9">
        <v>40786</v>
      </c>
      <c r="I76" s="2">
        <f>H76-G76+1</f>
        <v>31</v>
      </c>
      <c r="J76" s="2">
        <f>COUNTIF(Daily!$B$3:$B$7756,A76)</f>
        <v>31</v>
      </c>
      <c r="K76" s="2" t="str">
        <f>IF(J76=I76,"complete","partial ("&amp;J76&amp;" days)")</f>
        <v>complete</v>
      </c>
      <c r="L76" s="3">
        <f>INDEX(ENSO_monthly!$F:$F,MATCH(A76,ENSO_monthly!$A:$A,0))</f>
        <v>-0.5</v>
      </c>
      <c r="M76" s="2" t="str">
        <f>INDEX(ENSO_monthly!$D:$D,MATCH(A76,ENSO_monthly!$A:$A,0))</f>
        <v>JAS</v>
      </c>
      <c r="N76" s="5" t="str">
        <f>INDEX(ENSO_monthly!$L:$L,MATCH(A76,ENSO_monthly!$A:$A,0))</f>
        <v>La Niña</v>
      </c>
      <c r="O76" s="12" t="str">
        <f>INDEX(ENSO_seasons!$U:$U,MATCH(E76,ENSO_seasons!$A:$A,0))</f>
        <v>La Niña</v>
      </c>
      <c r="P76" s="4">
        <f>SUMIFS(Daily!$D$3:$D$7756,Daily!$B$3:$B$7756,$A76)</f>
        <v>196.656</v>
      </c>
      <c r="Q76" s="3">
        <f>AVERAGEIFS(Daily!$E$3:$E$7756,Daily!$B$3:$B$7756,$A76)</f>
        <v>22.11935483870968</v>
      </c>
      <c r="R76" s="3">
        <f>AVERAGEIFS(Daily!$F$3:$F$7756,Daily!$B$3:$B$7756,$A76)</f>
        <v>26.75903225806451</v>
      </c>
      <c r="S76" s="3">
        <f>AVERAGEIFS(Daily!$G$3:$G$7756,Daily!$B$3:$B$7756,$A76)</f>
        <v>18.330967741935485</v>
      </c>
      <c r="T76" s="4">
        <f>SUMIFS(Daily!$H$3:$H$7756,Daily!$B$3:$B$7756,$A76)</f>
        <v>157.26</v>
      </c>
      <c r="U76" s="4">
        <f>SUMIFS(Daily!$I$3:$I$7756,Daily!$B$3:$B$7756,$A76)</f>
        <v>257.703</v>
      </c>
      <c r="V76" s="3">
        <f>AVERAGEIFS(Daily!$J$3:$J$7756,Daily!$B$3:$B$7756,$A76)</f>
        <v>22.690322580645162</v>
      </c>
      <c r="W76" s="3">
        <f>AVERAGEIFS(Daily!$K$3:$K$7756,Daily!$B$3:$B$7756,$A76)</f>
        <v>26.639354838709675</v>
      </c>
      <c r="X76" s="3">
        <f>AVERAGEIFS(Daily!$L$3:$L$7756,Daily!$B$3:$B$7756,$A76)</f>
        <v>19.512258064516132</v>
      </c>
      <c r="Y76" s="4">
        <f>SUMIFS(Daily!$M$3:$M$7756,Daily!$B$3:$B$7756,$A76)</f>
        <v>185.56</v>
      </c>
      <c r="Z76" s="4">
        <f>SUMIFS(Daily!$N$3:$N$7756,Daily!$B$3:$B$7756,$A76)</f>
        <v>169.144</v>
      </c>
      <c r="AA76" s="3">
        <f>AVERAGEIFS(Daily!$O$3:$O$7756,Daily!$B$3:$B$7756,$A76)</f>
        <v>23.11032258064516</v>
      </c>
      <c r="AB76" s="3">
        <f>AVERAGEIFS(Daily!$P$3:$P$7756,Daily!$B$3:$B$7756,$A76)</f>
        <v>27.173225806451615</v>
      </c>
      <c r="AC76" s="3">
        <f>AVERAGEIFS(Daily!$Q$3:$Q$7756,Daily!$B$3:$B$7756,$A76)</f>
        <v>20.144193548387097</v>
      </c>
      <c r="AD76" s="4">
        <f>SUMIFS(Daily!$R$3:$R$7756,Daily!$B$3:$B$7756,$A76)</f>
        <v>144.0</v>
      </c>
      <c r="AE76" s="4">
        <f>AVERAGE(P76,U76,Z76)</f>
        <v>207.83433333333332</v>
      </c>
      <c r="AF76" s="3">
        <f>AVERAGE(Q76,V76,AA76)</f>
        <v>22.64</v>
      </c>
      <c r="AG76" s="3">
        <f>AVERAGE(R76,W76,AB76)</f>
        <v>26.857204301075267</v>
      </c>
      <c r="AH76" s="3">
        <f>AVERAGE(S76,X76,AC76)</f>
        <v>19.329139784946236</v>
      </c>
      <c r="AI76" s="4">
        <f>AVERAGE(T76,Y76,AD76)</f>
        <v>162.27333333333334</v>
      </c>
    </row>
    <row r="77">
      <c r="A77" s="2" t="inlineStr">
        <is>
          <t xml:space="preserve">2011-09</t>
        </is>
      </c>
      <c r="B77" s="2">
        <v>2011</v>
      </c>
      <c r="C77" s="2">
        <v>9</v>
      </c>
      <c r="D77" s="2" t="inlineStr">
        <is>
          <t xml:space="preserve">Sep</t>
        </is>
      </c>
      <c r="E77" s="2" t="inlineStr">
        <is>
          <t xml:space="preserve">2011/12</t>
        </is>
      </c>
      <c r="F77" s="2">
        <v>3</v>
      </c>
      <c r="G77" s="9">
        <v>40787</v>
      </c>
      <c r="H77" s="9">
        <v>40816</v>
      </c>
      <c r="I77" s="2">
        <f>H77-G77+1</f>
        <v>30</v>
      </c>
      <c r="J77" s="2">
        <f>COUNTIF(Daily!$B$3:$B$7756,A77)</f>
        <v>30</v>
      </c>
      <c r="K77" s="2" t="str">
        <f>IF(J77=I77,"complete","partial ("&amp;J77&amp;" days)")</f>
        <v>complete</v>
      </c>
      <c r="L77" s="3">
        <f>INDEX(ENSO_monthly!$F:$F,MATCH(A77,ENSO_monthly!$A:$A,0))</f>
        <v>-0.76</v>
      </c>
      <c r="M77" s="2" t="str">
        <f>INDEX(ENSO_monthly!$D:$D,MATCH(A77,ENSO_monthly!$A:$A,0))</f>
        <v>ASO</v>
      </c>
      <c r="N77" s="5" t="str">
        <f>INDEX(ENSO_monthly!$L:$L,MATCH(A77,ENSO_monthly!$A:$A,0))</f>
        <v>La Niña</v>
      </c>
      <c r="O77" s="12" t="str">
        <f>INDEX(ENSO_seasons!$U:$U,MATCH(E77,ENSO_seasons!$A:$A,0))</f>
        <v>La Niña</v>
      </c>
      <c r="P77" s="4">
        <f>SUMIFS(Daily!$D$3:$D$7756,Daily!$B$3:$B$7756,$A77)</f>
        <v>260.758</v>
      </c>
      <c r="Q77" s="3">
        <f>AVERAGEIFS(Daily!$E$3:$E$7756,Daily!$B$3:$B$7756,$A77)</f>
        <v>21.697999999999993</v>
      </c>
      <c r="R77" s="3">
        <f>AVERAGEIFS(Daily!$F$3:$F$7756,Daily!$B$3:$B$7756,$A77)</f>
        <v>25.821666666666665</v>
      </c>
      <c r="S77" s="3">
        <f>AVERAGEIFS(Daily!$G$3:$G$7756,Daily!$B$3:$B$7756,$A77)</f>
        <v>18.33366666666667</v>
      </c>
      <c r="T77" s="4">
        <f>SUMIFS(Daily!$H$3:$H$7756,Daily!$B$3:$B$7756,$A77)</f>
        <v>204.4</v>
      </c>
      <c r="U77" s="4">
        <f>SUMIFS(Daily!$I$3:$I$7756,Daily!$B$3:$B$7756,$A77)</f>
        <v>238.403</v>
      </c>
      <c r="V77" s="3">
        <f>AVERAGEIFS(Daily!$J$3:$J$7756,Daily!$B$3:$B$7756,$A77)</f>
        <v>22.07766666666667</v>
      </c>
      <c r="W77" s="3">
        <f>AVERAGEIFS(Daily!$K$3:$K$7756,Daily!$B$3:$B$7756,$A77)</f>
        <v>25.99466666666667</v>
      </c>
      <c r="X77" s="3">
        <f>AVERAGEIFS(Daily!$L$3:$L$7756,Daily!$B$3:$B$7756,$A77)</f>
        <v>19.085333333333335</v>
      </c>
      <c r="Y77" s="4">
        <f>SUMIFS(Daily!$M$3:$M$7756,Daily!$B$3:$B$7756,$A77)</f>
        <v>253.48</v>
      </c>
      <c r="Z77" s="4">
        <f>SUMIFS(Daily!$N$3:$N$7756,Daily!$B$3:$B$7756,$A77)</f>
        <v>273.497</v>
      </c>
      <c r="AA77" s="3">
        <f>AVERAGEIFS(Daily!$O$3:$O$7756,Daily!$B$3:$B$7756,$A77)</f>
        <v>22.59500000000001</v>
      </c>
      <c r="AB77" s="3">
        <f>AVERAGEIFS(Daily!$P$3:$P$7756,Daily!$B$3:$B$7756,$A77)</f>
        <v>26.340333333333337</v>
      </c>
      <c r="AC77" s="3">
        <f>AVERAGEIFS(Daily!$Q$3:$Q$7756,Daily!$B$3:$B$7756,$A77)</f>
        <v>19.867333333333328</v>
      </c>
      <c r="AD77" s="4">
        <f>SUMIFS(Daily!$R$3:$R$7756,Daily!$B$3:$B$7756,$A77)</f>
        <v>261.84</v>
      </c>
      <c r="AE77" s="4">
        <f>AVERAGE(P77,U77,Z77)</f>
        <v>257.55266666666665</v>
      </c>
      <c r="AF77" s="3">
        <f>AVERAGE(Q77,V77,AA77)</f>
        <v>22.12355555555556</v>
      </c>
      <c r="AG77" s="3">
        <f>AVERAGE(R77,W77,AB77)</f>
        <v>26.052222222222223</v>
      </c>
      <c r="AH77" s="3">
        <f>AVERAGE(S77,X77,AC77)</f>
        <v>19.095444444444443</v>
      </c>
      <c r="AI77" s="4">
        <f>AVERAGE(T77,Y77,AD77)</f>
        <v>239.90666666666667</v>
      </c>
    </row>
    <row r="78">
      <c r="A78" s="2" t="inlineStr">
        <is>
          <t xml:space="preserve">2011-10</t>
        </is>
      </c>
      <c r="B78" s="2">
        <v>2011</v>
      </c>
      <c r="C78" s="2">
        <v>10</v>
      </c>
      <c r="D78" s="2" t="inlineStr">
        <is>
          <t xml:space="preserve">Oct</t>
        </is>
      </c>
      <c r="E78" s="2" t="inlineStr">
        <is>
          <t xml:space="preserve">2011/12</t>
        </is>
      </c>
      <c r="F78" s="2">
        <v>4</v>
      </c>
      <c r="G78" s="9">
        <v>40817</v>
      </c>
      <c r="H78" s="9">
        <v>40847</v>
      </c>
      <c r="I78" s="2">
        <f>H78-G78+1</f>
        <v>31</v>
      </c>
      <c r="J78" s="2">
        <f>COUNTIF(Daily!$B$3:$B$7756,A78)</f>
        <v>31</v>
      </c>
      <c r="K78" s="2" t="str">
        <f>IF(J78=I78,"complete","partial ("&amp;J78&amp;" days)")</f>
        <v>complete</v>
      </c>
      <c r="L78" s="3">
        <f>INDEX(ENSO_monthly!$F:$F,MATCH(A78,ENSO_monthly!$A:$A,0))</f>
        <v>-0.94</v>
      </c>
      <c r="M78" s="2" t="str">
        <f>INDEX(ENSO_monthly!$D:$D,MATCH(A78,ENSO_monthly!$A:$A,0))</f>
        <v>SON</v>
      </c>
      <c r="N78" s="5" t="str">
        <f>INDEX(ENSO_monthly!$L:$L,MATCH(A78,ENSO_monthly!$A:$A,0))</f>
        <v>La Niña</v>
      </c>
      <c r="O78" s="12" t="str">
        <f>INDEX(ENSO_seasons!$U:$U,MATCH(E78,ENSO_seasons!$A:$A,0))</f>
        <v>La Niña</v>
      </c>
      <c r="P78" s="4">
        <f>SUMIFS(Daily!$D$3:$D$7756,Daily!$B$3:$B$7756,$A78)</f>
        <v>206.703</v>
      </c>
      <c r="Q78" s="3">
        <f>AVERAGEIFS(Daily!$E$3:$E$7756,Daily!$B$3:$B$7756,$A78)</f>
        <v>19.907096774193548</v>
      </c>
      <c r="R78" s="3">
        <f>AVERAGEIFS(Daily!$F$3:$F$7756,Daily!$B$3:$B$7756,$A78)</f>
        <v>24.101290322580645</v>
      </c>
      <c r="S78" s="3">
        <f>AVERAGEIFS(Daily!$G$3:$G$7756,Daily!$B$3:$B$7756,$A78)</f>
        <v>16.86774193548387</v>
      </c>
      <c r="T78" s="4">
        <f>SUMIFS(Daily!$H$3:$H$7756,Daily!$B$3:$B$7756,$A78)</f>
        <v>234.66</v>
      </c>
      <c r="U78" s="4">
        <f>SUMIFS(Daily!$I$3:$I$7756,Daily!$B$3:$B$7756,$A78)</f>
        <v>322.373</v>
      </c>
      <c r="V78" s="3">
        <f>AVERAGEIFS(Daily!$J$3:$J$7756,Daily!$B$3:$B$7756,$A78)</f>
        <v>20.33032258064516</v>
      </c>
      <c r="W78" s="3">
        <f>AVERAGEIFS(Daily!$K$3:$K$7756,Daily!$B$3:$B$7756,$A78)</f>
        <v>23.82612903225807</v>
      </c>
      <c r="X78" s="3">
        <f>AVERAGEIFS(Daily!$L$3:$L$7756,Daily!$B$3:$B$7756,$A78)</f>
        <v>17.67290322580645</v>
      </c>
      <c r="Y78" s="4">
        <f>SUMIFS(Daily!$M$3:$M$7756,Daily!$B$3:$B$7756,$A78)</f>
        <v>275.35</v>
      </c>
      <c r="Z78" s="4">
        <f>SUMIFS(Daily!$N$3:$N$7756,Daily!$B$3:$B$7756,$A78)</f>
        <v>239.522</v>
      </c>
      <c r="AA78" s="3">
        <f>AVERAGEIFS(Daily!$O$3:$O$7756,Daily!$B$3:$B$7756,$A78)</f>
        <v>20.693870967741944</v>
      </c>
      <c r="AB78" s="3">
        <f>AVERAGEIFS(Daily!$P$3:$P$7756,Daily!$B$3:$B$7756,$A78)</f>
        <v>24.03387096774193</v>
      </c>
      <c r="AC78" s="3">
        <f>AVERAGEIFS(Daily!$Q$3:$Q$7756,Daily!$B$3:$B$7756,$A78)</f>
        <v>18.201935483870972</v>
      </c>
      <c r="AD78" s="4">
        <f>SUMIFS(Daily!$R$3:$R$7756,Daily!$B$3:$B$7756,$A78)</f>
        <v>245.67</v>
      </c>
      <c r="AE78" s="4">
        <f>AVERAGE(P78,U78,Z78)</f>
        <v>256.1993333333333</v>
      </c>
      <c r="AF78" s="3">
        <f>AVERAGE(Q78,V78,AA78)</f>
        <v>20.310430107526884</v>
      </c>
      <c r="AG78" s="3">
        <f>AVERAGE(R78,W78,AB78)</f>
        <v>23.98709677419355</v>
      </c>
      <c r="AH78" s="3">
        <f>AVERAGE(S78,X78,AC78)</f>
        <v>17.580860215053765</v>
      </c>
      <c r="AI78" s="4">
        <f>AVERAGE(T78,Y78,AD78)</f>
        <v>251.89333333333332</v>
      </c>
    </row>
    <row r="79">
      <c r="A79" s="2" t="inlineStr">
        <is>
          <t xml:space="preserve">2011-11</t>
        </is>
      </c>
      <c r="B79" s="2">
        <v>2011</v>
      </c>
      <c r="C79" s="2">
        <v>11</v>
      </c>
      <c r="D79" s="2" t="inlineStr">
        <is>
          <t xml:space="preserve">Nov</t>
        </is>
      </c>
      <c r="E79" s="2" t="inlineStr">
        <is>
          <t xml:space="preserve">2011/12</t>
        </is>
      </c>
      <c r="F79" s="2">
        <v>5</v>
      </c>
      <c r="G79" s="9">
        <v>40848</v>
      </c>
      <c r="H79" s="9">
        <v>40877</v>
      </c>
      <c r="I79" s="2">
        <f>H79-G79+1</f>
        <v>30</v>
      </c>
      <c r="J79" s="2">
        <f>COUNTIF(Daily!$B$3:$B$7756,A79)</f>
        <v>30</v>
      </c>
      <c r="K79" s="2" t="str">
        <f>IF(J79=I79,"complete","partial ("&amp;J79&amp;" days)")</f>
        <v>complete</v>
      </c>
      <c r="L79" s="3">
        <f>INDEX(ENSO_monthly!$F:$F,MATCH(A79,ENSO_monthly!$A:$A,0))</f>
        <v>-1.02</v>
      </c>
      <c r="M79" s="2" t="str">
        <f>INDEX(ENSO_monthly!$D:$D,MATCH(A79,ENSO_monthly!$A:$A,0))</f>
        <v>OND</v>
      </c>
      <c r="N79" s="5" t="str">
        <f>INDEX(ENSO_monthly!$L:$L,MATCH(A79,ENSO_monthly!$A:$A,0))</f>
        <v>La Niña</v>
      </c>
      <c r="O79" s="12" t="str">
        <f>INDEX(ENSO_seasons!$U:$U,MATCH(E79,ENSO_seasons!$A:$A,0))</f>
        <v>La Niña</v>
      </c>
      <c r="P79" s="4">
        <f>SUMIFS(Daily!$D$3:$D$7756,Daily!$B$3:$B$7756,$A79)</f>
        <v>39.889</v>
      </c>
      <c r="Q79" s="3">
        <f>AVERAGEIFS(Daily!$E$3:$E$7756,Daily!$B$3:$B$7756,$A79)</f>
        <v>18.920333333333335</v>
      </c>
      <c r="R79" s="3">
        <f>AVERAGEIFS(Daily!$F$3:$F$7756,Daily!$B$3:$B$7756,$A79)</f>
        <v>23.804000000000006</v>
      </c>
      <c r="S79" s="3">
        <f>AVERAGEIFS(Daily!$G$3:$G$7756,Daily!$B$3:$B$7756,$A79)</f>
        <v>15.37233333333333</v>
      </c>
      <c r="T79" s="4">
        <f>SUMIFS(Daily!$H$3:$H$7756,Daily!$B$3:$B$7756,$A79)</f>
        <v>55.74</v>
      </c>
      <c r="U79" s="4">
        <f>SUMIFS(Daily!$I$3:$I$7756,Daily!$B$3:$B$7756,$A79)</f>
        <v>25.039</v>
      </c>
      <c r="V79" s="3">
        <f>AVERAGEIFS(Daily!$J$3:$J$7756,Daily!$B$3:$B$7756,$A79)</f>
        <v>19.44633333333333</v>
      </c>
      <c r="W79" s="3">
        <f>AVERAGEIFS(Daily!$K$3:$K$7756,Daily!$B$3:$B$7756,$A79)</f>
        <v>24.258</v>
      </c>
      <c r="X79" s="3">
        <f>AVERAGEIFS(Daily!$L$3:$L$7756,Daily!$B$3:$B$7756,$A79)</f>
        <v>15.863999999999999</v>
      </c>
      <c r="Y79" s="4">
        <f>SUMIFS(Daily!$M$3:$M$7756,Daily!$B$3:$B$7756,$A79)</f>
        <v>39.23</v>
      </c>
      <c r="Z79" s="4">
        <f>SUMIFS(Daily!$N$3:$N$7756,Daily!$B$3:$B$7756,$A79)</f>
        <v>48.808</v>
      </c>
      <c r="AA79" s="3">
        <f>AVERAGEIFS(Daily!$O$3:$O$7756,Daily!$B$3:$B$7756,$A79)</f>
        <v>19.68366666666667</v>
      </c>
      <c r="AB79" s="3">
        <f>AVERAGEIFS(Daily!$P$3:$P$7756,Daily!$B$3:$B$7756,$A79)</f>
        <v>23.943</v>
      </c>
      <c r="AC79" s="3">
        <f>AVERAGEIFS(Daily!$Q$3:$Q$7756,Daily!$B$3:$B$7756,$A79)</f>
        <v>16.647999999999996</v>
      </c>
      <c r="AD79" s="4">
        <f>SUMIFS(Daily!$R$3:$R$7756,Daily!$B$3:$B$7756,$A79)</f>
        <v>73.68</v>
      </c>
      <c r="AE79" s="4">
        <f>AVERAGE(P79,U79,Z79)</f>
        <v>37.912</v>
      </c>
      <c r="AF79" s="3">
        <f>AVERAGE(Q79,V79,AA79)</f>
        <v>19.350111111111115</v>
      </c>
      <c r="AG79" s="3">
        <f>AVERAGE(R79,W79,AB79)</f>
        <v>24.00166666666667</v>
      </c>
      <c r="AH79" s="3">
        <f>AVERAGE(S79,X79,AC79)</f>
        <v>15.96144444444444</v>
      </c>
      <c r="AI79" s="4">
        <f>AVERAGE(T79,Y79,AD79)</f>
        <v>56.21666666666667</v>
      </c>
    </row>
    <row r="80">
      <c r="A80" s="2" t="inlineStr">
        <is>
          <t xml:space="preserve">2011-12</t>
        </is>
      </c>
      <c r="B80" s="2">
        <v>2011</v>
      </c>
      <c r="C80" s="2">
        <v>12</v>
      </c>
      <c r="D80" s="2" t="inlineStr">
        <is>
          <t xml:space="preserve">Dec</t>
        </is>
      </c>
      <c r="E80" s="2" t="inlineStr">
        <is>
          <t xml:space="preserve">2011/12</t>
        </is>
      </c>
      <c r="F80" s="2">
        <v>6</v>
      </c>
      <c r="G80" s="9">
        <v>40878</v>
      </c>
      <c r="H80" s="9">
        <v>40908</v>
      </c>
      <c r="I80" s="2">
        <f>H80-G80+1</f>
        <v>31</v>
      </c>
      <c r="J80" s="2">
        <f>COUNTIF(Daily!$B$3:$B$7756,A80)</f>
        <v>31</v>
      </c>
      <c r="K80" s="2" t="str">
        <f>IF(J80=I80,"complete","partial ("&amp;J80&amp;" days)")</f>
        <v>complete</v>
      </c>
      <c r="L80" s="3">
        <f>INDEX(ENSO_monthly!$F:$F,MATCH(A80,ENSO_monthly!$A:$A,0))</f>
        <v>-0.92</v>
      </c>
      <c r="M80" s="2" t="str">
        <f>INDEX(ENSO_monthly!$D:$D,MATCH(A80,ENSO_monthly!$A:$A,0))</f>
        <v>NDJ</v>
      </c>
      <c r="N80" s="5" t="str">
        <f>INDEX(ENSO_monthly!$L:$L,MATCH(A80,ENSO_monthly!$A:$A,0))</f>
        <v>La Niña</v>
      </c>
      <c r="O80" s="12" t="str">
        <f>INDEX(ENSO_seasons!$U:$U,MATCH(E80,ENSO_seasons!$A:$A,0))</f>
        <v>La Niña</v>
      </c>
      <c r="P80" s="4">
        <f>SUMIFS(Daily!$D$3:$D$7756,Daily!$B$3:$B$7756,$A80)</f>
        <v>1.438</v>
      </c>
      <c r="Q80" s="3">
        <f>AVERAGEIFS(Daily!$E$3:$E$7756,Daily!$B$3:$B$7756,$A80)</f>
        <v>18.1658064516129</v>
      </c>
      <c r="R80" s="3">
        <f>AVERAGEIFS(Daily!$F$3:$F$7756,Daily!$B$3:$B$7756,$A80)</f>
        <v>23.044838709677418</v>
      </c>
      <c r="S80" s="3">
        <f>AVERAGEIFS(Daily!$G$3:$G$7756,Daily!$B$3:$B$7756,$A80)</f>
        <v>14.658709677419358</v>
      </c>
      <c r="T80" s="4">
        <f>SUMIFS(Daily!$H$3:$H$7756,Daily!$B$3:$B$7756,$A80)</f>
        <v>37.01</v>
      </c>
      <c r="U80" s="4">
        <f>SUMIFS(Daily!$I$3:$I$7756,Daily!$B$3:$B$7756,$A80)</f>
        <v>35.516</v>
      </c>
      <c r="V80" s="3">
        <f>AVERAGEIFS(Daily!$J$3:$J$7756,Daily!$B$3:$B$7756,$A80)</f>
        <v>18.72903225806452</v>
      </c>
      <c r="W80" s="3">
        <f>AVERAGEIFS(Daily!$K$3:$K$7756,Daily!$B$3:$B$7756,$A80)</f>
        <v>23.57516129032258</v>
      </c>
      <c r="X80" s="3">
        <f>AVERAGEIFS(Daily!$L$3:$L$7756,Daily!$B$3:$B$7756,$A80)</f>
        <v>15.319354838709677</v>
      </c>
      <c r="Y80" s="4">
        <f>SUMIFS(Daily!$M$3:$M$7756,Daily!$B$3:$B$7756,$A80)</f>
        <v>46.47</v>
      </c>
      <c r="Z80" s="4">
        <f>SUMIFS(Daily!$N$3:$N$7756,Daily!$B$3:$B$7756,$A80)</f>
        <v>73.846</v>
      </c>
      <c r="AA80" s="3">
        <f>AVERAGEIFS(Daily!$O$3:$O$7756,Daily!$B$3:$B$7756,$A80)</f>
        <v>18.92290322580645</v>
      </c>
      <c r="AB80" s="3">
        <f>AVERAGEIFS(Daily!$P$3:$P$7756,Daily!$B$3:$B$7756,$A80)</f>
        <v>23.02709677419355</v>
      </c>
      <c r="AC80" s="3">
        <f>AVERAGEIFS(Daily!$Q$3:$Q$7756,Daily!$B$3:$B$7756,$A80)</f>
        <v>16.131290322580643</v>
      </c>
      <c r="AD80" s="4">
        <f>SUMIFS(Daily!$R$3:$R$7756,Daily!$B$3:$B$7756,$A80)</f>
        <v>81.42</v>
      </c>
      <c r="AE80" s="4">
        <f>AVERAGE(P80,U80,Z80)</f>
        <v>36.93333333333334</v>
      </c>
      <c r="AF80" s="3">
        <f>AVERAGE(Q80,V80,AA80)</f>
        <v>18.605913978494623</v>
      </c>
      <c r="AG80" s="3">
        <f>AVERAGE(R80,W80,AB80)</f>
        <v>23.215698924731182</v>
      </c>
      <c r="AH80" s="3">
        <f>AVERAGE(S80,X80,AC80)</f>
        <v>15.369784946236559</v>
      </c>
      <c r="AI80" s="4">
        <f>AVERAGE(T80,Y80,AD80)</f>
        <v>54.96666666666666</v>
      </c>
    </row>
    <row r="81">
      <c r="A81" s="2" t="inlineStr">
        <is>
          <t xml:space="preserve">2012-01</t>
        </is>
      </c>
      <c r="B81" s="2">
        <v>2012</v>
      </c>
      <c r="C81" s="2">
        <v>1</v>
      </c>
      <c r="D81" s="2" t="inlineStr">
        <is>
          <t xml:space="preserve">Jan</t>
        </is>
      </c>
      <c r="E81" s="2" t="inlineStr">
        <is>
          <t xml:space="preserve">2011/12</t>
        </is>
      </c>
      <c r="F81" s="2">
        <v>7</v>
      </c>
      <c r="G81" s="9">
        <v>40909</v>
      </c>
      <c r="H81" s="9">
        <v>40939</v>
      </c>
      <c r="I81" s="2">
        <f>H81-G81+1</f>
        <v>31</v>
      </c>
      <c r="J81" s="2">
        <f>COUNTIF(Daily!$B$3:$B$7756,A81)</f>
        <v>31</v>
      </c>
      <c r="K81" s="2" t="str">
        <f>IF(J81=I81,"complete","partial ("&amp;J81&amp;" days)")</f>
        <v>complete</v>
      </c>
      <c r="L81" s="3">
        <f>INDEX(ENSO_monthly!$F:$F,MATCH(A81,ENSO_monthly!$A:$A,0))</f>
        <v>-0.71</v>
      </c>
      <c r="M81" s="2" t="str">
        <f>INDEX(ENSO_monthly!$D:$D,MATCH(A81,ENSO_monthly!$A:$A,0))</f>
        <v>DJF</v>
      </c>
      <c r="N81" s="5" t="str">
        <f>INDEX(ENSO_monthly!$L:$L,MATCH(A81,ENSO_monthly!$A:$A,0))</f>
        <v>La Niña</v>
      </c>
      <c r="O81" s="12" t="str">
        <f>INDEX(ENSO_seasons!$U:$U,MATCH(E81,ENSO_seasons!$A:$A,0))</f>
        <v>La Niña</v>
      </c>
      <c r="P81" s="4">
        <f>SUMIFS(Daily!$D$3:$D$7756,Daily!$B$3:$B$7756,$A81)</f>
        <v>0.812</v>
      </c>
      <c r="Q81" s="3">
        <f>AVERAGEIFS(Daily!$E$3:$E$7756,Daily!$B$3:$B$7756,$A81)</f>
        <v>18.992258064516125</v>
      </c>
      <c r="R81" s="3">
        <f>AVERAGEIFS(Daily!$F$3:$F$7756,Daily!$B$3:$B$7756,$A81)</f>
        <v>24.88774193548387</v>
      </c>
      <c r="S81" s="3">
        <f>AVERAGEIFS(Daily!$G$3:$G$7756,Daily!$B$3:$B$7756,$A81)</f>
        <v>14.708064516129033</v>
      </c>
      <c r="T81" s="4">
        <f>SUMIFS(Daily!$H$3:$H$7756,Daily!$B$3:$B$7756,$A81)</f>
        <v>14.3</v>
      </c>
      <c r="U81" s="4">
        <f>SUMIFS(Daily!$I$3:$I$7756,Daily!$B$3:$B$7756,$A81)</f>
        <v>8.494</v>
      </c>
      <c r="V81" s="3">
        <f>AVERAGEIFS(Daily!$J$3:$J$7756,Daily!$B$3:$B$7756,$A81)</f>
        <v>19.37709677419355</v>
      </c>
      <c r="W81" s="3">
        <f>AVERAGEIFS(Daily!$K$3:$K$7756,Daily!$B$3:$B$7756,$A81)</f>
        <v>24.48580645161291</v>
      </c>
      <c r="X81" s="3">
        <f>AVERAGEIFS(Daily!$L$3:$L$7756,Daily!$B$3:$B$7756,$A81)</f>
        <v>15.722580645161289</v>
      </c>
      <c r="Y81" s="4">
        <f>SUMIFS(Daily!$M$3:$M$7756,Daily!$B$3:$B$7756,$A81)</f>
        <v>26.52</v>
      </c>
      <c r="Z81" s="4">
        <f>SUMIFS(Daily!$N$3:$N$7756,Daily!$B$3:$B$7756,$A81)</f>
        <v>22.599</v>
      </c>
      <c r="AA81" s="3">
        <f>AVERAGEIFS(Daily!$O$3:$O$7756,Daily!$B$3:$B$7756,$A81)</f>
        <v>19.39193548387097</v>
      </c>
      <c r="AB81" s="3">
        <f>AVERAGEIFS(Daily!$P$3:$P$7756,Daily!$B$3:$B$7756,$A81)</f>
        <v>23.704193548387092</v>
      </c>
      <c r="AC81" s="3">
        <f>AVERAGEIFS(Daily!$Q$3:$Q$7756,Daily!$B$3:$B$7756,$A81)</f>
        <v>16.469677419354838</v>
      </c>
      <c r="AD81" s="4">
        <f>SUMIFS(Daily!$R$3:$R$7756,Daily!$B$3:$B$7756,$A81)</f>
        <v>80.07</v>
      </c>
      <c r="AE81" s="4">
        <f>AVERAGE(P81,U81,Z81)</f>
        <v>10.635</v>
      </c>
      <c r="AF81" s="3">
        <f>AVERAGE(Q81,V81,AA81)</f>
        <v>19.253763440860215</v>
      </c>
      <c r="AG81" s="3">
        <f>AVERAGE(R81,W81,AB81)</f>
        <v>24.359247311827957</v>
      </c>
      <c r="AH81" s="3">
        <f>AVERAGE(S81,X81,AC81)</f>
        <v>15.633440860215053</v>
      </c>
      <c r="AI81" s="4">
        <f>AVERAGE(T81,Y81,AD81)</f>
        <v>40.29666666666666</v>
      </c>
    </row>
    <row r="82">
      <c r="A82" s="2" t="inlineStr">
        <is>
          <t xml:space="preserve">2012-02</t>
        </is>
      </c>
      <c r="B82" s="2">
        <v>2012</v>
      </c>
      <c r="C82" s="2">
        <v>2</v>
      </c>
      <c r="D82" s="2" t="inlineStr">
        <is>
          <t xml:space="preserve">Feb</t>
        </is>
      </c>
      <c r="E82" s="2" t="inlineStr">
        <is>
          <t xml:space="preserve">2011/12</t>
        </is>
      </c>
      <c r="F82" s="2">
        <v>8</v>
      </c>
      <c r="G82" s="9">
        <v>40940</v>
      </c>
      <c r="H82" s="9">
        <v>40968</v>
      </c>
      <c r="I82" s="2">
        <f>H82-G82+1</f>
        <v>29</v>
      </c>
      <c r="J82" s="2">
        <f>COUNTIF(Daily!$B$3:$B$7756,A82)</f>
        <v>29</v>
      </c>
      <c r="K82" s="2" t="str">
        <f>IF(J82=I82,"complete","partial ("&amp;J82&amp;" days)")</f>
        <v>complete</v>
      </c>
      <c r="L82" s="3">
        <f>INDEX(ENSO_monthly!$F:$F,MATCH(A82,ENSO_monthly!$A:$A,0))</f>
        <v>-0.56</v>
      </c>
      <c r="M82" s="2" t="str">
        <f>INDEX(ENSO_monthly!$D:$D,MATCH(A82,ENSO_monthly!$A:$A,0))</f>
        <v>JFM</v>
      </c>
      <c r="N82" s="5" t="str">
        <f>INDEX(ENSO_monthly!$L:$L,MATCH(A82,ENSO_monthly!$A:$A,0))</f>
        <v>La Niña</v>
      </c>
      <c r="O82" s="12" t="str">
        <f>INDEX(ENSO_seasons!$U:$U,MATCH(E82,ENSO_seasons!$A:$A,0))</f>
        <v>La Niña</v>
      </c>
      <c r="P82" s="4">
        <f>SUMIFS(Daily!$D$3:$D$7756,Daily!$B$3:$B$7756,$A82)</f>
        <v>1.852</v>
      </c>
      <c r="Q82" s="3">
        <f>AVERAGEIFS(Daily!$E$3:$E$7756,Daily!$B$3:$B$7756,$A82)</f>
        <v>21.104482758620687</v>
      </c>
      <c r="R82" s="3">
        <f>AVERAGEIFS(Daily!$F$3:$F$7756,Daily!$B$3:$B$7756,$A82)</f>
        <v>28.367931034482755</v>
      </c>
      <c r="S82" s="3">
        <f>AVERAGEIFS(Daily!$G$3:$G$7756,Daily!$B$3:$B$7756,$A82)</f>
        <v>15.758620689655174</v>
      </c>
      <c r="T82" s="4">
        <f>SUMIFS(Daily!$H$3:$H$7756,Daily!$B$3:$B$7756,$A82)</f>
        <v>20.93</v>
      </c>
      <c r="U82" s="4">
        <f>SUMIFS(Daily!$I$3:$I$7756,Daily!$B$3:$B$7756,$A82)</f>
        <v>15.348</v>
      </c>
      <c r="V82" s="3">
        <f>AVERAGEIFS(Daily!$J$3:$J$7756,Daily!$B$3:$B$7756,$A82)</f>
        <v>20.995517241379304</v>
      </c>
      <c r="W82" s="3">
        <f>AVERAGEIFS(Daily!$K$3:$K$7756,Daily!$B$3:$B$7756,$A82)</f>
        <v>27.006551724137932</v>
      </c>
      <c r="X82" s="3">
        <f>AVERAGEIFS(Daily!$L$3:$L$7756,Daily!$B$3:$B$7756,$A82)</f>
        <v>16.57068965517241</v>
      </c>
      <c r="Y82" s="4">
        <f>SUMIFS(Daily!$M$3:$M$7756,Daily!$B$3:$B$7756,$A82)</f>
        <v>31.04</v>
      </c>
      <c r="Z82" s="4">
        <f>SUMIFS(Daily!$N$3:$N$7756,Daily!$B$3:$B$7756,$A82)</f>
        <v>26.948</v>
      </c>
      <c r="AA82" s="3">
        <f>AVERAGEIFS(Daily!$O$3:$O$7756,Daily!$B$3:$B$7756,$A82)</f>
        <v>20.188275862068963</v>
      </c>
      <c r="AB82" s="3">
        <f>AVERAGEIFS(Daily!$P$3:$P$7756,Daily!$B$3:$B$7756,$A82)</f>
        <v>24.990344827586206</v>
      </c>
      <c r="AC82" s="3">
        <f>AVERAGEIFS(Daily!$Q$3:$Q$7756,Daily!$B$3:$B$7756,$A82)</f>
        <v>16.937241379310343</v>
      </c>
      <c r="AD82" s="4">
        <f>SUMIFS(Daily!$R$3:$R$7756,Daily!$B$3:$B$7756,$A82)</f>
        <v>86.78</v>
      </c>
      <c r="AE82" s="4">
        <f>AVERAGE(P82,U82,Z82)</f>
        <v>14.716</v>
      </c>
      <c r="AF82" s="3">
        <f>AVERAGE(Q82,V82,AA82)</f>
        <v>20.762758620689652</v>
      </c>
      <c r="AG82" s="3">
        <f>AVERAGE(R82,W82,AB82)</f>
        <v>26.788275862068968</v>
      </c>
      <c r="AH82" s="3">
        <f>AVERAGE(S82,X82,AC82)</f>
        <v>16.422183908045977</v>
      </c>
      <c r="AI82" s="4">
        <f>AVERAGE(T82,Y82,AD82)</f>
        <v>46.25</v>
      </c>
    </row>
    <row r="83">
      <c r="A83" s="2" t="inlineStr">
        <is>
          <t xml:space="preserve">2012-03</t>
        </is>
      </c>
      <c r="B83" s="2">
        <v>2012</v>
      </c>
      <c r="C83" s="2">
        <v>3</v>
      </c>
      <c r="D83" s="2" t="inlineStr">
        <is>
          <t xml:space="preserve">Mar</t>
        </is>
      </c>
      <c r="E83" s="2" t="inlineStr">
        <is>
          <t xml:space="preserve">2011/12</t>
        </is>
      </c>
      <c r="F83" s="2">
        <v>9</v>
      </c>
      <c r="G83" s="9">
        <v>40969</v>
      </c>
      <c r="H83" s="9">
        <v>40999</v>
      </c>
      <c r="I83" s="2">
        <f>H83-G83+1</f>
        <v>31</v>
      </c>
      <c r="J83" s="2">
        <f>COUNTIF(Daily!$B$3:$B$7756,A83)</f>
        <v>31</v>
      </c>
      <c r="K83" s="2" t="str">
        <f>IF(J83=I83,"complete","partial ("&amp;J83&amp;" days)")</f>
        <v>complete</v>
      </c>
      <c r="L83" s="3">
        <f>INDEX(ENSO_monthly!$F:$F,MATCH(A83,ENSO_monthly!$A:$A,0))</f>
        <v>-0.44</v>
      </c>
      <c r="M83" s="2" t="str">
        <f>INDEX(ENSO_monthly!$D:$D,MATCH(A83,ENSO_monthly!$A:$A,0))</f>
        <v>FMA</v>
      </c>
      <c r="N83" s="2" t="str">
        <f>INDEX(ENSO_monthly!$L:$L,MATCH(A83,ENSO_monthly!$A:$A,0))</f>
        <v>—</v>
      </c>
      <c r="O83" s="12" t="str">
        <f>INDEX(ENSO_seasons!$U:$U,MATCH(E83,ENSO_seasons!$A:$A,0))</f>
        <v>La Niña</v>
      </c>
      <c r="P83" s="4">
        <f>SUMIFS(Daily!$D$3:$D$7756,Daily!$B$3:$B$7756,$A83)</f>
        <v>8.166</v>
      </c>
      <c r="Q83" s="3">
        <f>AVERAGEIFS(Daily!$E$3:$E$7756,Daily!$B$3:$B$7756,$A83)</f>
        <v>22.529677419354837</v>
      </c>
      <c r="R83" s="3">
        <f>AVERAGEIFS(Daily!$F$3:$F$7756,Daily!$B$3:$B$7756,$A83)</f>
        <v>30.595806451612905</v>
      </c>
      <c r="S83" s="3">
        <f>AVERAGEIFS(Daily!$G$3:$G$7756,Daily!$B$3:$B$7756,$A83)</f>
        <v>16.030645161290323</v>
      </c>
      <c r="T83" s="4">
        <f>SUMIFS(Daily!$H$3:$H$7756,Daily!$B$3:$B$7756,$A83)</f>
        <v>15.0</v>
      </c>
      <c r="U83" s="4">
        <f>SUMIFS(Daily!$I$3:$I$7756,Daily!$B$3:$B$7756,$A83)</f>
        <v>23.945</v>
      </c>
      <c r="V83" s="3">
        <f>AVERAGEIFS(Daily!$J$3:$J$7756,Daily!$B$3:$B$7756,$A83)</f>
        <v>22.176129032258057</v>
      </c>
      <c r="W83" s="3">
        <f>AVERAGEIFS(Daily!$K$3:$K$7756,Daily!$B$3:$B$7756,$A83)</f>
        <v>29.221612903225804</v>
      </c>
      <c r="X83" s="3">
        <f>AVERAGEIFS(Daily!$L$3:$L$7756,Daily!$B$3:$B$7756,$A83)</f>
        <v>16.856129032258064</v>
      </c>
      <c r="Y83" s="4">
        <f>SUMIFS(Daily!$M$3:$M$7756,Daily!$B$3:$B$7756,$A83)</f>
        <v>29.39</v>
      </c>
      <c r="Z83" s="4">
        <f>SUMIFS(Daily!$N$3:$N$7756,Daily!$B$3:$B$7756,$A83)</f>
        <v>34.221</v>
      </c>
      <c r="AA83" s="3">
        <f>AVERAGEIFS(Daily!$O$3:$O$7756,Daily!$B$3:$B$7756,$A83)</f>
        <v>20.88612903225807</v>
      </c>
      <c r="AB83" s="3">
        <f>AVERAGEIFS(Daily!$P$3:$P$7756,Daily!$B$3:$B$7756,$A83)</f>
        <v>26.363225806451602</v>
      </c>
      <c r="AC83" s="3">
        <f>AVERAGEIFS(Daily!$Q$3:$Q$7756,Daily!$B$3:$B$7756,$A83)</f>
        <v>16.922580645161286</v>
      </c>
      <c r="AD83" s="4">
        <f>SUMIFS(Daily!$R$3:$R$7756,Daily!$B$3:$B$7756,$A83)</f>
        <v>52.29</v>
      </c>
      <c r="AE83" s="4">
        <f>AVERAGE(P83,U83,Z83)</f>
        <v>22.110666666666663</v>
      </c>
      <c r="AF83" s="3">
        <f>AVERAGE(Q83,V83,AA83)</f>
        <v>21.863978494623655</v>
      </c>
      <c r="AG83" s="3">
        <f>AVERAGE(R83,W83,AB83)</f>
        <v>28.7268817204301</v>
      </c>
      <c r="AH83" s="3">
        <f>AVERAGE(S83,X83,AC83)</f>
        <v>16.603118279569895</v>
      </c>
      <c r="AI83" s="4">
        <f>AVERAGE(T83,Y83,AD83)</f>
        <v>32.22666666666667</v>
      </c>
    </row>
    <row r="84">
      <c r="A84" s="2" t="inlineStr">
        <is>
          <t xml:space="preserve">2012-04</t>
        </is>
      </c>
      <c r="B84" s="2">
        <v>2012</v>
      </c>
      <c r="C84" s="2">
        <v>4</v>
      </c>
      <c r="D84" s="2" t="inlineStr">
        <is>
          <t xml:space="preserve">Apr</t>
        </is>
      </c>
      <c r="E84" s="2" t="inlineStr">
        <is>
          <t xml:space="preserve">2011/12</t>
        </is>
      </c>
      <c r="F84" s="2">
        <v>10</v>
      </c>
      <c r="G84" s="9">
        <v>41000</v>
      </c>
      <c r="H84" s="9">
        <v>41029</v>
      </c>
      <c r="I84" s="2">
        <f>H84-G84+1</f>
        <v>30</v>
      </c>
      <c r="J84" s="2">
        <f>COUNTIF(Daily!$B$3:$B$7756,A84)</f>
        <v>30</v>
      </c>
      <c r="K84" s="2" t="str">
        <f>IF(J84=I84,"complete","partial ("&amp;J84&amp;" days)")</f>
        <v>complete</v>
      </c>
      <c r="L84" s="3">
        <f>INDEX(ENSO_monthly!$F:$F,MATCH(A84,ENSO_monthly!$A:$A,0))</f>
        <v>-0.35</v>
      </c>
      <c r="M84" s="2" t="str">
        <f>INDEX(ENSO_monthly!$D:$D,MATCH(A84,ENSO_monthly!$A:$A,0))</f>
        <v>MAM</v>
      </c>
      <c r="N84" s="2" t="str">
        <f>INDEX(ENSO_monthly!$L:$L,MATCH(A84,ENSO_monthly!$A:$A,0))</f>
        <v>—</v>
      </c>
      <c r="O84" s="12" t="str">
        <f>INDEX(ENSO_seasons!$U:$U,MATCH(E84,ENSO_seasons!$A:$A,0))</f>
        <v>La Niña</v>
      </c>
      <c r="P84" s="4">
        <f>SUMIFS(Daily!$D$3:$D$7756,Daily!$B$3:$B$7756,$A84)</f>
        <v>92.497</v>
      </c>
      <c r="Q84" s="3">
        <f>AVERAGEIFS(Daily!$E$3:$E$7756,Daily!$B$3:$B$7756,$A84)</f>
        <v>23.510666666666662</v>
      </c>
      <c r="R84" s="3">
        <f>AVERAGEIFS(Daily!$F$3:$F$7756,Daily!$B$3:$B$7756,$A84)</f>
        <v>30.624666666666666</v>
      </c>
      <c r="S84" s="3">
        <f>AVERAGEIFS(Daily!$G$3:$G$7756,Daily!$B$3:$B$7756,$A84)</f>
        <v>17.778000000000006</v>
      </c>
      <c r="T84" s="4">
        <f>SUMIFS(Daily!$H$3:$H$7756,Daily!$B$3:$B$7756,$A84)</f>
        <v>79.88</v>
      </c>
      <c r="U84" s="4">
        <f>SUMIFS(Daily!$I$3:$I$7756,Daily!$B$3:$B$7756,$A84)</f>
        <v>50.178</v>
      </c>
      <c r="V84" s="3">
        <f>AVERAGEIFS(Daily!$J$3:$J$7756,Daily!$B$3:$B$7756,$A84)</f>
        <v>23.644000000000005</v>
      </c>
      <c r="W84" s="3">
        <f>AVERAGEIFS(Daily!$K$3:$K$7756,Daily!$B$3:$B$7756,$A84)</f>
        <v>30.395333333333333</v>
      </c>
      <c r="X84" s="3">
        <f>AVERAGEIFS(Daily!$L$3:$L$7756,Daily!$B$3:$B$7756,$A84)</f>
        <v>18.416</v>
      </c>
      <c r="Y84" s="4">
        <f>SUMIFS(Daily!$M$3:$M$7756,Daily!$B$3:$B$7756,$A84)</f>
        <v>49.97</v>
      </c>
      <c r="Z84" s="4">
        <f>SUMIFS(Daily!$N$3:$N$7756,Daily!$B$3:$B$7756,$A84)</f>
        <v>52.771</v>
      </c>
      <c r="AA84" s="3">
        <f>AVERAGEIFS(Daily!$O$3:$O$7756,Daily!$B$3:$B$7756,$A84)</f>
        <v>22.788</v>
      </c>
      <c r="AB84" s="3">
        <f>AVERAGEIFS(Daily!$P$3:$P$7756,Daily!$B$3:$B$7756,$A84)</f>
        <v>28.794</v>
      </c>
      <c r="AC84" s="3">
        <f>AVERAGEIFS(Daily!$Q$3:$Q$7756,Daily!$B$3:$B$7756,$A84)</f>
        <v>18.298</v>
      </c>
      <c r="AD84" s="4">
        <f>SUMIFS(Daily!$R$3:$R$7756,Daily!$B$3:$B$7756,$A84)</f>
        <v>50.24</v>
      </c>
      <c r="AE84" s="4">
        <f>AVERAGE(P84,U84,Z84)</f>
        <v>65.14866666666667</v>
      </c>
      <c r="AF84" s="3">
        <f>AVERAGE(Q84,V84,AA84)</f>
        <v>23.314222222222224</v>
      </c>
      <c r="AG84" s="3">
        <f>AVERAGE(R84,W84,AB84)</f>
        <v>29.938</v>
      </c>
      <c r="AH84" s="3">
        <f>AVERAGE(S84,X84,AC84)</f>
        <v>18.164</v>
      </c>
      <c r="AI84" s="4">
        <f>AVERAGE(T84,Y84,AD84)</f>
        <v>60.03</v>
      </c>
    </row>
    <row r="85">
      <c r="A85" s="2" t="inlineStr">
        <is>
          <t xml:space="preserve">2012-05</t>
        </is>
      </c>
      <c r="B85" s="2">
        <v>2012</v>
      </c>
      <c r="C85" s="2">
        <v>5</v>
      </c>
      <c r="D85" s="2" t="inlineStr">
        <is>
          <t xml:space="preserve">May</t>
        </is>
      </c>
      <c r="E85" s="2" t="inlineStr">
        <is>
          <t xml:space="preserve">2011/12</t>
        </is>
      </c>
      <c r="F85" s="2">
        <v>11</v>
      </c>
      <c r="G85" s="9">
        <v>41030</v>
      </c>
      <c r="H85" s="9">
        <v>41060</v>
      </c>
      <c r="I85" s="2">
        <f>H85-G85+1</f>
        <v>31</v>
      </c>
      <c r="J85" s="2">
        <f>COUNTIF(Daily!$B$3:$B$7756,A85)</f>
        <v>31</v>
      </c>
      <c r="K85" s="2" t="str">
        <f>IF(J85=I85,"complete","partial ("&amp;J85&amp;" days)")</f>
        <v>complete</v>
      </c>
      <c r="L85" s="3">
        <f>INDEX(ENSO_monthly!$F:$F,MATCH(A85,ENSO_monthly!$A:$A,0))</f>
        <v>-0.18</v>
      </c>
      <c r="M85" s="2" t="str">
        <f>INDEX(ENSO_monthly!$D:$D,MATCH(A85,ENSO_monthly!$A:$A,0))</f>
        <v>AMJ</v>
      </c>
      <c r="N85" s="2" t="str">
        <f>INDEX(ENSO_monthly!$L:$L,MATCH(A85,ENSO_monthly!$A:$A,0))</f>
        <v>—</v>
      </c>
      <c r="O85" s="12" t="str">
        <f>INDEX(ENSO_seasons!$U:$U,MATCH(E85,ENSO_seasons!$A:$A,0))</f>
        <v>La Niña</v>
      </c>
      <c r="P85" s="4">
        <f>SUMIFS(Daily!$D$3:$D$7756,Daily!$B$3:$B$7756,$A85)</f>
        <v>221.187</v>
      </c>
      <c r="Q85" s="3">
        <f>AVERAGEIFS(Daily!$E$3:$E$7756,Daily!$B$3:$B$7756,$A85)</f>
        <v>23.38677419354839</v>
      </c>
      <c r="R85" s="3">
        <f>AVERAGEIFS(Daily!$F$3:$F$7756,Daily!$B$3:$B$7756,$A85)</f>
        <v>28.762580645161293</v>
      </c>
      <c r="S85" s="3">
        <f>AVERAGEIFS(Daily!$G$3:$G$7756,Daily!$B$3:$B$7756,$A85)</f>
        <v>19.346774193548388</v>
      </c>
      <c r="T85" s="4">
        <f>SUMIFS(Daily!$H$3:$H$7756,Daily!$B$3:$B$7756,$A85)</f>
        <v>209.91</v>
      </c>
      <c r="U85" s="4">
        <f>SUMIFS(Daily!$I$3:$I$7756,Daily!$B$3:$B$7756,$A85)</f>
        <v>188.655</v>
      </c>
      <c r="V85" s="3">
        <f>AVERAGEIFS(Daily!$J$3:$J$7756,Daily!$B$3:$B$7756,$A85)</f>
        <v>23.83935483870968</v>
      </c>
      <c r="W85" s="3">
        <f>AVERAGEIFS(Daily!$K$3:$K$7756,Daily!$B$3:$B$7756,$A85)</f>
        <v>28.844838709677422</v>
      </c>
      <c r="X85" s="3">
        <f>AVERAGEIFS(Daily!$L$3:$L$7756,Daily!$B$3:$B$7756,$A85)</f>
        <v>19.899354838709677</v>
      </c>
      <c r="Y85" s="4">
        <f>SUMIFS(Daily!$M$3:$M$7756,Daily!$B$3:$B$7756,$A85)</f>
        <v>189.04</v>
      </c>
      <c r="Z85" s="4">
        <f>SUMIFS(Daily!$N$3:$N$7756,Daily!$B$3:$B$7756,$A85)</f>
        <v>217.114</v>
      </c>
      <c r="AA85" s="3">
        <f>AVERAGEIFS(Daily!$O$3:$O$7756,Daily!$B$3:$B$7756,$A85)</f>
        <v>23.780322580645162</v>
      </c>
      <c r="AB85" s="3">
        <f>AVERAGEIFS(Daily!$P$3:$P$7756,Daily!$B$3:$B$7756,$A85)</f>
        <v>28.561935483870972</v>
      </c>
      <c r="AC85" s="3">
        <f>AVERAGEIFS(Daily!$Q$3:$Q$7756,Daily!$B$3:$B$7756,$A85)</f>
        <v>20.236774193548385</v>
      </c>
      <c r="AD85" s="4">
        <f>SUMIFS(Daily!$R$3:$R$7756,Daily!$B$3:$B$7756,$A85)</f>
        <v>180.4</v>
      </c>
      <c r="AE85" s="4">
        <f>AVERAGE(P85,U85,Z85)</f>
        <v>208.98533333333333</v>
      </c>
      <c r="AF85" s="3">
        <f>AVERAGE(Q85,V85,AA85)</f>
        <v>23.668817204301078</v>
      </c>
      <c r="AG85" s="3">
        <f>AVERAGE(R85,W85,AB85)</f>
        <v>28.723118279569892</v>
      </c>
      <c r="AH85" s="3">
        <f>AVERAGE(S85,X85,AC85)</f>
        <v>19.82763440860215</v>
      </c>
      <c r="AI85" s="4">
        <f>AVERAGE(T85,Y85,AD85)</f>
        <v>193.11666666666667</v>
      </c>
    </row>
    <row r="86">
      <c r="A86" s="2" t="inlineStr">
        <is>
          <t xml:space="preserve">2012-06</t>
        </is>
      </c>
      <c r="B86" s="2">
        <v>2012</v>
      </c>
      <c r="C86" s="2">
        <v>6</v>
      </c>
      <c r="D86" s="2" t="inlineStr">
        <is>
          <t xml:space="preserve">Jun</t>
        </is>
      </c>
      <c r="E86" s="2" t="inlineStr">
        <is>
          <t xml:space="preserve">2011/12</t>
        </is>
      </c>
      <c r="F86" s="2">
        <v>12</v>
      </c>
      <c r="G86" s="9">
        <v>41061</v>
      </c>
      <c r="H86" s="9">
        <v>41090</v>
      </c>
      <c r="I86" s="2">
        <f>H86-G86+1</f>
        <v>30</v>
      </c>
      <c r="J86" s="2">
        <f>COUNTIF(Daily!$B$3:$B$7756,A86)</f>
        <v>30</v>
      </c>
      <c r="K86" s="2" t="str">
        <f>IF(J86=I86,"complete","partial ("&amp;J86&amp;" days)")</f>
        <v>complete</v>
      </c>
      <c r="L86" s="3">
        <f>INDEX(ENSO_monthly!$F:$F,MATCH(A86,ENSO_monthly!$A:$A,0))</f>
        <v>0.03</v>
      </c>
      <c r="M86" s="2" t="str">
        <f>INDEX(ENSO_monthly!$D:$D,MATCH(A86,ENSO_monthly!$A:$A,0))</f>
        <v>MJJ</v>
      </c>
      <c r="N86" s="2" t="str">
        <f>INDEX(ENSO_monthly!$L:$L,MATCH(A86,ENSO_monthly!$A:$A,0))</f>
        <v>—</v>
      </c>
      <c r="O86" s="12" t="str">
        <f>INDEX(ENSO_seasons!$U:$U,MATCH(E86,ENSO_seasons!$A:$A,0))</f>
        <v>La Niña</v>
      </c>
      <c r="P86" s="4">
        <f>SUMIFS(Daily!$D$3:$D$7756,Daily!$B$3:$B$7756,$A86)</f>
        <v>114.424</v>
      </c>
      <c r="Q86" s="3">
        <f>AVERAGEIFS(Daily!$E$3:$E$7756,Daily!$B$3:$B$7756,$A86)</f>
        <v>22.377000000000002</v>
      </c>
      <c r="R86" s="3">
        <f>AVERAGEIFS(Daily!$F$3:$F$7756,Daily!$B$3:$B$7756,$A86)</f>
        <v>27.069333333333336</v>
      </c>
      <c r="S86" s="3">
        <f>AVERAGEIFS(Daily!$G$3:$G$7756,Daily!$B$3:$B$7756,$A86)</f>
        <v>18.47533333333333</v>
      </c>
      <c r="T86" s="4">
        <f>SUMIFS(Daily!$H$3:$H$7756,Daily!$B$3:$B$7756,$A86)</f>
        <v>105.55</v>
      </c>
      <c r="U86" s="4">
        <f>SUMIFS(Daily!$I$3:$I$7756,Daily!$B$3:$B$7756,$A86)</f>
        <v>112.506</v>
      </c>
      <c r="V86" s="3">
        <f>AVERAGEIFS(Daily!$J$3:$J$7756,Daily!$B$3:$B$7756,$A86)</f>
        <v>22.94366666666667</v>
      </c>
      <c r="W86" s="3">
        <f>AVERAGEIFS(Daily!$K$3:$K$7756,Daily!$B$3:$B$7756,$A86)</f>
        <v>27.21966666666667</v>
      </c>
      <c r="X86" s="3">
        <f>AVERAGEIFS(Daily!$L$3:$L$7756,Daily!$B$3:$B$7756,$A86)</f>
        <v>19.623333333333335</v>
      </c>
      <c r="Y86" s="4">
        <f>SUMIFS(Daily!$M$3:$M$7756,Daily!$B$3:$B$7756,$A86)</f>
        <v>122.87</v>
      </c>
      <c r="Z86" s="4">
        <f>SUMIFS(Daily!$N$3:$N$7756,Daily!$B$3:$B$7756,$A86)</f>
        <v>137.905</v>
      </c>
      <c r="AA86" s="3">
        <f>AVERAGEIFS(Daily!$O$3:$O$7756,Daily!$B$3:$B$7756,$A86)</f>
        <v>23.480000000000004</v>
      </c>
      <c r="AB86" s="3">
        <f>AVERAGEIFS(Daily!$P$3:$P$7756,Daily!$B$3:$B$7756,$A86)</f>
        <v>27.892333333333337</v>
      </c>
      <c r="AC86" s="3">
        <f>AVERAGEIFS(Daily!$Q$3:$Q$7756,Daily!$B$3:$B$7756,$A86)</f>
        <v>20.22033333333333</v>
      </c>
      <c r="AD86" s="4">
        <f>SUMIFS(Daily!$R$3:$R$7756,Daily!$B$3:$B$7756,$A86)</f>
        <v>145.26</v>
      </c>
      <c r="AE86" s="4">
        <f>AVERAGE(P86,U86,Z86)</f>
        <v>121.61166666666668</v>
      </c>
      <c r="AF86" s="3">
        <f>AVERAGE(Q86,V86,AA86)</f>
        <v>22.933555555555557</v>
      </c>
      <c r="AG86" s="3">
        <f>AVERAGE(R86,W86,AB86)</f>
        <v>27.393777777777782</v>
      </c>
      <c r="AH86" s="3">
        <f>AVERAGE(S86,X86,AC86)</f>
        <v>19.439666666666664</v>
      </c>
      <c r="AI86" s="4">
        <f>AVERAGE(T86,Y86,AD86)</f>
        <v>124.56</v>
      </c>
    </row>
    <row r="87">
      <c r="A87" s="2" t="inlineStr">
        <is>
          <t xml:space="preserve">2012-07</t>
        </is>
      </c>
      <c r="B87" s="2">
        <v>2012</v>
      </c>
      <c r="C87" s="2">
        <v>7</v>
      </c>
      <c r="D87" s="2" t="inlineStr">
        <is>
          <t xml:space="preserve">Jul</t>
        </is>
      </c>
      <c r="E87" s="2" t="inlineStr">
        <is>
          <t xml:space="preserve">2012/13</t>
        </is>
      </c>
      <c r="F87" s="2">
        <v>1</v>
      </c>
      <c r="G87" s="9">
        <v>41091</v>
      </c>
      <c r="H87" s="9">
        <v>41121</v>
      </c>
      <c r="I87" s="2">
        <f>H87-G87+1</f>
        <v>31</v>
      </c>
      <c r="J87" s="2">
        <f>COUNTIF(Daily!$B$3:$B$7756,A87)</f>
        <v>31</v>
      </c>
      <c r="K87" s="2" t="str">
        <f>IF(J87=I87,"complete","partial ("&amp;J87&amp;" days)")</f>
        <v>complete</v>
      </c>
      <c r="L87" s="3">
        <f>INDEX(ENSO_monthly!$F:$F,MATCH(A87,ENSO_monthly!$A:$A,0))</f>
        <v>0.28</v>
      </c>
      <c r="M87" s="2" t="str">
        <f>INDEX(ENSO_monthly!$D:$D,MATCH(A87,ENSO_monthly!$A:$A,0))</f>
        <v>JJA</v>
      </c>
      <c r="N87" s="2" t="str">
        <f>INDEX(ENSO_monthly!$L:$L,MATCH(A87,ENSO_monthly!$A:$A,0))</f>
        <v>—</v>
      </c>
      <c r="O87" s="8" t="str">
        <f>INDEX(ENSO_seasons!$U:$U,MATCH(E87,ENSO_seasons!$A:$A,0))</f>
        <v>Neutral</v>
      </c>
      <c r="P87" s="4">
        <f>SUMIFS(Daily!$D$3:$D$7756,Daily!$B$3:$B$7756,$A87)</f>
        <v>57.525</v>
      </c>
      <c r="Q87" s="3">
        <f>AVERAGEIFS(Daily!$E$3:$E$7756,Daily!$B$3:$B$7756,$A87)</f>
        <v>22.291612903225808</v>
      </c>
      <c r="R87" s="3">
        <f>AVERAGEIFS(Daily!$F$3:$F$7756,Daily!$B$3:$B$7756,$A87)</f>
        <v>28.024516129032254</v>
      </c>
      <c r="S87" s="3">
        <f>AVERAGEIFS(Daily!$G$3:$G$7756,Daily!$B$3:$B$7756,$A87)</f>
        <v>17.741935483870964</v>
      </c>
      <c r="T87" s="4">
        <f>SUMIFS(Daily!$H$3:$H$7756,Daily!$B$3:$B$7756,$A87)</f>
        <v>78.62</v>
      </c>
      <c r="U87" s="4">
        <f>SUMIFS(Daily!$I$3:$I$7756,Daily!$B$3:$B$7756,$A87)</f>
        <v>130.434</v>
      </c>
      <c r="V87" s="3">
        <f>AVERAGEIFS(Daily!$J$3:$J$7756,Daily!$B$3:$B$7756,$A87)</f>
        <v>22.50709677419355</v>
      </c>
      <c r="W87" s="3">
        <f>AVERAGEIFS(Daily!$K$3:$K$7756,Daily!$B$3:$B$7756,$A87)</f>
        <v>26.736129032258063</v>
      </c>
      <c r="X87" s="3">
        <f>AVERAGEIFS(Daily!$L$3:$L$7756,Daily!$B$3:$B$7756,$A87)</f>
        <v>19.14</v>
      </c>
      <c r="Y87" s="4">
        <f>SUMIFS(Daily!$M$3:$M$7756,Daily!$B$3:$B$7756,$A87)</f>
        <v>138.95</v>
      </c>
      <c r="Z87" s="4">
        <f>SUMIFS(Daily!$N$3:$N$7756,Daily!$B$3:$B$7756,$A87)</f>
        <v>160.3</v>
      </c>
      <c r="AA87" s="3">
        <f>AVERAGEIFS(Daily!$O$3:$O$7756,Daily!$B$3:$B$7756,$A87)</f>
        <v>22.546774193548384</v>
      </c>
      <c r="AB87" s="3">
        <f>AVERAGEIFS(Daily!$P$3:$P$7756,Daily!$B$3:$B$7756,$A87)</f>
        <v>26.477419354838712</v>
      </c>
      <c r="AC87" s="3">
        <f>AVERAGEIFS(Daily!$Q$3:$Q$7756,Daily!$B$3:$B$7756,$A87)</f>
        <v>19.95161290322581</v>
      </c>
      <c r="AD87" s="4">
        <f>SUMIFS(Daily!$R$3:$R$7756,Daily!$B$3:$B$7756,$A87)</f>
        <v>186.65</v>
      </c>
      <c r="AE87" s="4">
        <f>AVERAGE(P87,U87,Z87)</f>
        <v>116.08633333333334</v>
      </c>
      <c r="AF87" s="3">
        <f>AVERAGE(Q87,V87,AA87)</f>
        <v>22.448494623655915</v>
      </c>
      <c r="AG87" s="3">
        <f>AVERAGE(R87,W87,AB87)</f>
        <v>27.079354838709676</v>
      </c>
      <c r="AH87" s="3">
        <f>AVERAGE(S87,X87,AC87)</f>
        <v>18.944516129032255</v>
      </c>
      <c r="AI87" s="4">
        <f>AVERAGE(T87,Y87,AD87)</f>
        <v>134.74</v>
      </c>
    </row>
    <row r="88">
      <c r="A88" s="2" t="inlineStr">
        <is>
          <t xml:space="preserve">2012-08</t>
        </is>
      </c>
      <c r="B88" s="2">
        <v>2012</v>
      </c>
      <c r="C88" s="2">
        <v>8</v>
      </c>
      <c r="D88" s="2" t="inlineStr">
        <is>
          <t xml:space="preserve">Aug</t>
        </is>
      </c>
      <c r="E88" s="2" t="inlineStr">
        <is>
          <t xml:space="preserve">2012/13</t>
        </is>
      </c>
      <c r="F88" s="2">
        <v>2</v>
      </c>
      <c r="G88" s="9">
        <v>41122</v>
      </c>
      <c r="H88" s="9">
        <v>41152</v>
      </c>
      <c r="I88" s="2">
        <f>H88-G88+1</f>
        <v>31</v>
      </c>
      <c r="J88" s="2">
        <f>COUNTIF(Daily!$B$3:$B$7756,A88)</f>
        <v>31</v>
      </c>
      <c r="K88" s="2" t="str">
        <f>IF(J88=I88,"complete","partial ("&amp;J88&amp;" days)")</f>
        <v>complete</v>
      </c>
      <c r="L88" s="3">
        <f>INDEX(ENSO_monthly!$F:$F,MATCH(A88,ENSO_monthly!$A:$A,0))</f>
        <v>0.39</v>
      </c>
      <c r="M88" s="2" t="str">
        <f>INDEX(ENSO_monthly!$D:$D,MATCH(A88,ENSO_monthly!$A:$A,0))</f>
        <v>JAS</v>
      </c>
      <c r="N88" s="2" t="str">
        <f>INDEX(ENSO_monthly!$L:$L,MATCH(A88,ENSO_monthly!$A:$A,0))</f>
        <v>—</v>
      </c>
      <c r="O88" s="8" t="str">
        <f>INDEX(ENSO_seasons!$U:$U,MATCH(E88,ENSO_seasons!$A:$A,0))</f>
        <v>Neutral</v>
      </c>
      <c r="P88" s="4">
        <f>SUMIFS(Daily!$D$3:$D$7756,Daily!$B$3:$B$7756,$A88)</f>
        <v>260.43</v>
      </c>
      <c r="Q88" s="3">
        <f>AVERAGEIFS(Daily!$E$3:$E$7756,Daily!$B$3:$B$7756,$A88)</f>
        <v>22.382903225806455</v>
      </c>
      <c r="R88" s="3">
        <f>AVERAGEIFS(Daily!$F$3:$F$7756,Daily!$B$3:$B$7756,$A88)</f>
        <v>27.689032258064522</v>
      </c>
      <c r="S88" s="3">
        <f>AVERAGEIFS(Daily!$G$3:$G$7756,Daily!$B$3:$B$7756,$A88)</f>
        <v>18.340322580645164</v>
      </c>
      <c r="T88" s="4">
        <f>SUMIFS(Daily!$H$3:$H$7756,Daily!$B$3:$B$7756,$A88)</f>
        <v>226.19</v>
      </c>
      <c r="U88" s="4">
        <f>SUMIFS(Daily!$I$3:$I$7756,Daily!$B$3:$B$7756,$A88)</f>
        <v>373.815</v>
      </c>
      <c r="V88" s="3">
        <f>AVERAGEIFS(Daily!$J$3:$J$7756,Daily!$B$3:$B$7756,$A88)</f>
        <v>22.649677419354834</v>
      </c>
      <c r="W88" s="3">
        <f>AVERAGEIFS(Daily!$K$3:$K$7756,Daily!$B$3:$B$7756,$A88)</f>
        <v>26.809677419354834</v>
      </c>
      <c r="X88" s="3">
        <f>AVERAGEIFS(Daily!$L$3:$L$7756,Daily!$B$3:$B$7756,$A88)</f>
        <v>19.284516129032266</v>
      </c>
      <c r="Y88" s="4">
        <f>SUMIFS(Daily!$M$3:$M$7756,Daily!$B$3:$B$7756,$A88)</f>
        <v>350.26</v>
      </c>
      <c r="Z88" s="4">
        <f>SUMIFS(Daily!$N$3:$N$7756,Daily!$B$3:$B$7756,$A88)</f>
        <v>432.106</v>
      </c>
      <c r="AA88" s="3">
        <f>AVERAGEIFS(Daily!$O$3:$O$7756,Daily!$B$3:$B$7756,$A88)</f>
        <v>22.806774193548385</v>
      </c>
      <c r="AB88" s="3">
        <f>AVERAGEIFS(Daily!$P$3:$P$7756,Daily!$B$3:$B$7756,$A88)</f>
        <v>26.792903225806455</v>
      </c>
      <c r="AC88" s="3">
        <f>AVERAGEIFS(Daily!$Q$3:$Q$7756,Daily!$B$3:$B$7756,$A88)</f>
        <v>19.838064516129034</v>
      </c>
      <c r="AD88" s="4">
        <f>SUMIFS(Daily!$R$3:$R$7756,Daily!$B$3:$B$7756,$A88)</f>
        <v>345.23</v>
      </c>
      <c r="AE88" s="4">
        <f>AVERAGE(P88,U88,Z88)</f>
        <v>355.4503333333334</v>
      </c>
      <c r="AF88" s="3">
        <f>AVERAGE(Q88,V88,AA88)</f>
        <v>22.613118279569893</v>
      </c>
      <c r="AG88" s="3">
        <f>AVERAGE(R88,W88,AB88)</f>
        <v>27.09720430107527</v>
      </c>
      <c r="AH88" s="3">
        <f>AVERAGE(S88,X88,AC88)</f>
        <v>19.154301075268823</v>
      </c>
      <c r="AI88" s="4">
        <f>AVERAGE(T88,Y88,AD88)</f>
        <v>307.2266666666667</v>
      </c>
    </row>
    <row r="89">
      <c r="A89" s="2" t="inlineStr">
        <is>
          <t xml:space="preserve">2012-09</t>
        </is>
      </c>
      <c r="B89" s="2">
        <v>2012</v>
      </c>
      <c r="C89" s="2">
        <v>9</v>
      </c>
      <c r="D89" s="2" t="inlineStr">
        <is>
          <t xml:space="preserve">Sep</t>
        </is>
      </c>
      <c r="E89" s="2" t="inlineStr">
        <is>
          <t xml:space="preserve">2012/13</t>
        </is>
      </c>
      <c r="F89" s="2">
        <v>3</v>
      </c>
      <c r="G89" s="9">
        <v>41153</v>
      </c>
      <c r="H89" s="9">
        <v>41182</v>
      </c>
      <c r="I89" s="2">
        <f>H89-G89+1</f>
        <v>30</v>
      </c>
      <c r="J89" s="2">
        <f>COUNTIF(Daily!$B$3:$B$7756,A89)</f>
        <v>30</v>
      </c>
      <c r="K89" s="2" t="str">
        <f>IF(J89=I89,"complete","partial ("&amp;J89&amp;" days)")</f>
        <v>complete</v>
      </c>
      <c r="L89" s="3">
        <f>INDEX(ENSO_monthly!$F:$F,MATCH(A89,ENSO_monthly!$A:$A,0))</f>
        <v>0.37</v>
      </c>
      <c r="M89" s="2" t="str">
        <f>INDEX(ENSO_monthly!$D:$D,MATCH(A89,ENSO_monthly!$A:$A,0))</f>
        <v>ASO</v>
      </c>
      <c r="N89" s="2" t="str">
        <f>INDEX(ENSO_monthly!$L:$L,MATCH(A89,ENSO_monthly!$A:$A,0))</f>
        <v>—</v>
      </c>
      <c r="O89" s="8" t="str">
        <f>INDEX(ENSO_seasons!$U:$U,MATCH(E89,ENSO_seasons!$A:$A,0))</f>
        <v>Neutral</v>
      </c>
      <c r="P89" s="4">
        <f>SUMIFS(Daily!$D$3:$D$7756,Daily!$B$3:$B$7756,$A89)</f>
        <v>129.681</v>
      </c>
      <c r="Q89" s="3">
        <f>AVERAGEIFS(Daily!$E$3:$E$7756,Daily!$B$3:$B$7756,$A89)</f>
        <v>21.88033333333334</v>
      </c>
      <c r="R89" s="3">
        <f>AVERAGEIFS(Daily!$F$3:$F$7756,Daily!$B$3:$B$7756,$A89)</f>
        <v>26.996666666666666</v>
      </c>
      <c r="S89" s="3">
        <f>AVERAGEIFS(Daily!$G$3:$G$7756,Daily!$B$3:$B$7756,$A89)</f>
        <v>17.71633333333334</v>
      </c>
      <c r="T89" s="4">
        <f>SUMIFS(Daily!$H$3:$H$7756,Daily!$B$3:$B$7756,$A89)</f>
        <v>125.98</v>
      </c>
      <c r="U89" s="4">
        <f>SUMIFS(Daily!$I$3:$I$7756,Daily!$B$3:$B$7756,$A89)</f>
        <v>151.059</v>
      </c>
      <c r="V89" s="3">
        <f>AVERAGEIFS(Daily!$J$3:$J$7756,Daily!$B$3:$B$7756,$A89)</f>
        <v>22.23966666666667</v>
      </c>
      <c r="W89" s="3">
        <f>AVERAGEIFS(Daily!$K$3:$K$7756,Daily!$B$3:$B$7756,$A89)</f>
        <v>26.387333333333338</v>
      </c>
      <c r="X89" s="3">
        <f>AVERAGEIFS(Daily!$L$3:$L$7756,Daily!$B$3:$B$7756,$A89)</f>
        <v>18.82933333333333</v>
      </c>
      <c r="Y89" s="4">
        <f>SUMIFS(Daily!$M$3:$M$7756,Daily!$B$3:$B$7756,$A89)</f>
        <v>145.64</v>
      </c>
      <c r="Z89" s="4">
        <f>SUMIFS(Daily!$N$3:$N$7756,Daily!$B$3:$B$7756,$A89)</f>
        <v>171.05</v>
      </c>
      <c r="AA89" s="3">
        <f>AVERAGEIFS(Daily!$O$3:$O$7756,Daily!$B$3:$B$7756,$A89)</f>
        <v>22.484333333333336</v>
      </c>
      <c r="AB89" s="3">
        <f>AVERAGEIFS(Daily!$P$3:$P$7756,Daily!$B$3:$B$7756,$A89)</f>
        <v>26.378333333333327</v>
      </c>
      <c r="AC89" s="3">
        <f>AVERAGEIFS(Daily!$Q$3:$Q$7756,Daily!$B$3:$B$7756,$A89)</f>
        <v>19.67233333333333</v>
      </c>
      <c r="AD89" s="4">
        <f>SUMIFS(Daily!$R$3:$R$7756,Daily!$B$3:$B$7756,$A89)</f>
        <v>159.32</v>
      </c>
      <c r="AE89" s="4">
        <f>AVERAGE(P89,U89,Z89)</f>
        <v>150.59666666666666</v>
      </c>
      <c r="AF89" s="3">
        <f>AVERAGE(Q89,V89,AA89)</f>
        <v>22.201444444444448</v>
      </c>
      <c r="AG89" s="3">
        <f>AVERAGE(R89,W89,AB89)</f>
        <v>26.587444444444444</v>
      </c>
      <c r="AH89" s="3">
        <f>AVERAGE(S89,X89,AC89)</f>
        <v>18.739333333333335</v>
      </c>
      <c r="AI89" s="4">
        <f>AVERAGE(T89,Y89,AD89)</f>
        <v>143.64666666666668</v>
      </c>
    </row>
    <row r="90">
      <c r="A90" s="2" t="inlineStr">
        <is>
          <t xml:space="preserve">2012-10</t>
        </is>
      </c>
      <c r="B90" s="2">
        <v>2012</v>
      </c>
      <c r="C90" s="2">
        <v>10</v>
      </c>
      <c r="D90" s="2" t="inlineStr">
        <is>
          <t xml:space="preserve">Oct</t>
        </is>
      </c>
      <c r="E90" s="2" t="inlineStr">
        <is>
          <t xml:space="preserve">2012/13</t>
        </is>
      </c>
      <c r="F90" s="2">
        <v>4</v>
      </c>
      <c r="G90" s="9">
        <v>41183</v>
      </c>
      <c r="H90" s="9">
        <v>41213</v>
      </c>
      <c r="I90" s="2">
        <f>H90-G90+1</f>
        <v>31</v>
      </c>
      <c r="J90" s="2">
        <f>COUNTIF(Daily!$B$3:$B$7756,A90)</f>
        <v>31</v>
      </c>
      <c r="K90" s="2" t="str">
        <f>IF(J90=I90,"complete","partial ("&amp;J90&amp;" days)")</f>
        <v>complete</v>
      </c>
      <c r="L90" s="3">
        <f>INDEX(ENSO_monthly!$F:$F,MATCH(A90,ENSO_monthly!$A:$A,0))</f>
        <v>0.28</v>
      </c>
      <c r="M90" s="2" t="str">
        <f>INDEX(ENSO_monthly!$D:$D,MATCH(A90,ENSO_monthly!$A:$A,0))</f>
        <v>SON</v>
      </c>
      <c r="N90" s="2" t="str">
        <f>INDEX(ENSO_monthly!$L:$L,MATCH(A90,ENSO_monthly!$A:$A,0))</f>
        <v>—</v>
      </c>
      <c r="O90" s="8" t="str">
        <f>INDEX(ENSO_seasons!$U:$U,MATCH(E90,ENSO_seasons!$A:$A,0))</f>
        <v>Neutral</v>
      </c>
      <c r="P90" s="4">
        <f>SUMIFS(Daily!$D$3:$D$7756,Daily!$B$3:$B$7756,$A90)</f>
        <v>204.47</v>
      </c>
      <c r="Q90" s="3">
        <f>AVERAGEIFS(Daily!$E$3:$E$7756,Daily!$B$3:$B$7756,$A90)</f>
        <v>20.748709677419356</v>
      </c>
      <c r="R90" s="3">
        <f>AVERAGEIFS(Daily!$F$3:$F$7756,Daily!$B$3:$B$7756,$A90)</f>
        <v>25.560322580645167</v>
      </c>
      <c r="S90" s="3">
        <f>AVERAGEIFS(Daily!$G$3:$G$7756,Daily!$B$3:$B$7756,$A90)</f>
        <v>17.27935483870968</v>
      </c>
      <c r="T90" s="4">
        <f>SUMIFS(Daily!$H$3:$H$7756,Daily!$B$3:$B$7756,$A90)</f>
        <v>207.06</v>
      </c>
      <c r="U90" s="4">
        <f>SUMIFS(Daily!$I$3:$I$7756,Daily!$B$3:$B$7756,$A90)</f>
        <v>146.86</v>
      </c>
      <c r="V90" s="3">
        <f>AVERAGEIFS(Daily!$J$3:$J$7756,Daily!$B$3:$B$7756,$A90)</f>
        <v>21.073225806451617</v>
      </c>
      <c r="W90" s="3">
        <f>AVERAGEIFS(Daily!$K$3:$K$7756,Daily!$B$3:$B$7756,$A90)</f>
        <v>25.14709677419354</v>
      </c>
      <c r="X90" s="3">
        <f>AVERAGEIFS(Daily!$L$3:$L$7756,Daily!$B$3:$B$7756,$A90)</f>
        <v>18.01838709677419</v>
      </c>
      <c r="Y90" s="4">
        <f>SUMIFS(Daily!$M$3:$M$7756,Daily!$B$3:$B$7756,$A90)</f>
        <v>143.98</v>
      </c>
      <c r="Z90" s="4">
        <f>SUMIFS(Daily!$N$3:$N$7756,Daily!$B$3:$B$7756,$A90)</f>
        <v>155.693</v>
      </c>
      <c r="AA90" s="3">
        <f>AVERAGEIFS(Daily!$O$3:$O$7756,Daily!$B$3:$B$7756,$A90)</f>
        <v>21.43516129032258</v>
      </c>
      <c r="AB90" s="3">
        <f>AVERAGEIFS(Daily!$P$3:$P$7756,Daily!$B$3:$B$7756,$A90)</f>
        <v>25.25032258064516</v>
      </c>
      <c r="AC90" s="3">
        <f>AVERAGEIFS(Daily!$Q$3:$Q$7756,Daily!$B$3:$B$7756,$A90)</f>
        <v>18.806129032258063</v>
      </c>
      <c r="AD90" s="4">
        <f>SUMIFS(Daily!$R$3:$R$7756,Daily!$B$3:$B$7756,$A90)</f>
        <v>150.65</v>
      </c>
      <c r="AE90" s="4">
        <f>AVERAGE(P90,U90,Z90)</f>
        <v>169.00766666666667</v>
      </c>
      <c r="AF90" s="3">
        <f>AVERAGE(Q90,V90,AA90)</f>
        <v>21.085698924731187</v>
      </c>
      <c r="AG90" s="3">
        <f>AVERAGE(R90,W90,AB90)</f>
        <v>25.319247311827954</v>
      </c>
      <c r="AH90" s="3">
        <f>AVERAGE(S90,X90,AC90)</f>
        <v>18.03462365591398</v>
      </c>
      <c r="AI90" s="4">
        <f>AVERAGE(T90,Y90,AD90)</f>
        <v>167.23</v>
      </c>
    </row>
    <row r="91">
      <c r="A91" s="2" t="inlineStr">
        <is>
          <t xml:space="preserve">2012-11</t>
        </is>
      </c>
      <c r="B91" s="2">
        <v>2012</v>
      </c>
      <c r="C91" s="2">
        <v>11</v>
      </c>
      <c r="D91" s="2" t="inlineStr">
        <is>
          <t xml:space="preserve">Nov</t>
        </is>
      </c>
      <c r="E91" s="2" t="inlineStr">
        <is>
          <t xml:space="preserve">2012/13</t>
        </is>
      </c>
      <c r="F91" s="2">
        <v>5</v>
      </c>
      <c r="G91" s="9">
        <v>41214</v>
      </c>
      <c r="H91" s="9">
        <v>41243</v>
      </c>
      <c r="I91" s="2">
        <f>H91-G91+1</f>
        <v>30</v>
      </c>
      <c r="J91" s="2">
        <f>COUNTIF(Daily!$B$3:$B$7756,A91)</f>
        <v>30</v>
      </c>
      <c r="K91" s="2" t="str">
        <f>IF(J91=I91,"complete","partial ("&amp;J91&amp;" days)")</f>
        <v>complete</v>
      </c>
      <c r="L91" s="3">
        <f>INDEX(ENSO_monthly!$F:$F,MATCH(A91,ENSO_monthly!$A:$A,0))</f>
        <v>0.13</v>
      </c>
      <c r="M91" s="2" t="str">
        <f>INDEX(ENSO_monthly!$D:$D,MATCH(A91,ENSO_monthly!$A:$A,0))</f>
        <v>OND</v>
      </c>
      <c r="N91" s="2" t="str">
        <f>INDEX(ENSO_monthly!$L:$L,MATCH(A91,ENSO_monthly!$A:$A,0))</f>
        <v>—</v>
      </c>
      <c r="O91" s="8" t="str">
        <f>INDEX(ENSO_seasons!$U:$U,MATCH(E91,ENSO_seasons!$A:$A,0))</f>
        <v>Neutral</v>
      </c>
      <c r="P91" s="4">
        <f>SUMIFS(Daily!$D$3:$D$7756,Daily!$B$3:$B$7756,$A91)</f>
        <v>12.4</v>
      </c>
      <c r="Q91" s="3">
        <f>AVERAGEIFS(Daily!$E$3:$E$7756,Daily!$B$3:$B$7756,$A91)</f>
        <v>18.62366666666666</v>
      </c>
      <c r="R91" s="3">
        <f>AVERAGEIFS(Daily!$F$3:$F$7756,Daily!$B$3:$B$7756,$A91)</f>
        <v>23.630333333333333</v>
      </c>
      <c r="S91" s="3">
        <f>AVERAGEIFS(Daily!$G$3:$G$7756,Daily!$B$3:$B$7756,$A91)</f>
        <v>15.092333333333332</v>
      </c>
      <c r="T91" s="4">
        <f>SUMIFS(Daily!$H$3:$H$7756,Daily!$B$3:$B$7756,$A91)</f>
        <v>45.98</v>
      </c>
      <c r="U91" s="4">
        <f>SUMIFS(Daily!$I$3:$I$7756,Daily!$B$3:$B$7756,$A91)</f>
        <v>43.405</v>
      </c>
      <c r="V91" s="3">
        <f>AVERAGEIFS(Daily!$J$3:$J$7756,Daily!$B$3:$B$7756,$A91)</f>
        <v>18.742</v>
      </c>
      <c r="W91" s="3">
        <f>AVERAGEIFS(Daily!$K$3:$K$7756,Daily!$B$3:$B$7756,$A91)</f>
        <v>23.314333333333334</v>
      </c>
      <c r="X91" s="3">
        <f>AVERAGEIFS(Daily!$L$3:$L$7756,Daily!$B$3:$B$7756,$A91)</f>
        <v>15.345333333333333</v>
      </c>
      <c r="Y91" s="4">
        <f>SUMIFS(Daily!$M$3:$M$7756,Daily!$B$3:$B$7756,$A91)</f>
        <v>51.55</v>
      </c>
      <c r="Z91" s="4">
        <f>SUMIFS(Daily!$N$3:$N$7756,Daily!$B$3:$B$7756,$A91)</f>
        <v>65.07</v>
      </c>
      <c r="AA91" s="3">
        <f>AVERAGEIFS(Daily!$O$3:$O$7756,Daily!$B$3:$B$7756,$A91)</f>
        <v>18.862000000000002</v>
      </c>
      <c r="AB91" s="3">
        <f>AVERAGEIFS(Daily!$P$3:$P$7756,Daily!$B$3:$B$7756,$A91)</f>
        <v>22.96866666666667</v>
      </c>
      <c r="AC91" s="3">
        <f>AVERAGEIFS(Daily!$Q$3:$Q$7756,Daily!$B$3:$B$7756,$A91)</f>
        <v>15.860666666666663</v>
      </c>
      <c r="AD91" s="4">
        <f>SUMIFS(Daily!$R$3:$R$7756,Daily!$B$3:$B$7756,$A91)</f>
        <v>76.83</v>
      </c>
      <c r="AE91" s="4">
        <f>AVERAGE(P91,U91,Z91)</f>
        <v>40.291666666666664</v>
      </c>
      <c r="AF91" s="3">
        <f>AVERAGE(Q91,V91,AA91)</f>
        <v>18.742555555555555</v>
      </c>
      <c r="AG91" s="3">
        <f>AVERAGE(R91,W91,AB91)</f>
        <v>23.304444444444442</v>
      </c>
      <c r="AH91" s="3">
        <f>AVERAGE(S91,X91,AC91)</f>
        <v>15.432777777777778</v>
      </c>
      <c r="AI91" s="4">
        <f>AVERAGE(T91,Y91,AD91)</f>
        <v>58.120000000000005</v>
      </c>
    </row>
    <row r="92">
      <c r="A92" s="2" t="inlineStr">
        <is>
          <t xml:space="preserve">2012-12</t>
        </is>
      </c>
      <c r="B92" s="2">
        <v>2012</v>
      </c>
      <c r="C92" s="2">
        <v>12</v>
      </c>
      <c r="D92" s="2" t="inlineStr">
        <is>
          <t xml:space="preserve">Dec</t>
        </is>
      </c>
      <c r="E92" s="2" t="inlineStr">
        <is>
          <t xml:space="preserve">2012/13</t>
        </is>
      </c>
      <c r="F92" s="2">
        <v>6</v>
      </c>
      <c r="G92" s="9">
        <v>41244</v>
      </c>
      <c r="H92" s="9">
        <v>41274</v>
      </c>
      <c r="I92" s="2">
        <f>H92-G92+1</f>
        <v>31</v>
      </c>
      <c r="J92" s="2">
        <f>COUNTIF(Daily!$B$3:$B$7756,A92)</f>
        <v>31</v>
      </c>
      <c r="K92" s="2" t="str">
        <f>IF(J92=I92,"complete","partial ("&amp;J92&amp;" days)")</f>
        <v>complete</v>
      </c>
      <c r="L92" s="3">
        <f>INDEX(ENSO_monthly!$F:$F,MATCH(A92,ENSO_monthly!$A:$A,0))</f>
        <v>-0.03</v>
      </c>
      <c r="M92" s="2" t="str">
        <f>INDEX(ENSO_monthly!$D:$D,MATCH(A92,ENSO_monthly!$A:$A,0))</f>
        <v>NDJ</v>
      </c>
      <c r="N92" s="2" t="str">
        <f>INDEX(ENSO_monthly!$L:$L,MATCH(A92,ENSO_monthly!$A:$A,0))</f>
        <v>—</v>
      </c>
      <c r="O92" s="8" t="str">
        <f>INDEX(ENSO_seasons!$U:$U,MATCH(E92,ENSO_seasons!$A:$A,0))</f>
        <v>Neutral</v>
      </c>
      <c r="P92" s="4">
        <f>SUMIFS(Daily!$D$3:$D$7756,Daily!$B$3:$B$7756,$A92)</f>
        <v>33.902</v>
      </c>
      <c r="Q92" s="3">
        <f>AVERAGEIFS(Daily!$E$3:$E$7756,Daily!$B$3:$B$7756,$A92)</f>
        <v>19.63516129032258</v>
      </c>
      <c r="R92" s="3">
        <f>AVERAGEIFS(Daily!$F$3:$F$7756,Daily!$B$3:$B$7756,$A92)</f>
        <v>25.930645161290315</v>
      </c>
      <c r="S92" s="3">
        <f>AVERAGEIFS(Daily!$G$3:$G$7756,Daily!$B$3:$B$7756,$A92)</f>
        <v>15.088064516129032</v>
      </c>
      <c r="T92" s="4">
        <f>SUMIFS(Daily!$H$3:$H$7756,Daily!$B$3:$B$7756,$A92)</f>
        <v>43.65</v>
      </c>
      <c r="U92" s="4">
        <f>SUMIFS(Daily!$I$3:$I$7756,Daily!$B$3:$B$7756,$A92)</f>
        <v>30.28</v>
      </c>
      <c r="V92" s="3">
        <f>AVERAGEIFS(Daily!$J$3:$J$7756,Daily!$B$3:$B$7756,$A92)</f>
        <v>19.55290322580645</v>
      </c>
      <c r="W92" s="3">
        <f>AVERAGEIFS(Daily!$K$3:$K$7756,Daily!$B$3:$B$7756,$A92)</f>
        <v>25.179032258064517</v>
      </c>
      <c r="X92" s="3">
        <f>AVERAGEIFS(Daily!$L$3:$L$7756,Daily!$B$3:$B$7756,$A92)</f>
        <v>15.413225806451614</v>
      </c>
      <c r="Y92" s="4">
        <f>SUMIFS(Daily!$M$3:$M$7756,Daily!$B$3:$B$7756,$A92)</f>
        <v>33.04</v>
      </c>
      <c r="Z92" s="4">
        <f>SUMIFS(Daily!$N$3:$N$7756,Daily!$B$3:$B$7756,$A92)</f>
        <v>44.233</v>
      </c>
      <c r="AA92" s="3">
        <f>AVERAGEIFS(Daily!$O$3:$O$7756,Daily!$B$3:$B$7756,$A92)</f>
        <v>19.55516129032258</v>
      </c>
      <c r="AB92" s="3">
        <f>AVERAGEIFS(Daily!$P$3:$P$7756,Daily!$B$3:$B$7756,$A92)</f>
        <v>24.309354838709677</v>
      </c>
      <c r="AC92" s="3">
        <f>AVERAGEIFS(Daily!$Q$3:$Q$7756,Daily!$B$3:$B$7756,$A92)</f>
        <v>16.25709677419355</v>
      </c>
      <c r="AD92" s="4">
        <f>SUMIFS(Daily!$R$3:$R$7756,Daily!$B$3:$B$7756,$A92)</f>
        <v>51.97</v>
      </c>
      <c r="AE92" s="4">
        <f>AVERAGE(P92,U92,Z92)</f>
        <v>36.13833333333333</v>
      </c>
      <c r="AF92" s="3">
        <f>AVERAGE(Q92,V92,AA92)</f>
        <v>19.581075268817205</v>
      </c>
      <c r="AG92" s="3">
        <f>AVERAGE(R92,W92,AB92)</f>
        <v>25.139677419354836</v>
      </c>
      <c r="AH92" s="3">
        <f>AVERAGE(S92,X92,AC92)</f>
        <v>15.586129032258064</v>
      </c>
      <c r="AI92" s="4">
        <f>AVERAGE(T92,Y92,AD92)</f>
        <v>42.88666666666666</v>
      </c>
    </row>
    <row r="93">
      <c r="A93" s="2" t="inlineStr">
        <is>
          <t xml:space="preserve">2013-01</t>
        </is>
      </c>
      <c r="B93" s="2">
        <v>2013</v>
      </c>
      <c r="C93" s="2">
        <v>1</v>
      </c>
      <c r="D93" s="2" t="inlineStr">
        <is>
          <t xml:space="preserve">Jan</t>
        </is>
      </c>
      <c r="E93" s="2" t="inlineStr">
        <is>
          <t xml:space="preserve">2012/13</t>
        </is>
      </c>
      <c r="F93" s="2">
        <v>7</v>
      </c>
      <c r="G93" s="9">
        <v>41275</v>
      </c>
      <c r="H93" s="9">
        <v>41305</v>
      </c>
      <c r="I93" s="2">
        <f>H93-G93+1</f>
        <v>31</v>
      </c>
      <c r="J93" s="2">
        <f>COUNTIF(Daily!$B$3:$B$7756,A93)</f>
        <v>31</v>
      </c>
      <c r="K93" s="2" t="str">
        <f>IF(J93=I93,"complete","partial ("&amp;J93&amp;" days)")</f>
        <v>complete</v>
      </c>
      <c r="L93" s="3">
        <f>INDEX(ENSO_monthly!$F:$F,MATCH(A93,ENSO_monthly!$A:$A,0))</f>
        <v>-0.24</v>
      </c>
      <c r="M93" s="2" t="str">
        <f>INDEX(ENSO_monthly!$D:$D,MATCH(A93,ENSO_monthly!$A:$A,0))</f>
        <v>DJF</v>
      </c>
      <c r="N93" s="2" t="str">
        <f>INDEX(ENSO_monthly!$L:$L,MATCH(A93,ENSO_monthly!$A:$A,0))</f>
        <v>—</v>
      </c>
      <c r="O93" s="8" t="str">
        <f>INDEX(ENSO_seasons!$U:$U,MATCH(E93,ENSO_seasons!$A:$A,0))</f>
        <v>Neutral</v>
      </c>
      <c r="P93" s="4">
        <f>SUMIFS(Daily!$D$3:$D$7756,Daily!$B$3:$B$7756,$A93)</f>
        <v>7.226</v>
      </c>
      <c r="Q93" s="3">
        <f>AVERAGEIFS(Daily!$E$3:$E$7756,Daily!$B$3:$B$7756,$A93)</f>
        <v>20.003870967741932</v>
      </c>
      <c r="R93" s="3">
        <f>AVERAGEIFS(Daily!$F$3:$F$7756,Daily!$B$3:$B$7756,$A93)</f>
        <v>26.894516129032258</v>
      </c>
      <c r="S93" s="3">
        <f>AVERAGEIFS(Daily!$G$3:$G$7756,Daily!$B$3:$B$7756,$A93)</f>
        <v>15.195806451612906</v>
      </c>
      <c r="T93" s="4">
        <f>SUMIFS(Daily!$H$3:$H$7756,Daily!$B$3:$B$7756,$A93)</f>
        <v>33.09</v>
      </c>
      <c r="U93" s="4">
        <f>SUMIFS(Daily!$I$3:$I$7756,Daily!$B$3:$B$7756,$A93)</f>
        <v>24.518</v>
      </c>
      <c r="V93" s="3">
        <f>AVERAGEIFS(Daily!$J$3:$J$7756,Daily!$B$3:$B$7756,$A93)</f>
        <v>20.20387096774194</v>
      </c>
      <c r="W93" s="3">
        <f>AVERAGEIFS(Daily!$K$3:$K$7756,Daily!$B$3:$B$7756,$A93)</f>
        <v>26.137741935483874</v>
      </c>
      <c r="X93" s="3">
        <f>AVERAGEIFS(Daily!$L$3:$L$7756,Daily!$B$3:$B$7756,$A93)</f>
        <v>16.03741935483871</v>
      </c>
      <c r="Y93" s="4">
        <f>SUMIFS(Daily!$M$3:$M$7756,Daily!$B$3:$B$7756,$A93)</f>
        <v>30.44</v>
      </c>
      <c r="Z93" s="4">
        <f>SUMIFS(Daily!$N$3:$N$7756,Daily!$B$3:$B$7756,$A93)</f>
        <v>39.416</v>
      </c>
      <c r="AA93" s="3">
        <f>AVERAGEIFS(Daily!$O$3:$O$7756,Daily!$B$3:$B$7756,$A93)</f>
        <v>19.49645161290323</v>
      </c>
      <c r="AB93" s="3">
        <f>AVERAGEIFS(Daily!$P$3:$P$7756,Daily!$B$3:$B$7756,$A93)</f>
        <v>24.093225806451613</v>
      </c>
      <c r="AC93" s="3">
        <f>AVERAGEIFS(Daily!$Q$3:$Q$7756,Daily!$B$3:$B$7756,$A93)</f>
        <v>16.384516129032257</v>
      </c>
      <c r="AD93" s="4">
        <f>SUMIFS(Daily!$R$3:$R$7756,Daily!$B$3:$B$7756,$A93)</f>
        <v>55.71</v>
      </c>
      <c r="AE93" s="4">
        <f>AVERAGE(P93,U93,Z93)</f>
        <v>23.72</v>
      </c>
      <c r="AF93" s="3">
        <f>AVERAGE(Q93,V93,AA93)</f>
        <v>19.901397849462366</v>
      </c>
      <c r="AG93" s="3">
        <f>AVERAGE(R93,W93,AB93)</f>
        <v>25.708494623655913</v>
      </c>
      <c r="AH93" s="3">
        <f>AVERAGE(S93,X93,AC93)</f>
        <v>15.872580645161293</v>
      </c>
      <c r="AI93" s="4">
        <f>AVERAGE(T93,Y93,AD93)</f>
        <v>39.74666666666667</v>
      </c>
    </row>
    <row r="94">
      <c r="A94" s="2" t="inlineStr">
        <is>
          <t xml:space="preserve">2013-02</t>
        </is>
      </c>
      <c r="B94" s="2">
        <v>2013</v>
      </c>
      <c r="C94" s="2">
        <v>2</v>
      </c>
      <c r="D94" s="2" t="inlineStr">
        <is>
          <t xml:space="preserve">Feb</t>
        </is>
      </c>
      <c r="E94" s="2" t="inlineStr">
        <is>
          <t xml:space="preserve">2012/13</t>
        </is>
      </c>
      <c r="F94" s="2">
        <v>8</v>
      </c>
      <c r="G94" s="9">
        <v>41306</v>
      </c>
      <c r="H94" s="9">
        <v>41333</v>
      </c>
      <c r="I94" s="2">
        <f>H94-G94+1</f>
        <v>28</v>
      </c>
      <c r="J94" s="2">
        <f>COUNTIF(Daily!$B$3:$B$7756,A94)</f>
        <v>28</v>
      </c>
      <c r="K94" s="2" t="str">
        <f>IF(J94=I94,"complete","partial ("&amp;J94&amp;" days)")</f>
        <v>complete</v>
      </c>
      <c r="L94" s="3">
        <f>INDEX(ENSO_monthly!$F:$F,MATCH(A94,ENSO_monthly!$A:$A,0))</f>
        <v>-0.28</v>
      </c>
      <c r="M94" s="2" t="str">
        <f>INDEX(ENSO_monthly!$D:$D,MATCH(A94,ENSO_monthly!$A:$A,0))</f>
        <v>JFM</v>
      </c>
      <c r="N94" s="2" t="str">
        <f>INDEX(ENSO_monthly!$L:$L,MATCH(A94,ENSO_monthly!$A:$A,0))</f>
        <v>—</v>
      </c>
      <c r="O94" s="8" t="str">
        <f>INDEX(ENSO_seasons!$U:$U,MATCH(E94,ENSO_seasons!$A:$A,0))</f>
        <v>Neutral</v>
      </c>
      <c r="P94" s="4">
        <f>SUMIFS(Daily!$D$3:$D$7756,Daily!$B$3:$B$7756,$A94)</f>
        <v>3.569</v>
      </c>
      <c r="Q94" s="3">
        <f>AVERAGEIFS(Daily!$E$3:$E$7756,Daily!$B$3:$B$7756,$A94)</f>
        <v>21.887142857142855</v>
      </c>
      <c r="R94" s="3">
        <f>AVERAGEIFS(Daily!$F$3:$F$7756,Daily!$B$3:$B$7756,$A94)</f>
        <v>30.087857142857136</v>
      </c>
      <c r="S94" s="3">
        <f>AVERAGEIFS(Daily!$G$3:$G$7756,Daily!$B$3:$B$7756,$A94)</f>
        <v>15.613214285714287</v>
      </c>
      <c r="T94" s="4">
        <f>SUMIFS(Daily!$H$3:$H$7756,Daily!$B$3:$B$7756,$A94)</f>
        <v>13.13</v>
      </c>
      <c r="U94" s="4">
        <f>SUMIFS(Daily!$I$3:$I$7756,Daily!$B$3:$B$7756,$A94)</f>
        <v>10.092</v>
      </c>
      <c r="V94" s="3">
        <f>AVERAGEIFS(Daily!$J$3:$J$7756,Daily!$B$3:$B$7756,$A94)</f>
        <v>22.28035714285715</v>
      </c>
      <c r="W94" s="3">
        <f>AVERAGEIFS(Daily!$K$3:$K$7756,Daily!$B$3:$B$7756,$A94)</f>
        <v>29.629285714285718</v>
      </c>
      <c r="X94" s="3">
        <f>AVERAGEIFS(Daily!$L$3:$L$7756,Daily!$B$3:$B$7756,$A94)</f>
        <v>16.734642857142852</v>
      </c>
      <c r="Y94" s="4">
        <f>SUMIFS(Daily!$M$3:$M$7756,Daily!$B$3:$B$7756,$A94)</f>
        <v>16.74</v>
      </c>
      <c r="Z94" s="4">
        <f>SUMIFS(Daily!$N$3:$N$7756,Daily!$B$3:$B$7756,$A94)</f>
        <v>17.454</v>
      </c>
      <c r="AA94" s="3">
        <f>AVERAGEIFS(Daily!$O$3:$O$7756,Daily!$B$3:$B$7756,$A94)</f>
        <v>21.192142857142866</v>
      </c>
      <c r="AB94" s="3">
        <f>AVERAGEIFS(Daily!$P$3:$P$7756,Daily!$B$3:$B$7756,$A94)</f>
        <v>27.24857142857142</v>
      </c>
      <c r="AC94" s="3">
        <f>AVERAGEIFS(Daily!$Q$3:$Q$7756,Daily!$B$3:$B$7756,$A94)</f>
        <v>16.717499999999998</v>
      </c>
      <c r="AD94" s="4">
        <f>SUMIFS(Daily!$R$3:$R$7756,Daily!$B$3:$B$7756,$A94)</f>
        <v>39.11</v>
      </c>
      <c r="AE94" s="4">
        <f>AVERAGE(P94,U94,Z94)</f>
        <v>10.371666666666668</v>
      </c>
      <c r="AF94" s="3">
        <f>AVERAGE(Q94,V94,AA94)</f>
        <v>21.786547619047624</v>
      </c>
      <c r="AG94" s="3">
        <f>AVERAGE(R94,W94,AB94)</f>
        <v>28.988571428571422</v>
      </c>
      <c r="AH94" s="3">
        <f>AVERAGE(S94,X94,AC94)</f>
        <v>16.355119047619045</v>
      </c>
      <c r="AI94" s="4">
        <f>AVERAGE(T94,Y94,AD94)</f>
        <v>22.99333333333333</v>
      </c>
    </row>
    <row r="95">
      <c r="A95" s="2" t="inlineStr">
        <is>
          <t xml:space="preserve">2013-03</t>
        </is>
      </c>
      <c r="B95" s="2">
        <v>2013</v>
      </c>
      <c r="C95" s="2">
        <v>3</v>
      </c>
      <c r="D95" s="2" t="inlineStr">
        <is>
          <t xml:space="preserve">Mar</t>
        </is>
      </c>
      <c r="E95" s="2" t="inlineStr">
        <is>
          <t xml:space="preserve">2012/13</t>
        </is>
      </c>
      <c r="F95" s="2">
        <v>9</v>
      </c>
      <c r="G95" s="9">
        <v>41334</v>
      </c>
      <c r="H95" s="9">
        <v>41364</v>
      </c>
      <c r="I95" s="2">
        <f>H95-G95+1</f>
        <v>31</v>
      </c>
      <c r="J95" s="2">
        <f>COUNTIF(Daily!$B$3:$B$7756,A95)</f>
        <v>31</v>
      </c>
      <c r="K95" s="2" t="str">
        <f>IF(J95=I95,"complete","partial ("&amp;J95&amp;" days)")</f>
        <v>complete</v>
      </c>
      <c r="L95" s="3">
        <f>INDEX(ENSO_monthly!$F:$F,MATCH(A95,ENSO_monthly!$A:$A,0))</f>
        <v>-0.23</v>
      </c>
      <c r="M95" s="2" t="str">
        <f>INDEX(ENSO_monthly!$D:$D,MATCH(A95,ENSO_monthly!$A:$A,0))</f>
        <v>FMA</v>
      </c>
      <c r="N95" s="2" t="str">
        <f>INDEX(ENSO_monthly!$L:$L,MATCH(A95,ENSO_monthly!$A:$A,0))</f>
        <v>—</v>
      </c>
      <c r="O95" s="8" t="str">
        <f>INDEX(ENSO_seasons!$U:$U,MATCH(E95,ENSO_seasons!$A:$A,0))</f>
        <v>Neutral</v>
      </c>
      <c r="P95" s="4">
        <f>SUMIFS(Daily!$D$3:$D$7756,Daily!$B$3:$B$7756,$A95)</f>
        <v>23.84</v>
      </c>
      <c r="Q95" s="3">
        <f>AVERAGEIFS(Daily!$E$3:$E$7756,Daily!$B$3:$B$7756,$A95)</f>
        <v>21.816774193548376</v>
      </c>
      <c r="R95" s="3">
        <f>AVERAGEIFS(Daily!$F$3:$F$7756,Daily!$B$3:$B$7756,$A95)</f>
        <v>29.69774193548387</v>
      </c>
      <c r="S95" s="3">
        <f>AVERAGEIFS(Daily!$G$3:$G$7756,Daily!$B$3:$B$7756,$A95)</f>
        <v>15.721612903225806</v>
      </c>
      <c r="T95" s="4">
        <f>SUMIFS(Daily!$H$3:$H$7756,Daily!$B$3:$B$7756,$A95)</f>
        <v>61.03</v>
      </c>
      <c r="U95" s="4">
        <f>SUMIFS(Daily!$I$3:$I$7756,Daily!$B$3:$B$7756,$A95)</f>
        <v>17.567</v>
      </c>
      <c r="V95" s="3">
        <f>AVERAGEIFS(Daily!$J$3:$J$7756,Daily!$B$3:$B$7756,$A95)</f>
        <v>21.645806451612906</v>
      </c>
      <c r="W95" s="3">
        <f>AVERAGEIFS(Daily!$K$3:$K$7756,Daily!$B$3:$B$7756,$A95)</f>
        <v>29.070645161290322</v>
      </c>
      <c r="X95" s="3">
        <f>AVERAGEIFS(Daily!$L$3:$L$7756,Daily!$B$3:$B$7756,$A95)</f>
        <v>15.970322580645158</v>
      </c>
      <c r="Y95" s="4">
        <f>SUMIFS(Daily!$M$3:$M$7756,Daily!$B$3:$B$7756,$A95)</f>
        <v>30.4</v>
      </c>
      <c r="Z95" s="4">
        <f>SUMIFS(Daily!$N$3:$N$7756,Daily!$B$3:$B$7756,$A95)</f>
        <v>43.138</v>
      </c>
      <c r="AA95" s="3">
        <f>AVERAGEIFS(Daily!$O$3:$O$7756,Daily!$B$3:$B$7756,$A95)</f>
        <v>21.17322580645161</v>
      </c>
      <c r="AB95" s="3">
        <f>AVERAGEIFS(Daily!$P$3:$P$7756,Daily!$B$3:$B$7756,$A95)</f>
        <v>27.80451612903226</v>
      </c>
      <c r="AC95" s="3">
        <f>AVERAGEIFS(Daily!$Q$3:$Q$7756,Daily!$B$3:$B$7756,$A95)</f>
        <v>16.100967741935484</v>
      </c>
      <c r="AD95" s="4">
        <f>SUMIFS(Daily!$R$3:$R$7756,Daily!$B$3:$B$7756,$A95)</f>
        <v>48.12</v>
      </c>
      <c r="AE95" s="4">
        <f>AVERAGE(P95,U95,Z95)</f>
        <v>28.18166666666666</v>
      </c>
      <c r="AF95" s="3">
        <f>AVERAGE(Q95,V95,AA95)</f>
        <v>21.5452688172043</v>
      </c>
      <c r="AG95" s="3">
        <f>AVERAGE(R95,W95,AB95)</f>
        <v>28.857634408602152</v>
      </c>
      <c r="AH95" s="3">
        <f>AVERAGE(S95,X95,AC95)</f>
        <v>15.930967741935483</v>
      </c>
      <c r="AI95" s="4">
        <f>AVERAGE(T95,Y95,AD95)</f>
        <v>46.51666666666667</v>
      </c>
    </row>
    <row r="96">
      <c r="A96" s="2" t="inlineStr">
        <is>
          <t xml:space="preserve">2013-04</t>
        </is>
      </c>
      <c r="B96" s="2">
        <v>2013</v>
      </c>
      <c r="C96" s="2">
        <v>4</v>
      </c>
      <c r="D96" s="2" t="inlineStr">
        <is>
          <t xml:space="preserve">Apr</t>
        </is>
      </c>
      <c r="E96" s="2" t="inlineStr">
        <is>
          <t xml:space="preserve">2012/13</t>
        </is>
      </c>
      <c r="F96" s="2">
        <v>10</v>
      </c>
      <c r="G96" s="9">
        <v>41365</v>
      </c>
      <c r="H96" s="9">
        <v>41394</v>
      </c>
      <c r="I96" s="2">
        <f>H96-G96+1</f>
        <v>30</v>
      </c>
      <c r="J96" s="2">
        <f>COUNTIF(Daily!$B$3:$B$7756,A96)</f>
        <v>30</v>
      </c>
      <c r="K96" s="2" t="str">
        <f>IF(J96=I96,"complete","partial ("&amp;J96&amp;" days)")</f>
        <v>complete</v>
      </c>
      <c r="L96" s="3">
        <f>INDEX(ENSO_monthly!$F:$F,MATCH(A96,ENSO_monthly!$A:$A,0))</f>
        <v>-0.2</v>
      </c>
      <c r="M96" s="2" t="str">
        <f>INDEX(ENSO_monthly!$D:$D,MATCH(A96,ENSO_monthly!$A:$A,0))</f>
        <v>MAM</v>
      </c>
      <c r="N96" s="2" t="str">
        <f>INDEX(ENSO_monthly!$L:$L,MATCH(A96,ENSO_monthly!$A:$A,0))</f>
        <v>—</v>
      </c>
      <c r="O96" s="8" t="str">
        <f>INDEX(ENSO_seasons!$U:$U,MATCH(E96,ENSO_seasons!$A:$A,0))</f>
        <v>Neutral</v>
      </c>
      <c r="P96" s="4">
        <f>SUMIFS(Daily!$D$3:$D$7756,Daily!$B$3:$B$7756,$A96)</f>
        <v>23.036</v>
      </c>
      <c r="Q96" s="3">
        <f>AVERAGEIFS(Daily!$E$3:$E$7756,Daily!$B$3:$B$7756,$A96)</f>
        <v>25.029666666666667</v>
      </c>
      <c r="R96" s="3">
        <f>AVERAGEIFS(Daily!$F$3:$F$7756,Daily!$B$3:$B$7756,$A96)</f>
        <v>32.467</v>
      </c>
      <c r="S96" s="3">
        <f>AVERAGEIFS(Daily!$G$3:$G$7756,Daily!$B$3:$B$7756,$A96)</f>
        <v>18.968666666666667</v>
      </c>
      <c r="T96" s="4">
        <f>SUMIFS(Daily!$H$3:$H$7756,Daily!$B$3:$B$7756,$A96)</f>
        <v>19.43</v>
      </c>
      <c r="U96" s="4">
        <f>SUMIFS(Daily!$I$3:$I$7756,Daily!$B$3:$B$7756,$A96)</f>
        <v>30.929</v>
      </c>
      <c r="V96" s="3">
        <f>AVERAGEIFS(Daily!$J$3:$J$7756,Daily!$B$3:$B$7756,$A96)</f>
        <v>25.82433333333334</v>
      </c>
      <c r="W96" s="3">
        <f>AVERAGEIFS(Daily!$K$3:$K$7756,Daily!$B$3:$B$7756,$A96)</f>
        <v>33.35066666666666</v>
      </c>
      <c r="X96" s="3">
        <f>AVERAGEIFS(Daily!$L$3:$L$7756,Daily!$B$3:$B$7756,$A96)</f>
        <v>19.78233333333333</v>
      </c>
      <c r="Y96" s="4">
        <f>SUMIFS(Daily!$M$3:$M$7756,Daily!$B$3:$B$7756,$A96)</f>
        <v>28.48</v>
      </c>
      <c r="Z96" s="4">
        <f>SUMIFS(Daily!$N$3:$N$7756,Daily!$B$3:$B$7756,$A96)</f>
        <v>13.709</v>
      </c>
      <c r="AA96" s="3">
        <f>AVERAGEIFS(Daily!$O$3:$O$7756,Daily!$B$3:$B$7756,$A96)</f>
        <v>25.398999999999997</v>
      </c>
      <c r="AB96" s="3">
        <f>AVERAGEIFS(Daily!$P$3:$P$7756,Daily!$B$3:$B$7756,$A96)</f>
        <v>32.824000000000005</v>
      </c>
      <c r="AC96" s="3">
        <f>AVERAGEIFS(Daily!$Q$3:$Q$7756,Daily!$B$3:$B$7756,$A96)</f>
        <v>19.714</v>
      </c>
      <c r="AD96" s="4">
        <f>SUMIFS(Daily!$R$3:$R$7756,Daily!$B$3:$B$7756,$A96)</f>
        <v>40.44</v>
      </c>
      <c r="AE96" s="4">
        <f>AVERAGE(P96,U96,Z96)</f>
        <v>22.558000000000003</v>
      </c>
      <c r="AF96" s="3">
        <f>AVERAGE(Q96,V96,AA96)</f>
        <v>25.417666666666666</v>
      </c>
      <c r="AG96" s="3">
        <f>AVERAGE(R96,W96,AB96)</f>
        <v>32.88055555555556</v>
      </c>
      <c r="AH96" s="3">
        <f>AVERAGE(S96,X96,AC96)</f>
        <v>19.488333333333333</v>
      </c>
      <c r="AI96" s="4">
        <f>AVERAGE(T96,Y96,AD96)</f>
        <v>29.45</v>
      </c>
    </row>
    <row r="97">
      <c r="A97" s="2" t="inlineStr">
        <is>
          <t xml:space="preserve">2013-05</t>
        </is>
      </c>
      <c r="B97" s="2">
        <v>2013</v>
      </c>
      <c r="C97" s="2">
        <v>5</v>
      </c>
      <c r="D97" s="2" t="inlineStr">
        <is>
          <t xml:space="preserve">May</t>
        </is>
      </c>
      <c r="E97" s="2" t="inlineStr">
        <is>
          <t xml:space="preserve">2012/13</t>
        </is>
      </c>
      <c r="F97" s="2">
        <v>11</v>
      </c>
      <c r="G97" s="9">
        <v>41395</v>
      </c>
      <c r="H97" s="9">
        <v>41425</v>
      </c>
      <c r="I97" s="2">
        <f>H97-G97+1</f>
        <v>31</v>
      </c>
      <c r="J97" s="2">
        <f>COUNTIF(Daily!$B$3:$B$7756,A97)</f>
        <v>31</v>
      </c>
      <c r="K97" s="2" t="str">
        <f>IF(J97=I97,"complete","partial ("&amp;J97&amp;" days)")</f>
        <v>complete</v>
      </c>
      <c r="L97" s="3">
        <f>INDEX(ENSO_monthly!$F:$F,MATCH(A97,ENSO_monthly!$A:$A,0))</f>
        <v>-0.3</v>
      </c>
      <c r="M97" s="2" t="str">
        <f>INDEX(ENSO_monthly!$D:$D,MATCH(A97,ENSO_monthly!$A:$A,0))</f>
        <v>AMJ</v>
      </c>
      <c r="N97" s="2" t="str">
        <f>INDEX(ENSO_monthly!$L:$L,MATCH(A97,ENSO_monthly!$A:$A,0))</f>
        <v>—</v>
      </c>
      <c r="O97" s="8" t="str">
        <f>INDEX(ENSO_seasons!$U:$U,MATCH(E97,ENSO_seasons!$A:$A,0))</f>
        <v>Neutral</v>
      </c>
      <c r="P97" s="4">
        <f>SUMIFS(Daily!$D$3:$D$7756,Daily!$B$3:$B$7756,$A97)</f>
        <v>215.504</v>
      </c>
      <c r="Q97" s="3">
        <f>AVERAGEIFS(Daily!$E$3:$E$7756,Daily!$B$3:$B$7756,$A97)</f>
        <v>23.851612903225803</v>
      </c>
      <c r="R97" s="3">
        <f>AVERAGEIFS(Daily!$F$3:$F$7756,Daily!$B$3:$B$7756,$A97)</f>
        <v>30.148709677419358</v>
      </c>
      <c r="S97" s="3">
        <f>AVERAGEIFS(Daily!$G$3:$G$7756,Daily!$B$3:$B$7756,$A97)</f>
        <v>18.838387096774195</v>
      </c>
      <c r="T97" s="4">
        <f>SUMIFS(Daily!$H$3:$H$7756,Daily!$B$3:$B$7756,$A97)</f>
        <v>201.71</v>
      </c>
      <c r="U97" s="4">
        <f>SUMIFS(Daily!$I$3:$I$7756,Daily!$B$3:$B$7756,$A97)</f>
        <v>144.241</v>
      </c>
      <c r="V97" s="3">
        <f>AVERAGEIFS(Daily!$J$3:$J$7756,Daily!$B$3:$B$7756,$A97)</f>
        <v>24.447741935483872</v>
      </c>
      <c r="W97" s="3">
        <f>AVERAGEIFS(Daily!$K$3:$K$7756,Daily!$B$3:$B$7756,$A97)</f>
        <v>30.563225806451605</v>
      </c>
      <c r="X97" s="3">
        <f>AVERAGEIFS(Daily!$L$3:$L$7756,Daily!$B$3:$B$7756,$A97)</f>
        <v>19.69483870967742</v>
      </c>
      <c r="Y97" s="4">
        <f>SUMIFS(Daily!$M$3:$M$7756,Daily!$B$3:$B$7756,$A97)</f>
        <v>138.29</v>
      </c>
      <c r="Z97" s="4">
        <f>SUMIFS(Daily!$N$3:$N$7756,Daily!$B$3:$B$7756,$A97)</f>
        <v>142.103</v>
      </c>
      <c r="AA97" s="3">
        <f>AVERAGEIFS(Daily!$O$3:$O$7756,Daily!$B$3:$B$7756,$A97)</f>
        <v>24.28709677419354</v>
      </c>
      <c r="AB97" s="3">
        <f>AVERAGEIFS(Daily!$P$3:$P$7756,Daily!$B$3:$B$7756,$A97)</f>
        <v>30.257096774193542</v>
      </c>
      <c r="AC97" s="3">
        <f>AVERAGEIFS(Daily!$Q$3:$Q$7756,Daily!$B$3:$B$7756,$A97)</f>
        <v>19.934193548387093</v>
      </c>
      <c r="AD97" s="4">
        <f>SUMIFS(Daily!$R$3:$R$7756,Daily!$B$3:$B$7756,$A97)</f>
        <v>151.65</v>
      </c>
      <c r="AE97" s="4">
        <f>AVERAGE(P97,U97,Z97)</f>
        <v>167.28266666666667</v>
      </c>
      <c r="AF97" s="3">
        <f>AVERAGE(Q97,V97,AA97)</f>
        <v>24.19548387096774</v>
      </c>
      <c r="AG97" s="3">
        <f>AVERAGE(R97,W97,AB97)</f>
        <v>30.323010752688166</v>
      </c>
      <c r="AH97" s="3">
        <f>AVERAGE(S97,X97,AC97)</f>
        <v>19.489139784946236</v>
      </c>
      <c r="AI97" s="4">
        <f>AVERAGE(T97,Y97,AD97)</f>
        <v>163.88333333333333</v>
      </c>
    </row>
    <row r="98">
      <c r="A98" s="2" t="inlineStr">
        <is>
          <t xml:space="preserve">2013-06</t>
        </is>
      </c>
      <c r="B98" s="2">
        <v>2013</v>
      </c>
      <c r="C98" s="2">
        <v>6</v>
      </c>
      <c r="D98" s="2" t="inlineStr">
        <is>
          <t xml:space="preserve">Jun</t>
        </is>
      </c>
      <c r="E98" s="2" t="inlineStr">
        <is>
          <t xml:space="preserve">2012/13</t>
        </is>
      </c>
      <c r="F98" s="2">
        <v>12</v>
      </c>
      <c r="G98" s="9">
        <v>41426</v>
      </c>
      <c r="H98" s="9">
        <v>41455</v>
      </c>
      <c r="I98" s="2">
        <f>H98-G98+1</f>
        <v>30</v>
      </c>
      <c r="J98" s="2">
        <f>COUNTIF(Daily!$B$3:$B$7756,A98)</f>
        <v>30</v>
      </c>
      <c r="K98" s="2" t="str">
        <f>IF(J98=I98,"complete","partial ("&amp;J98&amp;" days)")</f>
        <v>complete</v>
      </c>
      <c r="L98" s="3">
        <f>INDEX(ENSO_monthly!$F:$F,MATCH(A98,ENSO_monthly!$A:$A,0))</f>
        <v>-0.38</v>
      </c>
      <c r="M98" s="2" t="str">
        <f>INDEX(ENSO_monthly!$D:$D,MATCH(A98,ENSO_monthly!$A:$A,0))</f>
        <v>MJJ</v>
      </c>
      <c r="N98" s="2" t="str">
        <f>INDEX(ENSO_monthly!$L:$L,MATCH(A98,ENSO_monthly!$A:$A,0))</f>
        <v>—</v>
      </c>
      <c r="O98" s="8" t="str">
        <f>INDEX(ENSO_seasons!$U:$U,MATCH(E98,ENSO_seasons!$A:$A,0))</f>
        <v>Neutral</v>
      </c>
      <c r="P98" s="4">
        <f>SUMIFS(Daily!$D$3:$D$7756,Daily!$B$3:$B$7756,$A98)</f>
        <v>128.901</v>
      </c>
      <c r="Q98" s="3">
        <f>AVERAGEIFS(Daily!$E$3:$E$7756,Daily!$B$3:$B$7756,$A98)</f>
        <v>22.17833333333333</v>
      </c>
      <c r="R98" s="3">
        <f>AVERAGEIFS(Daily!$F$3:$F$7756,Daily!$B$3:$B$7756,$A98)</f>
        <v>26.705666666666666</v>
      </c>
      <c r="S98" s="3">
        <f>AVERAGEIFS(Daily!$G$3:$G$7756,Daily!$B$3:$B$7756,$A98)</f>
        <v>18.53466666666667</v>
      </c>
      <c r="T98" s="4">
        <f>SUMIFS(Daily!$H$3:$H$7756,Daily!$B$3:$B$7756,$A98)</f>
        <v>140.13</v>
      </c>
      <c r="U98" s="4">
        <f>SUMIFS(Daily!$I$3:$I$7756,Daily!$B$3:$B$7756,$A98)</f>
        <v>184.244</v>
      </c>
      <c r="V98" s="3">
        <f>AVERAGEIFS(Daily!$J$3:$J$7756,Daily!$B$3:$B$7756,$A98)</f>
        <v>23.275666666666666</v>
      </c>
      <c r="W98" s="3">
        <f>AVERAGEIFS(Daily!$K$3:$K$7756,Daily!$B$3:$B$7756,$A98)</f>
        <v>27.731999999999996</v>
      </c>
      <c r="X98" s="3">
        <f>AVERAGEIFS(Daily!$L$3:$L$7756,Daily!$B$3:$B$7756,$A98)</f>
        <v>19.940999999999995</v>
      </c>
      <c r="Y98" s="4">
        <f>SUMIFS(Daily!$M$3:$M$7756,Daily!$B$3:$B$7756,$A98)</f>
        <v>164.49</v>
      </c>
      <c r="Z98" s="4">
        <f>SUMIFS(Daily!$N$3:$N$7756,Daily!$B$3:$B$7756,$A98)</f>
        <v>104.458</v>
      </c>
      <c r="AA98" s="3">
        <f>AVERAGEIFS(Daily!$O$3:$O$7756,Daily!$B$3:$B$7756,$A98)</f>
        <v>23.240666666666666</v>
      </c>
      <c r="AB98" s="3">
        <f>AVERAGEIFS(Daily!$P$3:$P$7756,Daily!$B$3:$B$7756,$A98)</f>
        <v>27.542333333333335</v>
      </c>
      <c r="AC98" s="3">
        <f>AVERAGEIFS(Daily!$Q$3:$Q$7756,Daily!$B$3:$B$7756,$A98)</f>
        <v>20.302</v>
      </c>
      <c r="AD98" s="4">
        <f>SUMIFS(Daily!$R$3:$R$7756,Daily!$B$3:$B$7756,$A98)</f>
        <v>157.93</v>
      </c>
      <c r="AE98" s="4">
        <f>AVERAGE(P98,U98,Z98)</f>
        <v>139.201</v>
      </c>
      <c r="AF98" s="3">
        <f>AVERAGE(Q98,V98,AA98)</f>
        <v>22.89822222222222</v>
      </c>
      <c r="AG98" s="3">
        <f>AVERAGE(R98,W98,AB98)</f>
        <v>27.326666666666664</v>
      </c>
      <c r="AH98" s="3">
        <f>AVERAGE(S98,X98,AC98)</f>
        <v>19.592555555555556</v>
      </c>
      <c r="AI98" s="4">
        <f>AVERAGE(T98,Y98,AD98)</f>
        <v>154.18333333333334</v>
      </c>
    </row>
    <row r="99">
      <c r="A99" s="2" t="inlineStr">
        <is>
          <t xml:space="preserve">2013-07</t>
        </is>
      </c>
      <c r="B99" s="2">
        <v>2013</v>
      </c>
      <c r="C99" s="2">
        <v>7</v>
      </c>
      <c r="D99" s="2" t="inlineStr">
        <is>
          <t xml:space="preserve">Jul</t>
        </is>
      </c>
      <c r="E99" s="2" t="inlineStr">
        <is>
          <t xml:space="preserve">2013/14</t>
        </is>
      </c>
      <c r="F99" s="2">
        <v>1</v>
      </c>
      <c r="G99" s="9">
        <v>41456</v>
      </c>
      <c r="H99" s="9">
        <v>41486</v>
      </c>
      <c r="I99" s="2">
        <f>H99-G99+1</f>
        <v>31</v>
      </c>
      <c r="J99" s="2">
        <f>COUNTIF(Daily!$B$3:$B$7756,A99)</f>
        <v>31</v>
      </c>
      <c r="K99" s="2" t="str">
        <f>IF(J99=I99,"complete","partial ("&amp;J99&amp;" days)")</f>
        <v>complete</v>
      </c>
      <c r="L99" s="3">
        <f>INDEX(ENSO_monthly!$F:$F,MATCH(A99,ENSO_monthly!$A:$A,0))</f>
        <v>-0.45</v>
      </c>
      <c r="M99" s="2" t="str">
        <f>INDEX(ENSO_monthly!$D:$D,MATCH(A99,ENSO_monthly!$A:$A,0))</f>
        <v>JJA</v>
      </c>
      <c r="N99" s="2" t="str">
        <f>INDEX(ENSO_monthly!$L:$L,MATCH(A99,ENSO_monthly!$A:$A,0))</f>
        <v>—</v>
      </c>
      <c r="O99" s="8" t="str">
        <f>INDEX(ENSO_seasons!$U:$U,MATCH(E99,ENSO_seasons!$A:$A,0))</f>
        <v>Neutral</v>
      </c>
      <c r="P99" s="4">
        <f>SUMIFS(Daily!$D$3:$D$7756,Daily!$B$3:$B$7756,$A99)</f>
        <v>81.626</v>
      </c>
      <c r="Q99" s="3">
        <f>AVERAGEIFS(Daily!$E$3:$E$7756,Daily!$B$3:$B$7756,$A99)</f>
        <v>22.00193548387097</v>
      </c>
      <c r="R99" s="3">
        <f>AVERAGEIFS(Daily!$F$3:$F$7756,Daily!$B$3:$B$7756,$A99)</f>
        <v>26.903870967741934</v>
      </c>
      <c r="S99" s="3">
        <f>AVERAGEIFS(Daily!$G$3:$G$7756,Daily!$B$3:$B$7756,$A99)</f>
        <v>18.108387096774194</v>
      </c>
      <c r="T99" s="4">
        <f>SUMIFS(Daily!$H$3:$H$7756,Daily!$B$3:$B$7756,$A99)</f>
        <v>90.84</v>
      </c>
      <c r="U99" s="4">
        <f>SUMIFS(Daily!$I$3:$I$7756,Daily!$B$3:$B$7756,$A99)</f>
        <v>181.49</v>
      </c>
      <c r="V99" s="3">
        <f>AVERAGEIFS(Daily!$J$3:$J$7756,Daily!$B$3:$B$7756,$A99)</f>
        <v>22.360322580645164</v>
      </c>
      <c r="W99" s="3">
        <f>AVERAGEIFS(Daily!$K$3:$K$7756,Daily!$B$3:$B$7756,$A99)</f>
        <v>26.44161290322581</v>
      </c>
      <c r="X99" s="3">
        <f>AVERAGEIFS(Daily!$L$3:$L$7756,Daily!$B$3:$B$7756,$A99)</f>
        <v>19.125806451612902</v>
      </c>
      <c r="Y99" s="4">
        <f>SUMIFS(Daily!$M$3:$M$7756,Daily!$B$3:$B$7756,$A99)</f>
        <v>181.53</v>
      </c>
      <c r="Z99" s="4">
        <f>SUMIFS(Daily!$N$3:$N$7756,Daily!$B$3:$B$7756,$A99)</f>
        <v>215.164</v>
      </c>
      <c r="AA99" s="3">
        <f>AVERAGEIFS(Daily!$O$3:$O$7756,Daily!$B$3:$B$7756,$A99)</f>
        <v>22.602580645161293</v>
      </c>
      <c r="AB99" s="3">
        <f>AVERAGEIFS(Daily!$P$3:$P$7756,Daily!$B$3:$B$7756,$A99)</f>
        <v>26.317419354838716</v>
      </c>
      <c r="AC99" s="3">
        <f>AVERAGEIFS(Daily!$Q$3:$Q$7756,Daily!$B$3:$B$7756,$A99)</f>
        <v>20.024516129032257</v>
      </c>
      <c r="AD99" s="4">
        <f>SUMIFS(Daily!$R$3:$R$7756,Daily!$B$3:$B$7756,$A99)</f>
        <v>194.35</v>
      </c>
      <c r="AE99" s="4">
        <f>AVERAGE(P99,U99,Z99)</f>
        <v>159.42666666666665</v>
      </c>
      <c r="AF99" s="3">
        <f>AVERAGE(Q99,V99,AA99)</f>
        <v>22.32161290322581</v>
      </c>
      <c r="AG99" s="3">
        <f>AVERAGE(R99,W99,AB99)</f>
        <v>26.55430107526882</v>
      </c>
      <c r="AH99" s="3">
        <f>AVERAGE(S99,X99,AC99)</f>
        <v>19.086236559139785</v>
      </c>
      <c r="AI99" s="4">
        <f>AVERAGE(T99,Y99,AD99)</f>
        <v>155.57333333333335</v>
      </c>
    </row>
    <row r="100">
      <c r="A100" s="2" t="inlineStr">
        <is>
          <t xml:space="preserve">2013-08</t>
        </is>
      </c>
      <c r="B100" s="2">
        <v>2013</v>
      </c>
      <c r="C100" s="2">
        <v>8</v>
      </c>
      <c r="D100" s="2" t="inlineStr">
        <is>
          <t xml:space="preserve">Aug</t>
        </is>
      </c>
      <c r="E100" s="2" t="inlineStr">
        <is>
          <t xml:space="preserve">2013/14</t>
        </is>
      </c>
      <c r="F100" s="2">
        <v>2</v>
      </c>
      <c r="G100" s="9">
        <v>41487</v>
      </c>
      <c r="H100" s="9">
        <v>41517</v>
      </c>
      <c r="I100" s="2">
        <f>H100-G100+1</f>
        <v>31</v>
      </c>
      <c r="J100" s="2">
        <f>COUNTIF(Daily!$B$3:$B$7756,A100)</f>
        <v>31</v>
      </c>
      <c r="K100" s="2" t="str">
        <f>IF(J100=I100,"complete","partial ("&amp;J100&amp;" days)")</f>
        <v>complete</v>
      </c>
      <c r="L100" s="3">
        <f>INDEX(ENSO_monthly!$F:$F,MATCH(A100,ENSO_monthly!$A:$A,0))</f>
        <v>-0.34</v>
      </c>
      <c r="M100" s="2" t="str">
        <f>INDEX(ENSO_monthly!$D:$D,MATCH(A100,ENSO_monthly!$A:$A,0))</f>
        <v>JAS</v>
      </c>
      <c r="N100" s="2" t="str">
        <f>INDEX(ENSO_monthly!$L:$L,MATCH(A100,ENSO_monthly!$A:$A,0))</f>
        <v>—</v>
      </c>
      <c r="O100" s="8" t="str">
        <f>INDEX(ENSO_seasons!$U:$U,MATCH(E100,ENSO_seasons!$A:$A,0))</f>
        <v>Neutral</v>
      </c>
      <c r="P100" s="4">
        <f>SUMIFS(Daily!$D$3:$D$7756,Daily!$B$3:$B$7756,$A100)</f>
        <v>173.755</v>
      </c>
      <c r="Q100" s="3">
        <f>AVERAGEIFS(Daily!$E$3:$E$7756,Daily!$B$3:$B$7756,$A100)</f>
        <v>22.588064516129034</v>
      </c>
      <c r="R100" s="3">
        <f>AVERAGEIFS(Daily!$F$3:$F$7756,Daily!$B$3:$B$7756,$A100)</f>
        <v>28.261290322580642</v>
      </c>
      <c r="S100" s="3">
        <f>AVERAGEIFS(Daily!$G$3:$G$7756,Daily!$B$3:$B$7756,$A100)</f>
        <v>18.268387096774198</v>
      </c>
      <c r="T100" s="4">
        <f>SUMIFS(Daily!$H$3:$H$7756,Daily!$B$3:$B$7756,$A100)</f>
        <v>179.37</v>
      </c>
      <c r="U100" s="4">
        <f>SUMIFS(Daily!$I$3:$I$7756,Daily!$B$3:$B$7756,$A100)</f>
        <v>197.388</v>
      </c>
      <c r="V100" s="3">
        <f>AVERAGEIFS(Daily!$J$3:$J$7756,Daily!$B$3:$B$7756,$A100)</f>
        <v>22.37193548387097</v>
      </c>
      <c r="W100" s="3">
        <f>AVERAGEIFS(Daily!$K$3:$K$7756,Daily!$B$3:$B$7756,$A100)</f>
        <v>26.373870967741933</v>
      </c>
      <c r="X100" s="3">
        <f>AVERAGEIFS(Daily!$L$3:$L$7756,Daily!$B$3:$B$7756,$A100)</f>
        <v>19.260322580645163</v>
      </c>
      <c r="Y100" s="4">
        <f>SUMIFS(Daily!$M$3:$M$7756,Daily!$B$3:$B$7756,$A100)</f>
        <v>191.07</v>
      </c>
      <c r="Z100" s="4">
        <f>SUMIFS(Daily!$N$3:$N$7756,Daily!$B$3:$B$7756,$A100)</f>
        <v>166.868</v>
      </c>
      <c r="AA100" s="3">
        <f>AVERAGEIFS(Daily!$O$3:$O$7756,Daily!$B$3:$B$7756,$A100)</f>
        <v>22.620645161290323</v>
      </c>
      <c r="AB100" s="3">
        <f>AVERAGEIFS(Daily!$P$3:$P$7756,Daily!$B$3:$B$7756,$A100)</f>
        <v>26.644838709677423</v>
      </c>
      <c r="AC100" s="3">
        <f>AVERAGEIFS(Daily!$Q$3:$Q$7756,Daily!$B$3:$B$7756,$A100)</f>
        <v>19.813225806451616</v>
      </c>
      <c r="AD100" s="4">
        <f>SUMIFS(Daily!$R$3:$R$7756,Daily!$B$3:$B$7756,$A100)</f>
        <v>190.28</v>
      </c>
      <c r="AE100" s="4">
        <f>AVERAGE(P100,U100,Z100)</f>
        <v>179.337</v>
      </c>
      <c r="AF100" s="3">
        <f>AVERAGE(Q100,V100,AA100)</f>
        <v>22.52688172043011</v>
      </c>
      <c r="AG100" s="3">
        <f>AVERAGE(R100,W100,AB100)</f>
        <v>27.093333333333334</v>
      </c>
      <c r="AH100" s="3">
        <f>AVERAGE(S100,X100,AC100)</f>
        <v>19.113978494623655</v>
      </c>
      <c r="AI100" s="4">
        <f>AVERAGE(T100,Y100,AD100)</f>
        <v>186.90666666666667</v>
      </c>
    </row>
    <row r="101">
      <c r="A101" s="2" t="inlineStr">
        <is>
          <t xml:space="preserve">2013-09</t>
        </is>
      </c>
      <c r="B101" s="2">
        <v>2013</v>
      </c>
      <c r="C101" s="2">
        <v>9</v>
      </c>
      <c r="D101" s="2" t="inlineStr">
        <is>
          <t xml:space="preserve">Sep</t>
        </is>
      </c>
      <c r="E101" s="2" t="inlineStr">
        <is>
          <t xml:space="preserve">2013/14</t>
        </is>
      </c>
      <c r="F101" s="2">
        <v>3</v>
      </c>
      <c r="G101" s="9">
        <v>41518</v>
      </c>
      <c r="H101" s="9">
        <v>41547</v>
      </c>
      <c r="I101" s="2">
        <f>H101-G101+1</f>
        <v>30</v>
      </c>
      <c r="J101" s="2">
        <f>COUNTIF(Daily!$B$3:$B$7756,A101)</f>
        <v>30</v>
      </c>
      <c r="K101" s="2" t="str">
        <f>IF(J101=I101,"complete","partial ("&amp;J101&amp;" days)")</f>
        <v>complete</v>
      </c>
      <c r="L101" s="3">
        <f>INDEX(ENSO_monthly!$F:$F,MATCH(A101,ENSO_monthly!$A:$A,0))</f>
        <v>-0.32</v>
      </c>
      <c r="M101" s="2" t="str">
        <f>INDEX(ENSO_monthly!$D:$D,MATCH(A101,ENSO_monthly!$A:$A,0))</f>
        <v>ASO</v>
      </c>
      <c r="N101" s="2" t="str">
        <f>INDEX(ENSO_monthly!$L:$L,MATCH(A101,ENSO_monthly!$A:$A,0))</f>
        <v>—</v>
      </c>
      <c r="O101" s="8" t="str">
        <f>INDEX(ENSO_seasons!$U:$U,MATCH(E101,ENSO_seasons!$A:$A,0))</f>
        <v>Neutral</v>
      </c>
      <c r="P101" s="4">
        <f>SUMIFS(Daily!$D$3:$D$7756,Daily!$B$3:$B$7756,$A101)</f>
        <v>311.456</v>
      </c>
      <c r="Q101" s="3">
        <f>AVERAGEIFS(Daily!$E$3:$E$7756,Daily!$B$3:$B$7756,$A101)</f>
        <v>21.831333333333337</v>
      </c>
      <c r="R101" s="3">
        <f>AVERAGEIFS(Daily!$F$3:$F$7756,Daily!$B$3:$B$7756,$A101)</f>
        <v>26.05466666666667</v>
      </c>
      <c r="S101" s="3">
        <f>AVERAGEIFS(Daily!$G$3:$G$7756,Daily!$B$3:$B$7756,$A101)</f>
        <v>18.535</v>
      </c>
      <c r="T101" s="4">
        <f>SUMIFS(Daily!$H$3:$H$7756,Daily!$B$3:$B$7756,$A101)</f>
        <v>290.6</v>
      </c>
      <c r="U101" s="4">
        <f>SUMIFS(Daily!$I$3:$I$7756,Daily!$B$3:$B$7756,$A101)</f>
        <v>106.174</v>
      </c>
      <c r="V101" s="3">
        <f>AVERAGEIFS(Daily!$J$3:$J$7756,Daily!$B$3:$B$7756,$A101)</f>
        <v>22.16833333333333</v>
      </c>
      <c r="W101" s="3">
        <f>AVERAGEIFS(Daily!$K$3:$K$7756,Daily!$B$3:$B$7756,$A101)</f>
        <v>26.145333333333333</v>
      </c>
      <c r="X101" s="3">
        <f>AVERAGEIFS(Daily!$L$3:$L$7756,Daily!$B$3:$B$7756,$A101)</f>
        <v>19.192</v>
      </c>
      <c r="Y101" s="4">
        <f>SUMIFS(Daily!$M$3:$M$7756,Daily!$B$3:$B$7756,$A101)</f>
        <v>164.13</v>
      </c>
      <c r="Z101" s="4">
        <f>SUMIFS(Daily!$N$3:$N$7756,Daily!$B$3:$B$7756,$A101)</f>
        <v>242.385</v>
      </c>
      <c r="AA101" s="3">
        <f>AVERAGEIFS(Daily!$O$3:$O$7756,Daily!$B$3:$B$7756,$A101)</f>
        <v>22.664000000000005</v>
      </c>
      <c r="AB101" s="3">
        <f>AVERAGEIFS(Daily!$P$3:$P$7756,Daily!$B$3:$B$7756,$A101)</f>
        <v>26.613</v>
      </c>
      <c r="AC101" s="3">
        <f>AVERAGEIFS(Daily!$Q$3:$Q$7756,Daily!$B$3:$B$7756,$A101)</f>
        <v>19.709333333333333</v>
      </c>
      <c r="AD101" s="4">
        <f>SUMIFS(Daily!$R$3:$R$7756,Daily!$B$3:$B$7756,$A101)</f>
        <v>211.7</v>
      </c>
      <c r="AE101" s="4">
        <f>AVERAGE(P101,U101,Z101)</f>
        <v>220.005</v>
      </c>
      <c r="AF101" s="3">
        <f>AVERAGE(Q101,V101,AA101)</f>
        <v>22.221222222222224</v>
      </c>
      <c r="AG101" s="3">
        <f>AVERAGE(R101,W101,AB101)</f>
        <v>26.271</v>
      </c>
      <c r="AH101" s="3">
        <f>AVERAGE(S101,X101,AC101)</f>
        <v>19.145444444444447</v>
      </c>
      <c r="AI101" s="4">
        <f>AVERAGE(T101,Y101,AD101)</f>
        <v>222.14333333333335</v>
      </c>
    </row>
    <row r="102">
      <c r="A102" s="2" t="inlineStr">
        <is>
          <t xml:space="preserve">2013-10</t>
        </is>
      </c>
      <c r="B102" s="2">
        <v>2013</v>
      </c>
      <c r="C102" s="2">
        <v>10</v>
      </c>
      <c r="D102" s="2" t="inlineStr">
        <is>
          <t xml:space="preserve">Oct</t>
        </is>
      </c>
      <c r="E102" s="2" t="inlineStr">
        <is>
          <t xml:space="preserve">2013/14</t>
        </is>
      </c>
      <c r="F102" s="2">
        <v>4</v>
      </c>
      <c r="G102" s="9">
        <v>41548</v>
      </c>
      <c r="H102" s="9">
        <v>41578</v>
      </c>
      <c r="I102" s="2">
        <f>H102-G102+1</f>
        <v>31</v>
      </c>
      <c r="J102" s="2">
        <f>COUNTIF(Daily!$B$3:$B$7756,A102)</f>
        <v>31</v>
      </c>
      <c r="K102" s="2" t="str">
        <f>IF(J102=I102,"complete","partial ("&amp;J102&amp;" days)")</f>
        <v>complete</v>
      </c>
      <c r="L102" s="3">
        <f>INDEX(ENSO_monthly!$F:$F,MATCH(A102,ENSO_monthly!$A:$A,0))</f>
        <v>-0.14</v>
      </c>
      <c r="M102" s="2" t="str">
        <f>INDEX(ENSO_monthly!$D:$D,MATCH(A102,ENSO_monthly!$A:$A,0))</f>
        <v>SON</v>
      </c>
      <c r="N102" s="2" t="str">
        <f>INDEX(ENSO_monthly!$L:$L,MATCH(A102,ENSO_monthly!$A:$A,0))</f>
        <v>—</v>
      </c>
      <c r="O102" s="8" t="str">
        <f>INDEX(ENSO_seasons!$U:$U,MATCH(E102,ENSO_seasons!$A:$A,0))</f>
        <v>Neutral</v>
      </c>
      <c r="P102" s="4">
        <f>SUMIFS(Daily!$D$3:$D$7756,Daily!$B$3:$B$7756,$A102)</f>
        <v>151.359</v>
      </c>
      <c r="Q102" s="3">
        <f>AVERAGEIFS(Daily!$E$3:$E$7756,Daily!$B$3:$B$7756,$A102)</f>
        <v>21.30774193548387</v>
      </c>
      <c r="R102" s="3">
        <f>AVERAGEIFS(Daily!$F$3:$F$7756,Daily!$B$3:$B$7756,$A102)</f>
        <v>25.92967741935484</v>
      </c>
      <c r="S102" s="3">
        <f>AVERAGEIFS(Daily!$G$3:$G$7756,Daily!$B$3:$B$7756,$A102)</f>
        <v>17.759354838709676</v>
      </c>
      <c r="T102" s="4">
        <f>SUMIFS(Daily!$H$3:$H$7756,Daily!$B$3:$B$7756,$A102)</f>
        <v>130.0</v>
      </c>
      <c r="U102" s="4">
        <f>SUMIFS(Daily!$I$3:$I$7756,Daily!$B$3:$B$7756,$A102)</f>
        <v>157.347</v>
      </c>
      <c r="V102" s="3">
        <f>AVERAGEIFS(Daily!$J$3:$J$7756,Daily!$B$3:$B$7756,$A102)</f>
        <v>22.289032258064516</v>
      </c>
      <c r="W102" s="3">
        <f>AVERAGEIFS(Daily!$K$3:$K$7756,Daily!$B$3:$B$7756,$A102)</f>
        <v>26.443225806451615</v>
      </c>
      <c r="X102" s="3">
        <f>AVERAGEIFS(Daily!$L$3:$L$7756,Daily!$B$3:$B$7756,$A102)</f>
        <v>19.15709677419355</v>
      </c>
      <c r="Y102" s="4">
        <f>SUMIFS(Daily!$M$3:$M$7756,Daily!$B$3:$B$7756,$A102)</f>
        <v>179.98</v>
      </c>
      <c r="Z102" s="4">
        <f>SUMIFS(Daily!$N$3:$N$7756,Daily!$B$3:$B$7756,$A102)</f>
        <v>213.047</v>
      </c>
      <c r="AA102" s="3">
        <f>AVERAGEIFS(Daily!$O$3:$O$7756,Daily!$B$3:$B$7756,$A102)</f>
        <v>22.41838709677419</v>
      </c>
      <c r="AB102" s="3">
        <f>AVERAGEIFS(Daily!$P$3:$P$7756,Daily!$B$3:$B$7756,$A102)</f>
        <v>26.37354838709677</v>
      </c>
      <c r="AC102" s="3">
        <f>AVERAGEIFS(Daily!$Q$3:$Q$7756,Daily!$B$3:$B$7756,$A102)</f>
        <v>19.735161290322576</v>
      </c>
      <c r="AD102" s="4">
        <f>SUMIFS(Daily!$R$3:$R$7756,Daily!$B$3:$B$7756,$A102)</f>
        <v>203.29</v>
      </c>
      <c r="AE102" s="4">
        <f>AVERAGE(P102,U102,Z102)</f>
        <v>173.9176666666667</v>
      </c>
      <c r="AF102" s="3">
        <f>AVERAGE(Q102,V102,AA102)</f>
        <v>22.005053763440856</v>
      </c>
      <c r="AG102" s="3">
        <f>AVERAGE(R102,W102,AB102)</f>
        <v>26.248817204301076</v>
      </c>
      <c r="AH102" s="3">
        <f>AVERAGE(S102,X102,AC102)</f>
        <v>18.883870967741938</v>
      </c>
      <c r="AI102" s="4">
        <f>AVERAGE(T102,Y102,AD102)</f>
        <v>171.09</v>
      </c>
    </row>
    <row r="103">
      <c r="A103" s="2" t="inlineStr">
        <is>
          <t xml:space="preserve">2013-11</t>
        </is>
      </c>
      <c r="B103" s="2">
        <v>2013</v>
      </c>
      <c r="C103" s="2">
        <v>11</v>
      </c>
      <c r="D103" s="2" t="inlineStr">
        <is>
          <t xml:space="preserve">Nov</t>
        </is>
      </c>
      <c r="E103" s="2" t="inlineStr">
        <is>
          <t xml:space="preserve">2013/14</t>
        </is>
      </c>
      <c r="F103" s="2">
        <v>5</v>
      </c>
      <c r="G103" s="9">
        <v>41579</v>
      </c>
      <c r="H103" s="9">
        <v>41608</v>
      </c>
      <c r="I103" s="2">
        <f>H103-G103+1</f>
        <v>30</v>
      </c>
      <c r="J103" s="2">
        <f>COUNTIF(Daily!$B$3:$B$7756,A103)</f>
        <v>30</v>
      </c>
      <c r="K103" s="2" t="str">
        <f>IF(J103=I103,"complete","partial ("&amp;J103&amp;" days)")</f>
        <v>complete</v>
      </c>
      <c r="L103" s="3">
        <f>INDEX(ENSO_monthly!$F:$F,MATCH(A103,ENSO_monthly!$A:$A,0))</f>
        <v>-0.12</v>
      </c>
      <c r="M103" s="2" t="str">
        <f>INDEX(ENSO_monthly!$D:$D,MATCH(A103,ENSO_monthly!$A:$A,0))</f>
        <v>OND</v>
      </c>
      <c r="N103" s="2" t="str">
        <f>INDEX(ENSO_monthly!$L:$L,MATCH(A103,ENSO_monthly!$A:$A,0))</f>
        <v>—</v>
      </c>
      <c r="O103" s="8" t="str">
        <f>INDEX(ENSO_seasons!$U:$U,MATCH(E103,ENSO_seasons!$A:$A,0))</f>
        <v>Neutral</v>
      </c>
      <c r="P103" s="4">
        <f>SUMIFS(Daily!$D$3:$D$7756,Daily!$B$3:$B$7756,$A103)</f>
        <v>30.635</v>
      </c>
      <c r="Q103" s="3">
        <f>AVERAGEIFS(Daily!$E$3:$E$7756,Daily!$B$3:$B$7756,$A103)</f>
        <v>19.931333333333335</v>
      </c>
      <c r="R103" s="3">
        <f>AVERAGEIFS(Daily!$F$3:$F$7756,Daily!$B$3:$B$7756,$A103)</f>
        <v>24.48966666666667</v>
      </c>
      <c r="S103" s="3">
        <f>AVERAGEIFS(Daily!$G$3:$G$7756,Daily!$B$3:$B$7756,$A103)</f>
        <v>16.53166666666666</v>
      </c>
      <c r="T103" s="4">
        <f>SUMIFS(Daily!$H$3:$H$7756,Daily!$B$3:$B$7756,$A103)</f>
        <v>70.55</v>
      </c>
      <c r="U103" s="4">
        <f>SUMIFS(Daily!$I$3:$I$7756,Daily!$B$3:$B$7756,$A103)</f>
        <v>39.533</v>
      </c>
      <c r="V103" s="3">
        <f>AVERAGEIFS(Daily!$J$3:$J$7756,Daily!$B$3:$B$7756,$A103)</f>
        <v>20.438333333333336</v>
      </c>
      <c r="W103" s="3">
        <f>AVERAGEIFS(Daily!$K$3:$K$7756,Daily!$B$3:$B$7756,$A103)</f>
        <v>24.77766666666667</v>
      </c>
      <c r="X103" s="3">
        <f>AVERAGEIFS(Daily!$L$3:$L$7756,Daily!$B$3:$B$7756,$A103)</f>
        <v>17.19066666666667</v>
      </c>
      <c r="Y103" s="4">
        <f>SUMIFS(Daily!$M$3:$M$7756,Daily!$B$3:$B$7756,$A103)</f>
        <v>63.64</v>
      </c>
      <c r="Z103" s="4">
        <f>SUMIFS(Daily!$N$3:$N$7756,Daily!$B$3:$B$7756,$A103)</f>
        <v>72.308</v>
      </c>
      <c r="AA103" s="3">
        <f>AVERAGEIFS(Daily!$O$3:$O$7756,Daily!$B$3:$B$7756,$A103)</f>
        <v>20.65233333333333</v>
      </c>
      <c r="AB103" s="3">
        <f>AVERAGEIFS(Daily!$P$3:$P$7756,Daily!$B$3:$B$7756,$A103)</f>
        <v>24.429000000000006</v>
      </c>
      <c r="AC103" s="3">
        <f>AVERAGEIFS(Daily!$Q$3:$Q$7756,Daily!$B$3:$B$7756,$A103)</f>
        <v>18.006000000000004</v>
      </c>
      <c r="AD103" s="4">
        <f>SUMIFS(Daily!$R$3:$R$7756,Daily!$B$3:$B$7756,$A103)</f>
        <v>118.43</v>
      </c>
      <c r="AE103" s="4">
        <f>AVERAGE(P103,U103,Z103)</f>
        <v>47.492</v>
      </c>
      <c r="AF103" s="3">
        <f>AVERAGE(Q103,V103,AA103)</f>
        <v>20.340666666666667</v>
      </c>
      <c r="AG103" s="3">
        <f>AVERAGE(R103,W103,AB103)</f>
        <v>24.56544444444445</v>
      </c>
      <c r="AH103" s="3">
        <f>AVERAGE(S103,X103,AC103)</f>
        <v>17.242777777777775</v>
      </c>
      <c r="AI103" s="4">
        <f>AVERAGE(T103,Y103,AD103)</f>
        <v>84.20666666666666</v>
      </c>
    </row>
    <row r="104">
      <c r="A104" s="2" t="inlineStr">
        <is>
          <t xml:space="preserve">2013-12</t>
        </is>
      </c>
      <c r="B104" s="2">
        <v>2013</v>
      </c>
      <c r="C104" s="2">
        <v>12</v>
      </c>
      <c r="D104" s="2" t="inlineStr">
        <is>
          <t xml:space="preserve">Dec</t>
        </is>
      </c>
      <c r="E104" s="2" t="inlineStr">
        <is>
          <t xml:space="preserve">2013/14</t>
        </is>
      </c>
      <c r="F104" s="2">
        <v>6</v>
      </c>
      <c r="G104" s="9">
        <v>41609</v>
      </c>
      <c r="H104" s="9">
        <v>41639</v>
      </c>
      <c r="I104" s="2">
        <f>H104-G104+1</f>
        <v>31</v>
      </c>
      <c r="J104" s="2">
        <f>COUNTIF(Daily!$B$3:$B$7756,A104)</f>
        <v>31</v>
      </c>
      <c r="K104" s="2" t="str">
        <f>IF(J104=I104,"complete","partial ("&amp;J104&amp;" days)")</f>
        <v>complete</v>
      </c>
      <c r="L104" s="3">
        <f>INDEX(ENSO_monthly!$F:$F,MATCH(A104,ENSO_monthly!$A:$A,0))</f>
        <v>-0.11</v>
      </c>
      <c r="M104" s="2" t="str">
        <f>INDEX(ENSO_monthly!$D:$D,MATCH(A104,ENSO_monthly!$A:$A,0))</f>
        <v>NDJ</v>
      </c>
      <c r="N104" s="2" t="str">
        <f>INDEX(ENSO_monthly!$L:$L,MATCH(A104,ENSO_monthly!$A:$A,0))</f>
        <v>—</v>
      </c>
      <c r="O104" s="8" t="str">
        <f>INDEX(ENSO_seasons!$U:$U,MATCH(E104,ENSO_seasons!$A:$A,0))</f>
        <v>Neutral</v>
      </c>
      <c r="P104" s="4">
        <f>SUMIFS(Daily!$D$3:$D$7756,Daily!$B$3:$B$7756,$A104)</f>
        <v>12.221</v>
      </c>
      <c r="Q104" s="3">
        <f>AVERAGEIFS(Daily!$E$3:$E$7756,Daily!$B$3:$B$7756,$A104)</f>
        <v>19.253548387096775</v>
      </c>
      <c r="R104" s="3">
        <f>AVERAGEIFS(Daily!$F$3:$F$7756,Daily!$B$3:$B$7756,$A104)</f>
        <v>24.351290322580645</v>
      </c>
      <c r="S104" s="3">
        <f>AVERAGEIFS(Daily!$G$3:$G$7756,Daily!$B$3:$B$7756,$A104)</f>
        <v>15.509032258064515</v>
      </c>
      <c r="T104" s="4">
        <f>SUMIFS(Daily!$H$3:$H$7756,Daily!$B$3:$B$7756,$A104)</f>
        <v>32.01</v>
      </c>
      <c r="U104" s="4">
        <f>SUMIFS(Daily!$I$3:$I$7756,Daily!$B$3:$B$7756,$A104)</f>
        <v>10.82</v>
      </c>
      <c r="V104" s="3">
        <f>AVERAGEIFS(Daily!$J$3:$J$7756,Daily!$B$3:$B$7756,$A104)</f>
        <v>20.070000000000007</v>
      </c>
      <c r="W104" s="3">
        <f>AVERAGEIFS(Daily!$K$3:$K$7756,Daily!$B$3:$B$7756,$A104)</f>
        <v>25.14677419354838</v>
      </c>
      <c r="X104" s="3">
        <f>AVERAGEIFS(Daily!$L$3:$L$7756,Daily!$B$3:$B$7756,$A104)</f>
        <v>16.432258064516127</v>
      </c>
      <c r="Y104" s="4">
        <f>SUMIFS(Daily!$M$3:$M$7756,Daily!$B$3:$B$7756,$A104)</f>
        <v>42.77</v>
      </c>
      <c r="Z104" s="4">
        <f>SUMIFS(Daily!$N$3:$N$7756,Daily!$B$3:$B$7756,$A104)</f>
        <v>45.244</v>
      </c>
      <c r="AA104" s="3">
        <f>AVERAGEIFS(Daily!$O$3:$O$7756,Daily!$B$3:$B$7756,$A104)</f>
        <v>20.016774193548386</v>
      </c>
      <c r="AB104" s="3">
        <f>AVERAGEIFS(Daily!$P$3:$P$7756,Daily!$B$3:$B$7756,$A104)</f>
        <v>24.285161290322577</v>
      </c>
      <c r="AC104" s="3">
        <f>AVERAGEIFS(Daily!$Q$3:$Q$7756,Daily!$B$3:$B$7756,$A104)</f>
        <v>17.017419354838708</v>
      </c>
      <c r="AD104" s="4">
        <f>SUMIFS(Daily!$R$3:$R$7756,Daily!$B$3:$B$7756,$A104)</f>
        <v>126.52</v>
      </c>
      <c r="AE104" s="4">
        <f>AVERAGE(P104,U104,Z104)</f>
        <v>22.761666666666667</v>
      </c>
      <c r="AF104" s="3">
        <f>AVERAGE(Q104,V104,AA104)</f>
        <v>19.78010752688172</v>
      </c>
      <c r="AG104" s="3">
        <f>AVERAGE(R104,W104,AB104)</f>
        <v>24.594408602150537</v>
      </c>
      <c r="AH104" s="3">
        <f>AVERAGE(S104,X104,AC104)</f>
        <v>16.319569892473115</v>
      </c>
      <c r="AI104" s="4">
        <f>AVERAGE(T104,Y104,AD104)</f>
        <v>67.10000000000001</v>
      </c>
    </row>
    <row r="105">
      <c r="A105" s="2" t="inlineStr">
        <is>
          <t xml:space="preserve">2014-01</t>
        </is>
      </c>
      <c r="B105" s="2">
        <v>2014</v>
      </c>
      <c r="C105" s="2">
        <v>1</v>
      </c>
      <c r="D105" s="2" t="inlineStr">
        <is>
          <t xml:space="preserve">Jan</t>
        </is>
      </c>
      <c r="E105" s="2" t="inlineStr">
        <is>
          <t xml:space="preserve">2013/14</t>
        </is>
      </c>
      <c r="F105" s="2">
        <v>7</v>
      </c>
      <c r="G105" s="9">
        <v>41640</v>
      </c>
      <c r="H105" s="9">
        <v>41670</v>
      </c>
      <c r="I105" s="2">
        <f>H105-G105+1</f>
        <v>31</v>
      </c>
      <c r="J105" s="2">
        <f>COUNTIF(Daily!$B$3:$B$7756,A105)</f>
        <v>31</v>
      </c>
      <c r="K105" s="2" t="str">
        <f>IF(J105=I105,"complete","partial ("&amp;J105&amp;" days)")</f>
        <v>complete</v>
      </c>
      <c r="L105" s="3">
        <f>INDEX(ENSO_monthly!$F:$F,MATCH(A105,ENSO_monthly!$A:$A,0))</f>
        <v>-0.24</v>
      </c>
      <c r="M105" s="2" t="str">
        <f>INDEX(ENSO_monthly!$D:$D,MATCH(A105,ENSO_monthly!$A:$A,0))</f>
        <v>DJF</v>
      </c>
      <c r="N105" s="2" t="str">
        <f>INDEX(ENSO_monthly!$L:$L,MATCH(A105,ENSO_monthly!$A:$A,0))</f>
        <v>—</v>
      </c>
      <c r="O105" s="8" t="str">
        <f>INDEX(ENSO_seasons!$U:$U,MATCH(E105,ENSO_seasons!$A:$A,0))</f>
        <v>Neutral</v>
      </c>
      <c r="P105" s="4">
        <f>SUMIFS(Daily!$D$3:$D$7756,Daily!$B$3:$B$7756,$A105)</f>
        <v>13.41</v>
      </c>
      <c r="Q105" s="3">
        <f>AVERAGEIFS(Daily!$E$3:$E$7756,Daily!$B$3:$B$7756,$A105)</f>
        <v>18.579354838709683</v>
      </c>
      <c r="R105" s="3">
        <f>AVERAGEIFS(Daily!$F$3:$F$7756,Daily!$B$3:$B$7756,$A105)</f>
        <v>24.48645161290323</v>
      </c>
      <c r="S105" s="3">
        <f>AVERAGEIFS(Daily!$G$3:$G$7756,Daily!$B$3:$B$7756,$A105)</f>
        <v>14.325806451612904</v>
      </c>
      <c r="T105" s="4">
        <f>SUMIFS(Daily!$H$3:$H$7756,Daily!$B$3:$B$7756,$A105)</f>
        <v>63.11</v>
      </c>
      <c r="U105" s="4">
        <f>SUMIFS(Daily!$I$3:$I$7756,Daily!$B$3:$B$7756,$A105)</f>
        <v>13.172</v>
      </c>
      <c r="V105" s="3">
        <f>AVERAGEIFS(Daily!$J$3:$J$7756,Daily!$B$3:$B$7756,$A105)</f>
        <v>19.091290322580647</v>
      </c>
      <c r="W105" s="3">
        <f>AVERAGEIFS(Daily!$K$3:$K$7756,Daily!$B$3:$B$7756,$A105)</f>
        <v>24.957096774193545</v>
      </c>
      <c r="X105" s="3">
        <f>AVERAGEIFS(Daily!$L$3:$L$7756,Daily!$B$3:$B$7756,$A105)</f>
        <v>14.846774193548388</v>
      </c>
      <c r="Y105" s="4">
        <f>SUMIFS(Daily!$M$3:$M$7756,Daily!$B$3:$B$7756,$A105)</f>
        <v>31.67</v>
      </c>
      <c r="Z105" s="4">
        <f>SUMIFS(Daily!$N$3:$N$7756,Daily!$B$3:$B$7756,$A105)</f>
        <v>54.136</v>
      </c>
      <c r="AA105" s="3">
        <f>AVERAGEIFS(Daily!$O$3:$O$7756,Daily!$B$3:$B$7756,$A105)</f>
        <v>18.43548387096774</v>
      </c>
      <c r="AB105" s="3">
        <f>AVERAGEIFS(Daily!$P$3:$P$7756,Daily!$B$3:$B$7756,$A105)</f>
        <v>22.775161290322583</v>
      </c>
      <c r="AC105" s="3">
        <f>AVERAGEIFS(Daily!$Q$3:$Q$7756,Daily!$B$3:$B$7756,$A105)</f>
        <v>15.371935483870969</v>
      </c>
      <c r="AD105" s="4">
        <f>SUMIFS(Daily!$R$3:$R$7756,Daily!$B$3:$B$7756,$A105)</f>
        <v>68.3</v>
      </c>
      <c r="AE105" s="4">
        <f>AVERAGE(P105,U105,Z105)</f>
        <v>26.906000000000002</v>
      </c>
      <c r="AF105" s="3">
        <f>AVERAGE(Q105,V105,AA105)</f>
        <v>18.70204301075269</v>
      </c>
      <c r="AG105" s="3">
        <f>AVERAGE(R105,W105,AB105)</f>
        <v>24.072903225806453</v>
      </c>
      <c r="AH105" s="3">
        <f>AVERAGE(S105,X105,AC105)</f>
        <v>14.848172043010754</v>
      </c>
      <c r="AI105" s="4">
        <f>AVERAGE(T105,Y105,AD105)</f>
        <v>54.35999999999999</v>
      </c>
    </row>
    <row r="106">
      <c r="A106" s="2" t="inlineStr">
        <is>
          <t xml:space="preserve">2014-02</t>
        </is>
      </c>
      <c r="B106" s="2">
        <v>2014</v>
      </c>
      <c r="C106" s="2">
        <v>2</v>
      </c>
      <c r="D106" s="2" t="inlineStr">
        <is>
          <t xml:space="preserve">Feb</t>
        </is>
      </c>
      <c r="E106" s="2" t="inlineStr">
        <is>
          <t xml:space="preserve">2013/14</t>
        </is>
      </c>
      <c r="F106" s="2">
        <v>8</v>
      </c>
      <c r="G106" s="9">
        <v>41671</v>
      </c>
      <c r="H106" s="9">
        <v>41698</v>
      </c>
      <c r="I106" s="2">
        <f>H106-G106+1</f>
        <v>28</v>
      </c>
      <c r="J106" s="2">
        <f>COUNTIF(Daily!$B$3:$B$7756,A106)</f>
        <v>28</v>
      </c>
      <c r="K106" s="2" t="str">
        <f>IF(J106=I106,"complete","partial ("&amp;J106&amp;" days)")</f>
        <v>complete</v>
      </c>
      <c r="L106" s="3">
        <f>INDEX(ENSO_monthly!$F:$F,MATCH(A106,ENSO_monthly!$A:$A,0))</f>
        <v>-0.21</v>
      </c>
      <c r="M106" s="2" t="str">
        <f>INDEX(ENSO_monthly!$D:$D,MATCH(A106,ENSO_monthly!$A:$A,0))</f>
        <v>JFM</v>
      </c>
      <c r="N106" s="2" t="str">
        <f>INDEX(ENSO_monthly!$L:$L,MATCH(A106,ENSO_monthly!$A:$A,0))</f>
        <v>—</v>
      </c>
      <c r="O106" s="8" t="str">
        <f>INDEX(ENSO_seasons!$U:$U,MATCH(E106,ENSO_seasons!$A:$A,0))</f>
        <v>Neutral</v>
      </c>
      <c r="P106" s="4">
        <f>SUMIFS(Daily!$D$3:$D$7756,Daily!$B$3:$B$7756,$A106)</f>
        <v>9.612</v>
      </c>
      <c r="Q106" s="3">
        <f>AVERAGEIFS(Daily!$E$3:$E$7756,Daily!$B$3:$B$7756,$A106)</f>
        <v>21.285</v>
      </c>
      <c r="R106" s="3">
        <f>AVERAGEIFS(Daily!$F$3:$F$7756,Daily!$B$3:$B$7756,$A106)</f>
        <v>28.806785714285716</v>
      </c>
      <c r="S106" s="3">
        <f>AVERAGEIFS(Daily!$G$3:$G$7756,Daily!$B$3:$B$7756,$A106)</f>
        <v>15.459642857142853</v>
      </c>
      <c r="T106" s="4">
        <f>SUMIFS(Daily!$H$3:$H$7756,Daily!$B$3:$B$7756,$A106)</f>
        <v>17.84</v>
      </c>
      <c r="U106" s="4">
        <f>SUMIFS(Daily!$I$3:$I$7756,Daily!$B$3:$B$7756,$A106)</f>
        <v>4.973</v>
      </c>
      <c r="V106" s="3">
        <f>AVERAGEIFS(Daily!$J$3:$J$7756,Daily!$B$3:$B$7756,$A106)</f>
        <v>22.15214285714286</v>
      </c>
      <c r="W106" s="3">
        <f>AVERAGEIFS(Daily!$K$3:$K$7756,Daily!$B$3:$B$7756,$A106)</f>
        <v>28.94928571428572</v>
      </c>
      <c r="X106" s="3">
        <f>AVERAGEIFS(Daily!$L$3:$L$7756,Daily!$B$3:$B$7756,$A106)</f>
        <v>17.130714285714287</v>
      </c>
      <c r="Y106" s="4">
        <f>SUMIFS(Daily!$M$3:$M$7756,Daily!$B$3:$B$7756,$A106)</f>
        <v>23.69</v>
      </c>
      <c r="Z106" s="4">
        <f>SUMIFS(Daily!$N$3:$N$7756,Daily!$B$3:$B$7756,$A106)</f>
        <v>22.302</v>
      </c>
      <c r="AA106" s="3">
        <f>AVERAGEIFS(Daily!$O$3:$O$7756,Daily!$B$3:$B$7756,$A106)</f>
        <v>20.676428571428577</v>
      </c>
      <c r="AB106" s="3">
        <f>AVERAGEIFS(Daily!$P$3:$P$7756,Daily!$B$3:$B$7756,$A106)</f>
        <v>25.759285714285713</v>
      </c>
      <c r="AC106" s="3">
        <f>AVERAGEIFS(Daily!$Q$3:$Q$7756,Daily!$B$3:$B$7756,$A106)</f>
        <v>17.213214285714283</v>
      </c>
      <c r="AD106" s="4">
        <f>SUMIFS(Daily!$R$3:$R$7756,Daily!$B$3:$B$7756,$A106)</f>
        <v>70.68</v>
      </c>
      <c r="AE106" s="4">
        <f>AVERAGE(P106,U106,Z106)</f>
        <v>12.295666666666667</v>
      </c>
      <c r="AF106" s="3">
        <f>AVERAGE(Q106,V106,AA106)</f>
        <v>21.371190476190478</v>
      </c>
      <c r="AG106" s="3">
        <f>AVERAGE(R106,W106,AB106)</f>
        <v>27.83845238095238</v>
      </c>
      <c r="AH106" s="3">
        <f>AVERAGE(S106,X106,AC106)</f>
        <v>16.601190476190478</v>
      </c>
      <c r="AI106" s="4">
        <f>AVERAGE(T106,Y106,AD106)</f>
        <v>37.403333333333336</v>
      </c>
    </row>
    <row r="107">
      <c r="A107" s="2" t="inlineStr">
        <is>
          <t xml:space="preserve">2014-03</t>
        </is>
      </c>
      <c r="B107" s="2">
        <v>2014</v>
      </c>
      <c r="C107" s="2">
        <v>3</v>
      </c>
      <c r="D107" s="2" t="inlineStr">
        <is>
          <t xml:space="preserve">Mar</t>
        </is>
      </c>
      <c r="E107" s="2" t="inlineStr">
        <is>
          <t xml:space="preserve">2013/14</t>
        </is>
      </c>
      <c r="F107" s="2">
        <v>9</v>
      </c>
      <c r="G107" s="9">
        <v>41699</v>
      </c>
      <c r="H107" s="9">
        <v>41729</v>
      </c>
      <c r="I107" s="2">
        <f>H107-G107+1</f>
        <v>31</v>
      </c>
      <c r="J107" s="2">
        <f>COUNTIF(Daily!$B$3:$B$7756,A107)</f>
        <v>31</v>
      </c>
      <c r="K107" s="2" t="str">
        <f>IF(J107=I107,"complete","partial ("&amp;J107&amp;" days)")</f>
        <v>complete</v>
      </c>
      <c r="L107" s="3">
        <f>INDEX(ENSO_monthly!$F:$F,MATCH(A107,ENSO_monthly!$A:$A,0))</f>
        <v>-0.02</v>
      </c>
      <c r="M107" s="2" t="str">
        <f>INDEX(ENSO_monthly!$D:$D,MATCH(A107,ENSO_monthly!$A:$A,0))</f>
        <v>FMA</v>
      </c>
      <c r="N107" s="2" t="str">
        <f>INDEX(ENSO_monthly!$L:$L,MATCH(A107,ENSO_monthly!$A:$A,0))</f>
        <v>—</v>
      </c>
      <c r="O107" s="8" t="str">
        <f>INDEX(ENSO_seasons!$U:$U,MATCH(E107,ENSO_seasons!$A:$A,0))</f>
        <v>Neutral</v>
      </c>
      <c r="P107" s="4">
        <f>SUMIFS(Daily!$D$3:$D$7756,Daily!$B$3:$B$7756,$A107)</f>
        <v>3.138</v>
      </c>
      <c r="Q107" s="3">
        <f>AVERAGEIFS(Daily!$E$3:$E$7756,Daily!$B$3:$B$7756,$A107)</f>
        <v>23.762258064516125</v>
      </c>
      <c r="R107" s="3">
        <f>AVERAGEIFS(Daily!$F$3:$F$7756,Daily!$B$3:$B$7756,$A107)</f>
        <v>32.0641935483871</v>
      </c>
      <c r="S107" s="3">
        <f>AVERAGEIFS(Daily!$G$3:$G$7756,Daily!$B$3:$B$7756,$A107)</f>
        <v>17.136129032258065</v>
      </c>
      <c r="T107" s="4">
        <f>SUMIFS(Daily!$H$3:$H$7756,Daily!$B$3:$B$7756,$A107)</f>
        <v>13.1</v>
      </c>
      <c r="U107" s="4">
        <f>SUMIFS(Daily!$I$3:$I$7756,Daily!$B$3:$B$7756,$A107)</f>
        <v>25.253</v>
      </c>
      <c r="V107" s="3">
        <f>AVERAGEIFS(Daily!$J$3:$J$7756,Daily!$B$3:$B$7756,$A107)</f>
        <v>23.835483870967742</v>
      </c>
      <c r="W107" s="3">
        <f>AVERAGEIFS(Daily!$K$3:$K$7756,Daily!$B$3:$B$7756,$A107)</f>
        <v>31.214193548387108</v>
      </c>
      <c r="X107" s="3">
        <f>AVERAGEIFS(Daily!$L$3:$L$7756,Daily!$B$3:$B$7756,$A107)</f>
        <v>17.976774193548383</v>
      </c>
      <c r="Y107" s="4">
        <f>SUMIFS(Daily!$M$3:$M$7756,Daily!$B$3:$B$7756,$A107)</f>
        <v>38.22</v>
      </c>
      <c r="Z107" s="4">
        <f>SUMIFS(Daily!$N$3:$N$7756,Daily!$B$3:$B$7756,$A107)</f>
        <v>65.599</v>
      </c>
      <c r="AA107" s="3">
        <f>AVERAGEIFS(Daily!$O$3:$O$7756,Daily!$B$3:$B$7756,$A107)</f>
        <v>22.173548387096776</v>
      </c>
      <c r="AB107" s="3">
        <f>AVERAGEIFS(Daily!$P$3:$P$7756,Daily!$B$3:$B$7756,$A107)</f>
        <v>28.094838709677415</v>
      </c>
      <c r="AC107" s="3">
        <f>AVERAGEIFS(Daily!$Q$3:$Q$7756,Daily!$B$3:$B$7756,$A107)</f>
        <v>17.883225806451613</v>
      </c>
      <c r="AD107" s="4">
        <f>SUMIFS(Daily!$R$3:$R$7756,Daily!$B$3:$B$7756,$A107)</f>
        <v>65.02</v>
      </c>
      <c r="AE107" s="4">
        <f>AVERAGE(P107,U107,Z107)</f>
        <v>31.330000000000002</v>
      </c>
      <c r="AF107" s="3">
        <f>AVERAGE(Q107,V107,AA107)</f>
        <v>23.257096774193545</v>
      </c>
      <c r="AG107" s="3">
        <f>AVERAGE(R107,W107,AB107)</f>
        <v>30.457741935483877</v>
      </c>
      <c r="AH107" s="3">
        <f>AVERAGE(S107,X107,AC107)</f>
        <v>17.66537634408602</v>
      </c>
      <c r="AI107" s="4">
        <f>AVERAGE(T107,Y107,AD107)</f>
        <v>38.78</v>
      </c>
    </row>
    <row r="108">
      <c r="A108" s="2" t="inlineStr">
        <is>
          <t xml:space="preserve">2014-04</t>
        </is>
      </c>
      <c r="B108" s="2">
        <v>2014</v>
      </c>
      <c r="C108" s="2">
        <v>4</v>
      </c>
      <c r="D108" s="2" t="inlineStr">
        <is>
          <t xml:space="preserve">Apr</t>
        </is>
      </c>
      <c r="E108" s="2" t="inlineStr">
        <is>
          <t xml:space="preserve">2013/14</t>
        </is>
      </c>
      <c r="F108" s="2">
        <v>10</v>
      </c>
      <c r="G108" s="9">
        <v>41730</v>
      </c>
      <c r="H108" s="9">
        <v>41759</v>
      </c>
      <c r="I108" s="2">
        <f>H108-G108+1</f>
        <v>30</v>
      </c>
      <c r="J108" s="2">
        <f>COUNTIF(Daily!$B$3:$B$7756,A108)</f>
        <v>30</v>
      </c>
      <c r="K108" s="2" t="str">
        <f>IF(J108=I108,"complete","partial ("&amp;J108&amp;" days)")</f>
        <v>complete</v>
      </c>
      <c r="L108" s="3">
        <f>INDEX(ENSO_monthly!$F:$F,MATCH(A108,ENSO_monthly!$A:$A,0))</f>
        <v>0.25</v>
      </c>
      <c r="M108" s="2" t="str">
        <f>INDEX(ENSO_monthly!$D:$D,MATCH(A108,ENSO_monthly!$A:$A,0))</f>
        <v>MAM</v>
      </c>
      <c r="N108" s="2" t="str">
        <f>INDEX(ENSO_monthly!$L:$L,MATCH(A108,ENSO_monthly!$A:$A,0))</f>
        <v>—</v>
      </c>
      <c r="O108" s="8" t="str">
        <f>INDEX(ENSO_seasons!$U:$U,MATCH(E108,ENSO_seasons!$A:$A,0))</f>
        <v>Neutral</v>
      </c>
      <c r="P108" s="4">
        <f>SUMIFS(Daily!$D$3:$D$7756,Daily!$B$3:$B$7756,$A108)</f>
        <v>5.382</v>
      </c>
      <c r="Q108" s="3">
        <f>AVERAGEIFS(Daily!$E$3:$E$7756,Daily!$B$3:$B$7756,$A108)</f>
        <v>25.248</v>
      </c>
      <c r="R108" s="3">
        <f>AVERAGEIFS(Daily!$F$3:$F$7756,Daily!$B$3:$B$7756,$A108)</f>
        <v>33.27933333333333</v>
      </c>
      <c r="S108" s="3">
        <f>AVERAGEIFS(Daily!$G$3:$G$7756,Daily!$B$3:$B$7756,$A108)</f>
        <v>18.514999999999997</v>
      </c>
      <c r="T108" s="4">
        <f>SUMIFS(Daily!$H$3:$H$7756,Daily!$B$3:$B$7756,$A108)</f>
        <v>10.29</v>
      </c>
      <c r="U108" s="4">
        <f>SUMIFS(Daily!$I$3:$I$7756,Daily!$B$3:$B$7756,$A108)</f>
        <v>6.163</v>
      </c>
      <c r="V108" s="3">
        <f>AVERAGEIFS(Daily!$J$3:$J$7756,Daily!$B$3:$B$7756,$A108)</f>
        <v>24.88533333333333</v>
      </c>
      <c r="W108" s="3">
        <f>AVERAGEIFS(Daily!$K$3:$K$7756,Daily!$B$3:$B$7756,$A108)</f>
        <v>32.227333333333334</v>
      </c>
      <c r="X108" s="3">
        <f>AVERAGEIFS(Daily!$L$3:$L$7756,Daily!$B$3:$B$7756,$A108)</f>
        <v>19.105000000000004</v>
      </c>
      <c r="Y108" s="4">
        <f>SUMIFS(Daily!$M$3:$M$7756,Daily!$B$3:$B$7756,$A108)</f>
        <v>11.98</v>
      </c>
      <c r="Z108" s="4">
        <f>SUMIFS(Daily!$N$3:$N$7756,Daily!$B$3:$B$7756,$A108)</f>
        <v>14.354</v>
      </c>
      <c r="AA108" s="3">
        <f>AVERAGEIFS(Daily!$O$3:$O$7756,Daily!$B$3:$B$7756,$A108)</f>
        <v>23.643333333333334</v>
      </c>
      <c r="AB108" s="3">
        <f>AVERAGEIFS(Daily!$P$3:$P$7756,Daily!$B$3:$B$7756,$A108)</f>
        <v>30.135666666666665</v>
      </c>
      <c r="AC108" s="3">
        <f>AVERAGEIFS(Daily!$Q$3:$Q$7756,Daily!$B$3:$B$7756,$A108)</f>
        <v>18.785999999999998</v>
      </c>
      <c r="AD108" s="4">
        <f>SUMIFS(Daily!$R$3:$R$7756,Daily!$B$3:$B$7756,$A108)</f>
        <v>20.26</v>
      </c>
      <c r="AE108" s="4">
        <f>AVERAGE(P108,U108,Z108)</f>
        <v>8.633000000000001</v>
      </c>
      <c r="AF108" s="3">
        <f>AVERAGE(Q108,V108,AA108)</f>
        <v>24.592222222222222</v>
      </c>
      <c r="AG108" s="3">
        <f>AVERAGE(R108,W108,AB108)</f>
        <v>31.880777777777777</v>
      </c>
      <c r="AH108" s="3">
        <f>AVERAGE(S108,X108,AC108)</f>
        <v>18.802000000000003</v>
      </c>
      <c r="AI108" s="4">
        <f>AVERAGE(T108,Y108,AD108)</f>
        <v>14.176666666666668</v>
      </c>
    </row>
    <row r="109">
      <c r="A109" s="2" t="inlineStr">
        <is>
          <t xml:space="preserve">2014-05</t>
        </is>
      </c>
      <c r="B109" s="2">
        <v>2014</v>
      </c>
      <c r="C109" s="2">
        <v>5</v>
      </c>
      <c r="D109" s="2" t="inlineStr">
        <is>
          <t xml:space="preserve">May</t>
        </is>
      </c>
      <c r="E109" s="2" t="inlineStr">
        <is>
          <t xml:space="preserve">2013/14</t>
        </is>
      </c>
      <c r="F109" s="2">
        <v>11</v>
      </c>
      <c r="G109" s="9">
        <v>41760</v>
      </c>
      <c r="H109" s="9">
        <v>41790</v>
      </c>
      <c r="I109" s="2">
        <f>H109-G109+1</f>
        <v>31</v>
      </c>
      <c r="J109" s="2">
        <f>COUNTIF(Daily!$B$3:$B$7756,A109)</f>
        <v>31</v>
      </c>
      <c r="K109" s="2" t="str">
        <f>IF(J109=I109,"complete","partial ("&amp;J109&amp;" days)")</f>
        <v>complete</v>
      </c>
      <c r="L109" s="3">
        <f>INDEX(ENSO_monthly!$F:$F,MATCH(A109,ENSO_monthly!$A:$A,0))</f>
        <v>0.35</v>
      </c>
      <c r="M109" s="2" t="str">
        <f>INDEX(ENSO_monthly!$D:$D,MATCH(A109,ENSO_monthly!$A:$A,0))</f>
        <v>AMJ</v>
      </c>
      <c r="N109" s="2" t="str">
        <f>INDEX(ENSO_monthly!$L:$L,MATCH(A109,ENSO_monthly!$A:$A,0))</f>
        <v>—</v>
      </c>
      <c r="O109" s="8" t="str">
        <f>INDEX(ENSO_seasons!$U:$U,MATCH(E109,ENSO_seasons!$A:$A,0))</f>
        <v>Neutral</v>
      </c>
      <c r="P109" s="4">
        <f>SUMIFS(Daily!$D$3:$D$7756,Daily!$B$3:$B$7756,$A109)</f>
        <v>92.647</v>
      </c>
      <c r="Q109" s="3">
        <f>AVERAGEIFS(Daily!$E$3:$E$7756,Daily!$B$3:$B$7756,$A109)</f>
        <v>24.043870967741938</v>
      </c>
      <c r="R109" s="3">
        <f>AVERAGEIFS(Daily!$F$3:$F$7756,Daily!$B$3:$B$7756,$A109)</f>
        <v>30.367096774193552</v>
      </c>
      <c r="S109" s="3">
        <f>AVERAGEIFS(Daily!$G$3:$G$7756,Daily!$B$3:$B$7756,$A109)</f>
        <v>19.33290322580646</v>
      </c>
      <c r="T109" s="4">
        <f>SUMIFS(Daily!$H$3:$H$7756,Daily!$B$3:$B$7756,$A109)</f>
        <v>98.98</v>
      </c>
      <c r="U109" s="4">
        <f>SUMIFS(Daily!$I$3:$I$7756,Daily!$B$3:$B$7756,$A109)</f>
        <v>142.951</v>
      </c>
      <c r="V109" s="3">
        <f>AVERAGEIFS(Daily!$J$3:$J$7756,Daily!$B$3:$B$7756,$A109)</f>
        <v>23.98096774193549</v>
      </c>
      <c r="W109" s="3">
        <f>AVERAGEIFS(Daily!$K$3:$K$7756,Daily!$B$3:$B$7756,$A109)</f>
        <v>29.554838709677433</v>
      </c>
      <c r="X109" s="3">
        <f>AVERAGEIFS(Daily!$L$3:$L$7756,Daily!$B$3:$B$7756,$A109)</f>
        <v>19.96935483870968</v>
      </c>
      <c r="Y109" s="4">
        <f>SUMIFS(Daily!$M$3:$M$7756,Daily!$B$3:$B$7756,$A109)</f>
        <v>160.17</v>
      </c>
      <c r="Z109" s="4">
        <f>SUMIFS(Daily!$N$3:$N$7756,Daily!$B$3:$B$7756,$A109)</f>
        <v>142.846</v>
      </c>
      <c r="AA109" s="3">
        <f>AVERAGEIFS(Daily!$O$3:$O$7756,Daily!$B$3:$B$7756,$A109)</f>
        <v>23.326129032258063</v>
      </c>
      <c r="AB109" s="3">
        <f>AVERAGEIFS(Daily!$P$3:$P$7756,Daily!$B$3:$B$7756,$A109)</f>
        <v>28.43354838709678</v>
      </c>
      <c r="AC109" s="3">
        <f>AVERAGEIFS(Daily!$Q$3:$Q$7756,Daily!$B$3:$B$7756,$A109)</f>
        <v>20.036774193548382</v>
      </c>
      <c r="AD109" s="4">
        <f>SUMIFS(Daily!$R$3:$R$7756,Daily!$B$3:$B$7756,$A109)</f>
        <v>205.36</v>
      </c>
      <c r="AE109" s="4">
        <f>AVERAGE(P109,U109,Z109)</f>
        <v>126.14800000000001</v>
      </c>
      <c r="AF109" s="3">
        <f>AVERAGE(Q109,V109,AA109)</f>
        <v>23.783655913978496</v>
      </c>
      <c r="AG109" s="3">
        <f>AVERAGE(R109,W109,AB109)</f>
        <v>29.451827956989252</v>
      </c>
      <c r="AH109" s="3">
        <f>AVERAGE(S109,X109,AC109)</f>
        <v>19.77967741935484</v>
      </c>
      <c r="AI109" s="4">
        <f>AVERAGE(T109,Y109,AD109)</f>
        <v>154.83666666666667</v>
      </c>
    </row>
    <row r="110">
      <c r="A110" s="2" t="inlineStr">
        <is>
          <t xml:space="preserve">2014-06</t>
        </is>
      </c>
      <c r="B110" s="2">
        <v>2014</v>
      </c>
      <c r="C110" s="2">
        <v>6</v>
      </c>
      <c r="D110" s="2" t="inlineStr">
        <is>
          <t xml:space="preserve">Jun</t>
        </is>
      </c>
      <c r="E110" s="2" t="inlineStr">
        <is>
          <t xml:space="preserve">2013/14</t>
        </is>
      </c>
      <c r="F110" s="2">
        <v>12</v>
      </c>
      <c r="G110" s="9">
        <v>41791</v>
      </c>
      <c r="H110" s="9">
        <v>41820</v>
      </c>
      <c r="I110" s="2">
        <f>H110-G110+1</f>
        <v>30</v>
      </c>
      <c r="J110" s="2">
        <f>COUNTIF(Daily!$B$3:$B$7756,A110)</f>
        <v>30</v>
      </c>
      <c r="K110" s="2" t="str">
        <f>IF(J110=I110,"complete","partial ("&amp;J110&amp;" days)")</f>
        <v>complete</v>
      </c>
      <c r="L110" s="3">
        <f>INDEX(ENSO_monthly!$F:$F,MATCH(A110,ENSO_monthly!$A:$A,0))</f>
        <v>0.22</v>
      </c>
      <c r="M110" s="2" t="str">
        <f>INDEX(ENSO_monthly!$D:$D,MATCH(A110,ENSO_monthly!$A:$A,0))</f>
        <v>MJJ</v>
      </c>
      <c r="N110" s="2" t="str">
        <f>INDEX(ENSO_monthly!$L:$L,MATCH(A110,ENSO_monthly!$A:$A,0))</f>
        <v>—</v>
      </c>
      <c r="O110" s="8" t="str">
        <f>INDEX(ENSO_seasons!$U:$U,MATCH(E110,ENSO_seasons!$A:$A,0))</f>
        <v>Neutral</v>
      </c>
      <c r="P110" s="4">
        <f>SUMIFS(Daily!$D$3:$D$7756,Daily!$B$3:$B$7756,$A110)</f>
        <v>128.357</v>
      </c>
      <c r="Q110" s="3">
        <f>AVERAGEIFS(Daily!$E$3:$E$7756,Daily!$B$3:$B$7756,$A110)</f>
        <v>23.156999999999996</v>
      </c>
      <c r="R110" s="3">
        <f>AVERAGEIFS(Daily!$F$3:$F$7756,Daily!$B$3:$B$7756,$A110)</f>
        <v>28.86433333333333</v>
      </c>
      <c r="S110" s="3">
        <f>AVERAGEIFS(Daily!$G$3:$G$7756,Daily!$B$3:$B$7756,$A110)</f>
        <v>18.770666666666667</v>
      </c>
      <c r="T110" s="4">
        <f>SUMIFS(Daily!$H$3:$H$7756,Daily!$B$3:$B$7756,$A110)</f>
        <v>107.58</v>
      </c>
      <c r="U110" s="4">
        <f>SUMIFS(Daily!$I$3:$I$7756,Daily!$B$3:$B$7756,$A110)</f>
        <v>242.509</v>
      </c>
      <c r="V110" s="3">
        <f>AVERAGEIFS(Daily!$J$3:$J$7756,Daily!$B$3:$B$7756,$A110)</f>
        <v>23.05233333333333</v>
      </c>
      <c r="W110" s="3">
        <f>AVERAGEIFS(Daily!$K$3:$K$7756,Daily!$B$3:$B$7756,$A110)</f>
        <v>26.962999999999997</v>
      </c>
      <c r="X110" s="3">
        <f>AVERAGEIFS(Daily!$L$3:$L$7756,Daily!$B$3:$B$7756,$A110)</f>
        <v>19.860333333333326</v>
      </c>
      <c r="Y110" s="4">
        <f>SUMIFS(Daily!$M$3:$M$7756,Daily!$B$3:$B$7756,$A110)</f>
        <v>201.95</v>
      </c>
      <c r="Z110" s="4">
        <f>SUMIFS(Daily!$N$3:$N$7756,Daily!$B$3:$B$7756,$A110)</f>
        <v>203.678</v>
      </c>
      <c r="AA110" s="3">
        <f>AVERAGEIFS(Daily!$O$3:$O$7756,Daily!$B$3:$B$7756,$A110)</f>
        <v>23.01466666666666</v>
      </c>
      <c r="AB110" s="3">
        <f>AVERAGEIFS(Daily!$P$3:$P$7756,Daily!$B$3:$B$7756,$A110)</f>
        <v>27.045666666666666</v>
      </c>
      <c r="AC110" s="3">
        <f>AVERAGEIFS(Daily!$Q$3:$Q$7756,Daily!$B$3:$B$7756,$A110)</f>
        <v>20.237</v>
      </c>
      <c r="AD110" s="4">
        <f>SUMIFS(Daily!$R$3:$R$7756,Daily!$B$3:$B$7756,$A110)</f>
        <v>186.63</v>
      </c>
      <c r="AE110" s="4">
        <f>AVERAGE(P110,U110,Z110)</f>
        <v>191.51466666666667</v>
      </c>
      <c r="AF110" s="3">
        <f>AVERAGE(Q110,V110,AA110)</f>
        <v>23.074666666666662</v>
      </c>
      <c r="AG110" s="3">
        <f>AVERAGE(R110,W110,AB110)</f>
        <v>27.62433333333333</v>
      </c>
      <c r="AH110" s="3">
        <f>AVERAGE(S110,X110,AC110)</f>
        <v>19.622666666666664</v>
      </c>
      <c r="AI110" s="4">
        <f>AVERAGE(T110,Y110,AD110)</f>
        <v>165.38666666666666</v>
      </c>
    </row>
    <row r="111">
      <c r="A111" s="2" t="inlineStr">
        <is>
          <t xml:space="preserve">2014-07</t>
        </is>
      </c>
      <c r="B111" s="2">
        <v>2014</v>
      </c>
      <c r="C111" s="2">
        <v>7</v>
      </c>
      <c r="D111" s="2" t="inlineStr">
        <is>
          <t xml:space="preserve">Jul</t>
        </is>
      </c>
      <c r="E111" s="2" t="inlineStr">
        <is>
          <t xml:space="preserve">2014/15</t>
        </is>
      </c>
      <c r="F111" s="2">
        <v>1</v>
      </c>
      <c r="G111" s="9">
        <v>41821</v>
      </c>
      <c r="H111" s="9">
        <v>41851</v>
      </c>
      <c r="I111" s="2">
        <f>H111-G111+1</f>
        <v>31</v>
      </c>
      <c r="J111" s="2">
        <f>COUNTIF(Daily!$B$3:$B$7756,A111)</f>
        <v>31</v>
      </c>
      <c r="K111" s="2" t="str">
        <f>IF(J111=I111,"complete","partial ("&amp;J111&amp;" days)")</f>
        <v>complete</v>
      </c>
      <c r="L111" s="3">
        <f>INDEX(ENSO_monthly!$F:$F,MATCH(A111,ENSO_monthly!$A:$A,0))</f>
        <v>0.07</v>
      </c>
      <c r="M111" s="2" t="str">
        <f>INDEX(ENSO_monthly!$D:$D,MATCH(A111,ENSO_monthly!$A:$A,0))</f>
        <v>JJA</v>
      </c>
      <c r="N111" s="2" t="str">
        <f>INDEX(ENSO_monthly!$L:$L,MATCH(A111,ENSO_monthly!$A:$A,0))</f>
        <v>—</v>
      </c>
      <c r="O111" s="11" t="str">
        <f>INDEX(ENSO_seasons!$U:$U,MATCH(E111,ENSO_seasons!$A:$A,0))</f>
        <v>El Niño</v>
      </c>
      <c r="P111" s="4">
        <f>SUMIFS(Daily!$D$3:$D$7756,Daily!$B$3:$B$7756,$A111)</f>
        <v>29.379</v>
      </c>
      <c r="Q111" s="3">
        <f>AVERAGEIFS(Daily!$E$3:$E$7756,Daily!$B$3:$B$7756,$A111)</f>
        <v>23.79967741935484</v>
      </c>
      <c r="R111" s="3">
        <f>AVERAGEIFS(Daily!$F$3:$F$7756,Daily!$B$3:$B$7756,$A111)</f>
        <v>30.677741935483866</v>
      </c>
      <c r="S111" s="3">
        <f>AVERAGEIFS(Daily!$G$3:$G$7756,Daily!$B$3:$B$7756,$A111)</f>
        <v>18.30838709677419</v>
      </c>
      <c r="T111" s="4">
        <f>SUMIFS(Daily!$H$3:$H$7756,Daily!$B$3:$B$7756,$A111)</f>
        <v>46.9</v>
      </c>
      <c r="U111" s="4">
        <f>SUMIFS(Daily!$I$3:$I$7756,Daily!$B$3:$B$7756,$A111)</f>
        <v>76.476</v>
      </c>
      <c r="V111" s="3">
        <f>AVERAGEIFS(Daily!$J$3:$J$7756,Daily!$B$3:$B$7756,$A111)</f>
        <v>23.33935483870968</v>
      </c>
      <c r="W111" s="3">
        <f>AVERAGEIFS(Daily!$K$3:$K$7756,Daily!$B$3:$B$7756,$A111)</f>
        <v>28.1041935483871</v>
      </c>
      <c r="X111" s="3">
        <f>AVERAGEIFS(Daily!$L$3:$L$7756,Daily!$B$3:$B$7756,$A111)</f>
        <v>19.477419354838702</v>
      </c>
      <c r="Y111" s="4">
        <f>SUMIFS(Daily!$M$3:$M$7756,Daily!$B$3:$B$7756,$A111)</f>
        <v>76.9</v>
      </c>
      <c r="Z111" s="4">
        <f>SUMIFS(Daily!$N$3:$N$7756,Daily!$B$3:$B$7756,$A111)</f>
        <v>65.469</v>
      </c>
      <c r="AA111" s="3">
        <f>AVERAGEIFS(Daily!$O$3:$O$7756,Daily!$B$3:$B$7756,$A111)</f>
        <v>22.99258064516129</v>
      </c>
      <c r="AB111" s="3">
        <f>AVERAGEIFS(Daily!$P$3:$P$7756,Daily!$B$3:$B$7756,$A111)</f>
        <v>27.37709677419354</v>
      </c>
      <c r="AC111" s="3">
        <f>AVERAGEIFS(Daily!$Q$3:$Q$7756,Daily!$B$3:$B$7756,$A111)</f>
        <v>20.085806451612903</v>
      </c>
      <c r="AD111" s="4">
        <f>SUMIFS(Daily!$R$3:$R$7756,Daily!$B$3:$B$7756,$A111)</f>
        <v>115.36</v>
      </c>
      <c r="AE111" s="4">
        <f>AVERAGE(P111,U111,Z111)</f>
        <v>57.108000000000004</v>
      </c>
      <c r="AF111" s="3">
        <f>AVERAGE(Q111,V111,AA111)</f>
        <v>23.377204301075267</v>
      </c>
      <c r="AG111" s="3">
        <f>AVERAGE(R111,W111,AB111)</f>
        <v>28.719677419354838</v>
      </c>
      <c r="AH111" s="3">
        <f>AVERAGE(S111,X111,AC111)</f>
        <v>19.290537634408597</v>
      </c>
      <c r="AI111" s="4">
        <f>AVERAGE(T111,Y111,AD111)</f>
        <v>79.72000000000001</v>
      </c>
    </row>
    <row r="112">
      <c r="A112" s="2" t="inlineStr">
        <is>
          <t xml:space="preserve">2014-08</t>
        </is>
      </c>
      <c r="B112" s="2">
        <v>2014</v>
      </c>
      <c r="C112" s="2">
        <v>8</v>
      </c>
      <c r="D112" s="2" t="inlineStr">
        <is>
          <t xml:space="preserve">Aug</t>
        </is>
      </c>
      <c r="E112" s="2" t="inlineStr">
        <is>
          <t xml:space="preserve">2014/15</t>
        </is>
      </c>
      <c r="F112" s="2">
        <v>2</v>
      </c>
      <c r="G112" s="9">
        <v>41852</v>
      </c>
      <c r="H112" s="9">
        <v>41882</v>
      </c>
      <c r="I112" s="2">
        <f>H112-G112+1</f>
        <v>31</v>
      </c>
      <c r="J112" s="2">
        <f>COUNTIF(Daily!$B$3:$B$7756,A112)</f>
        <v>31</v>
      </c>
      <c r="K112" s="2" t="str">
        <f>IF(J112=I112,"complete","partial ("&amp;J112&amp;" days)")</f>
        <v>complete</v>
      </c>
      <c r="L112" s="3">
        <f>INDEX(ENSO_monthly!$F:$F,MATCH(A112,ENSO_monthly!$A:$A,0))</f>
        <v>0.07</v>
      </c>
      <c r="M112" s="2" t="str">
        <f>INDEX(ENSO_monthly!$D:$D,MATCH(A112,ENSO_monthly!$A:$A,0))</f>
        <v>JAS</v>
      </c>
      <c r="N112" s="2" t="str">
        <f>INDEX(ENSO_monthly!$L:$L,MATCH(A112,ENSO_monthly!$A:$A,0))</f>
        <v>—</v>
      </c>
      <c r="O112" s="11" t="str">
        <f>INDEX(ENSO_seasons!$U:$U,MATCH(E112,ENSO_seasons!$A:$A,0))</f>
        <v>El Niño</v>
      </c>
      <c r="P112" s="4">
        <f>SUMIFS(Daily!$D$3:$D$7756,Daily!$B$3:$B$7756,$A112)</f>
        <v>164.523</v>
      </c>
      <c r="Q112" s="3">
        <f>AVERAGEIFS(Daily!$E$3:$E$7756,Daily!$B$3:$B$7756,$A112)</f>
        <v>23.637419354838713</v>
      </c>
      <c r="R112" s="3">
        <f>AVERAGEIFS(Daily!$F$3:$F$7756,Daily!$B$3:$B$7756,$A112)</f>
        <v>29.985161290322583</v>
      </c>
      <c r="S112" s="3">
        <f>AVERAGEIFS(Daily!$G$3:$G$7756,Daily!$B$3:$B$7756,$A112)</f>
        <v>18.783225806451615</v>
      </c>
      <c r="T112" s="4">
        <f>SUMIFS(Daily!$H$3:$H$7756,Daily!$B$3:$B$7756,$A112)</f>
        <v>134.93</v>
      </c>
      <c r="U112" s="4">
        <f>SUMIFS(Daily!$I$3:$I$7756,Daily!$B$3:$B$7756,$A112)</f>
        <v>208.168</v>
      </c>
      <c r="V112" s="3">
        <f>AVERAGEIFS(Daily!$J$3:$J$7756,Daily!$B$3:$B$7756,$A112)</f>
        <v>22.723870967741934</v>
      </c>
      <c r="W112" s="3">
        <f>AVERAGEIFS(Daily!$K$3:$K$7756,Daily!$B$3:$B$7756,$A112)</f>
        <v>27.179999999999993</v>
      </c>
      <c r="X112" s="3">
        <f>AVERAGEIFS(Daily!$L$3:$L$7756,Daily!$B$3:$B$7756,$A112)</f>
        <v>19.178387096774188</v>
      </c>
      <c r="Y112" s="4">
        <f>SUMIFS(Daily!$M$3:$M$7756,Daily!$B$3:$B$7756,$A112)</f>
        <v>223.93</v>
      </c>
      <c r="Z112" s="4">
        <f>SUMIFS(Daily!$N$3:$N$7756,Daily!$B$3:$B$7756,$A112)</f>
        <v>284.291</v>
      </c>
      <c r="AA112" s="3">
        <f>AVERAGEIFS(Daily!$O$3:$O$7756,Daily!$B$3:$B$7756,$A112)</f>
        <v>22.634193548387103</v>
      </c>
      <c r="AB112" s="3">
        <f>AVERAGEIFS(Daily!$P$3:$P$7756,Daily!$B$3:$B$7756,$A112)</f>
        <v>26.747741935483866</v>
      </c>
      <c r="AC112" s="3">
        <f>AVERAGEIFS(Daily!$Q$3:$Q$7756,Daily!$B$3:$B$7756,$A112)</f>
        <v>19.761612903225803</v>
      </c>
      <c r="AD112" s="4">
        <f>SUMIFS(Daily!$R$3:$R$7756,Daily!$B$3:$B$7756,$A112)</f>
        <v>229.86</v>
      </c>
      <c r="AE112" s="4">
        <f>AVERAGE(P112,U112,Z112)</f>
        <v>218.994</v>
      </c>
      <c r="AF112" s="3">
        <f>AVERAGE(Q112,V112,AA112)</f>
        <v>22.998494623655915</v>
      </c>
      <c r="AG112" s="3">
        <f>AVERAGE(R112,W112,AB112)</f>
        <v>27.970967741935482</v>
      </c>
      <c r="AH112" s="3">
        <f>AVERAGE(S112,X112,AC112)</f>
        <v>19.2410752688172</v>
      </c>
      <c r="AI112" s="4">
        <f>AVERAGE(T112,Y112,AD112)</f>
        <v>196.24</v>
      </c>
    </row>
    <row r="113">
      <c r="A113" s="2" t="inlineStr">
        <is>
          <t xml:space="preserve">2014-09</t>
        </is>
      </c>
      <c r="B113" s="2">
        <v>2014</v>
      </c>
      <c r="C113" s="2">
        <v>9</v>
      </c>
      <c r="D113" s="2" t="inlineStr">
        <is>
          <t xml:space="preserve">Sep</t>
        </is>
      </c>
      <c r="E113" s="2" t="inlineStr">
        <is>
          <t xml:space="preserve">2014/15</t>
        </is>
      </c>
      <c r="F113" s="2">
        <v>3</v>
      </c>
      <c r="G113" s="9">
        <v>41883</v>
      </c>
      <c r="H113" s="9">
        <v>41912</v>
      </c>
      <c r="I113" s="2">
        <f>H113-G113+1</f>
        <v>30</v>
      </c>
      <c r="J113" s="2">
        <f>COUNTIF(Daily!$B$3:$B$7756,A113)</f>
        <v>30</v>
      </c>
      <c r="K113" s="2" t="str">
        <f>IF(J113=I113,"complete","partial ("&amp;J113&amp;" days)")</f>
        <v>complete</v>
      </c>
      <c r="L113" s="3">
        <f>INDEX(ENSO_monthly!$F:$F,MATCH(A113,ENSO_monthly!$A:$A,0))</f>
        <v>0.24</v>
      </c>
      <c r="M113" s="2" t="str">
        <f>INDEX(ENSO_monthly!$D:$D,MATCH(A113,ENSO_monthly!$A:$A,0))</f>
        <v>ASO</v>
      </c>
      <c r="N113" s="2" t="str">
        <f>INDEX(ENSO_monthly!$L:$L,MATCH(A113,ENSO_monthly!$A:$A,0))</f>
        <v>—</v>
      </c>
      <c r="O113" s="11" t="str">
        <f>INDEX(ENSO_seasons!$U:$U,MATCH(E113,ENSO_seasons!$A:$A,0))</f>
        <v>El Niño</v>
      </c>
      <c r="P113" s="4">
        <f>SUMIFS(Daily!$D$3:$D$7756,Daily!$B$3:$B$7756,$A113)</f>
        <v>210.235</v>
      </c>
      <c r="Q113" s="3">
        <f>AVERAGEIFS(Daily!$E$3:$E$7756,Daily!$B$3:$B$7756,$A113)</f>
        <v>21.930000000000007</v>
      </c>
      <c r="R113" s="3">
        <f>AVERAGEIFS(Daily!$F$3:$F$7756,Daily!$B$3:$B$7756,$A113)</f>
        <v>26.992000000000004</v>
      </c>
      <c r="S113" s="3">
        <f>AVERAGEIFS(Daily!$G$3:$G$7756,Daily!$B$3:$B$7756,$A113)</f>
        <v>18.10333333333333</v>
      </c>
      <c r="T113" s="4">
        <f>SUMIFS(Daily!$H$3:$H$7756,Daily!$B$3:$B$7756,$A113)</f>
        <v>198.63</v>
      </c>
      <c r="U113" s="4">
        <f>SUMIFS(Daily!$I$3:$I$7756,Daily!$B$3:$B$7756,$A113)</f>
        <v>262.123</v>
      </c>
      <c r="V113" s="3">
        <f>AVERAGEIFS(Daily!$J$3:$J$7756,Daily!$B$3:$B$7756,$A113)</f>
        <v>22.122333333333334</v>
      </c>
      <c r="W113" s="3">
        <f>AVERAGEIFS(Daily!$K$3:$K$7756,Daily!$B$3:$B$7756,$A113)</f>
        <v>26.04133333333333</v>
      </c>
      <c r="X113" s="3">
        <f>AVERAGEIFS(Daily!$L$3:$L$7756,Daily!$B$3:$B$7756,$A113)</f>
        <v>19.172333333333334</v>
      </c>
      <c r="Y113" s="4">
        <f>SUMIFS(Daily!$M$3:$M$7756,Daily!$B$3:$B$7756,$A113)</f>
        <v>263.23</v>
      </c>
      <c r="Z113" s="4">
        <f>SUMIFS(Daily!$N$3:$N$7756,Daily!$B$3:$B$7756,$A113)</f>
        <v>297.636</v>
      </c>
      <c r="AA113" s="3">
        <f>AVERAGEIFS(Daily!$O$3:$O$7756,Daily!$B$3:$B$7756,$A113)</f>
        <v>22.487666666666666</v>
      </c>
      <c r="AB113" s="3">
        <f>AVERAGEIFS(Daily!$P$3:$P$7756,Daily!$B$3:$B$7756,$A113)</f>
        <v>26.163999999999994</v>
      </c>
      <c r="AC113" s="3">
        <f>AVERAGEIFS(Daily!$Q$3:$Q$7756,Daily!$B$3:$B$7756,$A113)</f>
        <v>19.886333333333333</v>
      </c>
      <c r="AD113" s="4">
        <f>SUMIFS(Daily!$R$3:$R$7756,Daily!$B$3:$B$7756,$A113)</f>
        <v>281.05</v>
      </c>
      <c r="AE113" s="4">
        <f>AVERAGE(P113,U113,Z113)</f>
        <v>256.6646666666667</v>
      </c>
      <c r="AF113" s="3">
        <f>AVERAGE(Q113,V113,AA113)</f>
        <v>22.180000000000003</v>
      </c>
      <c r="AG113" s="3">
        <f>AVERAGE(R113,W113,AB113)</f>
        <v>26.399111111111107</v>
      </c>
      <c r="AH113" s="3">
        <f>AVERAGE(S113,X113,AC113)</f>
        <v>19.054</v>
      </c>
      <c r="AI113" s="4">
        <f>AVERAGE(T113,Y113,AD113)</f>
        <v>247.63666666666668</v>
      </c>
    </row>
    <row r="114">
      <c r="A114" s="2" t="inlineStr">
        <is>
          <t xml:space="preserve">2014-10</t>
        </is>
      </c>
      <c r="B114" s="2">
        <v>2014</v>
      </c>
      <c r="C114" s="2">
        <v>10</v>
      </c>
      <c r="D114" s="2" t="inlineStr">
        <is>
          <t xml:space="preserve">Oct</t>
        </is>
      </c>
      <c r="E114" s="2" t="inlineStr">
        <is>
          <t xml:space="preserve">2014/15</t>
        </is>
      </c>
      <c r="F114" s="2">
        <v>4</v>
      </c>
      <c r="G114" s="9">
        <v>41913</v>
      </c>
      <c r="H114" s="9">
        <v>41943</v>
      </c>
      <c r="I114" s="2">
        <f>H114-G114+1</f>
        <v>31</v>
      </c>
      <c r="J114" s="2">
        <f>COUNTIF(Daily!$B$3:$B$7756,A114)</f>
        <v>31</v>
      </c>
      <c r="K114" s="2" t="str">
        <f>IF(J114=I114,"complete","partial ("&amp;J114&amp;" days)")</f>
        <v>complete</v>
      </c>
      <c r="L114" s="3">
        <f>INDEX(ENSO_monthly!$F:$F,MATCH(A114,ENSO_monthly!$A:$A,0))</f>
        <v>0.51</v>
      </c>
      <c r="M114" s="2" t="str">
        <f>INDEX(ENSO_monthly!$D:$D,MATCH(A114,ENSO_monthly!$A:$A,0))</f>
        <v>SON</v>
      </c>
      <c r="N114" s="6" t="str">
        <f>INDEX(ENSO_monthly!$L:$L,MATCH(A114,ENSO_monthly!$A:$A,0))</f>
        <v>El Niño</v>
      </c>
      <c r="O114" s="11" t="str">
        <f>INDEX(ENSO_seasons!$U:$U,MATCH(E114,ENSO_seasons!$A:$A,0))</f>
        <v>El Niño</v>
      </c>
      <c r="P114" s="4">
        <f>SUMIFS(Daily!$D$3:$D$7756,Daily!$B$3:$B$7756,$A114)</f>
        <v>153.326</v>
      </c>
      <c r="Q114" s="3">
        <f>AVERAGEIFS(Daily!$E$3:$E$7756,Daily!$B$3:$B$7756,$A114)</f>
        <v>21.115161290322582</v>
      </c>
      <c r="R114" s="3">
        <f>AVERAGEIFS(Daily!$F$3:$F$7756,Daily!$B$3:$B$7756,$A114)</f>
        <v>25.48258064516129</v>
      </c>
      <c r="S114" s="3">
        <f>AVERAGEIFS(Daily!$G$3:$G$7756,Daily!$B$3:$B$7756,$A114)</f>
        <v>17.781612903225803</v>
      </c>
      <c r="T114" s="4">
        <f>SUMIFS(Daily!$H$3:$H$7756,Daily!$B$3:$B$7756,$A114)</f>
        <v>175.97</v>
      </c>
      <c r="U114" s="4">
        <f>SUMIFS(Daily!$I$3:$I$7756,Daily!$B$3:$B$7756,$A114)</f>
        <v>249.157</v>
      </c>
      <c r="V114" s="3">
        <f>AVERAGEIFS(Daily!$J$3:$J$7756,Daily!$B$3:$B$7756,$A114)</f>
        <v>21.504516129032254</v>
      </c>
      <c r="W114" s="3">
        <f>AVERAGEIFS(Daily!$K$3:$K$7756,Daily!$B$3:$B$7756,$A114)</f>
        <v>25.466451612903224</v>
      </c>
      <c r="X114" s="3">
        <f>AVERAGEIFS(Daily!$L$3:$L$7756,Daily!$B$3:$B$7756,$A114)</f>
        <v>18.39193548387097</v>
      </c>
      <c r="Y114" s="4">
        <f>SUMIFS(Daily!$M$3:$M$7756,Daily!$B$3:$B$7756,$A114)</f>
        <v>255.27</v>
      </c>
      <c r="Z114" s="4">
        <f>SUMIFS(Daily!$N$3:$N$7756,Daily!$B$3:$B$7756,$A114)</f>
        <v>272.222</v>
      </c>
      <c r="AA114" s="3">
        <f>AVERAGEIFS(Daily!$O$3:$O$7756,Daily!$B$3:$B$7756,$A114)</f>
        <v>21.813870967741938</v>
      </c>
      <c r="AB114" s="3">
        <f>AVERAGEIFS(Daily!$P$3:$P$7756,Daily!$B$3:$B$7756,$A114)</f>
        <v>25.507741935483867</v>
      </c>
      <c r="AC114" s="3">
        <f>AVERAGEIFS(Daily!$Q$3:$Q$7756,Daily!$B$3:$B$7756,$A114)</f>
        <v>19.12387096774194</v>
      </c>
      <c r="AD114" s="4">
        <f>SUMIFS(Daily!$R$3:$R$7756,Daily!$B$3:$B$7756,$A114)</f>
        <v>299.29</v>
      </c>
      <c r="AE114" s="4">
        <f>AVERAGE(P114,U114,Z114)</f>
        <v>224.90166666666664</v>
      </c>
      <c r="AF114" s="3">
        <f>AVERAGE(Q114,V114,AA114)</f>
        <v>21.477849462365594</v>
      </c>
      <c r="AG114" s="3">
        <f>AVERAGE(R114,W114,AB114)</f>
        <v>25.48559139784946</v>
      </c>
      <c r="AH114" s="3">
        <f>AVERAGE(S114,X114,AC114)</f>
        <v>18.43247311827957</v>
      </c>
      <c r="AI114" s="4">
        <f>AVERAGE(T114,Y114,AD114)</f>
        <v>243.51</v>
      </c>
    </row>
    <row r="115">
      <c r="A115" s="2" t="inlineStr">
        <is>
          <t xml:space="preserve">2014-11</t>
        </is>
      </c>
      <c r="B115" s="2">
        <v>2014</v>
      </c>
      <c r="C115" s="2">
        <v>11</v>
      </c>
      <c r="D115" s="2" t="inlineStr">
        <is>
          <t xml:space="preserve">Nov</t>
        </is>
      </c>
      <c r="E115" s="2" t="inlineStr">
        <is>
          <t xml:space="preserve">2014/15</t>
        </is>
      </c>
      <c r="F115" s="2">
        <v>5</v>
      </c>
      <c r="G115" s="9">
        <v>41944</v>
      </c>
      <c r="H115" s="9">
        <v>41973</v>
      </c>
      <c r="I115" s="2">
        <f>H115-G115+1</f>
        <v>30</v>
      </c>
      <c r="J115" s="2">
        <f>COUNTIF(Daily!$B$3:$B$7756,A115)</f>
        <v>30</v>
      </c>
      <c r="K115" s="2" t="str">
        <f>IF(J115=I115,"complete","partial ("&amp;J115&amp;" days)")</f>
        <v>complete</v>
      </c>
      <c r="L115" s="3">
        <f>INDEX(ENSO_monthly!$F:$F,MATCH(A115,ENSO_monthly!$A:$A,0))</f>
        <v>0.7</v>
      </c>
      <c r="M115" s="2" t="str">
        <f>INDEX(ENSO_monthly!$D:$D,MATCH(A115,ENSO_monthly!$A:$A,0))</f>
        <v>OND</v>
      </c>
      <c r="N115" s="6" t="str">
        <f>INDEX(ENSO_monthly!$L:$L,MATCH(A115,ENSO_monthly!$A:$A,0))</f>
        <v>El Niño</v>
      </c>
      <c r="O115" s="11" t="str">
        <f>INDEX(ENSO_seasons!$U:$U,MATCH(E115,ENSO_seasons!$A:$A,0))</f>
        <v>El Niño</v>
      </c>
      <c r="P115" s="4">
        <f>SUMIFS(Daily!$D$3:$D$7756,Daily!$B$3:$B$7756,$A115)</f>
        <v>33.889</v>
      </c>
      <c r="Q115" s="3">
        <f>AVERAGEIFS(Daily!$E$3:$E$7756,Daily!$B$3:$B$7756,$A115)</f>
        <v>19.473999999999993</v>
      </c>
      <c r="R115" s="3">
        <f>AVERAGEIFS(Daily!$F$3:$F$7756,Daily!$B$3:$B$7756,$A115)</f>
        <v>24.27733333333334</v>
      </c>
      <c r="S115" s="3">
        <f>AVERAGEIFS(Daily!$G$3:$G$7756,Daily!$B$3:$B$7756,$A115)</f>
        <v>15.979999999999997</v>
      </c>
      <c r="T115" s="4">
        <f>SUMIFS(Daily!$H$3:$H$7756,Daily!$B$3:$B$7756,$A115)</f>
        <v>110.37</v>
      </c>
      <c r="U115" s="4">
        <f>SUMIFS(Daily!$I$3:$I$7756,Daily!$B$3:$B$7756,$A115)</f>
        <v>29.378</v>
      </c>
      <c r="V115" s="3">
        <f>AVERAGEIFS(Daily!$J$3:$J$7756,Daily!$B$3:$B$7756,$A115)</f>
        <v>19.65266666666667</v>
      </c>
      <c r="W115" s="3">
        <f>AVERAGEIFS(Daily!$K$3:$K$7756,Daily!$B$3:$B$7756,$A115)</f>
        <v>24.19933333333334</v>
      </c>
      <c r="X115" s="3">
        <f>AVERAGEIFS(Daily!$L$3:$L$7756,Daily!$B$3:$B$7756,$A115)</f>
        <v>16.302666666666667</v>
      </c>
      <c r="Y115" s="4">
        <f>SUMIFS(Daily!$M$3:$M$7756,Daily!$B$3:$B$7756,$A115)</f>
        <v>78.46</v>
      </c>
      <c r="Z115" s="4">
        <f>SUMIFS(Daily!$N$3:$N$7756,Daily!$B$3:$B$7756,$A115)</f>
        <v>113.902</v>
      </c>
      <c r="AA115" s="3">
        <f>AVERAGEIFS(Daily!$O$3:$O$7756,Daily!$B$3:$B$7756,$A115)</f>
        <v>19.786666666666665</v>
      </c>
      <c r="AB115" s="3">
        <f>AVERAGEIFS(Daily!$P$3:$P$7756,Daily!$B$3:$B$7756,$A115)</f>
        <v>23.80933333333333</v>
      </c>
      <c r="AC115" s="3">
        <f>AVERAGEIFS(Daily!$Q$3:$Q$7756,Daily!$B$3:$B$7756,$A115)</f>
        <v>16.909</v>
      </c>
      <c r="AD115" s="4">
        <f>SUMIFS(Daily!$R$3:$R$7756,Daily!$B$3:$B$7756,$A115)</f>
        <v>181.16</v>
      </c>
      <c r="AE115" s="4">
        <f>AVERAGE(P115,U115,Z115)</f>
        <v>59.056333333333335</v>
      </c>
      <c r="AF115" s="3">
        <f>AVERAGE(Q115,V115,AA115)</f>
        <v>19.637777777777774</v>
      </c>
      <c r="AG115" s="3">
        <f>AVERAGE(R115,W115,AB115)</f>
        <v>24.095333333333333</v>
      </c>
      <c r="AH115" s="3">
        <f>AVERAGE(S115,X115,AC115)</f>
        <v>16.397222222222222</v>
      </c>
      <c r="AI115" s="4">
        <f>AVERAGE(T115,Y115,AD115)</f>
        <v>123.33</v>
      </c>
    </row>
    <row r="116">
      <c r="A116" s="2" t="inlineStr">
        <is>
          <t xml:space="preserve">2014-12</t>
        </is>
      </c>
      <c r="B116" s="2">
        <v>2014</v>
      </c>
      <c r="C116" s="2">
        <v>12</v>
      </c>
      <c r="D116" s="2" t="inlineStr">
        <is>
          <t xml:space="preserve">Dec</t>
        </is>
      </c>
      <c r="E116" s="2" t="inlineStr">
        <is>
          <t xml:space="preserve">2014/15</t>
        </is>
      </c>
      <c r="F116" s="2">
        <v>6</v>
      </c>
      <c r="G116" s="9">
        <v>41974</v>
      </c>
      <c r="H116" s="9">
        <v>42004</v>
      </c>
      <c r="I116" s="2">
        <f>H116-G116+1</f>
        <v>31</v>
      </c>
      <c r="J116" s="2">
        <f>COUNTIF(Daily!$B$3:$B$7756,A116)</f>
        <v>31</v>
      </c>
      <c r="K116" s="2" t="str">
        <f>IF(J116=I116,"complete","partial ("&amp;J116&amp;" days)")</f>
        <v>complete</v>
      </c>
      <c r="L116" s="3">
        <f>INDEX(ENSO_monthly!$F:$F,MATCH(A116,ENSO_monthly!$A:$A,0))</f>
        <v>0.8</v>
      </c>
      <c r="M116" s="2" t="str">
        <f>INDEX(ENSO_monthly!$D:$D,MATCH(A116,ENSO_monthly!$A:$A,0))</f>
        <v>NDJ</v>
      </c>
      <c r="N116" s="6" t="str">
        <f>INDEX(ENSO_monthly!$L:$L,MATCH(A116,ENSO_monthly!$A:$A,0))</f>
        <v>El Niño</v>
      </c>
      <c r="O116" s="11" t="str">
        <f>INDEX(ENSO_seasons!$U:$U,MATCH(E116,ENSO_seasons!$A:$A,0))</f>
        <v>El Niño</v>
      </c>
      <c r="P116" s="4">
        <f>SUMIFS(Daily!$D$3:$D$7756,Daily!$B$3:$B$7756,$A116)</f>
        <v>2.653</v>
      </c>
      <c r="Q116" s="3">
        <f>AVERAGEIFS(Daily!$E$3:$E$7756,Daily!$B$3:$B$7756,$A116)</f>
        <v>18.653225806451616</v>
      </c>
      <c r="R116" s="3">
        <f>AVERAGEIFS(Daily!$F$3:$F$7756,Daily!$B$3:$B$7756,$A116)</f>
        <v>24.019677419354835</v>
      </c>
      <c r="S116" s="3">
        <f>AVERAGEIFS(Daily!$G$3:$G$7756,Daily!$B$3:$B$7756,$A116)</f>
        <v>14.835161290322578</v>
      </c>
      <c r="T116" s="4">
        <f>SUMIFS(Daily!$H$3:$H$7756,Daily!$B$3:$B$7756,$A116)</f>
        <v>26.57</v>
      </c>
      <c r="U116" s="4">
        <f>SUMIFS(Daily!$I$3:$I$7756,Daily!$B$3:$B$7756,$A116)</f>
        <v>25.082</v>
      </c>
      <c r="V116" s="3">
        <f>AVERAGEIFS(Daily!$J$3:$J$7756,Daily!$B$3:$B$7756,$A116)</f>
        <v>18.85451612903226</v>
      </c>
      <c r="W116" s="3">
        <f>AVERAGEIFS(Daily!$K$3:$K$7756,Daily!$B$3:$B$7756,$A116)</f>
        <v>23.79838709677419</v>
      </c>
      <c r="X116" s="3">
        <f>AVERAGEIFS(Daily!$L$3:$L$7756,Daily!$B$3:$B$7756,$A116)</f>
        <v>15.342258064516129</v>
      </c>
      <c r="Y116" s="4">
        <f>SUMIFS(Daily!$M$3:$M$7756,Daily!$B$3:$B$7756,$A116)</f>
        <v>50.28</v>
      </c>
      <c r="Z116" s="4">
        <f>SUMIFS(Daily!$N$3:$N$7756,Daily!$B$3:$B$7756,$A116)</f>
        <v>91.953</v>
      </c>
      <c r="AA116" s="3">
        <f>AVERAGEIFS(Daily!$O$3:$O$7756,Daily!$B$3:$B$7756,$A116)</f>
        <v>18.970967741935482</v>
      </c>
      <c r="AB116" s="3">
        <f>AVERAGEIFS(Daily!$P$3:$P$7756,Daily!$B$3:$B$7756,$A116)</f>
        <v>23.336451612903232</v>
      </c>
      <c r="AC116" s="3">
        <f>AVERAGEIFS(Daily!$Q$3:$Q$7756,Daily!$B$3:$B$7756,$A116)</f>
        <v>15.981290322580644</v>
      </c>
      <c r="AD116" s="4">
        <f>SUMIFS(Daily!$R$3:$R$7756,Daily!$B$3:$B$7756,$A116)</f>
        <v>100.97</v>
      </c>
      <c r="AE116" s="4">
        <f>AVERAGE(P116,U116,Z116)</f>
        <v>39.896</v>
      </c>
      <c r="AF116" s="3">
        <f>AVERAGE(Q116,V116,AA116)</f>
        <v>18.826236559139787</v>
      </c>
      <c r="AG116" s="3">
        <f>AVERAGE(R116,W116,AB116)</f>
        <v>23.718172043010753</v>
      </c>
      <c r="AH116" s="3">
        <f>AVERAGE(S116,X116,AC116)</f>
        <v>15.386236559139784</v>
      </c>
      <c r="AI116" s="4">
        <f>AVERAGE(T116,Y116,AD116)</f>
        <v>59.27333333333333</v>
      </c>
    </row>
    <row r="117">
      <c r="A117" s="2" t="inlineStr">
        <is>
          <t xml:space="preserve">2015-01</t>
        </is>
      </c>
      <c r="B117" s="2">
        <v>2015</v>
      </c>
      <c r="C117" s="2">
        <v>1</v>
      </c>
      <c r="D117" s="2" t="inlineStr">
        <is>
          <t xml:space="preserve">Jan</t>
        </is>
      </c>
      <c r="E117" s="2" t="inlineStr">
        <is>
          <t xml:space="preserve">2014/15</t>
        </is>
      </c>
      <c r="F117" s="2">
        <v>7</v>
      </c>
      <c r="G117" s="9">
        <v>42005</v>
      </c>
      <c r="H117" s="9">
        <v>42035</v>
      </c>
      <c r="I117" s="2">
        <f>H117-G117+1</f>
        <v>31</v>
      </c>
      <c r="J117" s="2">
        <f>COUNTIF(Daily!$B$3:$B$7756,A117)</f>
        <v>31</v>
      </c>
      <c r="K117" s="2" t="str">
        <f>IF(J117=I117,"complete","partial ("&amp;J117&amp;" days)")</f>
        <v>complete</v>
      </c>
      <c r="L117" s="3">
        <f>INDEX(ENSO_monthly!$F:$F,MATCH(A117,ENSO_monthly!$A:$A,0))</f>
        <v>0.73</v>
      </c>
      <c r="M117" s="2" t="str">
        <f>INDEX(ENSO_monthly!$D:$D,MATCH(A117,ENSO_monthly!$A:$A,0))</f>
        <v>DJF</v>
      </c>
      <c r="N117" s="6" t="str">
        <f>INDEX(ENSO_monthly!$L:$L,MATCH(A117,ENSO_monthly!$A:$A,0))</f>
        <v>El Niño</v>
      </c>
      <c r="O117" s="11" t="str">
        <f>INDEX(ENSO_seasons!$U:$U,MATCH(E117,ENSO_seasons!$A:$A,0))</f>
        <v>El Niño</v>
      </c>
      <c r="P117" s="4">
        <f>SUMIFS(Daily!$D$3:$D$7756,Daily!$B$3:$B$7756,$A117)</f>
        <v>5.953</v>
      </c>
      <c r="Q117" s="3">
        <f>AVERAGEIFS(Daily!$E$3:$E$7756,Daily!$B$3:$B$7756,$A117)</f>
        <v>19.01290322580645</v>
      </c>
      <c r="R117" s="3">
        <f>AVERAGEIFS(Daily!$F$3:$F$7756,Daily!$B$3:$B$7756,$A117)</f>
        <v>25.093870967741932</v>
      </c>
      <c r="S117" s="3">
        <f>AVERAGEIFS(Daily!$G$3:$G$7756,Daily!$B$3:$B$7756,$A117)</f>
        <v>14.937096774193547</v>
      </c>
      <c r="T117" s="4">
        <f>SUMIFS(Daily!$H$3:$H$7756,Daily!$B$3:$B$7756,$A117)</f>
        <v>31.46</v>
      </c>
      <c r="U117" s="4">
        <f>SUMIFS(Daily!$I$3:$I$7756,Daily!$B$3:$B$7756,$A117)</f>
        <v>7.495</v>
      </c>
      <c r="V117" s="3">
        <f>AVERAGEIFS(Daily!$J$3:$J$7756,Daily!$B$3:$B$7756,$A117)</f>
        <v>19.13967741935484</v>
      </c>
      <c r="W117" s="3">
        <f>AVERAGEIFS(Daily!$K$3:$K$7756,Daily!$B$3:$B$7756,$A117)</f>
        <v>24.165806451612895</v>
      </c>
      <c r="X117" s="3">
        <f>AVERAGEIFS(Daily!$L$3:$L$7756,Daily!$B$3:$B$7756,$A117)</f>
        <v>15.722903225806455</v>
      </c>
      <c r="Y117" s="4">
        <f>SUMIFS(Daily!$M$3:$M$7756,Daily!$B$3:$B$7756,$A117)</f>
        <v>27.66</v>
      </c>
      <c r="Z117" s="4">
        <f>SUMIFS(Daily!$N$3:$N$7756,Daily!$B$3:$B$7756,$A117)</f>
        <v>37.503</v>
      </c>
      <c r="AA117" s="3">
        <f>AVERAGEIFS(Daily!$O$3:$O$7756,Daily!$B$3:$B$7756,$A117)</f>
        <v>18.875483870967738</v>
      </c>
      <c r="AB117" s="3">
        <f>AVERAGEIFS(Daily!$P$3:$P$7756,Daily!$B$3:$B$7756,$A117)</f>
        <v>22.977419354838705</v>
      </c>
      <c r="AC117" s="3">
        <f>AVERAGEIFS(Daily!$Q$3:$Q$7756,Daily!$B$3:$B$7756,$A117)</f>
        <v>16.172903225806454</v>
      </c>
      <c r="AD117" s="4">
        <f>SUMIFS(Daily!$R$3:$R$7756,Daily!$B$3:$B$7756,$A117)</f>
        <v>79.24</v>
      </c>
      <c r="AE117" s="4">
        <f>AVERAGE(P117,U117,Z117)</f>
        <v>16.983666666666668</v>
      </c>
      <c r="AF117" s="3">
        <f>AVERAGE(Q117,V117,AA117)</f>
        <v>19.00935483870968</v>
      </c>
      <c r="AG117" s="3">
        <f>AVERAGE(R117,W117,AB117)</f>
        <v>24.07903225806451</v>
      </c>
      <c r="AH117" s="3">
        <f>AVERAGE(S117,X117,AC117)</f>
        <v>15.610967741935488</v>
      </c>
      <c r="AI117" s="4">
        <f>AVERAGE(T117,Y117,AD117)</f>
        <v>46.120000000000005</v>
      </c>
    </row>
    <row r="118">
      <c r="A118" s="2" t="inlineStr">
        <is>
          <t xml:space="preserve">2015-02</t>
        </is>
      </c>
      <c r="B118" s="2">
        <v>2015</v>
      </c>
      <c r="C118" s="2">
        <v>2</v>
      </c>
      <c r="D118" s="2" t="inlineStr">
        <is>
          <t xml:space="preserve">Feb</t>
        </is>
      </c>
      <c r="E118" s="2" t="inlineStr">
        <is>
          <t xml:space="preserve">2014/15</t>
        </is>
      </c>
      <c r="F118" s="2">
        <v>8</v>
      </c>
      <c r="G118" s="9">
        <v>42036</v>
      </c>
      <c r="H118" s="9">
        <v>42063</v>
      </c>
      <c r="I118" s="2">
        <f>H118-G118+1</f>
        <v>28</v>
      </c>
      <c r="J118" s="2">
        <f>COUNTIF(Daily!$B$3:$B$7756,A118)</f>
        <v>28</v>
      </c>
      <c r="K118" s="2" t="str">
        <f>IF(J118=I118,"complete","partial ("&amp;J118&amp;" days)")</f>
        <v>complete</v>
      </c>
      <c r="L118" s="3">
        <f>INDEX(ENSO_monthly!$F:$F,MATCH(A118,ENSO_monthly!$A:$A,0))</f>
        <v>0.65</v>
      </c>
      <c r="M118" s="2" t="str">
        <f>INDEX(ENSO_monthly!$D:$D,MATCH(A118,ENSO_monthly!$A:$A,0))</f>
        <v>JFM</v>
      </c>
      <c r="N118" s="6" t="str">
        <f>INDEX(ENSO_monthly!$L:$L,MATCH(A118,ENSO_monthly!$A:$A,0))</f>
        <v>El Niño</v>
      </c>
      <c r="O118" s="11" t="str">
        <f>INDEX(ENSO_seasons!$U:$U,MATCH(E118,ENSO_seasons!$A:$A,0))</f>
        <v>El Niño</v>
      </c>
      <c r="P118" s="4">
        <f>SUMIFS(Daily!$D$3:$D$7756,Daily!$B$3:$B$7756,$A118)</f>
        <v>3.411</v>
      </c>
      <c r="Q118" s="3">
        <f>AVERAGEIFS(Daily!$E$3:$E$7756,Daily!$B$3:$B$7756,$A118)</f>
        <v>20.400714285714283</v>
      </c>
      <c r="R118" s="3">
        <f>AVERAGEIFS(Daily!$F$3:$F$7756,Daily!$B$3:$B$7756,$A118)</f>
        <v>27.9675</v>
      </c>
      <c r="S118" s="3">
        <f>AVERAGEIFS(Daily!$G$3:$G$7756,Daily!$B$3:$B$7756,$A118)</f>
        <v>14.829285714285716</v>
      </c>
      <c r="T118" s="4">
        <f>SUMIFS(Daily!$H$3:$H$7756,Daily!$B$3:$B$7756,$A118)</f>
        <v>21.82</v>
      </c>
      <c r="U118" s="4">
        <f>SUMIFS(Daily!$I$3:$I$7756,Daily!$B$3:$B$7756,$A118)</f>
        <v>8.184</v>
      </c>
      <c r="V118" s="3">
        <f>AVERAGEIFS(Daily!$J$3:$J$7756,Daily!$B$3:$B$7756,$A118)</f>
        <v>20.028214285714288</v>
      </c>
      <c r="W118" s="3">
        <f>AVERAGEIFS(Daily!$K$3:$K$7756,Daily!$B$3:$B$7756,$A118)</f>
        <v>26.57785714285714</v>
      </c>
      <c r="X118" s="3">
        <f>AVERAGEIFS(Daily!$L$3:$L$7756,Daily!$B$3:$B$7756,$A118)</f>
        <v>15.220714285714285</v>
      </c>
      <c r="Y118" s="4">
        <f>SUMIFS(Daily!$M$3:$M$7756,Daily!$B$3:$B$7756,$A118)</f>
        <v>24.04</v>
      </c>
      <c r="Z118" s="4">
        <f>SUMIFS(Daily!$N$3:$N$7756,Daily!$B$3:$B$7756,$A118)</f>
        <v>35.568</v>
      </c>
      <c r="AA118" s="3">
        <f>AVERAGEIFS(Daily!$O$3:$O$7756,Daily!$B$3:$B$7756,$A118)</f>
        <v>18.947499999999994</v>
      </c>
      <c r="AB118" s="3">
        <f>AVERAGEIFS(Daily!$P$3:$P$7756,Daily!$B$3:$B$7756,$A118)</f>
        <v>23.888571428571428</v>
      </c>
      <c r="AC118" s="3">
        <f>AVERAGEIFS(Daily!$Q$3:$Q$7756,Daily!$B$3:$B$7756,$A118)</f>
        <v>15.4</v>
      </c>
      <c r="AD118" s="4">
        <f>SUMIFS(Daily!$R$3:$R$7756,Daily!$B$3:$B$7756,$A118)</f>
        <v>58.69</v>
      </c>
      <c r="AE118" s="4">
        <f>AVERAGE(P118,U118,Z118)</f>
        <v>15.720999999999998</v>
      </c>
      <c r="AF118" s="3">
        <f>AVERAGE(Q118,V118,AA118)</f>
        <v>19.792142857142853</v>
      </c>
      <c r="AG118" s="3">
        <f>AVERAGE(R118,W118,AB118)</f>
        <v>26.144642857142856</v>
      </c>
      <c r="AH118" s="3">
        <f>AVERAGE(S118,X118,AC118)</f>
        <v>15.15</v>
      </c>
      <c r="AI118" s="4">
        <f>AVERAGE(T118,Y118,AD118)</f>
        <v>34.85</v>
      </c>
    </row>
    <row r="119">
      <c r="A119" s="2" t="inlineStr">
        <is>
          <t xml:space="preserve">2015-03</t>
        </is>
      </c>
      <c r="B119" s="2">
        <v>2015</v>
      </c>
      <c r="C119" s="2">
        <v>3</v>
      </c>
      <c r="D119" s="2" t="inlineStr">
        <is>
          <t xml:space="preserve">Mar</t>
        </is>
      </c>
      <c r="E119" s="2" t="inlineStr">
        <is>
          <t xml:space="preserve">2014/15</t>
        </is>
      </c>
      <c r="F119" s="2">
        <v>9</v>
      </c>
      <c r="G119" s="9">
        <v>42064</v>
      </c>
      <c r="H119" s="9">
        <v>42094</v>
      </c>
      <c r="I119" s="2">
        <f>H119-G119+1</f>
        <v>31</v>
      </c>
      <c r="J119" s="2">
        <f>COUNTIF(Daily!$B$3:$B$7756,A119)</f>
        <v>31</v>
      </c>
      <c r="K119" s="2" t="str">
        <f>IF(J119=I119,"complete","partial ("&amp;J119&amp;" days)")</f>
        <v>complete</v>
      </c>
      <c r="L119" s="3">
        <f>INDEX(ENSO_monthly!$F:$F,MATCH(A119,ENSO_monthly!$A:$A,0))</f>
        <v>0.72</v>
      </c>
      <c r="M119" s="2" t="str">
        <f>INDEX(ENSO_monthly!$D:$D,MATCH(A119,ENSO_monthly!$A:$A,0))</f>
        <v>FMA</v>
      </c>
      <c r="N119" s="6" t="str">
        <f>INDEX(ENSO_monthly!$L:$L,MATCH(A119,ENSO_monthly!$A:$A,0))</f>
        <v>El Niño</v>
      </c>
      <c r="O119" s="11" t="str">
        <f>INDEX(ENSO_seasons!$U:$U,MATCH(E119,ENSO_seasons!$A:$A,0))</f>
        <v>El Niño</v>
      </c>
      <c r="P119" s="4">
        <f>SUMIFS(Daily!$D$3:$D$7756,Daily!$B$3:$B$7756,$A119)</f>
        <v>12.708</v>
      </c>
      <c r="Q119" s="3">
        <f>AVERAGEIFS(Daily!$E$3:$E$7756,Daily!$B$3:$B$7756,$A119)</f>
        <v>22.55516129032258</v>
      </c>
      <c r="R119" s="3">
        <f>AVERAGEIFS(Daily!$F$3:$F$7756,Daily!$B$3:$B$7756,$A119)</f>
        <v>30.532580645161296</v>
      </c>
      <c r="S119" s="3">
        <f>AVERAGEIFS(Daily!$G$3:$G$7756,Daily!$B$3:$B$7756,$A119)</f>
        <v>16.31032258064516</v>
      </c>
      <c r="T119" s="4">
        <f>SUMIFS(Daily!$H$3:$H$7756,Daily!$B$3:$B$7756,$A119)</f>
        <v>31.17</v>
      </c>
      <c r="U119" s="4">
        <f>SUMIFS(Daily!$I$3:$I$7756,Daily!$B$3:$B$7756,$A119)</f>
        <v>22.006</v>
      </c>
      <c r="V119" s="3">
        <f>AVERAGEIFS(Daily!$J$3:$J$7756,Daily!$B$3:$B$7756,$A119)</f>
        <v>22.16451612903226</v>
      </c>
      <c r="W119" s="3">
        <f>AVERAGEIFS(Daily!$K$3:$K$7756,Daily!$B$3:$B$7756,$A119)</f>
        <v>28.926451612903218</v>
      </c>
      <c r="X119" s="3">
        <f>AVERAGEIFS(Daily!$L$3:$L$7756,Daily!$B$3:$B$7756,$A119)</f>
        <v>17.196774193548393</v>
      </c>
      <c r="Y119" s="4">
        <f>SUMIFS(Daily!$M$3:$M$7756,Daily!$B$3:$B$7756,$A119)</f>
        <v>43.0</v>
      </c>
      <c r="Z119" s="4">
        <f>SUMIFS(Daily!$N$3:$N$7756,Daily!$B$3:$B$7756,$A119)</f>
        <v>34.61</v>
      </c>
      <c r="AA119" s="3">
        <f>AVERAGEIFS(Daily!$O$3:$O$7756,Daily!$B$3:$B$7756,$A119)</f>
        <v>20.931935483870966</v>
      </c>
      <c r="AB119" s="3">
        <f>AVERAGEIFS(Daily!$P$3:$P$7756,Daily!$B$3:$B$7756,$A119)</f>
        <v>26.01870967741936</v>
      </c>
      <c r="AC119" s="3">
        <f>AVERAGEIFS(Daily!$Q$3:$Q$7756,Daily!$B$3:$B$7756,$A119)</f>
        <v>17.33451612903226</v>
      </c>
      <c r="AD119" s="4">
        <f>SUMIFS(Daily!$R$3:$R$7756,Daily!$B$3:$B$7756,$A119)</f>
        <v>89.11</v>
      </c>
      <c r="AE119" s="4">
        <f>AVERAGE(P119,U119,Z119)</f>
        <v>23.108</v>
      </c>
      <c r="AF119" s="3">
        <f>AVERAGE(Q119,V119,AA119)</f>
        <v>21.883870967741938</v>
      </c>
      <c r="AG119" s="3">
        <f>AVERAGE(R119,W119,AB119)</f>
        <v>28.492580645161286</v>
      </c>
      <c r="AH119" s="3">
        <f>AVERAGE(S119,X119,AC119)</f>
        <v>16.94720430107527</v>
      </c>
      <c r="AI119" s="4">
        <f>AVERAGE(T119,Y119,AD119)</f>
        <v>54.42666666666667</v>
      </c>
    </row>
    <row r="120">
      <c r="A120" s="2" t="inlineStr">
        <is>
          <t xml:space="preserve">2015-04</t>
        </is>
      </c>
      <c r="B120" s="2">
        <v>2015</v>
      </c>
      <c r="C120" s="2">
        <v>4</v>
      </c>
      <c r="D120" s="2" t="inlineStr">
        <is>
          <t xml:space="preserve">Apr</t>
        </is>
      </c>
      <c r="E120" s="2" t="inlineStr">
        <is>
          <t xml:space="preserve">2014/15</t>
        </is>
      </c>
      <c r="F120" s="2">
        <v>10</v>
      </c>
      <c r="G120" s="9">
        <v>42095</v>
      </c>
      <c r="H120" s="9">
        <v>42124</v>
      </c>
      <c r="I120" s="2">
        <f>H120-G120+1</f>
        <v>30</v>
      </c>
      <c r="J120" s="2">
        <f>COUNTIF(Daily!$B$3:$B$7756,A120)</f>
        <v>30</v>
      </c>
      <c r="K120" s="2" t="str">
        <f>IF(J120=I120,"complete","partial ("&amp;J120&amp;" days)")</f>
        <v>complete</v>
      </c>
      <c r="L120" s="3">
        <f>INDEX(ENSO_monthly!$F:$F,MATCH(A120,ENSO_monthly!$A:$A,0))</f>
        <v>0.86</v>
      </c>
      <c r="M120" s="2" t="str">
        <f>INDEX(ENSO_monthly!$D:$D,MATCH(A120,ENSO_monthly!$A:$A,0))</f>
        <v>MAM</v>
      </c>
      <c r="N120" s="6" t="str">
        <f>INDEX(ENSO_monthly!$L:$L,MATCH(A120,ENSO_monthly!$A:$A,0))</f>
        <v>El Niño</v>
      </c>
      <c r="O120" s="11" t="str">
        <f>INDEX(ENSO_seasons!$U:$U,MATCH(E120,ENSO_seasons!$A:$A,0))</f>
        <v>El Niño</v>
      </c>
      <c r="P120" s="4">
        <f>SUMIFS(Daily!$D$3:$D$7756,Daily!$B$3:$B$7756,$A120)</f>
        <v>27.371</v>
      </c>
      <c r="Q120" s="3">
        <f>AVERAGEIFS(Daily!$E$3:$E$7756,Daily!$B$3:$B$7756,$A120)</f>
        <v>25.50066666666667</v>
      </c>
      <c r="R120" s="3">
        <f>AVERAGEIFS(Daily!$F$3:$F$7756,Daily!$B$3:$B$7756,$A120)</f>
        <v>33.412666666666674</v>
      </c>
      <c r="S120" s="3">
        <f>AVERAGEIFS(Daily!$G$3:$G$7756,Daily!$B$3:$B$7756,$A120)</f>
        <v>18.749333333333333</v>
      </c>
      <c r="T120" s="4">
        <f>SUMIFS(Daily!$H$3:$H$7756,Daily!$B$3:$B$7756,$A120)</f>
        <v>31.58</v>
      </c>
      <c r="U120" s="4">
        <f>SUMIFS(Daily!$I$3:$I$7756,Daily!$B$3:$B$7756,$A120)</f>
        <v>28.217</v>
      </c>
      <c r="V120" s="3">
        <f>AVERAGEIFS(Daily!$J$3:$J$7756,Daily!$B$3:$B$7756,$A120)</f>
        <v>25.233666666666668</v>
      </c>
      <c r="W120" s="3">
        <f>AVERAGEIFS(Daily!$K$3:$K$7756,Daily!$B$3:$B$7756,$A120)</f>
        <v>32.112333333333325</v>
      </c>
      <c r="X120" s="3">
        <f>AVERAGEIFS(Daily!$L$3:$L$7756,Daily!$B$3:$B$7756,$A120)</f>
        <v>19.796</v>
      </c>
      <c r="Y120" s="4">
        <f>SUMIFS(Daily!$M$3:$M$7756,Daily!$B$3:$B$7756,$A120)</f>
        <v>32.07</v>
      </c>
      <c r="Z120" s="4">
        <f>SUMIFS(Daily!$N$3:$N$7756,Daily!$B$3:$B$7756,$A120)</f>
        <v>21.681</v>
      </c>
      <c r="AA120" s="3">
        <f>AVERAGEIFS(Daily!$O$3:$O$7756,Daily!$B$3:$B$7756,$A120)</f>
        <v>23.86766666666667</v>
      </c>
      <c r="AB120" s="3">
        <f>AVERAGEIFS(Daily!$P$3:$P$7756,Daily!$B$3:$B$7756,$A120)</f>
        <v>29.881666666666668</v>
      </c>
      <c r="AC120" s="3">
        <f>AVERAGEIFS(Daily!$Q$3:$Q$7756,Daily!$B$3:$B$7756,$A120)</f>
        <v>19.418</v>
      </c>
      <c r="AD120" s="4">
        <f>SUMIFS(Daily!$R$3:$R$7756,Daily!$B$3:$B$7756,$A120)</f>
        <v>32.0</v>
      </c>
      <c r="AE120" s="4">
        <f>AVERAGE(P120,U120,Z120)</f>
        <v>25.75633333333333</v>
      </c>
      <c r="AF120" s="3">
        <f>AVERAGE(Q120,V120,AA120)</f>
        <v>24.867333333333335</v>
      </c>
      <c r="AG120" s="3">
        <f>AVERAGE(R120,W120,AB120)</f>
        <v>31.802222222222223</v>
      </c>
      <c r="AH120" s="3">
        <f>AVERAGE(S120,X120,AC120)</f>
        <v>19.32111111111111</v>
      </c>
      <c r="AI120" s="4">
        <f>AVERAGE(T120,Y120,AD120)</f>
        <v>31.883333333333336</v>
      </c>
    </row>
    <row r="121">
      <c r="A121" s="2" t="inlineStr">
        <is>
          <t xml:space="preserve">2015-05</t>
        </is>
      </c>
      <c r="B121" s="2">
        <v>2015</v>
      </c>
      <c r="C121" s="2">
        <v>5</v>
      </c>
      <c r="D121" s="2" t="inlineStr">
        <is>
          <t xml:space="preserve">May</t>
        </is>
      </c>
      <c r="E121" s="2" t="inlineStr">
        <is>
          <t xml:space="preserve">2014/15</t>
        </is>
      </c>
      <c r="F121" s="2">
        <v>11</v>
      </c>
      <c r="G121" s="9">
        <v>42125</v>
      </c>
      <c r="H121" s="9">
        <v>42155</v>
      </c>
      <c r="I121" s="2">
        <f>H121-G121+1</f>
        <v>31</v>
      </c>
      <c r="J121" s="2">
        <f>COUNTIF(Daily!$B$3:$B$7756,A121)</f>
        <v>31</v>
      </c>
      <c r="K121" s="2" t="str">
        <f>IF(J121=I121,"complete","partial ("&amp;J121&amp;" days)")</f>
        <v>complete</v>
      </c>
      <c r="L121" s="3">
        <f>INDEX(ENSO_monthly!$F:$F,MATCH(A121,ENSO_monthly!$A:$A,0))</f>
        <v>1.04</v>
      </c>
      <c r="M121" s="2" t="str">
        <f>INDEX(ENSO_monthly!$D:$D,MATCH(A121,ENSO_monthly!$A:$A,0))</f>
        <v>AMJ</v>
      </c>
      <c r="N121" s="6" t="str">
        <f>INDEX(ENSO_monthly!$L:$L,MATCH(A121,ENSO_monthly!$A:$A,0))</f>
        <v>El Niño</v>
      </c>
      <c r="O121" s="11" t="str">
        <f>INDEX(ENSO_seasons!$U:$U,MATCH(E121,ENSO_seasons!$A:$A,0))</f>
        <v>El Niño</v>
      </c>
      <c r="P121" s="4">
        <f>SUMIFS(Daily!$D$3:$D$7756,Daily!$B$3:$B$7756,$A121)</f>
        <v>37.529</v>
      </c>
      <c r="Q121" s="3">
        <f>AVERAGEIFS(Daily!$E$3:$E$7756,Daily!$B$3:$B$7756,$A121)</f>
        <v>24.357741935483865</v>
      </c>
      <c r="R121" s="3">
        <f>AVERAGEIFS(Daily!$F$3:$F$7756,Daily!$B$3:$B$7756,$A121)</f>
        <v>31.055483870967738</v>
      </c>
      <c r="S121" s="3">
        <f>AVERAGEIFS(Daily!$G$3:$G$7756,Daily!$B$3:$B$7756,$A121)</f>
        <v>19.049999999999997</v>
      </c>
      <c r="T121" s="4">
        <f>SUMIFS(Daily!$H$3:$H$7756,Daily!$B$3:$B$7756,$A121)</f>
        <v>47.86</v>
      </c>
      <c r="U121" s="4">
        <f>SUMIFS(Daily!$I$3:$I$7756,Daily!$B$3:$B$7756,$A121)</f>
        <v>64.122</v>
      </c>
      <c r="V121" s="3">
        <f>AVERAGEIFS(Daily!$J$3:$J$7756,Daily!$B$3:$B$7756,$A121)</f>
        <v>24.777096774193552</v>
      </c>
      <c r="W121" s="3">
        <f>AVERAGEIFS(Daily!$K$3:$K$7756,Daily!$B$3:$B$7756,$A121)</f>
        <v>31.146774193548385</v>
      </c>
      <c r="X121" s="3">
        <f>AVERAGEIFS(Daily!$L$3:$L$7756,Daily!$B$3:$B$7756,$A121)</f>
        <v>20.05677419354839</v>
      </c>
      <c r="Y121" s="4">
        <f>SUMIFS(Daily!$M$3:$M$7756,Daily!$B$3:$B$7756,$A121)</f>
        <v>67.31</v>
      </c>
      <c r="Z121" s="4">
        <f>SUMIFS(Daily!$N$3:$N$7756,Daily!$B$3:$B$7756,$A121)</f>
        <v>46.324</v>
      </c>
      <c r="AA121" s="3">
        <f>AVERAGEIFS(Daily!$O$3:$O$7756,Daily!$B$3:$B$7756,$A121)</f>
        <v>23.62064516129032</v>
      </c>
      <c r="AB121" s="3">
        <f>AVERAGEIFS(Daily!$P$3:$P$7756,Daily!$B$3:$B$7756,$A121)</f>
        <v>29.35903225806452</v>
      </c>
      <c r="AC121" s="3">
        <f>AVERAGEIFS(Daily!$Q$3:$Q$7756,Daily!$B$3:$B$7756,$A121)</f>
        <v>19.874516129032255</v>
      </c>
      <c r="AD121" s="4">
        <f>SUMIFS(Daily!$R$3:$R$7756,Daily!$B$3:$B$7756,$A121)</f>
        <v>43.35</v>
      </c>
      <c r="AE121" s="4">
        <f>AVERAGE(P121,U121,Z121)</f>
        <v>49.32500000000001</v>
      </c>
      <c r="AF121" s="3">
        <f>AVERAGE(Q121,V121,AA121)</f>
        <v>24.251827956989246</v>
      </c>
      <c r="AG121" s="3">
        <f>AVERAGE(R121,W121,AB121)</f>
        <v>30.52043010752688</v>
      </c>
      <c r="AH121" s="3">
        <f>AVERAGE(S121,X121,AC121)</f>
        <v>19.66043010752688</v>
      </c>
      <c r="AI121" s="4">
        <f>AVERAGE(T121,Y121,AD121)</f>
        <v>52.84</v>
      </c>
    </row>
    <row r="122">
      <c r="A122" s="2" t="inlineStr">
        <is>
          <t xml:space="preserve">2015-06</t>
        </is>
      </c>
      <c r="B122" s="2">
        <v>2015</v>
      </c>
      <c r="C122" s="2">
        <v>6</v>
      </c>
      <c r="D122" s="2" t="inlineStr">
        <is>
          <t xml:space="preserve">Jun</t>
        </is>
      </c>
      <c r="E122" s="2" t="inlineStr">
        <is>
          <t xml:space="preserve">2014/15</t>
        </is>
      </c>
      <c r="F122" s="2">
        <v>12</v>
      </c>
      <c r="G122" s="9">
        <v>42156</v>
      </c>
      <c r="H122" s="9">
        <v>42185</v>
      </c>
      <c r="I122" s="2">
        <f>H122-G122+1</f>
        <v>30</v>
      </c>
      <c r="J122" s="2">
        <f>COUNTIF(Daily!$B$3:$B$7756,A122)</f>
        <v>30</v>
      </c>
      <c r="K122" s="2" t="str">
        <f>IF(J122=I122,"complete","partial ("&amp;J122&amp;" days)")</f>
        <v>complete</v>
      </c>
      <c r="L122" s="3">
        <f>INDEX(ENSO_monthly!$F:$F,MATCH(A122,ENSO_monthly!$A:$A,0))</f>
        <v>1.19</v>
      </c>
      <c r="M122" s="2" t="str">
        <f>INDEX(ENSO_monthly!$D:$D,MATCH(A122,ENSO_monthly!$A:$A,0))</f>
        <v>MJJ</v>
      </c>
      <c r="N122" s="6" t="str">
        <f>INDEX(ENSO_monthly!$L:$L,MATCH(A122,ENSO_monthly!$A:$A,0))</f>
        <v>El Niño</v>
      </c>
      <c r="O122" s="11" t="str">
        <f>INDEX(ENSO_seasons!$U:$U,MATCH(E122,ENSO_seasons!$A:$A,0))</f>
        <v>El Niño</v>
      </c>
      <c r="P122" s="4">
        <f>SUMIFS(Daily!$D$3:$D$7756,Daily!$B$3:$B$7756,$A122)</f>
        <v>189.803</v>
      </c>
      <c r="Q122" s="3">
        <f>AVERAGEIFS(Daily!$E$3:$E$7756,Daily!$B$3:$B$7756,$A122)</f>
        <v>22.341999999999995</v>
      </c>
      <c r="R122" s="3">
        <f>AVERAGEIFS(Daily!$F$3:$F$7756,Daily!$B$3:$B$7756,$A122)</f>
        <v>27.19866666666667</v>
      </c>
      <c r="S122" s="3">
        <f>AVERAGEIFS(Daily!$G$3:$G$7756,Daily!$B$3:$B$7756,$A122)</f>
        <v>18.637666666666668</v>
      </c>
      <c r="T122" s="4">
        <f>SUMIFS(Daily!$H$3:$H$7756,Daily!$B$3:$B$7756,$A122)</f>
        <v>172.67</v>
      </c>
      <c r="U122" s="4">
        <f>SUMIFS(Daily!$I$3:$I$7756,Daily!$B$3:$B$7756,$A122)</f>
        <v>172.435</v>
      </c>
      <c r="V122" s="3">
        <f>AVERAGEIFS(Daily!$J$3:$J$7756,Daily!$B$3:$B$7756,$A122)</f>
        <v>23.05</v>
      </c>
      <c r="W122" s="3">
        <f>AVERAGEIFS(Daily!$K$3:$K$7756,Daily!$B$3:$B$7756,$A122)</f>
        <v>27.627666666666666</v>
      </c>
      <c r="X122" s="3">
        <f>AVERAGEIFS(Daily!$L$3:$L$7756,Daily!$B$3:$B$7756,$A122)</f>
        <v>19.72166666666667</v>
      </c>
      <c r="Y122" s="4">
        <f>SUMIFS(Daily!$M$3:$M$7756,Daily!$B$3:$B$7756,$A122)</f>
        <v>175.88</v>
      </c>
      <c r="Z122" s="4">
        <f>SUMIFS(Daily!$N$3:$N$7756,Daily!$B$3:$B$7756,$A122)</f>
        <v>166.379</v>
      </c>
      <c r="AA122" s="3">
        <f>AVERAGEIFS(Daily!$O$3:$O$7756,Daily!$B$3:$B$7756,$A122)</f>
        <v>22.972</v>
      </c>
      <c r="AB122" s="3">
        <f>AVERAGEIFS(Daily!$P$3:$P$7756,Daily!$B$3:$B$7756,$A122)</f>
        <v>27.275999999999993</v>
      </c>
      <c r="AC122" s="3">
        <f>AVERAGEIFS(Daily!$Q$3:$Q$7756,Daily!$B$3:$B$7756,$A122)</f>
        <v>20.065999999999995</v>
      </c>
      <c r="AD122" s="4">
        <f>SUMIFS(Daily!$R$3:$R$7756,Daily!$B$3:$B$7756,$A122)</f>
        <v>158.92</v>
      </c>
      <c r="AE122" s="4">
        <f>AVERAGE(P122,U122,Z122)</f>
        <v>176.20566666666664</v>
      </c>
      <c r="AF122" s="3">
        <f>AVERAGE(Q122,V122,AA122)</f>
        <v>22.788</v>
      </c>
      <c r="AG122" s="3">
        <f>AVERAGE(R122,W122,AB122)</f>
        <v>27.367444444444445</v>
      </c>
      <c r="AH122" s="3">
        <f>AVERAGE(S122,X122,AC122)</f>
        <v>19.47511111111111</v>
      </c>
      <c r="AI122" s="4">
        <f>AVERAGE(T122,Y122,AD122)</f>
        <v>169.15666666666664</v>
      </c>
    </row>
    <row r="123">
      <c r="A123" s="2" t="inlineStr">
        <is>
          <t xml:space="preserve">2015-07</t>
        </is>
      </c>
      <c r="B123" s="2">
        <v>2015</v>
      </c>
      <c r="C123" s="2">
        <v>7</v>
      </c>
      <c r="D123" s="2" t="inlineStr">
        <is>
          <t xml:space="preserve">Jul</t>
        </is>
      </c>
      <c r="E123" s="2" t="inlineStr">
        <is>
          <t xml:space="preserve">2015/16</t>
        </is>
      </c>
      <c r="F123" s="2">
        <v>1</v>
      </c>
      <c r="G123" s="9">
        <v>42186</v>
      </c>
      <c r="H123" s="9">
        <v>42216</v>
      </c>
      <c r="I123" s="2">
        <f>H123-G123+1</f>
        <v>31</v>
      </c>
      <c r="J123" s="2">
        <f>COUNTIF(Daily!$B$3:$B$7756,A123)</f>
        <v>31</v>
      </c>
      <c r="K123" s="2" t="str">
        <f>IF(J123=I123,"complete","partial ("&amp;J123&amp;" days)")</f>
        <v>complete</v>
      </c>
      <c r="L123" s="3">
        <f>INDEX(ENSO_monthly!$F:$F,MATCH(A123,ENSO_monthly!$A:$A,0))</f>
        <v>1.44</v>
      </c>
      <c r="M123" s="2" t="str">
        <f>INDEX(ENSO_monthly!$D:$D,MATCH(A123,ENSO_monthly!$A:$A,0))</f>
        <v>JJA</v>
      </c>
      <c r="N123" s="6" t="str">
        <f>INDEX(ENSO_monthly!$L:$L,MATCH(A123,ENSO_monthly!$A:$A,0))</f>
        <v>El Niño</v>
      </c>
      <c r="O123" s="11" t="str">
        <f>INDEX(ENSO_seasons!$U:$U,MATCH(E123,ENSO_seasons!$A:$A,0))</f>
        <v>El Niño</v>
      </c>
      <c r="P123" s="4">
        <f>SUMIFS(Daily!$D$3:$D$7756,Daily!$B$3:$B$7756,$A123)</f>
        <v>22.655</v>
      </c>
      <c r="Q123" s="3">
        <f>AVERAGEIFS(Daily!$E$3:$E$7756,Daily!$B$3:$B$7756,$A123)</f>
        <v>23.425806451612907</v>
      </c>
      <c r="R123" s="3">
        <f>AVERAGEIFS(Daily!$F$3:$F$7756,Daily!$B$3:$B$7756,$A123)</f>
        <v>29.834193548387102</v>
      </c>
      <c r="S123" s="3">
        <f>AVERAGEIFS(Daily!$G$3:$G$7756,Daily!$B$3:$B$7756,$A123)</f>
        <v>18.26903225806452</v>
      </c>
      <c r="T123" s="4">
        <f>SUMIFS(Daily!$H$3:$H$7756,Daily!$B$3:$B$7756,$A123)</f>
        <v>37.99</v>
      </c>
      <c r="U123" s="4">
        <f>SUMIFS(Daily!$I$3:$I$7756,Daily!$B$3:$B$7756,$A123)</f>
        <v>58.162</v>
      </c>
      <c r="V123" s="3">
        <f>AVERAGEIFS(Daily!$J$3:$J$7756,Daily!$B$3:$B$7756,$A123)</f>
        <v>23.82451612903226</v>
      </c>
      <c r="W123" s="3">
        <f>AVERAGEIFS(Daily!$K$3:$K$7756,Daily!$B$3:$B$7756,$A123)</f>
        <v>29.26483870967742</v>
      </c>
      <c r="X123" s="3">
        <f>AVERAGEIFS(Daily!$L$3:$L$7756,Daily!$B$3:$B$7756,$A123)</f>
        <v>19.747741935483873</v>
      </c>
      <c r="Y123" s="4">
        <f>SUMIFS(Daily!$M$3:$M$7756,Daily!$B$3:$B$7756,$A123)</f>
        <v>65.99</v>
      </c>
      <c r="Z123" s="4">
        <f>SUMIFS(Daily!$N$3:$N$7756,Daily!$B$3:$B$7756,$A123)</f>
        <v>44.525</v>
      </c>
      <c r="AA123" s="3">
        <f>AVERAGEIFS(Daily!$O$3:$O$7756,Daily!$B$3:$B$7756,$A123)</f>
        <v>23.734838709677422</v>
      </c>
      <c r="AB123" s="3">
        <f>AVERAGEIFS(Daily!$P$3:$P$7756,Daily!$B$3:$B$7756,$A123)</f>
        <v>29.222258064516126</v>
      </c>
      <c r="AC123" s="3">
        <f>AVERAGEIFS(Daily!$Q$3:$Q$7756,Daily!$B$3:$B$7756,$A123)</f>
        <v>20.198709677419366</v>
      </c>
      <c r="AD123" s="4">
        <f>SUMIFS(Daily!$R$3:$R$7756,Daily!$B$3:$B$7756,$A123)</f>
        <v>53.79</v>
      </c>
      <c r="AE123" s="4">
        <f>AVERAGE(P123,U123,Z123)</f>
        <v>41.78066666666667</v>
      </c>
      <c r="AF123" s="3">
        <f>AVERAGE(Q123,V123,AA123)</f>
        <v>23.661720430107533</v>
      </c>
      <c r="AG123" s="3">
        <f>AVERAGE(R123,W123,AB123)</f>
        <v>29.440430107526883</v>
      </c>
      <c r="AH123" s="3">
        <f>AVERAGE(S123,X123,AC123)</f>
        <v>19.405161290322585</v>
      </c>
      <c r="AI123" s="4">
        <f>AVERAGE(T123,Y123,AD123)</f>
        <v>52.589999999999996</v>
      </c>
    </row>
    <row r="124">
      <c r="A124" s="2" t="inlineStr">
        <is>
          <t xml:space="preserve">2015-08</t>
        </is>
      </c>
      <c r="B124" s="2">
        <v>2015</v>
      </c>
      <c r="C124" s="2">
        <v>8</v>
      </c>
      <c r="D124" s="2" t="inlineStr">
        <is>
          <t xml:space="preserve">Aug</t>
        </is>
      </c>
      <c r="E124" s="2" t="inlineStr">
        <is>
          <t xml:space="preserve">2015/16</t>
        </is>
      </c>
      <c r="F124" s="2">
        <v>2</v>
      </c>
      <c r="G124" s="9">
        <v>42217</v>
      </c>
      <c r="H124" s="9">
        <v>42247</v>
      </c>
      <c r="I124" s="2">
        <f>H124-G124+1</f>
        <v>31</v>
      </c>
      <c r="J124" s="2">
        <f>COUNTIF(Daily!$B$3:$B$7756,A124)</f>
        <v>31</v>
      </c>
      <c r="K124" s="2" t="str">
        <f>IF(J124=I124,"complete","partial ("&amp;J124&amp;" days)")</f>
        <v>complete</v>
      </c>
      <c r="L124" s="3">
        <f>INDEX(ENSO_monthly!$F:$F,MATCH(A124,ENSO_monthly!$A:$A,0))</f>
        <v>1.73</v>
      </c>
      <c r="M124" s="2" t="str">
        <f>INDEX(ENSO_monthly!$D:$D,MATCH(A124,ENSO_monthly!$A:$A,0))</f>
        <v>JAS</v>
      </c>
      <c r="N124" s="6" t="str">
        <f>INDEX(ENSO_monthly!$L:$L,MATCH(A124,ENSO_monthly!$A:$A,0))</f>
        <v>El Niño</v>
      </c>
      <c r="O124" s="11" t="str">
        <f>INDEX(ENSO_seasons!$U:$U,MATCH(E124,ENSO_seasons!$A:$A,0))</f>
        <v>El Niño</v>
      </c>
      <c r="P124" s="4">
        <f>SUMIFS(Daily!$D$3:$D$7756,Daily!$B$3:$B$7756,$A124)</f>
        <v>49.157</v>
      </c>
      <c r="Q124" s="3">
        <f>AVERAGEIFS(Daily!$E$3:$E$7756,Daily!$B$3:$B$7756,$A124)</f>
        <v>24.618064516129028</v>
      </c>
      <c r="R124" s="3">
        <f>AVERAGEIFS(Daily!$F$3:$F$7756,Daily!$B$3:$B$7756,$A124)</f>
        <v>31.960967741935487</v>
      </c>
      <c r="S124" s="3">
        <f>AVERAGEIFS(Daily!$G$3:$G$7756,Daily!$B$3:$B$7756,$A124)</f>
        <v>18.86032258064516</v>
      </c>
      <c r="T124" s="4">
        <f>SUMIFS(Daily!$H$3:$H$7756,Daily!$B$3:$B$7756,$A124)</f>
        <v>54.72</v>
      </c>
      <c r="U124" s="4">
        <f>SUMIFS(Daily!$I$3:$I$7756,Daily!$B$3:$B$7756,$A124)</f>
        <v>106.513</v>
      </c>
      <c r="V124" s="3">
        <f>AVERAGEIFS(Daily!$J$3:$J$7756,Daily!$B$3:$B$7756,$A124)</f>
        <v>24.248064516129027</v>
      </c>
      <c r="W124" s="3">
        <f>AVERAGEIFS(Daily!$K$3:$K$7756,Daily!$B$3:$B$7756,$A124)</f>
        <v>30.04612903225806</v>
      </c>
      <c r="X124" s="3">
        <f>AVERAGEIFS(Daily!$L$3:$L$7756,Daily!$B$3:$B$7756,$A124)</f>
        <v>19.87645161290322</v>
      </c>
      <c r="Y124" s="4">
        <f>SUMIFS(Daily!$M$3:$M$7756,Daily!$B$3:$B$7756,$A124)</f>
        <v>128.69</v>
      </c>
      <c r="Z124" s="4">
        <f>SUMIFS(Daily!$N$3:$N$7756,Daily!$B$3:$B$7756,$A124)</f>
        <v>119.271</v>
      </c>
      <c r="AA124" s="3">
        <f>AVERAGEIFS(Daily!$O$3:$O$7756,Daily!$B$3:$B$7756,$A124)</f>
        <v>24.120967741935484</v>
      </c>
      <c r="AB124" s="3">
        <f>AVERAGEIFS(Daily!$P$3:$P$7756,Daily!$B$3:$B$7756,$A124)</f>
        <v>29.923548387096773</v>
      </c>
      <c r="AC124" s="3">
        <f>AVERAGEIFS(Daily!$Q$3:$Q$7756,Daily!$B$3:$B$7756,$A124)</f>
        <v>20.439677419354833</v>
      </c>
      <c r="AD124" s="4">
        <f>SUMIFS(Daily!$R$3:$R$7756,Daily!$B$3:$B$7756,$A124)</f>
        <v>108.26</v>
      </c>
      <c r="AE124" s="4">
        <f>AVERAGE(P124,U124,Z124)</f>
        <v>91.647</v>
      </c>
      <c r="AF124" s="3">
        <f>AVERAGE(Q124,V124,AA124)</f>
        <v>24.329032258064515</v>
      </c>
      <c r="AG124" s="3">
        <f>AVERAGE(R124,W124,AB124)</f>
        <v>30.643548387096775</v>
      </c>
      <c r="AH124" s="3">
        <f>AVERAGE(S124,X124,AC124)</f>
        <v>19.72548387096774</v>
      </c>
      <c r="AI124" s="4">
        <f>AVERAGE(T124,Y124,AD124)</f>
        <v>97.22333333333334</v>
      </c>
    </row>
    <row r="125">
      <c r="A125" s="2" t="inlineStr">
        <is>
          <t xml:space="preserve">2015-09</t>
        </is>
      </c>
      <c r="B125" s="2">
        <v>2015</v>
      </c>
      <c r="C125" s="2">
        <v>9</v>
      </c>
      <c r="D125" s="2" t="inlineStr">
        <is>
          <t xml:space="preserve">Sep</t>
        </is>
      </c>
      <c r="E125" s="2" t="inlineStr">
        <is>
          <t xml:space="preserve">2015/16</t>
        </is>
      </c>
      <c r="F125" s="2">
        <v>3</v>
      </c>
      <c r="G125" s="9">
        <v>42248</v>
      </c>
      <c r="H125" s="9">
        <v>42277</v>
      </c>
      <c r="I125" s="2">
        <f>H125-G125+1</f>
        <v>30</v>
      </c>
      <c r="J125" s="2">
        <f>COUNTIF(Daily!$B$3:$B$7756,A125)</f>
        <v>30</v>
      </c>
      <c r="K125" s="2" t="str">
        <f>IF(J125=I125,"complete","partial ("&amp;J125&amp;" days)")</f>
        <v>complete</v>
      </c>
      <c r="L125" s="3">
        <f>INDEX(ENSO_monthly!$F:$F,MATCH(A125,ENSO_monthly!$A:$A,0))</f>
        <v>2.02</v>
      </c>
      <c r="M125" s="2" t="str">
        <f>INDEX(ENSO_monthly!$D:$D,MATCH(A125,ENSO_monthly!$A:$A,0))</f>
        <v>ASO</v>
      </c>
      <c r="N125" s="6" t="str">
        <f>INDEX(ENSO_monthly!$L:$L,MATCH(A125,ENSO_monthly!$A:$A,0))</f>
        <v>El Niño</v>
      </c>
      <c r="O125" s="11" t="str">
        <f>INDEX(ENSO_seasons!$U:$U,MATCH(E125,ENSO_seasons!$A:$A,0))</f>
        <v>El Niño</v>
      </c>
      <c r="P125" s="4">
        <f>SUMIFS(Daily!$D$3:$D$7756,Daily!$B$3:$B$7756,$A125)</f>
        <v>217.192</v>
      </c>
      <c r="Q125" s="3">
        <f>AVERAGEIFS(Daily!$E$3:$E$7756,Daily!$B$3:$B$7756,$A125)</f>
        <v>23.13533333333333</v>
      </c>
      <c r="R125" s="3">
        <f>AVERAGEIFS(Daily!$F$3:$F$7756,Daily!$B$3:$B$7756,$A125)</f>
        <v>28.91633333333333</v>
      </c>
      <c r="S125" s="3">
        <f>AVERAGEIFS(Daily!$G$3:$G$7756,Daily!$B$3:$B$7756,$A125)</f>
        <v>18.80833333333333</v>
      </c>
      <c r="T125" s="4">
        <f>SUMIFS(Daily!$H$3:$H$7756,Daily!$B$3:$B$7756,$A125)</f>
        <v>201.38</v>
      </c>
      <c r="U125" s="4">
        <f>SUMIFS(Daily!$I$3:$I$7756,Daily!$B$3:$B$7756,$A125)</f>
        <v>376.803</v>
      </c>
      <c r="V125" s="3">
        <f>AVERAGEIFS(Daily!$J$3:$J$7756,Daily!$B$3:$B$7756,$A125)</f>
        <v>22.726333333333333</v>
      </c>
      <c r="W125" s="3">
        <f>AVERAGEIFS(Daily!$K$3:$K$7756,Daily!$B$3:$B$7756,$A125)</f>
        <v>26.632666666666672</v>
      </c>
      <c r="X125" s="3">
        <f>AVERAGEIFS(Daily!$L$3:$L$7756,Daily!$B$3:$B$7756,$A125)</f>
        <v>19.72533333333333</v>
      </c>
      <c r="Y125" s="4">
        <f>SUMIFS(Daily!$M$3:$M$7756,Daily!$B$3:$B$7756,$A125)</f>
        <v>324.77</v>
      </c>
      <c r="Z125" s="4">
        <f>SUMIFS(Daily!$N$3:$N$7756,Daily!$B$3:$B$7756,$A125)</f>
        <v>455.048</v>
      </c>
      <c r="AA125" s="3">
        <f>AVERAGEIFS(Daily!$O$3:$O$7756,Daily!$B$3:$B$7756,$A125)</f>
        <v>23.13133333333333</v>
      </c>
      <c r="AB125" s="3">
        <f>AVERAGEIFS(Daily!$P$3:$P$7756,Daily!$B$3:$B$7756,$A125)</f>
        <v>27.265333333333338</v>
      </c>
      <c r="AC125" s="3">
        <f>AVERAGEIFS(Daily!$Q$3:$Q$7756,Daily!$B$3:$B$7756,$A125)</f>
        <v>20.46333333333333</v>
      </c>
      <c r="AD125" s="4">
        <f>SUMIFS(Daily!$R$3:$R$7756,Daily!$B$3:$B$7756,$A125)</f>
        <v>250.56</v>
      </c>
      <c r="AE125" s="4">
        <f>AVERAGE(P125,U125,Z125)</f>
        <v>349.68100000000004</v>
      </c>
      <c r="AF125" s="3">
        <f>AVERAGE(Q125,V125,AA125)</f>
        <v>22.997666666666664</v>
      </c>
      <c r="AG125" s="3">
        <f>AVERAGE(R125,W125,AB125)</f>
        <v>27.60477777777778</v>
      </c>
      <c r="AH125" s="3">
        <f>AVERAGE(S125,X125,AC125)</f>
        <v>19.665666666666663</v>
      </c>
      <c r="AI125" s="4">
        <f>AVERAGE(T125,Y125,AD125)</f>
        <v>258.90333333333336</v>
      </c>
    </row>
    <row r="126">
      <c r="A126" s="2" t="inlineStr">
        <is>
          <t xml:space="preserve">2015-10</t>
        </is>
      </c>
      <c r="B126" s="2">
        <v>2015</v>
      </c>
      <c r="C126" s="2">
        <v>10</v>
      </c>
      <c r="D126" s="2" t="inlineStr">
        <is>
          <t xml:space="preserve">Oct</t>
        </is>
      </c>
      <c r="E126" s="2" t="inlineStr">
        <is>
          <t xml:space="preserve">2015/16</t>
        </is>
      </c>
      <c r="F126" s="2">
        <v>4</v>
      </c>
      <c r="G126" s="9">
        <v>42278</v>
      </c>
      <c r="H126" s="9">
        <v>42308</v>
      </c>
      <c r="I126" s="2">
        <f>H126-G126+1</f>
        <v>31</v>
      </c>
      <c r="J126" s="2">
        <f>COUNTIF(Daily!$B$3:$B$7756,A126)</f>
        <v>31</v>
      </c>
      <c r="K126" s="2" t="str">
        <f>IF(J126=I126,"complete","partial ("&amp;J126&amp;" days)")</f>
        <v>complete</v>
      </c>
      <c r="L126" s="3">
        <f>INDEX(ENSO_monthly!$F:$F,MATCH(A126,ENSO_monthly!$A:$A,0))</f>
        <v>2.28</v>
      </c>
      <c r="M126" s="2" t="str">
        <f>INDEX(ENSO_monthly!$D:$D,MATCH(A126,ENSO_monthly!$A:$A,0))</f>
        <v>SON</v>
      </c>
      <c r="N126" s="6" t="str">
        <f>INDEX(ENSO_monthly!$L:$L,MATCH(A126,ENSO_monthly!$A:$A,0))</f>
        <v>El Niño</v>
      </c>
      <c r="O126" s="11" t="str">
        <f>INDEX(ENSO_seasons!$U:$U,MATCH(E126,ENSO_seasons!$A:$A,0))</f>
        <v>El Niño</v>
      </c>
      <c r="P126" s="4">
        <f>SUMIFS(Daily!$D$3:$D$7756,Daily!$B$3:$B$7756,$A126)</f>
        <v>217.079</v>
      </c>
      <c r="Q126" s="3">
        <f>AVERAGEIFS(Daily!$E$3:$E$7756,Daily!$B$3:$B$7756,$A126)</f>
        <v>21.960967741935487</v>
      </c>
      <c r="R126" s="3">
        <f>AVERAGEIFS(Daily!$F$3:$F$7756,Daily!$B$3:$B$7756,$A126)</f>
        <v>26.368387096774192</v>
      </c>
      <c r="S126" s="3">
        <f>AVERAGEIFS(Daily!$G$3:$G$7756,Daily!$B$3:$B$7756,$A126)</f>
        <v>18.631612903225804</v>
      </c>
      <c r="T126" s="4">
        <f>SUMIFS(Daily!$H$3:$H$7756,Daily!$B$3:$B$7756,$A126)</f>
        <v>195.99</v>
      </c>
      <c r="U126" s="4">
        <f>SUMIFS(Daily!$I$3:$I$7756,Daily!$B$3:$B$7756,$A126)</f>
        <v>193.916</v>
      </c>
      <c r="V126" s="3">
        <f>AVERAGEIFS(Daily!$J$3:$J$7756,Daily!$B$3:$B$7756,$A126)</f>
        <v>22.353870967741933</v>
      </c>
      <c r="W126" s="3">
        <f>AVERAGEIFS(Daily!$K$3:$K$7756,Daily!$B$3:$B$7756,$A126)</f>
        <v>26.594193548387103</v>
      </c>
      <c r="X126" s="3">
        <f>AVERAGEIFS(Daily!$L$3:$L$7756,Daily!$B$3:$B$7756,$A126)</f>
        <v>19.140967741935487</v>
      </c>
      <c r="Y126" s="4">
        <f>SUMIFS(Daily!$M$3:$M$7756,Daily!$B$3:$B$7756,$A126)</f>
        <v>208.6</v>
      </c>
      <c r="Z126" s="4">
        <f>SUMIFS(Daily!$N$3:$N$7756,Daily!$B$3:$B$7756,$A126)</f>
        <v>252.865</v>
      </c>
      <c r="AA126" s="3">
        <f>AVERAGEIFS(Daily!$O$3:$O$7756,Daily!$B$3:$B$7756,$A126)</f>
        <v>22.69483870967742</v>
      </c>
      <c r="AB126" s="3">
        <f>AVERAGEIFS(Daily!$P$3:$P$7756,Daily!$B$3:$B$7756,$A126)</f>
        <v>26.82645161290323</v>
      </c>
      <c r="AC126" s="3">
        <f>AVERAGEIFS(Daily!$Q$3:$Q$7756,Daily!$B$3:$B$7756,$A126)</f>
        <v>19.78935483870968</v>
      </c>
      <c r="AD126" s="4">
        <f>SUMIFS(Daily!$R$3:$R$7756,Daily!$B$3:$B$7756,$A126)</f>
        <v>182.95</v>
      </c>
      <c r="AE126" s="4">
        <f>AVERAGE(P126,U126,Z126)</f>
        <v>221.28666666666666</v>
      </c>
      <c r="AF126" s="3">
        <f>AVERAGE(Q126,V126,AA126)</f>
        <v>22.336559139784942</v>
      </c>
      <c r="AG126" s="3">
        <f>AVERAGE(R126,W126,AB126)</f>
        <v>26.596344086021507</v>
      </c>
      <c r="AH126" s="3">
        <f>AVERAGE(S126,X126,AC126)</f>
        <v>19.18731182795699</v>
      </c>
      <c r="AI126" s="4">
        <f>AVERAGE(T126,Y126,AD126)</f>
        <v>195.84666666666666</v>
      </c>
    </row>
    <row r="127">
      <c r="A127" s="2" t="inlineStr">
        <is>
          <t xml:space="preserve">2015-11</t>
        </is>
      </c>
      <c r="B127" s="2">
        <v>2015</v>
      </c>
      <c r="C127" s="2">
        <v>11</v>
      </c>
      <c r="D127" s="2" t="inlineStr">
        <is>
          <t xml:space="preserve">Nov</t>
        </is>
      </c>
      <c r="E127" s="2" t="inlineStr">
        <is>
          <t xml:space="preserve">2015/16</t>
        </is>
      </c>
      <c r="F127" s="2">
        <v>5</v>
      </c>
      <c r="G127" s="9">
        <v>42309</v>
      </c>
      <c r="H127" s="9">
        <v>42338</v>
      </c>
      <c r="I127" s="2">
        <f>H127-G127+1</f>
        <v>30</v>
      </c>
      <c r="J127" s="2">
        <f>COUNTIF(Daily!$B$3:$B$7756,A127)</f>
        <v>30</v>
      </c>
      <c r="K127" s="2" t="str">
        <f>IF(J127=I127,"complete","partial ("&amp;J127&amp;" days)")</f>
        <v>complete</v>
      </c>
      <c r="L127" s="3">
        <f>INDEX(ENSO_monthly!$F:$F,MATCH(A127,ENSO_monthly!$A:$A,0))</f>
        <v>2.45</v>
      </c>
      <c r="M127" s="2" t="str">
        <f>INDEX(ENSO_monthly!$D:$D,MATCH(A127,ENSO_monthly!$A:$A,0))</f>
        <v>OND</v>
      </c>
      <c r="N127" s="6" t="str">
        <f>INDEX(ENSO_monthly!$L:$L,MATCH(A127,ENSO_monthly!$A:$A,0))</f>
        <v>El Niño</v>
      </c>
      <c r="O127" s="11" t="str">
        <f>INDEX(ENSO_seasons!$U:$U,MATCH(E127,ENSO_seasons!$A:$A,0))</f>
        <v>El Niño</v>
      </c>
      <c r="P127" s="4">
        <f>SUMIFS(Daily!$D$3:$D$7756,Daily!$B$3:$B$7756,$A127)</f>
        <v>69.095</v>
      </c>
      <c r="Q127" s="3">
        <f>AVERAGEIFS(Daily!$E$3:$E$7756,Daily!$B$3:$B$7756,$A127)</f>
        <v>20.871</v>
      </c>
      <c r="R127" s="3">
        <f>AVERAGEIFS(Daily!$F$3:$F$7756,Daily!$B$3:$B$7756,$A127)</f>
        <v>25.557000000000006</v>
      </c>
      <c r="S127" s="3">
        <f>AVERAGEIFS(Daily!$G$3:$G$7756,Daily!$B$3:$B$7756,$A127)</f>
        <v>17.48366666666666</v>
      </c>
      <c r="T127" s="4">
        <f>SUMIFS(Daily!$H$3:$H$7756,Daily!$B$3:$B$7756,$A127)</f>
        <v>87.93</v>
      </c>
      <c r="U127" s="4">
        <f>SUMIFS(Daily!$I$3:$I$7756,Daily!$B$3:$B$7756,$A127)</f>
        <v>76.598</v>
      </c>
      <c r="V127" s="3">
        <f>AVERAGEIFS(Daily!$J$3:$J$7756,Daily!$B$3:$B$7756,$A127)</f>
        <v>21.443666666666665</v>
      </c>
      <c r="W127" s="3">
        <f>AVERAGEIFS(Daily!$K$3:$K$7756,Daily!$B$3:$B$7756,$A127)</f>
        <v>25.532999999999994</v>
      </c>
      <c r="X127" s="3">
        <f>AVERAGEIFS(Daily!$L$3:$L$7756,Daily!$B$3:$B$7756,$A127)</f>
        <v>18.53033333333333</v>
      </c>
      <c r="Y127" s="4">
        <f>SUMIFS(Daily!$M$3:$M$7756,Daily!$B$3:$B$7756,$A127)</f>
        <v>102.64</v>
      </c>
      <c r="Z127" s="4">
        <f>SUMIFS(Daily!$N$3:$N$7756,Daily!$B$3:$B$7756,$A127)</f>
        <v>90.873</v>
      </c>
      <c r="AA127" s="3">
        <f>AVERAGEIFS(Daily!$O$3:$O$7756,Daily!$B$3:$B$7756,$A127)</f>
        <v>21.771</v>
      </c>
      <c r="AB127" s="3">
        <f>AVERAGEIFS(Daily!$P$3:$P$7756,Daily!$B$3:$B$7756,$A127)</f>
        <v>25.590999999999998</v>
      </c>
      <c r="AC127" s="3">
        <f>AVERAGEIFS(Daily!$Q$3:$Q$7756,Daily!$B$3:$B$7756,$A127)</f>
        <v>19.277666666666665</v>
      </c>
      <c r="AD127" s="4">
        <f>SUMIFS(Daily!$R$3:$R$7756,Daily!$B$3:$B$7756,$A127)</f>
        <v>142.03</v>
      </c>
      <c r="AE127" s="4">
        <f>AVERAGE(P127,U127,Z127)</f>
        <v>78.85533333333332</v>
      </c>
      <c r="AF127" s="3">
        <f>AVERAGE(Q127,V127,AA127)</f>
        <v>21.36188888888889</v>
      </c>
      <c r="AG127" s="3">
        <f>AVERAGE(R127,W127,AB127)</f>
        <v>25.560333333333332</v>
      </c>
      <c r="AH127" s="3">
        <f>AVERAGE(S127,X127,AC127)</f>
        <v>18.430555555555554</v>
      </c>
      <c r="AI127" s="4">
        <f>AVERAGE(T127,Y127,AD127)</f>
        <v>110.86666666666667</v>
      </c>
    </row>
    <row r="128">
      <c r="A128" s="2" t="inlineStr">
        <is>
          <t xml:space="preserve">2015-12</t>
        </is>
      </c>
      <c r="B128" s="2">
        <v>2015</v>
      </c>
      <c r="C128" s="2">
        <v>12</v>
      </c>
      <c r="D128" s="2" t="inlineStr">
        <is>
          <t xml:space="preserve">Dec</t>
        </is>
      </c>
      <c r="E128" s="2" t="inlineStr">
        <is>
          <t xml:space="preserve">2015/16</t>
        </is>
      </c>
      <c r="F128" s="2">
        <v>6</v>
      </c>
      <c r="G128" s="9">
        <v>42339</v>
      </c>
      <c r="H128" s="9">
        <v>42369</v>
      </c>
      <c r="I128" s="2">
        <f>H128-G128+1</f>
        <v>31</v>
      </c>
      <c r="J128" s="2">
        <f>COUNTIF(Daily!$B$3:$B$7756,A128)</f>
        <v>31</v>
      </c>
      <c r="K128" s="2" t="str">
        <f>IF(J128=I128,"complete","partial ("&amp;J128&amp;" days)")</f>
        <v>complete</v>
      </c>
      <c r="L128" s="3">
        <f>INDEX(ENSO_monthly!$F:$F,MATCH(A128,ENSO_monthly!$A:$A,0))</f>
        <v>2.59</v>
      </c>
      <c r="M128" s="2" t="str">
        <f>INDEX(ENSO_monthly!$D:$D,MATCH(A128,ENSO_monthly!$A:$A,0))</f>
        <v>NDJ</v>
      </c>
      <c r="N128" s="6" t="str">
        <f>INDEX(ENSO_monthly!$L:$L,MATCH(A128,ENSO_monthly!$A:$A,0))</f>
        <v>El Niño</v>
      </c>
      <c r="O128" s="11" t="str">
        <f>INDEX(ENSO_seasons!$U:$U,MATCH(E128,ENSO_seasons!$A:$A,0))</f>
        <v>El Niño</v>
      </c>
      <c r="P128" s="4">
        <f>SUMIFS(Daily!$D$3:$D$7756,Daily!$B$3:$B$7756,$A128)</f>
        <v>33.277</v>
      </c>
      <c r="Q128" s="3">
        <f>AVERAGEIFS(Daily!$E$3:$E$7756,Daily!$B$3:$B$7756,$A128)</f>
        <v>20.899032258064516</v>
      </c>
      <c r="R128" s="3">
        <f>AVERAGEIFS(Daily!$F$3:$F$7756,Daily!$B$3:$B$7756,$A128)</f>
        <v>26.34258064516129</v>
      </c>
      <c r="S128" s="3">
        <f>AVERAGEIFS(Daily!$G$3:$G$7756,Daily!$B$3:$B$7756,$A128)</f>
        <v>16.873870967741933</v>
      </c>
      <c r="T128" s="4">
        <f>SUMIFS(Daily!$H$3:$H$7756,Daily!$B$3:$B$7756,$A128)</f>
        <v>56.77</v>
      </c>
      <c r="U128" s="4">
        <f>SUMIFS(Daily!$I$3:$I$7756,Daily!$B$3:$B$7756,$A128)</f>
        <v>13.602</v>
      </c>
      <c r="V128" s="3">
        <f>AVERAGEIFS(Daily!$J$3:$J$7756,Daily!$B$3:$B$7756,$A128)</f>
        <v>21.221935483870965</v>
      </c>
      <c r="W128" s="3">
        <f>AVERAGEIFS(Daily!$K$3:$K$7756,Daily!$B$3:$B$7756,$A128)</f>
        <v>26.115806451612897</v>
      </c>
      <c r="X128" s="3">
        <f>AVERAGEIFS(Daily!$L$3:$L$7756,Daily!$B$3:$B$7756,$A128)</f>
        <v>17.639032258064518</v>
      </c>
      <c r="Y128" s="4">
        <f>SUMIFS(Daily!$M$3:$M$7756,Daily!$B$3:$B$7756,$A128)</f>
        <v>36.13</v>
      </c>
      <c r="Z128" s="4">
        <f>SUMIFS(Daily!$N$3:$N$7756,Daily!$B$3:$B$7756,$A128)</f>
        <v>40.298</v>
      </c>
      <c r="AA128" s="3">
        <f>AVERAGEIFS(Daily!$O$3:$O$7756,Daily!$B$3:$B$7756,$A128)</f>
        <v>21.388064516129027</v>
      </c>
      <c r="AB128" s="3">
        <f>AVERAGEIFS(Daily!$P$3:$P$7756,Daily!$B$3:$B$7756,$A128)</f>
        <v>25.850322580645166</v>
      </c>
      <c r="AC128" s="3">
        <f>AVERAGEIFS(Daily!$Q$3:$Q$7756,Daily!$B$3:$B$7756,$A128)</f>
        <v>18.210322580645165</v>
      </c>
      <c r="AD128" s="4">
        <f>SUMIFS(Daily!$R$3:$R$7756,Daily!$B$3:$B$7756,$A128)</f>
        <v>86.91</v>
      </c>
      <c r="AE128" s="4">
        <f>AVERAGE(P128,U128,Z128)</f>
        <v>29.059</v>
      </c>
      <c r="AF128" s="3">
        <f>AVERAGE(Q128,V128,AA128)</f>
        <v>21.169677419354837</v>
      </c>
      <c r="AG128" s="3">
        <f>AVERAGE(R128,W128,AB128)</f>
        <v>26.102903225806454</v>
      </c>
      <c r="AH128" s="3">
        <f>AVERAGE(S128,X128,AC128)</f>
        <v>17.57440860215054</v>
      </c>
      <c r="AI128" s="4">
        <f>AVERAGE(T128,Y128,AD128)</f>
        <v>59.93666666666667</v>
      </c>
    </row>
    <row r="129">
      <c r="A129" s="2" t="inlineStr">
        <is>
          <t xml:space="preserve">2016-01</t>
        </is>
      </c>
      <c r="B129" s="2">
        <v>2016</v>
      </c>
      <c r="C129" s="2">
        <v>1</v>
      </c>
      <c r="D129" s="2" t="inlineStr">
        <is>
          <t xml:space="preserve">Jan</t>
        </is>
      </c>
      <c r="E129" s="2" t="inlineStr">
        <is>
          <t xml:space="preserve">2015/16</t>
        </is>
      </c>
      <c r="F129" s="2">
        <v>7</v>
      </c>
      <c r="G129" s="9">
        <v>42370</v>
      </c>
      <c r="H129" s="9">
        <v>42400</v>
      </c>
      <c r="I129" s="2">
        <f>H129-G129+1</f>
        <v>31</v>
      </c>
      <c r="J129" s="2">
        <f>COUNTIF(Daily!$B$3:$B$7756,A129)</f>
        <v>31</v>
      </c>
      <c r="K129" s="2" t="str">
        <f>IF(J129=I129,"complete","partial ("&amp;J129&amp;" days)")</f>
        <v>complete</v>
      </c>
      <c r="L129" s="3">
        <f>INDEX(ENSO_monthly!$F:$F,MATCH(A129,ENSO_monthly!$A:$A,0))</f>
        <v>2.5</v>
      </c>
      <c r="M129" s="2" t="str">
        <f>INDEX(ENSO_monthly!$D:$D,MATCH(A129,ENSO_monthly!$A:$A,0))</f>
        <v>DJF</v>
      </c>
      <c r="N129" s="6" t="str">
        <f>INDEX(ENSO_monthly!$L:$L,MATCH(A129,ENSO_monthly!$A:$A,0))</f>
        <v>El Niño</v>
      </c>
      <c r="O129" s="11" t="str">
        <f>INDEX(ENSO_seasons!$U:$U,MATCH(E129,ENSO_seasons!$A:$A,0))</f>
        <v>El Niño</v>
      </c>
      <c r="P129" s="4">
        <f>SUMIFS(Daily!$D$3:$D$7756,Daily!$B$3:$B$7756,$A129)</f>
        <v>1.265</v>
      </c>
      <c r="Q129" s="3">
        <f>AVERAGEIFS(Daily!$E$3:$E$7756,Daily!$B$3:$B$7756,$A129)</f>
        <v>20.618709677419357</v>
      </c>
      <c r="R129" s="3">
        <f>AVERAGEIFS(Daily!$F$3:$F$7756,Daily!$B$3:$B$7756,$A129)</f>
        <v>27.653870967741934</v>
      </c>
      <c r="S129" s="3">
        <f>AVERAGEIFS(Daily!$G$3:$G$7756,Daily!$B$3:$B$7756,$A129)</f>
        <v>15.45096774193548</v>
      </c>
      <c r="T129" s="4">
        <f>SUMIFS(Daily!$H$3:$H$7756,Daily!$B$3:$B$7756,$A129)</f>
        <v>20.4</v>
      </c>
      <c r="U129" s="4">
        <f>SUMIFS(Daily!$I$3:$I$7756,Daily!$B$3:$B$7756,$A129)</f>
        <v>9.022</v>
      </c>
      <c r="V129" s="3">
        <f>AVERAGEIFS(Daily!$J$3:$J$7756,Daily!$B$3:$B$7756,$A129)</f>
        <v>20.03516129032258</v>
      </c>
      <c r="W129" s="3">
        <f>AVERAGEIFS(Daily!$K$3:$K$7756,Daily!$B$3:$B$7756,$A129)</f>
        <v>25.933548387096767</v>
      </c>
      <c r="X129" s="3">
        <f>AVERAGEIFS(Daily!$L$3:$L$7756,Daily!$B$3:$B$7756,$A129)</f>
        <v>15.676774193548388</v>
      </c>
      <c r="Y129" s="4">
        <f>SUMIFS(Daily!$M$3:$M$7756,Daily!$B$3:$B$7756,$A129)</f>
        <v>13.55</v>
      </c>
      <c r="Z129" s="4">
        <f>SUMIFS(Daily!$N$3:$N$7756,Daily!$B$3:$B$7756,$A129)</f>
        <v>21.122</v>
      </c>
      <c r="AA129" s="3">
        <f>AVERAGEIFS(Daily!$O$3:$O$7756,Daily!$B$3:$B$7756,$A129)</f>
        <v>19.824516129032265</v>
      </c>
      <c r="AB129" s="3">
        <f>AVERAGEIFS(Daily!$P$3:$P$7756,Daily!$B$3:$B$7756,$A129)</f>
        <v>24.893225806451614</v>
      </c>
      <c r="AC129" s="3">
        <f>AVERAGEIFS(Daily!$Q$3:$Q$7756,Daily!$B$3:$B$7756,$A129)</f>
        <v>16.018709677419352</v>
      </c>
      <c r="AD129" s="4">
        <f>SUMIFS(Daily!$R$3:$R$7756,Daily!$B$3:$B$7756,$A129)</f>
        <v>39.45</v>
      </c>
      <c r="AE129" s="4">
        <f>AVERAGE(P129,U129,Z129)</f>
        <v>10.469666666666667</v>
      </c>
      <c r="AF129" s="3">
        <f>AVERAGE(Q129,V129,AA129)</f>
        <v>20.1594623655914</v>
      </c>
      <c r="AG129" s="3">
        <f>AVERAGE(R129,W129,AB129)</f>
        <v>26.160215053763437</v>
      </c>
      <c r="AH129" s="3">
        <f>AVERAGE(S129,X129,AC129)</f>
        <v>15.71548387096774</v>
      </c>
      <c r="AI129" s="4">
        <f>AVERAGE(T129,Y129,AD129)</f>
        <v>24.46666666666667</v>
      </c>
    </row>
    <row r="130">
      <c r="A130" s="2" t="inlineStr">
        <is>
          <t xml:space="preserve">2016-02</t>
        </is>
      </c>
      <c r="B130" s="2">
        <v>2016</v>
      </c>
      <c r="C130" s="2">
        <v>2</v>
      </c>
      <c r="D130" s="2" t="inlineStr">
        <is>
          <t xml:space="preserve">Feb</t>
        </is>
      </c>
      <c r="E130" s="2" t="inlineStr">
        <is>
          <t xml:space="preserve">2015/16</t>
        </is>
      </c>
      <c r="F130" s="2">
        <v>8</v>
      </c>
      <c r="G130" s="9">
        <v>42401</v>
      </c>
      <c r="H130" s="9">
        <v>42429</v>
      </c>
      <c r="I130" s="2">
        <f>H130-G130+1</f>
        <v>29</v>
      </c>
      <c r="J130" s="2">
        <f>COUNTIF(Daily!$B$3:$B$7756,A130)</f>
        <v>29</v>
      </c>
      <c r="K130" s="2" t="str">
        <f>IF(J130=I130,"complete","partial ("&amp;J130&amp;" days)")</f>
        <v>complete</v>
      </c>
      <c r="L130" s="3">
        <f>INDEX(ENSO_monthly!$F:$F,MATCH(A130,ENSO_monthly!$A:$A,0))</f>
        <v>2.21</v>
      </c>
      <c r="M130" s="2" t="str">
        <f>INDEX(ENSO_monthly!$D:$D,MATCH(A130,ENSO_monthly!$A:$A,0))</f>
        <v>JFM</v>
      </c>
      <c r="N130" s="6" t="str">
        <f>INDEX(ENSO_monthly!$L:$L,MATCH(A130,ENSO_monthly!$A:$A,0))</f>
        <v>El Niño</v>
      </c>
      <c r="O130" s="11" t="str">
        <f>INDEX(ENSO_seasons!$U:$U,MATCH(E130,ENSO_seasons!$A:$A,0))</f>
        <v>El Niño</v>
      </c>
      <c r="P130" s="4">
        <f>SUMIFS(Daily!$D$3:$D$7756,Daily!$B$3:$B$7756,$A130)</f>
        <v>7.57</v>
      </c>
      <c r="Q130" s="3">
        <f>AVERAGEIFS(Daily!$E$3:$E$7756,Daily!$B$3:$B$7756,$A130)</f>
        <v>20.448620689655172</v>
      </c>
      <c r="R130" s="3">
        <f>AVERAGEIFS(Daily!$F$3:$F$7756,Daily!$B$3:$B$7756,$A130)</f>
        <v>27.776896551724136</v>
      </c>
      <c r="S130" s="3">
        <f>AVERAGEIFS(Daily!$G$3:$G$7756,Daily!$B$3:$B$7756,$A130)</f>
        <v>15.244137931034482</v>
      </c>
      <c r="T130" s="4">
        <f>SUMIFS(Daily!$H$3:$H$7756,Daily!$B$3:$B$7756,$A130)</f>
        <v>36.93</v>
      </c>
      <c r="U130" s="4">
        <f>SUMIFS(Daily!$I$3:$I$7756,Daily!$B$3:$B$7756,$A130)</f>
        <v>22.076</v>
      </c>
      <c r="V130" s="3">
        <f>AVERAGEIFS(Daily!$J$3:$J$7756,Daily!$B$3:$B$7756,$A130)</f>
        <v>19.778275862068963</v>
      </c>
      <c r="W130" s="3">
        <f>AVERAGEIFS(Daily!$K$3:$K$7756,Daily!$B$3:$B$7756,$A130)</f>
        <v>25.89965517241379</v>
      </c>
      <c r="X130" s="3">
        <f>AVERAGEIFS(Daily!$L$3:$L$7756,Daily!$B$3:$B$7756,$A130)</f>
        <v>15.524482758620689</v>
      </c>
      <c r="Y130" s="4">
        <f>SUMIFS(Daily!$M$3:$M$7756,Daily!$B$3:$B$7756,$A130)</f>
        <v>32.08</v>
      </c>
      <c r="Z130" s="4">
        <f>SUMIFS(Daily!$N$3:$N$7756,Daily!$B$3:$B$7756,$A130)</f>
        <v>39.453</v>
      </c>
      <c r="AA130" s="3">
        <f>AVERAGEIFS(Daily!$O$3:$O$7756,Daily!$B$3:$B$7756,$A130)</f>
        <v>19.470344827586207</v>
      </c>
      <c r="AB130" s="3">
        <f>AVERAGEIFS(Daily!$P$3:$P$7756,Daily!$B$3:$B$7756,$A130)</f>
        <v>24.774827586206897</v>
      </c>
      <c r="AC130" s="3">
        <f>AVERAGEIFS(Daily!$Q$3:$Q$7756,Daily!$B$3:$B$7756,$A130)</f>
        <v>15.878275862068966</v>
      </c>
      <c r="AD130" s="4">
        <f>SUMIFS(Daily!$R$3:$R$7756,Daily!$B$3:$B$7756,$A130)</f>
        <v>75.45</v>
      </c>
      <c r="AE130" s="4">
        <f>AVERAGE(P130,U130,Z130)</f>
        <v>23.033</v>
      </c>
      <c r="AF130" s="3">
        <f>AVERAGE(Q130,V130,AA130)</f>
        <v>19.899080459770115</v>
      </c>
      <c r="AG130" s="3">
        <f>AVERAGE(R130,W130,AB130)</f>
        <v>26.15045977011494</v>
      </c>
      <c r="AH130" s="3">
        <f>AVERAGE(S130,X130,AC130)</f>
        <v>15.54896551724138</v>
      </c>
      <c r="AI130" s="4">
        <f>AVERAGE(T130,Y130,AD130)</f>
        <v>48.15333333333333</v>
      </c>
    </row>
    <row r="131">
      <c r="A131" s="2" t="inlineStr">
        <is>
          <t xml:space="preserve">2016-03</t>
        </is>
      </c>
      <c r="B131" s="2">
        <v>2016</v>
      </c>
      <c r="C131" s="2">
        <v>3</v>
      </c>
      <c r="D131" s="2" t="inlineStr">
        <is>
          <t xml:space="preserve">Mar</t>
        </is>
      </c>
      <c r="E131" s="2" t="inlineStr">
        <is>
          <t xml:space="preserve">2015/16</t>
        </is>
      </c>
      <c r="F131" s="2">
        <v>9</v>
      </c>
      <c r="G131" s="9">
        <v>42430</v>
      </c>
      <c r="H131" s="9">
        <v>42460</v>
      </c>
      <c r="I131" s="2">
        <f>H131-G131+1</f>
        <v>31</v>
      </c>
      <c r="J131" s="2">
        <f>COUNTIF(Daily!$B$3:$B$7756,A131)</f>
        <v>31</v>
      </c>
      <c r="K131" s="2" t="str">
        <f>IF(J131=I131,"complete","partial ("&amp;J131&amp;" days)")</f>
        <v>complete</v>
      </c>
      <c r="L131" s="3">
        <f>INDEX(ENSO_monthly!$F:$F,MATCH(A131,ENSO_monthly!$A:$A,0))</f>
        <v>1.69</v>
      </c>
      <c r="M131" s="2" t="str">
        <f>INDEX(ENSO_monthly!$D:$D,MATCH(A131,ENSO_monthly!$A:$A,0))</f>
        <v>FMA</v>
      </c>
      <c r="N131" s="6" t="str">
        <f>INDEX(ENSO_monthly!$L:$L,MATCH(A131,ENSO_monthly!$A:$A,0))</f>
        <v>El Niño</v>
      </c>
      <c r="O131" s="11" t="str">
        <f>INDEX(ENSO_seasons!$U:$U,MATCH(E131,ENSO_seasons!$A:$A,0))</f>
        <v>El Niño</v>
      </c>
      <c r="P131" s="4">
        <f>SUMIFS(Daily!$D$3:$D$7756,Daily!$B$3:$B$7756,$A131)</f>
        <v>29.937</v>
      </c>
      <c r="Q131" s="3">
        <f>AVERAGEIFS(Daily!$E$3:$E$7756,Daily!$B$3:$B$7756,$A131)</f>
        <v>24.167741935483875</v>
      </c>
      <c r="R131" s="3">
        <f>AVERAGEIFS(Daily!$F$3:$F$7756,Daily!$B$3:$B$7756,$A131)</f>
        <v>32.256774193548395</v>
      </c>
      <c r="S131" s="3">
        <f>AVERAGEIFS(Daily!$G$3:$G$7756,Daily!$B$3:$B$7756,$A131)</f>
        <v>17.866774193548387</v>
      </c>
      <c r="T131" s="4">
        <f>SUMIFS(Daily!$H$3:$H$7756,Daily!$B$3:$B$7756,$A131)</f>
        <v>58.56</v>
      </c>
      <c r="U131" s="4">
        <f>SUMIFS(Daily!$I$3:$I$7756,Daily!$B$3:$B$7756,$A131)</f>
        <v>14.397</v>
      </c>
      <c r="V131" s="3">
        <f>AVERAGEIFS(Daily!$J$3:$J$7756,Daily!$B$3:$B$7756,$A131)</f>
        <v>24.524193548387093</v>
      </c>
      <c r="W131" s="3">
        <f>AVERAGEIFS(Daily!$K$3:$K$7756,Daily!$B$3:$B$7756,$A131)</f>
        <v>31.62483870967742</v>
      </c>
      <c r="X131" s="3">
        <f>AVERAGEIFS(Daily!$L$3:$L$7756,Daily!$B$3:$B$7756,$A131)</f>
        <v>19.040322580645157</v>
      </c>
      <c r="Y131" s="4">
        <f>SUMIFS(Daily!$M$3:$M$7756,Daily!$B$3:$B$7756,$A131)</f>
        <v>20.57</v>
      </c>
      <c r="Z131" s="4">
        <f>SUMIFS(Daily!$N$3:$N$7756,Daily!$B$3:$B$7756,$A131)</f>
        <v>18.195</v>
      </c>
      <c r="AA131" s="3">
        <f>AVERAGEIFS(Daily!$O$3:$O$7756,Daily!$B$3:$B$7756,$A131)</f>
        <v>23.79290322580646</v>
      </c>
      <c r="AB131" s="3">
        <f>AVERAGEIFS(Daily!$P$3:$P$7756,Daily!$B$3:$B$7756,$A131)</f>
        <v>30.590645161290325</v>
      </c>
      <c r="AC131" s="3">
        <f>AVERAGEIFS(Daily!$Q$3:$Q$7756,Daily!$B$3:$B$7756,$A131)</f>
        <v>18.948064516129033</v>
      </c>
      <c r="AD131" s="4">
        <f>SUMIFS(Daily!$R$3:$R$7756,Daily!$B$3:$B$7756,$A131)</f>
        <v>56.76</v>
      </c>
      <c r="AE131" s="4">
        <f>AVERAGE(P131,U131,Z131)</f>
        <v>20.843</v>
      </c>
      <c r="AF131" s="3">
        <f>AVERAGE(Q131,V131,AA131)</f>
        <v>24.161612903225805</v>
      </c>
      <c r="AG131" s="3">
        <f>AVERAGE(R131,W131,AB131)</f>
        <v>31.490752688172048</v>
      </c>
      <c r="AH131" s="3">
        <f>AVERAGE(S131,X131,AC131)</f>
        <v>18.618387096774196</v>
      </c>
      <c r="AI131" s="4">
        <f>AVERAGE(T131,Y131,AD131)</f>
        <v>45.29666666666666</v>
      </c>
    </row>
    <row r="132">
      <c r="A132" s="2" t="inlineStr">
        <is>
          <t xml:space="preserve">2016-04</t>
        </is>
      </c>
      <c r="B132" s="2">
        <v>2016</v>
      </c>
      <c r="C132" s="2">
        <v>4</v>
      </c>
      <c r="D132" s="2" t="inlineStr">
        <is>
          <t xml:space="preserve">Apr</t>
        </is>
      </c>
      <c r="E132" s="2" t="inlineStr">
        <is>
          <t xml:space="preserve">2015/16</t>
        </is>
      </c>
      <c r="F132" s="2">
        <v>10</v>
      </c>
      <c r="G132" s="9">
        <v>42461</v>
      </c>
      <c r="H132" s="9">
        <v>42490</v>
      </c>
      <c r="I132" s="2">
        <f>H132-G132+1</f>
        <v>30</v>
      </c>
      <c r="J132" s="2">
        <f>COUNTIF(Daily!$B$3:$B$7756,A132)</f>
        <v>30</v>
      </c>
      <c r="K132" s="2" t="str">
        <f>IF(J132=I132,"complete","partial ("&amp;J132&amp;" days)")</f>
        <v>complete</v>
      </c>
      <c r="L132" s="3">
        <f>INDEX(ENSO_monthly!$F:$F,MATCH(A132,ENSO_monthly!$A:$A,0))</f>
        <v>1.11</v>
      </c>
      <c r="M132" s="2" t="str">
        <f>INDEX(ENSO_monthly!$D:$D,MATCH(A132,ENSO_monthly!$A:$A,0))</f>
        <v>MAM</v>
      </c>
      <c r="N132" s="6" t="str">
        <f>INDEX(ENSO_monthly!$L:$L,MATCH(A132,ENSO_monthly!$A:$A,0))</f>
        <v>El Niño</v>
      </c>
      <c r="O132" s="11" t="str">
        <f>INDEX(ENSO_seasons!$U:$U,MATCH(E132,ENSO_seasons!$A:$A,0))</f>
        <v>El Niño</v>
      </c>
      <c r="P132" s="4">
        <f>SUMIFS(Daily!$D$3:$D$7756,Daily!$B$3:$B$7756,$A132)</f>
        <v>38.327</v>
      </c>
      <c r="Q132" s="3">
        <f>AVERAGEIFS(Daily!$E$3:$E$7756,Daily!$B$3:$B$7756,$A132)</f>
        <v>24.81433333333334</v>
      </c>
      <c r="R132" s="3">
        <f>AVERAGEIFS(Daily!$F$3:$F$7756,Daily!$B$3:$B$7756,$A132)</f>
        <v>32.321333333333335</v>
      </c>
      <c r="S132" s="3">
        <f>AVERAGEIFS(Daily!$G$3:$G$7756,Daily!$B$3:$B$7756,$A132)</f>
        <v>19.008</v>
      </c>
      <c r="T132" s="4">
        <f>SUMIFS(Daily!$H$3:$H$7756,Daily!$B$3:$B$7756,$A132)</f>
        <v>28.68</v>
      </c>
      <c r="U132" s="4">
        <f>SUMIFS(Daily!$I$3:$I$7756,Daily!$B$3:$B$7756,$A132)</f>
        <v>22.145</v>
      </c>
      <c r="V132" s="3">
        <f>AVERAGEIFS(Daily!$J$3:$J$7756,Daily!$B$3:$B$7756,$A132)</f>
        <v>25.30966666666667</v>
      </c>
      <c r="W132" s="3">
        <f>AVERAGEIFS(Daily!$K$3:$K$7756,Daily!$B$3:$B$7756,$A132)</f>
        <v>32.64</v>
      </c>
      <c r="X132" s="3">
        <f>AVERAGEIFS(Daily!$L$3:$L$7756,Daily!$B$3:$B$7756,$A132)</f>
        <v>19.668</v>
      </c>
      <c r="Y132" s="4">
        <f>SUMIFS(Daily!$M$3:$M$7756,Daily!$B$3:$B$7756,$A132)</f>
        <v>23.84</v>
      </c>
      <c r="Z132" s="4">
        <f>SUMIFS(Daily!$N$3:$N$7756,Daily!$B$3:$B$7756,$A132)</f>
        <v>15.951</v>
      </c>
      <c r="AA132" s="3">
        <f>AVERAGEIFS(Daily!$O$3:$O$7756,Daily!$B$3:$B$7756,$A132)</f>
        <v>24.731666666666673</v>
      </c>
      <c r="AB132" s="3">
        <f>AVERAGEIFS(Daily!$P$3:$P$7756,Daily!$B$3:$B$7756,$A132)</f>
        <v>31.808666666666664</v>
      </c>
      <c r="AC132" s="3">
        <f>AVERAGEIFS(Daily!$Q$3:$Q$7756,Daily!$B$3:$B$7756,$A132)</f>
        <v>19.622333333333337</v>
      </c>
      <c r="AD132" s="4">
        <f>SUMIFS(Daily!$R$3:$R$7756,Daily!$B$3:$B$7756,$A132)</f>
        <v>23.63</v>
      </c>
      <c r="AE132" s="4">
        <f>AVERAGE(P132,U132,Z132)</f>
        <v>25.474333333333334</v>
      </c>
      <c r="AF132" s="3">
        <f>AVERAGE(Q132,V132,AA132)</f>
        <v>24.95188888888889</v>
      </c>
      <c r="AG132" s="3">
        <f>AVERAGE(R132,W132,AB132)</f>
        <v>32.25666666666667</v>
      </c>
      <c r="AH132" s="3">
        <f>AVERAGE(S132,X132,AC132)</f>
        <v>19.43277777777778</v>
      </c>
      <c r="AI132" s="4">
        <f>AVERAGE(T132,Y132,AD132)</f>
        <v>25.38333333333333</v>
      </c>
    </row>
    <row r="133">
      <c r="A133" s="2" t="inlineStr">
        <is>
          <t xml:space="preserve">2016-05</t>
        </is>
      </c>
      <c r="B133" s="2">
        <v>2016</v>
      </c>
      <c r="C133" s="2">
        <v>5</v>
      </c>
      <c r="D133" s="2" t="inlineStr">
        <is>
          <t xml:space="preserve">May</t>
        </is>
      </c>
      <c r="E133" s="2" t="inlineStr">
        <is>
          <t xml:space="preserve">2015/16</t>
        </is>
      </c>
      <c r="F133" s="2">
        <v>11</v>
      </c>
      <c r="G133" s="9">
        <v>42491</v>
      </c>
      <c r="H133" s="9">
        <v>42521</v>
      </c>
      <c r="I133" s="2">
        <f>H133-G133+1</f>
        <v>31</v>
      </c>
      <c r="J133" s="2">
        <f>COUNTIF(Daily!$B$3:$B$7756,A133)</f>
        <v>31</v>
      </c>
      <c r="K133" s="2" t="str">
        <f>IF(J133=I133,"complete","partial ("&amp;J133&amp;" days)")</f>
        <v>complete</v>
      </c>
      <c r="L133" s="3">
        <f>INDEX(ENSO_monthly!$F:$F,MATCH(A133,ENSO_monthly!$A:$A,0))</f>
        <v>0.57</v>
      </c>
      <c r="M133" s="2" t="str">
        <f>INDEX(ENSO_monthly!$D:$D,MATCH(A133,ENSO_monthly!$A:$A,0))</f>
        <v>AMJ</v>
      </c>
      <c r="N133" s="6" t="str">
        <f>INDEX(ENSO_monthly!$L:$L,MATCH(A133,ENSO_monthly!$A:$A,0))</f>
        <v>El Niño</v>
      </c>
      <c r="O133" s="11" t="str">
        <f>INDEX(ENSO_seasons!$U:$U,MATCH(E133,ENSO_seasons!$A:$A,0))</f>
        <v>El Niño</v>
      </c>
      <c r="P133" s="4">
        <f>SUMIFS(Daily!$D$3:$D$7756,Daily!$B$3:$B$7756,$A133)</f>
        <v>94.403</v>
      </c>
      <c r="Q133" s="3">
        <f>AVERAGEIFS(Daily!$E$3:$E$7756,Daily!$B$3:$B$7756,$A133)</f>
        <v>25.44096774193549</v>
      </c>
      <c r="R133" s="3">
        <f>AVERAGEIFS(Daily!$F$3:$F$7756,Daily!$B$3:$B$7756,$A133)</f>
        <v>32.41354838709677</v>
      </c>
      <c r="S133" s="3">
        <f>AVERAGEIFS(Daily!$G$3:$G$7756,Daily!$B$3:$B$7756,$A133)</f>
        <v>20.049032258064514</v>
      </c>
      <c r="T133" s="4">
        <f>SUMIFS(Daily!$H$3:$H$7756,Daily!$B$3:$B$7756,$A133)</f>
        <v>81.46</v>
      </c>
      <c r="U133" s="4">
        <f>SUMIFS(Daily!$I$3:$I$7756,Daily!$B$3:$B$7756,$A133)</f>
        <v>51.304</v>
      </c>
      <c r="V133" s="3">
        <f>AVERAGEIFS(Daily!$J$3:$J$7756,Daily!$B$3:$B$7756,$A133)</f>
        <v>25.96354838709678</v>
      </c>
      <c r="W133" s="3">
        <f>AVERAGEIFS(Daily!$K$3:$K$7756,Daily!$B$3:$B$7756,$A133)</f>
        <v>32.46677419354838</v>
      </c>
      <c r="X133" s="3">
        <f>AVERAGEIFS(Daily!$L$3:$L$7756,Daily!$B$3:$B$7756,$A133)</f>
        <v>20.993225806451616</v>
      </c>
      <c r="Y133" s="4">
        <f>SUMIFS(Daily!$M$3:$M$7756,Daily!$B$3:$B$7756,$A133)</f>
        <v>54.63</v>
      </c>
      <c r="Z133" s="4">
        <f>SUMIFS(Daily!$N$3:$N$7756,Daily!$B$3:$B$7756,$A133)</f>
        <v>42.623</v>
      </c>
      <c r="AA133" s="3">
        <f>AVERAGEIFS(Daily!$O$3:$O$7756,Daily!$B$3:$B$7756,$A133)</f>
        <v>25.559032258064512</v>
      </c>
      <c r="AB133" s="3">
        <f>AVERAGEIFS(Daily!$P$3:$P$7756,Daily!$B$3:$B$7756,$A133)</f>
        <v>32.23935483870968</v>
      </c>
      <c r="AC133" s="3">
        <f>AVERAGEIFS(Daily!$Q$3:$Q$7756,Daily!$B$3:$B$7756,$A133)</f>
        <v>20.721612903225807</v>
      </c>
      <c r="AD133" s="4">
        <f>SUMIFS(Daily!$R$3:$R$7756,Daily!$B$3:$B$7756,$A133)</f>
        <v>46.64</v>
      </c>
      <c r="AE133" s="4">
        <f>AVERAGE(P133,U133,Z133)</f>
        <v>62.776666666666664</v>
      </c>
      <c r="AF133" s="3">
        <f>AVERAGE(Q133,V133,AA133)</f>
        <v>25.65451612903226</v>
      </c>
      <c r="AG133" s="3">
        <f>AVERAGE(R133,W133,AB133)</f>
        <v>32.373225806451615</v>
      </c>
      <c r="AH133" s="3">
        <f>AVERAGE(S133,X133,AC133)</f>
        <v>20.587956989247314</v>
      </c>
      <c r="AI133" s="4">
        <f>AVERAGE(T133,Y133,AD133)</f>
        <v>60.910000000000004</v>
      </c>
    </row>
    <row r="134">
      <c r="A134" s="2" t="inlineStr">
        <is>
          <t xml:space="preserve">2016-06</t>
        </is>
      </c>
      <c r="B134" s="2">
        <v>2016</v>
      </c>
      <c r="C134" s="2">
        <v>6</v>
      </c>
      <c r="D134" s="2" t="inlineStr">
        <is>
          <t xml:space="preserve">Jun</t>
        </is>
      </c>
      <c r="E134" s="2" t="inlineStr">
        <is>
          <t xml:space="preserve">2015/16</t>
        </is>
      </c>
      <c r="F134" s="2">
        <v>12</v>
      </c>
      <c r="G134" s="9">
        <v>42522</v>
      </c>
      <c r="H134" s="9">
        <v>42551</v>
      </c>
      <c r="I134" s="2">
        <f>H134-G134+1</f>
        <v>30</v>
      </c>
      <c r="J134" s="2">
        <f>COUNTIF(Daily!$B$3:$B$7756,A134)</f>
        <v>30</v>
      </c>
      <c r="K134" s="2" t="str">
        <f>IF(J134=I134,"complete","partial ("&amp;J134&amp;" days)")</f>
        <v>complete</v>
      </c>
      <c r="L134" s="3">
        <f>INDEX(ENSO_monthly!$F:$F,MATCH(A134,ENSO_monthly!$A:$A,0))</f>
        <v>0.09</v>
      </c>
      <c r="M134" s="2" t="str">
        <f>INDEX(ENSO_monthly!$D:$D,MATCH(A134,ENSO_monthly!$A:$A,0))</f>
        <v>MJJ</v>
      </c>
      <c r="N134" s="2" t="str">
        <f>INDEX(ENSO_monthly!$L:$L,MATCH(A134,ENSO_monthly!$A:$A,0))</f>
        <v>—</v>
      </c>
      <c r="O134" s="11" t="str">
        <f>INDEX(ENSO_seasons!$U:$U,MATCH(E134,ENSO_seasons!$A:$A,0))</f>
        <v>El Niño</v>
      </c>
      <c r="P134" s="4">
        <f>SUMIFS(Daily!$D$3:$D$7756,Daily!$B$3:$B$7756,$A134)</f>
        <v>165.26</v>
      </c>
      <c r="Q134" s="3">
        <f>AVERAGEIFS(Daily!$E$3:$E$7756,Daily!$B$3:$B$7756,$A134)</f>
        <v>22.514666666666674</v>
      </c>
      <c r="R134" s="3">
        <f>AVERAGEIFS(Daily!$F$3:$F$7756,Daily!$B$3:$B$7756,$A134)</f>
        <v>27.45266666666667</v>
      </c>
      <c r="S134" s="3">
        <f>AVERAGEIFS(Daily!$G$3:$G$7756,Daily!$B$3:$B$7756,$A134)</f>
        <v>18.671666666666667</v>
      </c>
      <c r="T134" s="4">
        <f>SUMIFS(Daily!$H$3:$H$7756,Daily!$B$3:$B$7756,$A134)</f>
        <v>187.9</v>
      </c>
      <c r="U134" s="4">
        <f>SUMIFS(Daily!$I$3:$I$7756,Daily!$B$3:$B$7756,$A134)</f>
        <v>230.345</v>
      </c>
      <c r="V134" s="3">
        <f>AVERAGEIFS(Daily!$J$3:$J$7756,Daily!$B$3:$B$7756,$A134)</f>
        <v>23.57066666666667</v>
      </c>
      <c r="W134" s="3">
        <f>AVERAGEIFS(Daily!$K$3:$K$7756,Daily!$B$3:$B$7756,$A134)</f>
        <v>28.483666666666668</v>
      </c>
      <c r="X134" s="3">
        <f>AVERAGEIFS(Daily!$L$3:$L$7756,Daily!$B$3:$B$7756,$A134)</f>
        <v>19.973000000000003</v>
      </c>
      <c r="Y134" s="4">
        <f>SUMIFS(Daily!$M$3:$M$7756,Daily!$B$3:$B$7756,$A134)</f>
        <v>224.02</v>
      </c>
      <c r="Z134" s="4">
        <f>SUMIFS(Daily!$N$3:$N$7756,Daily!$B$3:$B$7756,$A134)</f>
        <v>278.205</v>
      </c>
      <c r="AA134" s="3">
        <f>AVERAGEIFS(Daily!$O$3:$O$7756,Daily!$B$3:$B$7756,$A134)</f>
        <v>23.56866666666667</v>
      </c>
      <c r="AB134" s="3">
        <f>AVERAGEIFS(Daily!$P$3:$P$7756,Daily!$B$3:$B$7756,$A134)</f>
        <v>28.21033333333333</v>
      </c>
      <c r="AC134" s="3">
        <f>AVERAGEIFS(Daily!$Q$3:$Q$7756,Daily!$B$3:$B$7756,$A134)</f>
        <v>20.492</v>
      </c>
      <c r="AD134" s="4">
        <f>SUMIFS(Daily!$R$3:$R$7756,Daily!$B$3:$B$7756,$A134)</f>
        <v>219.81</v>
      </c>
      <c r="AE134" s="4">
        <f>AVERAGE(P134,U134,Z134)</f>
        <v>224.60333333333332</v>
      </c>
      <c r="AF134" s="3">
        <f>AVERAGE(Q134,V134,AA134)</f>
        <v>23.218000000000004</v>
      </c>
      <c r="AG134" s="3">
        <f>AVERAGE(R134,W134,AB134)</f>
        <v>28.048888888888893</v>
      </c>
      <c r="AH134" s="3">
        <f>AVERAGE(S134,X134,AC134)</f>
        <v>19.712222222222223</v>
      </c>
      <c r="AI134" s="4">
        <f>AVERAGE(T134,Y134,AD134)</f>
        <v>210.57666666666668</v>
      </c>
    </row>
    <row r="135">
      <c r="A135" s="2" t="inlineStr">
        <is>
          <t xml:space="preserve">2016-07</t>
        </is>
      </c>
      <c r="B135" s="2">
        <v>2016</v>
      </c>
      <c r="C135" s="2">
        <v>7</v>
      </c>
      <c r="D135" s="2" t="inlineStr">
        <is>
          <t xml:space="preserve">Jul</t>
        </is>
      </c>
      <c r="E135" s="2" t="inlineStr">
        <is>
          <t xml:space="preserve">2016/17</t>
        </is>
      </c>
      <c r="F135" s="2">
        <v>1</v>
      </c>
      <c r="G135" s="9">
        <v>42552</v>
      </c>
      <c r="H135" s="9">
        <v>42582</v>
      </c>
      <c r="I135" s="2">
        <f>H135-G135+1</f>
        <v>31</v>
      </c>
      <c r="J135" s="2">
        <f>COUNTIF(Daily!$B$3:$B$7756,A135)</f>
        <v>31</v>
      </c>
      <c r="K135" s="2" t="str">
        <f>IF(J135=I135,"complete","partial ("&amp;J135&amp;" days)")</f>
        <v>complete</v>
      </c>
      <c r="L135" s="3">
        <f>INDEX(ENSO_monthly!$F:$F,MATCH(A135,ENSO_monthly!$A:$A,0))</f>
        <v>-0.19</v>
      </c>
      <c r="M135" s="2" t="str">
        <f>INDEX(ENSO_monthly!$D:$D,MATCH(A135,ENSO_monthly!$A:$A,0))</f>
        <v>JJA</v>
      </c>
      <c r="N135" s="2" t="str">
        <f>INDEX(ENSO_monthly!$L:$L,MATCH(A135,ENSO_monthly!$A:$A,0))</f>
        <v>—</v>
      </c>
      <c r="O135" s="8" t="str">
        <f>INDEX(ENSO_seasons!$U:$U,MATCH(E135,ENSO_seasons!$A:$A,0))</f>
        <v>Neutral</v>
      </c>
      <c r="P135" s="4">
        <f>SUMIFS(Daily!$D$3:$D$7756,Daily!$B$3:$B$7756,$A135)</f>
        <v>71.837</v>
      </c>
      <c r="Q135" s="3">
        <f>AVERAGEIFS(Daily!$E$3:$E$7756,Daily!$B$3:$B$7756,$A135)</f>
        <v>22.888709677419353</v>
      </c>
      <c r="R135" s="3">
        <f>AVERAGEIFS(Daily!$F$3:$F$7756,Daily!$B$3:$B$7756,$A135)</f>
        <v>28.905161290322578</v>
      </c>
      <c r="S135" s="3">
        <f>AVERAGEIFS(Daily!$G$3:$G$7756,Daily!$B$3:$B$7756,$A135)</f>
        <v>18.205161290322582</v>
      </c>
      <c r="T135" s="4">
        <f>SUMIFS(Daily!$H$3:$H$7756,Daily!$B$3:$B$7756,$A135)</f>
        <v>65.36</v>
      </c>
      <c r="U135" s="4">
        <f>SUMIFS(Daily!$I$3:$I$7756,Daily!$B$3:$B$7756,$A135)</f>
        <v>172.17</v>
      </c>
      <c r="V135" s="3">
        <f>AVERAGEIFS(Daily!$J$3:$J$7756,Daily!$B$3:$B$7756,$A135)</f>
        <v>23.197741935483876</v>
      </c>
      <c r="W135" s="3">
        <f>AVERAGEIFS(Daily!$K$3:$K$7756,Daily!$B$3:$B$7756,$A135)</f>
        <v>27.729032258064514</v>
      </c>
      <c r="X135" s="3">
        <f>AVERAGEIFS(Daily!$L$3:$L$7756,Daily!$B$3:$B$7756,$A135)</f>
        <v>19.51870967741936</v>
      </c>
      <c r="Y135" s="4">
        <f>SUMIFS(Daily!$M$3:$M$7756,Daily!$B$3:$B$7756,$A135)</f>
        <v>143.4</v>
      </c>
      <c r="Z135" s="4">
        <f>SUMIFS(Daily!$N$3:$N$7756,Daily!$B$3:$B$7756,$A135)</f>
        <v>113.312</v>
      </c>
      <c r="AA135" s="3">
        <f>AVERAGEIFS(Daily!$O$3:$O$7756,Daily!$B$3:$B$7756,$A135)</f>
        <v>23.367419354838706</v>
      </c>
      <c r="AB135" s="3">
        <f>AVERAGEIFS(Daily!$P$3:$P$7756,Daily!$B$3:$B$7756,$A135)</f>
        <v>28.06064516129032</v>
      </c>
      <c r="AC135" s="3">
        <f>AVERAGEIFS(Daily!$Q$3:$Q$7756,Daily!$B$3:$B$7756,$A135)</f>
        <v>20.29677419354839</v>
      </c>
      <c r="AD135" s="4">
        <f>SUMIFS(Daily!$R$3:$R$7756,Daily!$B$3:$B$7756,$A135)</f>
        <v>104.68</v>
      </c>
      <c r="AE135" s="4">
        <f>AVERAGE(P135,U135,Z135)</f>
        <v>119.10633333333334</v>
      </c>
      <c r="AF135" s="3">
        <f>AVERAGE(Q135,V135,AA135)</f>
        <v>23.151290322580646</v>
      </c>
      <c r="AG135" s="3">
        <f>AVERAGE(R135,W135,AB135)</f>
        <v>28.231612903225805</v>
      </c>
      <c r="AH135" s="3">
        <f>AVERAGE(S135,X135,AC135)</f>
        <v>19.340215053763444</v>
      </c>
      <c r="AI135" s="4">
        <f>AVERAGE(T135,Y135,AD135)</f>
        <v>104.48</v>
      </c>
    </row>
    <row r="136">
      <c r="A136" s="2" t="inlineStr">
        <is>
          <t xml:space="preserve">2016-08</t>
        </is>
      </c>
      <c r="B136" s="2">
        <v>2016</v>
      </c>
      <c r="C136" s="2">
        <v>8</v>
      </c>
      <c r="D136" s="2" t="inlineStr">
        <is>
          <t xml:space="preserve">Aug</t>
        </is>
      </c>
      <c r="E136" s="2" t="inlineStr">
        <is>
          <t xml:space="preserve">2016/17</t>
        </is>
      </c>
      <c r="F136" s="2">
        <v>2</v>
      </c>
      <c r="G136" s="9">
        <v>42583</v>
      </c>
      <c r="H136" s="9">
        <v>42613</v>
      </c>
      <c r="I136" s="2">
        <f>H136-G136+1</f>
        <v>31</v>
      </c>
      <c r="J136" s="2">
        <f>COUNTIF(Daily!$B$3:$B$7756,A136)</f>
        <v>31</v>
      </c>
      <c r="K136" s="2" t="str">
        <f>IF(J136=I136,"complete","partial ("&amp;J136&amp;" days)")</f>
        <v>complete</v>
      </c>
      <c r="L136" s="3">
        <f>INDEX(ENSO_monthly!$F:$F,MATCH(A136,ENSO_monthly!$A:$A,0))</f>
        <v>-0.34</v>
      </c>
      <c r="M136" s="2" t="str">
        <f>INDEX(ENSO_monthly!$D:$D,MATCH(A136,ENSO_monthly!$A:$A,0))</f>
        <v>JAS</v>
      </c>
      <c r="N136" s="2" t="str">
        <f>INDEX(ENSO_monthly!$L:$L,MATCH(A136,ENSO_monthly!$A:$A,0))</f>
        <v>—</v>
      </c>
      <c r="O136" s="8" t="str">
        <f>INDEX(ENSO_seasons!$U:$U,MATCH(E136,ENSO_seasons!$A:$A,0))</f>
        <v>Neutral</v>
      </c>
      <c r="P136" s="4">
        <f>SUMIFS(Daily!$D$3:$D$7756,Daily!$B$3:$B$7756,$A136)</f>
        <v>154.676</v>
      </c>
      <c r="Q136" s="3">
        <f>AVERAGEIFS(Daily!$E$3:$E$7756,Daily!$B$3:$B$7756,$A136)</f>
        <v>22.986129032258063</v>
      </c>
      <c r="R136" s="3">
        <f>AVERAGEIFS(Daily!$F$3:$F$7756,Daily!$B$3:$B$7756,$A136)</f>
        <v>28.52903225806452</v>
      </c>
      <c r="S136" s="3">
        <f>AVERAGEIFS(Daily!$G$3:$G$7756,Daily!$B$3:$B$7756,$A136)</f>
        <v>18.91548387096774</v>
      </c>
      <c r="T136" s="4">
        <f>SUMIFS(Daily!$H$3:$H$7756,Daily!$B$3:$B$7756,$A136)</f>
        <v>154.55</v>
      </c>
      <c r="U136" s="4">
        <f>SUMIFS(Daily!$I$3:$I$7756,Daily!$B$3:$B$7756,$A136)</f>
        <v>182.226</v>
      </c>
      <c r="V136" s="3">
        <f>AVERAGEIFS(Daily!$J$3:$J$7756,Daily!$B$3:$B$7756,$A136)</f>
        <v>22.838064516129037</v>
      </c>
      <c r="W136" s="3">
        <f>AVERAGEIFS(Daily!$K$3:$K$7756,Daily!$B$3:$B$7756,$A136)</f>
        <v>26.997419354838712</v>
      </c>
      <c r="X136" s="3">
        <f>AVERAGEIFS(Daily!$L$3:$L$7756,Daily!$B$3:$B$7756,$A136)</f>
        <v>19.55774193548388</v>
      </c>
      <c r="Y136" s="4">
        <f>SUMIFS(Daily!$M$3:$M$7756,Daily!$B$3:$B$7756,$A136)</f>
        <v>175.55</v>
      </c>
      <c r="Z136" s="4">
        <f>SUMIFS(Daily!$N$3:$N$7756,Daily!$B$3:$B$7756,$A136)</f>
        <v>182.094</v>
      </c>
      <c r="AA136" s="3">
        <f>AVERAGEIFS(Daily!$O$3:$O$7756,Daily!$B$3:$B$7756,$A136)</f>
        <v>23.217096774193546</v>
      </c>
      <c r="AB136" s="3">
        <f>AVERAGEIFS(Daily!$P$3:$P$7756,Daily!$B$3:$B$7756,$A136)</f>
        <v>27.49225806451613</v>
      </c>
      <c r="AC136" s="3">
        <f>AVERAGEIFS(Daily!$Q$3:$Q$7756,Daily!$B$3:$B$7756,$A136)</f>
        <v>20.279999999999998</v>
      </c>
      <c r="AD136" s="4">
        <f>SUMIFS(Daily!$R$3:$R$7756,Daily!$B$3:$B$7756,$A136)</f>
        <v>161.65</v>
      </c>
      <c r="AE136" s="4">
        <f>AVERAGE(P136,U136,Z136)</f>
        <v>172.99866666666665</v>
      </c>
      <c r="AF136" s="3">
        <f>AVERAGE(Q136,V136,AA136)</f>
        <v>23.013763440860217</v>
      </c>
      <c r="AG136" s="3">
        <f>AVERAGE(R136,W136,AB136)</f>
        <v>27.672903225806454</v>
      </c>
      <c r="AH136" s="3">
        <f>AVERAGE(S136,X136,AC136)</f>
        <v>19.584408602150543</v>
      </c>
      <c r="AI136" s="4">
        <f>AVERAGE(T136,Y136,AD136)</f>
        <v>163.91666666666666</v>
      </c>
    </row>
    <row r="137">
      <c r="A137" s="2" t="inlineStr">
        <is>
          <t xml:space="preserve">2016-09</t>
        </is>
      </c>
      <c r="B137" s="2">
        <v>2016</v>
      </c>
      <c r="C137" s="2">
        <v>9</v>
      </c>
      <c r="D137" s="2" t="inlineStr">
        <is>
          <t xml:space="preserve">Sep</t>
        </is>
      </c>
      <c r="E137" s="2" t="inlineStr">
        <is>
          <t xml:space="preserve">2016/17</t>
        </is>
      </c>
      <c r="F137" s="2">
        <v>3</v>
      </c>
      <c r="G137" s="9">
        <v>42614</v>
      </c>
      <c r="H137" s="9">
        <v>42643</v>
      </c>
      <c r="I137" s="2">
        <f>H137-G137+1</f>
        <v>30</v>
      </c>
      <c r="J137" s="2">
        <f>COUNTIF(Daily!$B$3:$B$7756,A137)</f>
        <v>30</v>
      </c>
      <c r="K137" s="2" t="str">
        <f>IF(J137=I137,"complete","partial ("&amp;J137&amp;" days)")</f>
        <v>complete</v>
      </c>
      <c r="L137" s="3">
        <f>INDEX(ENSO_monthly!$F:$F,MATCH(A137,ENSO_monthly!$A:$A,0))</f>
        <v>-0.42</v>
      </c>
      <c r="M137" s="2" t="str">
        <f>INDEX(ENSO_monthly!$D:$D,MATCH(A137,ENSO_monthly!$A:$A,0))</f>
        <v>ASO</v>
      </c>
      <c r="N137" s="2" t="str">
        <f>INDEX(ENSO_monthly!$L:$L,MATCH(A137,ENSO_monthly!$A:$A,0))</f>
        <v>—</v>
      </c>
      <c r="O137" s="8" t="str">
        <f>INDEX(ENSO_seasons!$U:$U,MATCH(E137,ENSO_seasons!$A:$A,0))</f>
        <v>Neutral</v>
      </c>
      <c r="P137" s="4">
        <f>SUMIFS(Daily!$D$3:$D$7756,Daily!$B$3:$B$7756,$A137)</f>
        <v>93.253</v>
      </c>
      <c r="Q137" s="3">
        <f>AVERAGEIFS(Daily!$E$3:$E$7756,Daily!$B$3:$B$7756,$A137)</f>
        <v>22.424666666666667</v>
      </c>
      <c r="R137" s="3">
        <f>AVERAGEIFS(Daily!$F$3:$F$7756,Daily!$B$3:$B$7756,$A137)</f>
        <v>27.863000000000007</v>
      </c>
      <c r="S137" s="3">
        <f>AVERAGEIFS(Daily!$G$3:$G$7756,Daily!$B$3:$B$7756,$A137)</f>
        <v>18.435</v>
      </c>
      <c r="T137" s="4">
        <f>SUMIFS(Daily!$H$3:$H$7756,Daily!$B$3:$B$7756,$A137)</f>
        <v>115.26</v>
      </c>
      <c r="U137" s="4">
        <f>SUMIFS(Daily!$I$3:$I$7756,Daily!$B$3:$B$7756,$A137)</f>
        <v>270.349</v>
      </c>
      <c r="V137" s="3">
        <f>AVERAGEIFS(Daily!$J$3:$J$7756,Daily!$B$3:$B$7756,$A137)</f>
        <v>22.32266666666666</v>
      </c>
      <c r="W137" s="3">
        <f>AVERAGEIFS(Daily!$K$3:$K$7756,Daily!$B$3:$B$7756,$A137)</f>
        <v>26.49466666666667</v>
      </c>
      <c r="X137" s="3">
        <f>AVERAGEIFS(Daily!$L$3:$L$7756,Daily!$B$3:$B$7756,$A137)</f>
        <v>19.194666666666667</v>
      </c>
      <c r="Y137" s="4">
        <f>SUMIFS(Daily!$M$3:$M$7756,Daily!$B$3:$B$7756,$A137)</f>
        <v>248.46</v>
      </c>
      <c r="Z137" s="4">
        <f>SUMIFS(Daily!$N$3:$N$7756,Daily!$B$3:$B$7756,$A137)</f>
        <v>309.184</v>
      </c>
      <c r="AA137" s="3">
        <f>AVERAGEIFS(Daily!$O$3:$O$7756,Daily!$B$3:$B$7756,$A137)</f>
        <v>22.86966666666667</v>
      </c>
      <c r="AB137" s="3">
        <f>AVERAGEIFS(Daily!$P$3:$P$7756,Daily!$B$3:$B$7756,$A137)</f>
        <v>27.038666666666675</v>
      </c>
      <c r="AC137" s="3">
        <f>AVERAGEIFS(Daily!$Q$3:$Q$7756,Daily!$B$3:$B$7756,$A137)</f>
        <v>20.066333333333336</v>
      </c>
      <c r="AD137" s="4">
        <f>SUMIFS(Daily!$R$3:$R$7756,Daily!$B$3:$B$7756,$A137)</f>
        <v>189.22</v>
      </c>
      <c r="AE137" s="4">
        <f>AVERAGE(P137,U137,Z137)</f>
        <v>224.26200000000003</v>
      </c>
      <c r="AF137" s="3">
        <f>AVERAGE(Q137,V137,AA137)</f>
        <v>22.539</v>
      </c>
      <c r="AG137" s="3">
        <f>AVERAGE(R137,W137,AB137)</f>
        <v>27.132111111111115</v>
      </c>
      <c r="AH137" s="3">
        <f>AVERAGE(S137,X137,AC137)</f>
        <v>19.232</v>
      </c>
      <c r="AI137" s="4">
        <f>AVERAGE(T137,Y137,AD137)</f>
        <v>184.31333333333336</v>
      </c>
    </row>
    <row r="138">
      <c r="A138" s="2" t="inlineStr">
        <is>
          <t xml:space="preserve">2016-10</t>
        </is>
      </c>
      <c r="B138" s="2">
        <v>2016</v>
      </c>
      <c r="C138" s="2">
        <v>10</v>
      </c>
      <c r="D138" s="2" t="inlineStr">
        <is>
          <t xml:space="preserve">Oct</t>
        </is>
      </c>
      <c r="E138" s="2" t="inlineStr">
        <is>
          <t xml:space="preserve">2016/17</t>
        </is>
      </c>
      <c r="F138" s="2">
        <v>4</v>
      </c>
      <c r="G138" s="9">
        <v>42644</v>
      </c>
      <c r="H138" s="9">
        <v>42674</v>
      </c>
      <c r="I138" s="2">
        <f>H138-G138+1</f>
        <v>31</v>
      </c>
      <c r="J138" s="2">
        <f>COUNTIF(Daily!$B$3:$B$7756,A138)</f>
        <v>31</v>
      </c>
      <c r="K138" s="2" t="str">
        <f>IF(J138=I138,"complete","partial ("&amp;J138&amp;" days)")</f>
        <v>complete</v>
      </c>
      <c r="L138" s="3">
        <f>INDEX(ENSO_monthly!$F:$F,MATCH(A138,ENSO_monthly!$A:$A,0))</f>
        <v>-0.51</v>
      </c>
      <c r="M138" s="2" t="str">
        <f>INDEX(ENSO_monthly!$D:$D,MATCH(A138,ENSO_monthly!$A:$A,0))</f>
        <v>SON</v>
      </c>
      <c r="N138" s="2" t="str">
        <f>INDEX(ENSO_monthly!$L:$L,MATCH(A138,ENSO_monthly!$A:$A,0))</f>
        <v>—</v>
      </c>
      <c r="O138" s="8" t="str">
        <f>INDEX(ENSO_seasons!$U:$U,MATCH(E138,ENSO_seasons!$A:$A,0))</f>
        <v>Neutral</v>
      </c>
      <c r="P138" s="4">
        <f>SUMIFS(Daily!$D$3:$D$7756,Daily!$B$3:$B$7756,$A138)</f>
        <v>124.823</v>
      </c>
      <c r="Q138" s="3">
        <f>AVERAGEIFS(Daily!$E$3:$E$7756,Daily!$B$3:$B$7756,$A138)</f>
        <v>21.35516129032258</v>
      </c>
      <c r="R138" s="3">
        <f>AVERAGEIFS(Daily!$F$3:$F$7756,Daily!$B$3:$B$7756,$A138)</f>
        <v>26.501290322580648</v>
      </c>
      <c r="S138" s="3">
        <f>AVERAGEIFS(Daily!$G$3:$G$7756,Daily!$B$3:$B$7756,$A138)</f>
        <v>17.743548387096773</v>
      </c>
      <c r="T138" s="4">
        <f>SUMIFS(Daily!$H$3:$H$7756,Daily!$B$3:$B$7756,$A138)</f>
        <v>143.03</v>
      </c>
      <c r="U138" s="4">
        <f>SUMIFS(Daily!$I$3:$I$7756,Daily!$B$3:$B$7756,$A138)</f>
        <v>73.824</v>
      </c>
      <c r="V138" s="3">
        <f>AVERAGEIFS(Daily!$J$3:$J$7756,Daily!$B$3:$B$7756,$A138)</f>
        <v>21.36483870967742</v>
      </c>
      <c r="W138" s="3">
        <f>AVERAGEIFS(Daily!$K$3:$K$7756,Daily!$B$3:$B$7756,$A138)</f>
        <v>26.037419354838704</v>
      </c>
      <c r="X138" s="3">
        <f>AVERAGEIFS(Daily!$L$3:$L$7756,Daily!$B$3:$B$7756,$A138)</f>
        <v>17.757741935483867</v>
      </c>
      <c r="Y138" s="4">
        <f>SUMIFS(Daily!$M$3:$M$7756,Daily!$B$3:$B$7756,$A138)</f>
        <v>85.86</v>
      </c>
      <c r="Z138" s="4">
        <f>SUMIFS(Daily!$N$3:$N$7756,Daily!$B$3:$B$7756,$A138)</f>
        <v>54.179</v>
      </c>
      <c r="AA138" s="3">
        <f>AVERAGEIFS(Daily!$O$3:$O$7756,Daily!$B$3:$B$7756,$A138)</f>
        <v>21.60806451612903</v>
      </c>
      <c r="AB138" s="3">
        <f>AVERAGEIFS(Daily!$P$3:$P$7756,Daily!$B$3:$B$7756,$A138)</f>
        <v>26.046774193548387</v>
      </c>
      <c r="AC138" s="3">
        <f>AVERAGEIFS(Daily!$Q$3:$Q$7756,Daily!$B$3:$B$7756,$A138)</f>
        <v>18.549677419354836</v>
      </c>
      <c r="AD138" s="4">
        <f>SUMIFS(Daily!$R$3:$R$7756,Daily!$B$3:$B$7756,$A138)</f>
        <v>128.22</v>
      </c>
      <c r="AE138" s="4">
        <f>AVERAGE(P138,U138,Z138)</f>
        <v>84.27533333333334</v>
      </c>
      <c r="AF138" s="3">
        <f>AVERAGE(Q138,V138,AA138)</f>
        <v>21.44268817204301</v>
      </c>
      <c r="AG138" s="3">
        <f>AVERAGE(R138,W138,AB138)</f>
        <v>26.195161290322577</v>
      </c>
      <c r="AH138" s="3">
        <f>AVERAGE(S138,X138,AC138)</f>
        <v>18.016989247311827</v>
      </c>
      <c r="AI138" s="4">
        <f>AVERAGE(T138,Y138,AD138)</f>
        <v>119.03666666666668</v>
      </c>
    </row>
    <row r="139">
      <c r="A139" s="2" t="inlineStr">
        <is>
          <t xml:space="preserve">2016-11</t>
        </is>
      </c>
      <c r="B139" s="2">
        <v>2016</v>
      </c>
      <c r="C139" s="2">
        <v>11</v>
      </c>
      <c r="D139" s="2" t="inlineStr">
        <is>
          <t xml:space="preserve">Nov</t>
        </is>
      </c>
      <c r="E139" s="2" t="inlineStr">
        <is>
          <t xml:space="preserve">2016/17</t>
        </is>
      </c>
      <c r="F139" s="2">
        <v>5</v>
      </c>
      <c r="G139" s="9">
        <v>42675</v>
      </c>
      <c r="H139" s="9">
        <v>42704</v>
      </c>
      <c r="I139" s="2">
        <f>H139-G139+1</f>
        <v>30</v>
      </c>
      <c r="J139" s="2">
        <f>COUNTIF(Daily!$B$3:$B$7756,A139)</f>
        <v>30</v>
      </c>
      <c r="K139" s="2" t="str">
        <f>IF(J139=I139,"complete","partial ("&amp;J139&amp;" days)")</f>
        <v>complete</v>
      </c>
      <c r="L139" s="3">
        <f>INDEX(ENSO_monthly!$F:$F,MATCH(A139,ENSO_monthly!$A:$A,0))</f>
        <v>-0.49</v>
      </c>
      <c r="M139" s="2" t="str">
        <f>INDEX(ENSO_monthly!$D:$D,MATCH(A139,ENSO_monthly!$A:$A,0))</f>
        <v>OND</v>
      </c>
      <c r="N139" s="2" t="str">
        <f>INDEX(ENSO_monthly!$L:$L,MATCH(A139,ENSO_monthly!$A:$A,0))</f>
        <v>—</v>
      </c>
      <c r="O139" s="8" t="str">
        <f>INDEX(ENSO_seasons!$U:$U,MATCH(E139,ENSO_seasons!$A:$A,0))</f>
        <v>Neutral</v>
      </c>
      <c r="P139" s="4">
        <f>SUMIFS(Daily!$D$3:$D$7756,Daily!$B$3:$B$7756,$A139)</f>
        <v>19.88</v>
      </c>
      <c r="Q139" s="3">
        <f>AVERAGEIFS(Daily!$E$3:$E$7756,Daily!$B$3:$B$7756,$A139)</f>
        <v>20.351</v>
      </c>
      <c r="R139" s="3">
        <f>AVERAGEIFS(Daily!$F$3:$F$7756,Daily!$B$3:$B$7756,$A139)</f>
        <v>25.41533333333333</v>
      </c>
      <c r="S139" s="3">
        <f>AVERAGEIFS(Daily!$G$3:$G$7756,Daily!$B$3:$B$7756,$A139)</f>
        <v>16.964333333333332</v>
      </c>
      <c r="T139" s="4">
        <f>SUMIFS(Daily!$H$3:$H$7756,Daily!$B$3:$B$7756,$A139)</f>
        <v>54.2</v>
      </c>
      <c r="U139" s="4">
        <f>SUMIFS(Daily!$I$3:$I$7756,Daily!$B$3:$B$7756,$A139)</f>
        <v>24.331</v>
      </c>
      <c r="V139" s="3">
        <f>AVERAGEIFS(Daily!$J$3:$J$7756,Daily!$B$3:$B$7756,$A139)</f>
        <v>20.272666666666666</v>
      </c>
      <c r="W139" s="3">
        <f>AVERAGEIFS(Daily!$K$3:$K$7756,Daily!$B$3:$B$7756,$A139)</f>
        <v>25.214999999999996</v>
      </c>
      <c r="X139" s="3">
        <f>AVERAGEIFS(Daily!$L$3:$L$7756,Daily!$B$3:$B$7756,$A139)</f>
        <v>16.877666666666666</v>
      </c>
      <c r="Y139" s="4">
        <f>SUMIFS(Daily!$M$3:$M$7756,Daily!$B$3:$B$7756,$A139)</f>
        <v>52.27</v>
      </c>
      <c r="Z139" s="4">
        <f>SUMIFS(Daily!$N$3:$N$7756,Daily!$B$3:$B$7756,$A139)</f>
        <v>79.954</v>
      </c>
      <c r="AA139" s="3">
        <f>AVERAGEIFS(Daily!$O$3:$O$7756,Daily!$B$3:$B$7756,$A139)</f>
        <v>20.36766666666666</v>
      </c>
      <c r="AB139" s="3">
        <f>AVERAGEIFS(Daily!$P$3:$P$7756,Daily!$B$3:$B$7756,$A139)</f>
        <v>24.58533333333333</v>
      </c>
      <c r="AC139" s="3">
        <f>AVERAGEIFS(Daily!$Q$3:$Q$7756,Daily!$B$3:$B$7756,$A139)</f>
        <v>17.468</v>
      </c>
      <c r="AD139" s="4">
        <f>SUMIFS(Daily!$R$3:$R$7756,Daily!$B$3:$B$7756,$A139)</f>
        <v>112.31</v>
      </c>
      <c r="AE139" s="4">
        <f>AVERAGE(P139,U139,Z139)</f>
        <v>41.38833333333333</v>
      </c>
      <c r="AF139" s="3">
        <f>AVERAGE(Q139,V139,AA139)</f>
        <v>20.330444444444442</v>
      </c>
      <c r="AG139" s="3">
        <f>AVERAGE(R139,W139,AB139)</f>
        <v>25.07188888888889</v>
      </c>
      <c r="AH139" s="3">
        <f>AVERAGE(S139,X139,AC139)</f>
        <v>17.103333333333335</v>
      </c>
      <c r="AI139" s="4">
        <f>AVERAGE(T139,Y139,AD139)</f>
        <v>72.92666666666666</v>
      </c>
    </row>
    <row r="140">
      <c r="A140" s="2" t="inlineStr">
        <is>
          <t xml:space="preserve">2016-12</t>
        </is>
      </c>
      <c r="B140" s="2">
        <v>2016</v>
      </c>
      <c r="C140" s="2">
        <v>12</v>
      </c>
      <c r="D140" s="2" t="inlineStr">
        <is>
          <t xml:space="preserve">Dec</t>
        </is>
      </c>
      <c r="E140" s="2" t="inlineStr">
        <is>
          <t xml:space="preserve">2016/17</t>
        </is>
      </c>
      <c r="F140" s="2">
        <v>6</v>
      </c>
      <c r="G140" s="9">
        <v>42705</v>
      </c>
      <c r="H140" s="9">
        <v>42735</v>
      </c>
      <c r="I140" s="2">
        <f>H140-G140+1</f>
        <v>31</v>
      </c>
      <c r="J140" s="2">
        <f>COUNTIF(Daily!$B$3:$B$7756,A140)</f>
        <v>31</v>
      </c>
      <c r="K140" s="2" t="str">
        <f>IF(J140=I140,"complete","partial ("&amp;J140&amp;" days)")</f>
        <v>complete</v>
      </c>
      <c r="L140" s="3">
        <f>INDEX(ENSO_monthly!$F:$F,MATCH(A140,ENSO_monthly!$A:$A,0))</f>
        <v>-0.37</v>
      </c>
      <c r="M140" s="2" t="str">
        <f>INDEX(ENSO_monthly!$D:$D,MATCH(A140,ENSO_monthly!$A:$A,0))</f>
        <v>NDJ</v>
      </c>
      <c r="N140" s="2" t="str">
        <f>INDEX(ENSO_monthly!$L:$L,MATCH(A140,ENSO_monthly!$A:$A,0))</f>
        <v>—</v>
      </c>
      <c r="O140" s="8" t="str">
        <f>INDEX(ENSO_seasons!$U:$U,MATCH(E140,ENSO_seasons!$A:$A,0))</f>
        <v>Neutral</v>
      </c>
      <c r="P140" s="4">
        <f>SUMIFS(Daily!$D$3:$D$7756,Daily!$B$3:$B$7756,$A140)</f>
        <v>17.905</v>
      </c>
      <c r="Q140" s="3">
        <f>AVERAGEIFS(Daily!$E$3:$E$7756,Daily!$B$3:$B$7756,$A140)</f>
        <v>20.567419354838712</v>
      </c>
      <c r="R140" s="3">
        <f>AVERAGEIFS(Daily!$F$3:$F$7756,Daily!$B$3:$B$7756,$A140)</f>
        <v>26.611290322580647</v>
      </c>
      <c r="S140" s="3">
        <f>AVERAGEIFS(Daily!$G$3:$G$7756,Daily!$B$3:$B$7756,$A140)</f>
        <v>16.46870967741935</v>
      </c>
      <c r="T140" s="4">
        <f>SUMIFS(Daily!$H$3:$H$7756,Daily!$B$3:$B$7756,$A140)</f>
        <v>43.39</v>
      </c>
      <c r="U140" s="4">
        <f>SUMIFS(Daily!$I$3:$I$7756,Daily!$B$3:$B$7756,$A140)</f>
        <v>16.835</v>
      </c>
      <c r="V140" s="3">
        <f>AVERAGEIFS(Daily!$J$3:$J$7756,Daily!$B$3:$B$7756,$A140)</f>
        <v>21.239354838709673</v>
      </c>
      <c r="W140" s="3">
        <f>AVERAGEIFS(Daily!$K$3:$K$7756,Daily!$B$3:$B$7756,$A140)</f>
        <v>26.780322580645162</v>
      </c>
      <c r="X140" s="3">
        <f>AVERAGEIFS(Daily!$L$3:$L$7756,Daily!$B$3:$B$7756,$A140)</f>
        <v>17.488064516129032</v>
      </c>
      <c r="Y140" s="4">
        <f>SUMIFS(Daily!$M$3:$M$7756,Daily!$B$3:$B$7756,$A140)</f>
        <v>40.03</v>
      </c>
      <c r="Z140" s="4">
        <f>SUMIFS(Daily!$N$3:$N$7756,Daily!$B$3:$B$7756,$A140)</f>
        <v>50.416</v>
      </c>
      <c r="AA140" s="3">
        <f>AVERAGEIFS(Daily!$O$3:$O$7756,Daily!$B$3:$B$7756,$A140)</f>
        <v>20.938709677419357</v>
      </c>
      <c r="AB140" s="3">
        <f>AVERAGEIFS(Daily!$P$3:$P$7756,Daily!$B$3:$B$7756,$A140)</f>
        <v>25.496774193548383</v>
      </c>
      <c r="AC140" s="3">
        <f>AVERAGEIFS(Daily!$Q$3:$Q$7756,Daily!$B$3:$B$7756,$A140)</f>
        <v>17.94193548387097</v>
      </c>
      <c r="AD140" s="4">
        <f>SUMIFS(Daily!$R$3:$R$7756,Daily!$B$3:$B$7756,$A140)</f>
        <v>88.11</v>
      </c>
      <c r="AE140" s="4">
        <f>AVERAGE(P140,U140,Z140)</f>
        <v>28.385333333333335</v>
      </c>
      <c r="AF140" s="3">
        <f>AVERAGE(Q140,V140,AA140)</f>
        <v>20.915161290322583</v>
      </c>
      <c r="AG140" s="3">
        <f>AVERAGE(R140,W140,AB140)</f>
        <v>26.29612903225806</v>
      </c>
      <c r="AH140" s="3">
        <f>AVERAGE(S140,X140,AC140)</f>
        <v>17.29956989247312</v>
      </c>
      <c r="AI140" s="4">
        <f>AVERAGE(T140,Y140,AD140)</f>
        <v>57.17666666666667</v>
      </c>
    </row>
    <row r="141">
      <c r="A141" s="2" t="inlineStr">
        <is>
          <t xml:space="preserve">2017-01</t>
        </is>
      </c>
      <c r="B141" s="2">
        <v>2017</v>
      </c>
      <c r="C141" s="2">
        <v>1</v>
      </c>
      <c r="D141" s="2" t="inlineStr">
        <is>
          <t xml:space="preserve">Jan</t>
        </is>
      </c>
      <c r="E141" s="2" t="inlineStr">
        <is>
          <t xml:space="preserve">2016/17</t>
        </is>
      </c>
      <c r="F141" s="2">
        <v>7</v>
      </c>
      <c r="G141" s="9">
        <v>42736</v>
      </c>
      <c r="H141" s="9">
        <v>42766</v>
      </c>
      <c r="I141" s="2">
        <f>H141-G141+1</f>
        <v>31</v>
      </c>
      <c r="J141" s="2">
        <f>COUNTIF(Daily!$B$3:$B$7756,A141)</f>
        <v>31</v>
      </c>
      <c r="K141" s="2" t="str">
        <f>IF(J141=I141,"complete","partial ("&amp;J141&amp;" days)")</f>
        <v>complete</v>
      </c>
      <c r="L141" s="3">
        <f>INDEX(ENSO_monthly!$F:$F,MATCH(A141,ENSO_monthly!$A:$A,0))</f>
        <v>-0.08</v>
      </c>
      <c r="M141" s="2" t="str">
        <f>INDEX(ENSO_monthly!$D:$D,MATCH(A141,ENSO_monthly!$A:$A,0))</f>
        <v>DJF</v>
      </c>
      <c r="N141" s="2" t="str">
        <f>INDEX(ENSO_monthly!$L:$L,MATCH(A141,ENSO_monthly!$A:$A,0))</f>
        <v>—</v>
      </c>
      <c r="O141" s="8" t="str">
        <f>INDEX(ENSO_seasons!$U:$U,MATCH(E141,ENSO_seasons!$A:$A,0))</f>
        <v>Neutral</v>
      </c>
      <c r="P141" s="4">
        <f>SUMIFS(Daily!$D$3:$D$7756,Daily!$B$3:$B$7756,$A141)</f>
        <v>5.523</v>
      </c>
      <c r="Q141" s="3">
        <f>AVERAGEIFS(Daily!$E$3:$E$7756,Daily!$B$3:$B$7756,$A141)</f>
        <v>20.069032258064517</v>
      </c>
      <c r="R141" s="3">
        <f>AVERAGEIFS(Daily!$F$3:$F$7756,Daily!$B$3:$B$7756,$A141)</f>
        <v>27.73741935483871</v>
      </c>
      <c r="S141" s="3">
        <f>AVERAGEIFS(Daily!$G$3:$G$7756,Daily!$B$3:$B$7756,$A141)</f>
        <v>14.531612903225804</v>
      </c>
      <c r="T141" s="4">
        <f>SUMIFS(Daily!$H$3:$H$7756,Daily!$B$3:$B$7756,$A141)</f>
        <v>27.76</v>
      </c>
      <c r="U141" s="4">
        <f>SUMIFS(Daily!$I$3:$I$7756,Daily!$B$3:$B$7756,$A141)</f>
        <v>9.237</v>
      </c>
      <c r="V141" s="3">
        <f>AVERAGEIFS(Daily!$J$3:$J$7756,Daily!$B$3:$B$7756,$A141)</f>
        <v>20.478387096774195</v>
      </c>
      <c r="W141" s="3">
        <f>AVERAGEIFS(Daily!$K$3:$K$7756,Daily!$B$3:$B$7756,$A141)</f>
        <v>27.080322580645156</v>
      </c>
      <c r="X141" s="3">
        <f>AVERAGEIFS(Daily!$L$3:$L$7756,Daily!$B$3:$B$7756,$A141)</f>
        <v>15.583870967741937</v>
      </c>
      <c r="Y141" s="4">
        <f>SUMIFS(Daily!$M$3:$M$7756,Daily!$B$3:$B$7756,$A141)</f>
        <v>25.95</v>
      </c>
      <c r="Z141" s="4">
        <f>SUMIFS(Daily!$N$3:$N$7756,Daily!$B$3:$B$7756,$A141)</f>
        <v>32.38</v>
      </c>
      <c r="AA141" s="3">
        <f>AVERAGEIFS(Daily!$O$3:$O$7756,Daily!$B$3:$B$7756,$A141)</f>
        <v>19.95645161290323</v>
      </c>
      <c r="AB141" s="3">
        <f>AVERAGEIFS(Daily!$P$3:$P$7756,Daily!$B$3:$B$7756,$A141)</f>
        <v>25.476451612903222</v>
      </c>
      <c r="AC141" s="3">
        <f>AVERAGEIFS(Daily!$Q$3:$Q$7756,Daily!$B$3:$B$7756,$A141)</f>
        <v>15.893870967741934</v>
      </c>
      <c r="AD141" s="4">
        <f>SUMIFS(Daily!$R$3:$R$7756,Daily!$B$3:$B$7756,$A141)</f>
        <v>61.16</v>
      </c>
      <c r="AE141" s="4">
        <f>AVERAGE(P141,U141,Z141)</f>
        <v>15.713333333333333</v>
      </c>
      <c r="AF141" s="3">
        <f>AVERAGE(Q141,V141,AA141)</f>
        <v>20.167956989247312</v>
      </c>
      <c r="AG141" s="3">
        <f>AVERAGE(R141,W141,AB141)</f>
        <v>26.764731182795696</v>
      </c>
      <c r="AH141" s="3">
        <f>AVERAGE(S141,X141,AC141)</f>
        <v>15.336451612903225</v>
      </c>
      <c r="AI141" s="4">
        <f>AVERAGE(T141,Y141,AD141)</f>
        <v>38.29</v>
      </c>
    </row>
    <row r="142">
      <c r="A142" s="2" t="inlineStr">
        <is>
          <t xml:space="preserve">2017-02</t>
        </is>
      </c>
      <c r="B142" s="2">
        <v>2017</v>
      </c>
      <c r="C142" s="2">
        <v>2</v>
      </c>
      <c r="D142" s="2" t="inlineStr">
        <is>
          <t xml:space="preserve">Feb</t>
        </is>
      </c>
      <c r="E142" s="2" t="inlineStr">
        <is>
          <t xml:space="preserve">2016/17</t>
        </is>
      </c>
      <c r="F142" s="2">
        <v>8</v>
      </c>
      <c r="G142" s="9">
        <v>42767</v>
      </c>
      <c r="H142" s="9">
        <v>42794</v>
      </c>
      <c r="I142" s="2">
        <f>H142-G142+1</f>
        <v>28</v>
      </c>
      <c r="J142" s="2">
        <f>COUNTIF(Daily!$B$3:$B$7756,A142)</f>
        <v>28</v>
      </c>
      <c r="K142" s="2" t="str">
        <f>IF(J142=I142,"complete","partial ("&amp;J142&amp;" days)")</f>
        <v>complete</v>
      </c>
      <c r="L142" s="3">
        <f>INDEX(ENSO_monthly!$F:$F,MATCH(A142,ENSO_monthly!$A:$A,0))</f>
        <v>0.08</v>
      </c>
      <c r="M142" s="2" t="str">
        <f>INDEX(ENSO_monthly!$D:$D,MATCH(A142,ENSO_monthly!$A:$A,0))</f>
        <v>JFM</v>
      </c>
      <c r="N142" s="2" t="str">
        <f>INDEX(ENSO_monthly!$L:$L,MATCH(A142,ENSO_monthly!$A:$A,0))</f>
        <v>—</v>
      </c>
      <c r="O142" s="8" t="str">
        <f>INDEX(ENSO_seasons!$U:$U,MATCH(E142,ENSO_seasons!$A:$A,0))</f>
        <v>Neutral</v>
      </c>
      <c r="P142" s="4">
        <f>SUMIFS(Daily!$D$3:$D$7756,Daily!$B$3:$B$7756,$A142)</f>
        <v>0.866</v>
      </c>
      <c r="Q142" s="3">
        <f>AVERAGEIFS(Daily!$E$3:$E$7756,Daily!$B$3:$B$7756,$A142)</f>
        <v>22.255357142857143</v>
      </c>
      <c r="R142" s="3">
        <f>AVERAGEIFS(Daily!$F$3:$F$7756,Daily!$B$3:$B$7756,$A142)</f>
        <v>30.376785714285713</v>
      </c>
      <c r="S142" s="3">
        <f>AVERAGEIFS(Daily!$G$3:$G$7756,Daily!$B$3:$B$7756,$A142)</f>
        <v>15.887142857142852</v>
      </c>
      <c r="T142" s="4">
        <f>SUMIFS(Daily!$H$3:$H$7756,Daily!$B$3:$B$7756,$A142)</f>
        <v>6.39</v>
      </c>
      <c r="U142" s="4">
        <f>SUMIFS(Daily!$I$3:$I$7756,Daily!$B$3:$B$7756,$A142)</f>
        <v>3.509</v>
      </c>
      <c r="V142" s="3">
        <f>AVERAGEIFS(Daily!$J$3:$J$7756,Daily!$B$3:$B$7756,$A142)</f>
        <v>22.58178571428572</v>
      </c>
      <c r="W142" s="3">
        <f>AVERAGEIFS(Daily!$K$3:$K$7756,Daily!$B$3:$B$7756,$A142)</f>
        <v>30.101071428571426</v>
      </c>
      <c r="X142" s="3">
        <f>AVERAGEIFS(Daily!$L$3:$L$7756,Daily!$B$3:$B$7756,$A142)</f>
        <v>17.08142857142857</v>
      </c>
      <c r="Y142" s="4">
        <f>SUMIFS(Daily!$M$3:$M$7756,Daily!$B$3:$B$7756,$A142)</f>
        <v>8.79</v>
      </c>
      <c r="Z142" s="4">
        <f>SUMIFS(Daily!$N$3:$N$7756,Daily!$B$3:$B$7756,$A142)</f>
        <v>6.274</v>
      </c>
      <c r="AA142" s="3">
        <f>AVERAGEIFS(Daily!$O$3:$O$7756,Daily!$B$3:$B$7756,$A142)</f>
        <v>22.02214285714286</v>
      </c>
      <c r="AB142" s="3">
        <f>AVERAGEIFS(Daily!$P$3:$P$7756,Daily!$B$3:$B$7756,$A142)</f>
        <v>28.580714285714286</v>
      </c>
      <c r="AC142" s="3">
        <f>AVERAGEIFS(Daily!$Q$3:$Q$7756,Daily!$B$3:$B$7756,$A142)</f>
        <v>17.328214285714285</v>
      </c>
      <c r="AD142" s="4">
        <f>SUMIFS(Daily!$R$3:$R$7756,Daily!$B$3:$B$7756,$A142)</f>
        <v>22.83</v>
      </c>
      <c r="AE142" s="4">
        <f>AVERAGE(P142,U142,Z142)</f>
        <v>3.549666666666667</v>
      </c>
      <c r="AF142" s="3">
        <f>AVERAGE(Q142,V142,AA142)</f>
        <v>22.286428571428576</v>
      </c>
      <c r="AG142" s="3">
        <f>AVERAGE(R142,W142,AB142)</f>
        <v>29.686190476190475</v>
      </c>
      <c r="AH142" s="3">
        <f>AVERAGE(S142,X142,AC142)</f>
        <v>16.765595238095234</v>
      </c>
      <c r="AI142" s="4">
        <f>AVERAGE(T142,Y142,AD142)</f>
        <v>12.67</v>
      </c>
    </row>
    <row r="143">
      <c r="A143" s="2" t="inlineStr">
        <is>
          <t xml:space="preserve">2017-03</t>
        </is>
      </c>
      <c r="B143" s="2">
        <v>2017</v>
      </c>
      <c r="C143" s="2">
        <v>3</v>
      </c>
      <c r="D143" s="2" t="inlineStr">
        <is>
          <t xml:space="preserve">Mar</t>
        </is>
      </c>
      <c r="E143" s="2" t="inlineStr">
        <is>
          <t xml:space="preserve">2016/17</t>
        </is>
      </c>
      <c r="F143" s="2">
        <v>9</v>
      </c>
      <c r="G143" s="9">
        <v>42795</v>
      </c>
      <c r="H143" s="9">
        <v>42825</v>
      </c>
      <c r="I143" s="2">
        <f>H143-G143+1</f>
        <v>31</v>
      </c>
      <c r="J143" s="2">
        <f>COUNTIF(Daily!$B$3:$B$7756,A143)</f>
        <v>31</v>
      </c>
      <c r="K143" s="2" t="str">
        <f>IF(J143=I143,"complete","partial ("&amp;J143&amp;" days)")</f>
        <v>complete</v>
      </c>
      <c r="L143" s="3">
        <f>INDEX(ENSO_monthly!$F:$F,MATCH(A143,ENSO_monthly!$A:$A,0))</f>
        <v>0.27</v>
      </c>
      <c r="M143" s="2" t="str">
        <f>INDEX(ENSO_monthly!$D:$D,MATCH(A143,ENSO_monthly!$A:$A,0))</f>
        <v>FMA</v>
      </c>
      <c r="N143" s="2" t="str">
        <f>INDEX(ENSO_monthly!$L:$L,MATCH(A143,ENSO_monthly!$A:$A,0))</f>
        <v>—</v>
      </c>
      <c r="O143" s="8" t="str">
        <f>INDEX(ENSO_seasons!$U:$U,MATCH(E143,ENSO_seasons!$A:$A,0))</f>
        <v>Neutral</v>
      </c>
      <c r="P143" s="4">
        <f>SUMIFS(Daily!$D$3:$D$7756,Daily!$B$3:$B$7756,$A143)</f>
        <v>4.565</v>
      </c>
      <c r="Q143" s="3">
        <f>AVERAGEIFS(Daily!$E$3:$E$7756,Daily!$B$3:$B$7756,$A143)</f>
        <v>22.44</v>
      </c>
      <c r="R143" s="3">
        <f>AVERAGEIFS(Daily!$F$3:$F$7756,Daily!$B$3:$B$7756,$A143)</f>
        <v>30.556129032258067</v>
      </c>
      <c r="S143" s="3">
        <f>AVERAGEIFS(Daily!$G$3:$G$7756,Daily!$B$3:$B$7756,$A143)</f>
        <v>16.421290322580646</v>
      </c>
      <c r="T143" s="4">
        <f>SUMIFS(Daily!$H$3:$H$7756,Daily!$B$3:$B$7756,$A143)</f>
        <v>21.93</v>
      </c>
      <c r="U143" s="4">
        <f>SUMIFS(Daily!$I$3:$I$7756,Daily!$B$3:$B$7756,$A143)</f>
        <v>40.521</v>
      </c>
      <c r="V143" s="3">
        <f>AVERAGEIFS(Daily!$J$3:$J$7756,Daily!$B$3:$B$7756,$A143)</f>
        <v>22.175806451612907</v>
      </c>
      <c r="W143" s="3">
        <f>AVERAGEIFS(Daily!$K$3:$K$7756,Daily!$B$3:$B$7756,$A143)</f>
        <v>29.565806451612904</v>
      </c>
      <c r="X143" s="3">
        <f>AVERAGEIFS(Daily!$L$3:$L$7756,Daily!$B$3:$B$7756,$A143)</f>
        <v>16.94322580645161</v>
      </c>
      <c r="Y143" s="4">
        <f>SUMIFS(Daily!$M$3:$M$7756,Daily!$B$3:$B$7756,$A143)</f>
        <v>40.96</v>
      </c>
      <c r="Z143" s="4">
        <f>SUMIFS(Daily!$N$3:$N$7756,Daily!$B$3:$B$7756,$A143)</f>
        <v>38.13</v>
      </c>
      <c r="AA143" s="3">
        <f>AVERAGEIFS(Daily!$O$3:$O$7756,Daily!$B$3:$B$7756,$A143)</f>
        <v>21.580322580645166</v>
      </c>
      <c r="AB143" s="3">
        <f>AVERAGEIFS(Daily!$P$3:$P$7756,Daily!$B$3:$B$7756,$A143)</f>
        <v>28.14387096774193</v>
      </c>
      <c r="AC143" s="3">
        <f>AVERAGEIFS(Daily!$Q$3:$Q$7756,Daily!$B$3:$B$7756,$A143)</f>
        <v>17.199032258064516</v>
      </c>
      <c r="AD143" s="4">
        <f>SUMIFS(Daily!$R$3:$R$7756,Daily!$B$3:$B$7756,$A143)</f>
        <v>69.66</v>
      </c>
      <c r="AE143" s="4">
        <f>AVERAGE(P143,U143,Z143)</f>
        <v>27.73866666666667</v>
      </c>
      <c r="AF143" s="3">
        <f>AVERAGE(Q143,V143,AA143)</f>
        <v>22.06537634408603</v>
      </c>
      <c r="AG143" s="3">
        <f>AVERAGE(R143,W143,AB143)</f>
        <v>29.421935483870968</v>
      </c>
      <c r="AH143" s="3">
        <f>AVERAGE(S143,X143,AC143)</f>
        <v>16.85451612903226</v>
      </c>
      <c r="AI143" s="4">
        <f>AVERAGE(T143,Y143,AD143)</f>
        <v>44.18333333333334</v>
      </c>
    </row>
    <row r="144">
      <c r="A144" s="2" t="inlineStr">
        <is>
          <t xml:space="preserve">2017-04</t>
        </is>
      </c>
      <c r="B144" s="2">
        <v>2017</v>
      </c>
      <c r="C144" s="2">
        <v>4</v>
      </c>
      <c r="D144" s="2" t="inlineStr">
        <is>
          <t xml:space="preserve">Apr</t>
        </is>
      </c>
      <c r="E144" s="2" t="inlineStr">
        <is>
          <t xml:space="preserve">2016/17</t>
        </is>
      </c>
      <c r="F144" s="2">
        <v>10</v>
      </c>
      <c r="G144" s="9">
        <v>42826</v>
      </c>
      <c r="H144" s="9">
        <v>42855</v>
      </c>
      <c r="I144" s="2">
        <f>H144-G144+1</f>
        <v>30</v>
      </c>
      <c r="J144" s="2">
        <f>COUNTIF(Daily!$B$3:$B$7756,A144)</f>
        <v>30</v>
      </c>
      <c r="K144" s="2" t="str">
        <f>IF(J144=I144,"complete","partial ("&amp;J144&amp;" days)")</f>
        <v>complete</v>
      </c>
      <c r="L144" s="3">
        <f>INDEX(ENSO_monthly!$F:$F,MATCH(A144,ENSO_monthly!$A:$A,0))</f>
        <v>0.32</v>
      </c>
      <c r="M144" s="2" t="str">
        <f>INDEX(ENSO_monthly!$D:$D,MATCH(A144,ENSO_monthly!$A:$A,0))</f>
        <v>MAM</v>
      </c>
      <c r="N144" s="2" t="str">
        <f>INDEX(ENSO_monthly!$L:$L,MATCH(A144,ENSO_monthly!$A:$A,0))</f>
        <v>—</v>
      </c>
      <c r="O144" s="8" t="str">
        <f>INDEX(ENSO_seasons!$U:$U,MATCH(E144,ENSO_seasons!$A:$A,0))</f>
        <v>Neutral</v>
      </c>
      <c r="P144" s="4">
        <f>SUMIFS(Daily!$D$3:$D$7756,Daily!$B$3:$B$7756,$A144)</f>
        <v>86.835</v>
      </c>
      <c r="Q144" s="3">
        <f>AVERAGEIFS(Daily!$E$3:$E$7756,Daily!$B$3:$B$7756,$A144)</f>
        <v>24.981333333333332</v>
      </c>
      <c r="R144" s="3">
        <f>AVERAGEIFS(Daily!$F$3:$F$7756,Daily!$B$3:$B$7756,$A144)</f>
        <v>32.679</v>
      </c>
      <c r="S144" s="3">
        <f>AVERAGEIFS(Daily!$G$3:$G$7756,Daily!$B$3:$B$7756,$A144)</f>
        <v>19.056333333333335</v>
      </c>
      <c r="T144" s="4">
        <f>SUMIFS(Daily!$H$3:$H$7756,Daily!$B$3:$B$7756,$A144)</f>
        <v>68.71</v>
      </c>
      <c r="U144" s="4">
        <f>SUMIFS(Daily!$I$3:$I$7756,Daily!$B$3:$B$7756,$A144)</f>
        <v>28.016</v>
      </c>
      <c r="V144" s="3">
        <f>AVERAGEIFS(Daily!$J$3:$J$7756,Daily!$B$3:$B$7756,$A144)</f>
        <v>24.89600000000001</v>
      </c>
      <c r="W144" s="3">
        <f>AVERAGEIFS(Daily!$K$3:$K$7756,Daily!$B$3:$B$7756,$A144)</f>
        <v>32.638999999999996</v>
      </c>
      <c r="X144" s="3">
        <f>AVERAGEIFS(Daily!$L$3:$L$7756,Daily!$B$3:$B$7756,$A144)</f>
        <v>18.988333333333337</v>
      </c>
      <c r="Y144" s="4">
        <f>SUMIFS(Daily!$M$3:$M$7756,Daily!$B$3:$B$7756,$A144)</f>
        <v>46.24</v>
      </c>
      <c r="Z144" s="4">
        <f>SUMIFS(Daily!$N$3:$N$7756,Daily!$B$3:$B$7756,$A144)</f>
        <v>74.726</v>
      </c>
      <c r="AA144" s="3">
        <f>AVERAGEIFS(Daily!$O$3:$O$7756,Daily!$B$3:$B$7756,$A144)</f>
        <v>24.765</v>
      </c>
      <c r="AB144" s="3">
        <f>AVERAGEIFS(Daily!$P$3:$P$7756,Daily!$B$3:$B$7756,$A144)</f>
        <v>32.10566666666666</v>
      </c>
      <c r="AC144" s="3">
        <f>AVERAGEIFS(Daily!$Q$3:$Q$7756,Daily!$B$3:$B$7756,$A144)</f>
        <v>19.295</v>
      </c>
      <c r="AD144" s="4">
        <f>SUMIFS(Daily!$R$3:$R$7756,Daily!$B$3:$B$7756,$A144)</f>
        <v>55.0</v>
      </c>
      <c r="AE144" s="4">
        <f>AVERAGE(P144,U144,Z144)</f>
        <v>63.19233333333333</v>
      </c>
      <c r="AF144" s="3">
        <f>AVERAGE(Q144,V144,AA144)</f>
        <v>24.88077777777778</v>
      </c>
      <c r="AG144" s="3">
        <f>AVERAGE(R144,W144,AB144)</f>
        <v>32.474555555555554</v>
      </c>
      <c r="AH144" s="3">
        <f>AVERAGE(S144,X144,AC144)</f>
        <v>19.113222222222223</v>
      </c>
      <c r="AI144" s="4">
        <f>AVERAGE(T144,Y144,AD144)</f>
        <v>56.65</v>
      </c>
    </row>
    <row r="145">
      <c r="A145" s="2" t="inlineStr">
        <is>
          <t xml:space="preserve">2017-05</t>
        </is>
      </c>
      <c r="B145" s="2">
        <v>2017</v>
      </c>
      <c r="C145" s="2">
        <v>5</v>
      </c>
      <c r="D145" s="2" t="inlineStr">
        <is>
          <t xml:space="preserve">May</t>
        </is>
      </c>
      <c r="E145" s="2" t="inlineStr">
        <is>
          <t xml:space="preserve">2016/17</t>
        </is>
      </c>
      <c r="F145" s="2">
        <v>11</v>
      </c>
      <c r="G145" s="9">
        <v>42856</v>
      </c>
      <c r="H145" s="9">
        <v>42886</v>
      </c>
      <c r="I145" s="2">
        <f>H145-G145+1</f>
        <v>31</v>
      </c>
      <c r="J145" s="2">
        <f>COUNTIF(Daily!$B$3:$B$7756,A145)</f>
        <v>31</v>
      </c>
      <c r="K145" s="2" t="str">
        <f>IF(J145=I145,"complete","partial ("&amp;J145&amp;" days)")</f>
        <v>complete</v>
      </c>
      <c r="L145" s="3">
        <f>INDEX(ENSO_monthly!$F:$F,MATCH(A145,ENSO_monthly!$A:$A,0))</f>
        <v>0.35</v>
      </c>
      <c r="M145" s="2" t="str">
        <f>INDEX(ENSO_monthly!$D:$D,MATCH(A145,ENSO_monthly!$A:$A,0))</f>
        <v>AMJ</v>
      </c>
      <c r="N145" s="2" t="str">
        <f>INDEX(ENSO_monthly!$L:$L,MATCH(A145,ENSO_monthly!$A:$A,0))</f>
        <v>—</v>
      </c>
      <c r="O145" s="8" t="str">
        <f>INDEX(ENSO_seasons!$U:$U,MATCH(E145,ENSO_seasons!$A:$A,0))</f>
        <v>Neutral</v>
      </c>
      <c r="P145" s="4">
        <f>SUMIFS(Daily!$D$3:$D$7756,Daily!$B$3:$B$7756,$A145)</f>
        <v>227.82</v>
      </c>
      <c r="Q145" s="3">
        <f>AVERAGEIFS(Daily!$E$3:$E$7756,Daily!$B$3:$B$7756,$A145)</f>
        <v>23.623548387096776</v>
      </c>
      <c r="R145" s="3">
        <f>AVERAGEIFS(Daily!$F$3:$F$7756,Daily!$B$3:$B$7756,$A145)</f>
        <v>28.892580645161285</v>
      </c>
      <c r="S145" s="3">
        <f>AVERAGEIFS(Daily!$G$3:$G$7756,Daily!$B$3:$B$7756,$A145)</f>
        <v>19.680967741935486</v>
      </c>
      <c r="T145" s="4">
        <f>SUMIFS(Daily!$H$3:$H$7756,Daily!$B$3:$B$7756,$A145)</f>
        <v>183.07</v>
      </c>
      <c r="U145" s="4">
        <f>SUMIFS(Daily!$I$3:$I$7756,Daily!$B$3:$B$7756,$A145)</f>
        <v>205.415</v>
      </c>
      <c r="V145" s="3">
        <f>AVERAGEIFS(Daily!$J$3:$J$7756,Daily!$B$3:$B$7756,$A145)</f>
        <v>23.913870967741936</v>
      </c>
      <c r="W145" s="3">
        <f>AVERAGEIFS(Daily!$K$3:$K$7756,Daily!$B$3:$B$7756,$A145)</f>
        <v>28.710967741935495</v>
      </c>
      <c r="X145" s="3">
        <f>AVERAGEIFS(Daily!$L$3:$L$7756,Daily!$B$3:$B$7756,$A145)</f>
        <v>20.264838709677424</v>
      </c>
      <c r="Y145" s="4">
        <f>SUMIFS(Daily!$M$3:$M$7756,Daily!$B$3:$B$7756,$A145)</f>
        <v>219.64</v>
      </c>
      <c r="Z145" s="4">
        <f>SUMIFS(Daily!$N$3:$N$7756,Daily!$B$3:$B$7756,$A145)</f>
        <v>264.116</v>
      </c>
      <c r="AA145" s="3">
        <f>AVERAGEIFS(Daily!$O$3:$O$7756,Daily!$B$3:$B$7756,$A145)</f>
        <v>24.477096774193548</v>
      </c>
      <c r="AB145" s="3">
        <f>AVERAGEIFS(Daily!$P$3:$P$7756,Daily!$B$3:$B$7756,$A145)</f>
        <v>29.87548387096774</v>
      </c>
      <c r="AC145" s="3">
        <f>AVERAGEIFS(Daily!$Q$3:$Q$7756,Daily!$B$3:$B$7756,$A145)</f>
        <v>20.692903225806454</v>
      </c>
      <c r="AD145" s="4">
        <f>SUMIFS(Daily!$R$3:$R$7756,Daily!$B$3:$B$7756,$A145)</f>
        <v>182.51</v>
      </c>
      <c r="AE145" s="4">
        <f>AVERAGE(P145,U145,Z145)</f>
        <v>232.45033333333333</v>
      </c>
      <c r="AF145" s="3">
        <f>AVERAGE(Q145,V145,AA145)</f>
        <v>24.00483870967742</v>
      </c>
      <c r="AG145" s="3">
        <f>AVERAGE(R145,W145,AB145)</f>
        <v>29.15967741935484</v>
      </c>
      <c r="AH145" s="3">
        <f>AVERAGE(S145,X145,AC145)</f>
        <v>20.212903225806453</v>
      </c>
      <c r="AI145" s="4">
        <f>AVERAGE(T145,Y145,AD145)</f>
        <v>195.07333333333335</v>
      </c>
    </row>
    <row r="146">
      <c r="A146" s="2" t="inlineStr">
        <is>
          <t xml:space="preserve">2017-06</t>
        </is>
      </c>
      <c r="B146" s="2">
        <v>2017</v>
      </c>
      <c r="C146" s="2">
        <v>6</v>
      </c>
      <c r="D146" s="2" t="inlineStr">
        <is>
          <t xml:space="preserve">Jun</t>
        </is>
      </c>
      <c r="E146" s="2" t="inlineStr">
        <is>
          <t xml:space="preserve">2016/17</t>
        </is>
      </c>
      <c r="F146" s="2">
        <v>12</v>
      </c>
      <c r="G146" s="9">
        <v>42887</v>
      </c>
      <c r="H146" s="9">
        <v>42916</v>
      </c>
      <c r="I146" s="2">
        <f>H146-G146+1</f>
        <v>30</v>
      </c>
      <c r="J146" s="2">
        <f>COUNTIF(Daily!$B$3:$B$7756,A146)</f>
        <v>30</v>
      </c>
      <c r="K146" s="2" t="str">
        <f>IF(J146=I146,"complete","partial ("&amp;J146&amp;" days)")</f>
        <v>complete</v>
      </c>
      <c r="L146" s="3">
        <f>INDEX(ENSO_monthly!$F:$F,MATCH(A146,ENSO_monthly!$A:$A,0))</f>
        <v>0.32</v>
      </c>
      <c r="M146" s="2" t="str">
        <f>INDEX(ENSO_monthly!$D:$D,MATCH(A146,ENSO_monthly!$A:$A,0))</f>
        <v>MJJ</v>
      </c>
      <c r="N146" s="2" t="str">
        <f>INDEX(ENSO_monthly!$L:$L,MATCH(A146,ENSO_monthly!$A:$A,0))</f>
        <v>—</v>
      </c>
      <c r="O146" s="8" t="str">
        <f>INDEX(ENSO_seasons!$U:$U,MATCH(E146,ENSO_seasons!$A:$A,0))</f>
        <v>Neutral</v>
      </c>
      <c r="P146" s="4">
        <f>SUMIFS(Daily!$D$3:$D$7756,Daily!$B$3:$B$7756,$A146)</f>
        <v>254.474</v>
      </c>
      <c r="Q146" s="3">
        <f>AVERAGEIFS(Daily!$E$3:$E$7756,Daily!$B$3:$B$7756,$A146)</f>
        <v>22.416999999999998</v>
      </c>
      <c r="R146" s="3">
        <f>AVERAGEIFS(Daily!$F$3:$F$7756,Daily!$B$3:$B$7756,$A146)</f>
        <v>26.533000000000005</v>
      </c>
      <c r="S146" s="3">
        <f>AVERAGEIFS(Daily!$G$3:$G$7756,Daily!$B$3:$B$7756,$A146)</f>
        <v>18.979333333333336</v>
      </c>
      <c r="T146" s="4">
        <f>SUMIFS(Daily!$H$3:$H$7756,Daily!$B$3:$B$7756,$A146)</f>
        <v>231.74</v>
      </c>
      <c r="U146" s="4">
        <f>SUMIFS(Daily!$I$3:$I$7756,Daily!$B$3:$B$7756,$A146)</f>
        <v>230.711</v>
      </c>
      <c r="V146" s="3">
        <f>AVERAGEIFS(Daily!$J$3:$J$7756,Daily!$B$3:$B$7756,$A146)</f>
        <v>22.801666666666673</v>
      </c>
      <c r="W146" s="3">
        <f>AVERAGEIFS(Daily!$K$3:$K$7756,Daily!$B$3:$B$7756,$A146)</f>
        <v>26.514333333333333</v>
      </c>
      <c r="X146" s="3">
        <f>AVERAGEIFS(Daily!$L$3:$L$7756,Daily!$B$3:$B$7756,$A146)</f>
        <v>19.86833333333333</v>
      </c>
      <c r="Y146" s="4">
        <f>SUMIFS(Daily!$M$3:$M$7756,Daily!$B$3:$B$7756,$A146)</f>
        <v>275.23</v>
      </c>
      <c r="Z146" s="4">
        <f>SUMIFS(Daily!$N$3:$N$7756,Daily!$B$3:$B$7756,$A146)</f>
        <v>432.015</v>
      </c>
      <c r="AA146" s="3">
        <f>AVERAGEIFS(Daily!$O$3:$O$7756,Daily!$B$3:$B$7756,$A146)</f>
        <v>23.465333333333334</v>
      </c>
      <c r="AB146" s="3">
        <f>AVERAGEIFS(Daily!$P$3:$P$7756,Daily!$B$3:$B$7756,$A146)</f>
        <v>27.538666666666664</v>
      </c>
      <c r="AC146" s="3">
        <f>AVERAGEIFS(Daily!$Q$3:$Q$7756,Daily!$B$3:$B$7756,$A146)</f>
        <v>20.496</v>
      </c>
      <c r="AD146" s="4">
        <f>SUMIFS(Daily!$R$3:$R$7756,Daily!$B$3:$B$7756,$A146)</f>
        <v>232.89</v>
      </c>
      <c r="AE146" s="4">
        <f>AVERAGE(P146,U146,Z146)</f>
        <v>305.73333333333335</v>
      </c>
      <c r="AF146" s="3">
        <f>AVERAGE(Q146,V146,AA146)</f>
        <v>22.894666666666666</v>
      </c>
      <c r="AG146" s="3">
        <f>AVERAGE(R146,W146,AB146)</f>
        <v>26.862000000000005</v>
      </c>
      <c r="AH146" s="3">
        <f>AVERAGE(S146,X146,AC146)</f>
        <v>19.781222222222222</v>
      </c>
      <c r="AI146" s="4">
        <f>AVERAGE(T146,Y146,AD146)</f>
        <v>246.62</v>
      </c>
    </row>
    <row r="147">
      <c r="A147" s="2" t="inlineStr">
        <is>
          <t xml:space="preserve">2017-07</t>
        </is>
      </c>
      <c r="B147" s="2">
        <v>2017</v>
      </c>
      <c r="C147" s="2">
        <v>7</v>
      </c>
      <c r="D147" s="2" t="inlineStr">
        <is>
          <t xml:space="preserve">Jul</t>
        </is>
      </c>
      <c r="E147" s="2" t="inlineStr">
        <is>
          <t xml:space="preserve">2017/18</t>
        </is>
      </c>
      <c r="F147" s="2">
        <v>1</v>
      </c>
      <c r="G147" s="9">
        <v>42917</v>
      </c>
      <c r="H147" s="9">
        <v>42947</v>
      </c>
      <c r="I147" s="2">
        <f>H147-G147+1</f>
        <v>31</v>
      </c>
      <c r="J147" s="2">
        <f>COUNTIF(Daily!$B$3:$B$7756,A147)</f>
        <v>31</v>
      </c>
      <c r="K147" s="2" t="str">
        <f>IF(J147=I147,"complete","partial ("&amp;J147&amp;" days)")</f>
        <v>complete</v>
      </c>
      <c r="L147" s="3">
        <f>INDEX(ENSO_monthly!$F:$F,MATCH(A147,ENSO_monthly!$A:$A,0))</f>
        <v>0.14</v>
      </c>
      <c r="M147" s="2" t="str">
        <f>INDEX(ENSO_monthly!$D:$D,MATCH(A147,ENSO_monthly!$A:$A,0))</f>
        <v>JJA</v>
      </c>
      <c r="N147" s="2" t="str">
        <f>INDEX(ENSO_monthly!$L:$L,MATCH(A147,ENSO_monthly!$A:$A,0))</f>
        <v>—</v>
      </c>
      <c r="O147" s="12" t="str">
        <f>INDEX(ENSO_seasons!$U:$U,MATCH(E147,ENSO_seasons!$A:$A,0))</f>
        <v>La Niña</v>
      </c>
      <c r="P147" s="4">
        <f>SUMIFS(Daily!$D$3:$D$7756,Daily!$B$3:$B$7756,$A147)</f>
        <v>171.605</v>
      </c>
      <c r="Q147" s="3">
        <f>AVERAGEIFS(Daily!$E$3:$E$7756,Daily!$B$3:$B$7756,$A147)</f>
        <v>21.60548387096775</v>
      </c>
      <c r="R147" s="3">
        <f>AVERAGEIFS(Daily!$F$3:$F$7756,Daily!$B$3:$B$7756,$A147)</f>
        <v>26.234516129032258</v>
      </c>
      <c r="S147" s="3">
        <f>AVERAGEIFS(Daily!$G$3:$G$7756,Daily!$B$3:$B$7756,$A147)</f>
        <v>17.826451612903224</v>
      </c>
      <c r="T147" s="4">
        <f>SUMIFS(Daily!$H$3:$H$7756,Daily!$B$3:$B$7756,$A147)</f>
        <v>153.01</v>
      </c>
      <c r="U147" s="4">
        <f>SUMIFS(Daily!$I$3:$I$7756,Daily!$B$3:$B$7756,$A147)</f>
        <v>269.24</v>
      </c>
      <c r="V147" s="3">
        <f>AVERAGEIFS(Daily!$J$3:$J$7756,Daily!$B$3:$B$7756,$A147)</f>
        <v>22.55774193548387</v>
      </c>
      <c r="W147" s="3">
        <f>AVERAGEIFS(Daily!$K$3:$K$7756,Daily!$B$3:$B$7756,$A147)</f>
        <v>26.55258064516129</v>
      </c>
      <c r="X147" s="3">
        <f>AVERAGEIFS(Daily!$L$3:$L$7756,Daily!$B$3:$B$7756,$A147)</f>
        <v>19.346774193548384</v>
      </c>
      <c r="Y147" s="4">
        <f>SUMIFS(Daily!$M$3:$M$7756,Daily!$B$3:$B$7756,$A147)</f>
        <v>273.52</v>
      </c>
      <c r="Z147" s="4">
        <f>SUMIFS(Daily!$N$3:$N$7756,Daily!$B$3:$B$7756,$A147)</f>
        <v>340.568</v>
      </c>
      <c r="AA147" s="3">
        <f>AVERAGEIFS(Daily!$O$3:$O$7756,Daily!$B$3:$B$7756,$A147)</f>
        <v>22.77387096774193</v>
      </c>
      <c r="AB147" s="3">
        <f>AVERAGEIFS(Daily!$P$3:$P$7756,Daily!$B$3:$B$7756,$A147)</f>
        <v>26.684838709677415</v>
      </c>
      <c r="AC147" s="3">
        <f>AVERAGEIFS(Daily!$Q$3:$Q$7756,Daily!$B$3:$B$7756,$A147)</f>
        <v>20.112580645161287</v>
      </c>
      <c r="AD147" s="4">
        <f>SUMIFS(Daily!$R$3:$R$7756,Daily!$B$3:$B$7756,$A147)</f>
        <v>229.45</v>
      </c>
      <c r="AE147" s="4">
        <f>AVERAGE(P147,U147,Z147)</f>
        <v>260.471</v>
      </c>
      <c r="AF147" s="3">
        <f>AVERAGE(Q147,V147,AA147)</f>
        <v>22.31236559139785</v>
      </c>
      <c r="AG147" s="3">
        <f>AVERAGE(R147,W147,AB147)</f>
        <v>26.49064516129032</v>
      </c>
      <c r="AH147" s="3">
        <f>AVERAGE(S147,X147,AC147)</f>
        <v>19.0952688172043</v>
      </c>
      <c r="AI147" s="4">
        <f>AVERAGE(T147,Y147,AD147)</f>
        <v>218.66</v>
      </c>
    </row>
    <row r="148">
      <c r="A148" s="2" t="inlineStr">
        <is>
          <t xml:space="preserve">2017-08</t>
        </is>
      </c>
      <c r="B148" s="2">
        <v>2017</v>
      </c>
      <c r="C148" s="2">
        <v>8</v>
      </c>
      <c r="D148" s="2" t="inlineStr">
        <is>
          <t xml:space="preserve">Aug</t>
        </is>
      </c>
      <c r="E148" s="2" t="inlineStr">
        <is>
          <t xml:space="preserve">2017/18</t>
        </is>
      </c>
      <c r="F148" s="2">
        <v>2</v>
      </c>
      <c r="G148" s="9">
        <v>42948</v>
      </c>
      <c r="H148" s="9">
        <v>42978</v>
      </c>
      <c r="I148" s="2">
        <f>H148-G148+1</f>
        <v>31</v>
      </c>
      <c r="J148" s="2">
        <f>COUNTIF(Daily!$B$3:$B$7756,A148)</f>
        <v>31</v>
      </c>
      <c r="K148" s="2" t="str">
        <f>IF(J148=I148,"complete","partial ("&amp;J148&amp;" days)")</f>
        <v>complete</v>
      </c>
      <c r="L148" s="3">
        <f>INDEX(ENSO_monthly!$F:$F,MATCH(A148,ENSO_monthly!$A:$A,0))</f>
        <v>-0.07</v>
      </c>
      <c r="M148" s="2" t="str">
        <f>INDEX(ENSO_monthly!$D:$D,MATCH(A148,ENSO_monthly!$A:$A,0))</f>
        <v>JAS</v>
      </c>
      <c r="N148" s="2" t="str">
        <f>INDEX(ENSO_monthly!$L:$L,MATCH(A148,ENSO_monthly!$A:$A,0))</f>
        <v>—</v>
      </c>
      <c r="O148" s="12" t="str">
        <f>INDEX(ENSO_seasons!$U:$U,MATCH(E148,ENSO_seasons!$A:$A,0))</f>
        <v>La Niña</v>
      </c>
      <c r="P148" s="4">
        <f>SUMIFS(Daily!$D$3:$D$7756,Daily!$B$3:$B$7756,$A148)</f>
        <v>122.604</v>
      </c>
      <c r="Q148" s="3">
        <f>AVERAGEIFS(Daily!$E$3:$E$7756,Daily!$B$3:$B$7756,$A148)</f>
        <v>21.97032258064516</v>
      </c>
      <c r="R148" s="3">
        <f>AVERAGEIFS(Daily!$F$3:$F$7756,Daily!$B$3:$B$7756,$A148)</f>
        <v>26.788064516129033</v>
      </c>
      <c r="S148" s="3">
        <f>AVERAGEIFS(Daily!$G$3:$G$7756,Daily!$B$3:$B$7756,$A148)</f>
        <v>18.074516129032254</v>
      </c>
      <c r="T148" s="4">
        <f>SUMIFS(Daily!$H$3:$H$7756,Daily!$B$3:$B$7756,$A148)</f>
        <v>115.21</v>
      </c>
      <c r="U148" s="4">
        <f>SUMIFS(Daily!$I$3:$I$7756,Daily!$B$3:$B$7756,$A148)</f>
        <v>207.396</v>
      </c>
      <c r="V148" s="3">
        <f>AVERAGEIFS(Daily!$J$3:$J$7756,Daily!$B$3:$B$7756,$A148)</f>
        <v>22.781290322580645</v>
      </c>
      <c r="W148" s="3">
        <f>AVERAGEIFS(Daily!$K$3:$K$7756,Daily!$B$3:$B$7756,$A148)</f>
        <v>26.889354838709682</v>
      </c>
      <c r="X148" s="3">
        <f>AVERAGEIFS(Daily!$L$3:$L$7756,Daily!$B$3:$B$7756,$A148)</f>
        <v>19.467741935483872</v>
      </c>
      <c r="Y148" s="4">
        <f>SUMIFS(Daily!$M$3:$M$7756,Daily!$B$3:$B$7756,$A148)</f>
        <v>176.85</v>
      </c>
      <c r="Z148" s="4">
        <f>SUMIFS(Daily!$N$3:$N$7756,Daily!$B$3:$B$7756,$A148)</f>
        <v>169.206</v>
      </c>
      <c r="AA148" s="3">
        <f>AVERAGEIFS(Daily!$O$3:$O$7756,Daily!$B$3:$B$7756,$A148)</f>
        <v>23.207419354838706</v>
      </c>
      <c r="AB148" s="3">
        <f>AVERAGEIFS(Daily!$P$3:$P$7756,Daily!$B$3:$B$7756,$A148)</f>
        <v>27.538709677419362</v>
      </c>
      <c r="AC148" s="3">
        <f>AVERAGEIFS(Daily!$Q$3:$Q$7756,Daily!$B$3:$B$7756,$A148)</f>
        <v>19.93548387096774</v>
      </c>
      <c r="AD148" s="4">
        <f>SUMIFS(Daily!$R$3:$R$7756,Daily!$B$3:$B$7756,$A148)</f>
        <v>119.76</v>
      </c>
      <c r="AE148" s="4">
        <f>AVERAGE(P148,U148,Z148)</f>
        <v>166.40200000000002</v>
      </c>
      <c r="AF148" s="3">
        <f>AVERAGE(Q148,V148,AA148)</f>
        <v>22.65301075268817</v>
      </c>
      <c r="AG148" s="3">
        <f>AVERAGE(R148,W148,AB148)</f>
        <v>27.072043010752694</v>
      </c>
      <c r="AH148" s="3">
        <f>AVERAGE(S148,X148,AC148)</f>
        <v>19.159247311827954</v>
      </c>
      <c r="AI148" s="4">
        <f>AVERAGE(T148,Y148,AD148)</f>
        <v>137.27333333333334</v>
      </c>
    </row>
    <row r="149">
      <c r="A149" s="2" t="inlineStr">
        <is>
          <t xml:space="preserve">2017-09</t>
        </is>
      </c>
      <c r="B149" s="2">
        <v>2017</v>
      </c>
      <c r="C149" s="2">
        <v>9</v>
      </c>
      <c r="D149" s="2" t="inlineStr">
        <is>
          <t xml:space="preserve">Sep</t>
        </is>
      </c>
      <c r="E149" s="2" t="inlineStr">
        <is>
          <t xml:space="preserve">2017/18</t>
        </is>
      </c>
      <c r="F149" s="2">
        <v>3</v>
      </c>
      <c r="G149" s="9">
        <v>42979</v>
      </c>
      <c r="H149" s="9">
        <v>43008</v>
      </c>
      <c r="I149" s="2">
        <f>H149-G149+1</f>
        <v>30</v>
      </c>
      <c r="J149" s="2">
        <f>COUNTIF(Daily!$B$3:$B$7756,A149)</f>
        <v>30</v>
      </c>
      <c r="K149" s="2" t="str">
        <f>IF(J149=I149,"complete","partial ("&amp;J149&amp;" days)")</f>
        <v>complete</v>
      </c>
      <c r="L149" s="3">
        <f>INDEX(ENSO_monthly!$F:$F,MATCH(A149,ENSO_monthly!$A:$A,0))</f>
        <v>-0.23</v>
      </c>
      <c r="M149" s="2" t="str">
        <f>INDEX(ENSO_monthly!$D:$D,MATCH(A149,ENSO_monthly!$A:$A,0))</f>
        <v>ASO</v>
      </c>
      <c r="N149" s="2" t="str">
        <f>INDEX(ENSO_monthly!$L:$L,MATCH(A149,ENSO_monthly!$A:$A,0))</f>
        <v>—</v>
      </c>
      <c r="O149" s="12" t="str">
        <f>INDEX(ENSO_seasons!$U:$U,MATCH(E149,ENSO_seasons!$A:$A,0))</f>
        <v>La Niña</v>
      </c>
      <c r="P149" s="4">
        <f>SUMIFS(Daily!$D$3:$D$7756,Daily!$B$3:$B$7756,$A149)</f>
        <v>351.863</v>
      </c>
      <c r="Q149" s="3">
        <f>AVERAGEIFS(Daily!$E$3:$E$7756,Daily!$B$3:$B$7756,$A149)</f>
        <v>21.968999999999998</v>
      </c>
      <c r="R149" s="3">
        <f>AVERAGEIFS(Daily!$F$3:$F$7756,Daily!$B$3:$B$7756,$A149)</f>
        <v>26.22766666666667</v>
      </c>
      <c r="S149" s="3">
        <f>AVERAGEIFS(Daily!$G$3:$G$7756,Daily!$B$3:$B$7756,$A149)</f>
        <v>18.539666666666665</v>
      </c>
      <c r="T149" s="4">
        <f>SUMIFS(Daily!$H$3:$H$7756,Daily!$B$3:$B$7756,$A149)</f>
        <v>270.14</v>
      </c>
      <c r="U149" s="4">
        <f>SUMIFS(Daily!$I$3:$I$7756,Daily!$B$3:$B$7756,$A149)</f>
        <v>261.335</v>
      </c>
      <c r="V149" s="3">
        <f>AVERAGEIFS(Daily!$J$3:$J$7756,Daily!$B$3:$B$7756,$A149)</f>
        <v>22.650999999999993</v>
      </c>
      <c r="W149" s="3">
        <f>AVERAGEIFS(Daily!$K$3:$K$7756,Daily!$B$3:$B$7756,$A149)</f>
        <v>26.47766666666667</v>
      </c>
      <c r="X149" s="3">
        <f>AVERAGEIFS(Daily!$L$3:$L$7756,Daily!$B$3:$B$7756,$A149)</f>
        <v>19.645666666666667</v>
      </c>
      <c r="Y149" s="4">
        <f>SUMIFS(Daily!$M$3:$M$7756,Daily!$B$3:$B$7756,$A149)</f>
        <v>257.64</v>
      </c>
      <c r="Z149" s="4">
        <f>SUMIFS(Daily!$N$3:$N$7756,Daily!$B$3:$B$7756,$A149)</f>
        <v>283.865</v>
      </c>
      <c r="AA149" s="3">
        <f>AVERAGEIFS(Daily!$O$3:$O$7756,Daily!$B$3:$B$7756,$A149)</f>
        <v>23.282</v>
      </c>
      <c r="AB149" s="3">
        <f>AVERAGEIFS(Daily!$P$3:$P$7756,Daily!$B$3:$B$7756,$A149)</f>
        <v>27.264333333333333</v>
      </c>
      <c r="AC149" s="3">
        <f>AVERAGEIFS(Daily!$Q$3:$Q$7756,Daily!$B$3:$B$7756,$A149)</f>
        <v>20.282666666666668</v>
      </c>
      <c r="AD149" s="4">
        <f>SUMIFS(Daily!$R$3:$R$7756,Daily!$B$3:$B$7756,$A149)</f>
        <v>230.61</v>
      </c>
      <c r="AE149" s="4">
        <f>AVERAGE(P149,U149,Z149)</f>
        <v>299.021</v>
      </c>
      <c r="AF149" s="3">
        <f>AVERAGE(Q149,V149,AA149)</f>
        <v>22.633999999999997</v>
      </c>
      <c r="AG149" s="3">
        <f>AVERAGE(R149,W149,AB149)</f>
        <v>26.65655555555556</v>
      </c>
      <c r="AH149" s="3">
        <f>AVERAGE(S149,X149,AC149)</f>
        <v>19.489333333333335</v>
      </c>
      <c r="AI149" s="4">
        <f>AVERAGE(T149,Y149,AD149)</f>
        <v>252.79666666666665</v>
      </c>
    </row>
    <row r="150">
      <c r="A150" s="2" t="inlineStr">
        <is>
          <t xml:space="preserve">2017-10</t>
        </is>
      </c>
      <c r="B150" s="2">
        <v>2017</v>
      </c>
      <c r="C150" s="2">
        <v>10</v>
      </c>
      <c r="D150" s="2" t="inlineStr">
        <is>
          <t xml:space="preserve">Oct</t>
        </is>
      </c>
      <c r="E150" s="2" t="inlineStr">
        <is>
          <t xml:space="preserve">2017/18</t>
        </is>
      </c>
      <c r="F150" s="2">
        <v>4</v>
      </c>
      <c r="G150" s="9">
        <v>43009</v>
      </c>
      <c r="H150" s="9">
        <v>43039</v>
      </c>
      <c r="I150" s="2">
        <f>H150-G150+1</f>
        <v>31</v>
      </c>
      <c r="J150" s="2">
        <f>COUNTIF(Daily!$B$3:$B$7756,A150)</f>
        <v>31</v>
      </c>
      <c r="K150" s="2" t="str">
        <f>IF(J150=I150,"complete","partial ("&amp;J150&amp;" days)")</f>
        <v>complete</v>
      </c>
      <c r="L150" s="3">
        <f>INDEX(ENSO_monthly!$F:$F,MATCH(A150,ENSO_monthly!$A:$A,0))</f>
        <v>-0.44</v>
      </c>
      <c r="M150" s="2" t="str">
        <f>INDEX(ENSO_monthly!$D:$D,MATCH(A150,ENSO_monthly!$A:$A,0))</f>
        <v>SON</v>
      </c>
      <c r="N150" s="2" t="str">
        <f>INDEX(ENSO_monthly!$L:$L,MATCH(A150,ENSO_monthly!$A:$A,0))</f>
        <v>—</v>
      </c>
      <c r="O150" s="12" t="str">
        <f>INDEX(ENSO_seasons!$U:$U,MATCH(E150,ENSO_seasons!$A:$A,0))</f>
        <v>La Niña</v>
      </c>
      <c r="P150" s="4">
        <f>SUMIFS(Daily!$D$3:$D$7756,Daily!$B$3:$B$7756,$A150)</f>
        <v>135.644</v>
      </c>
      <c r="Q150" s="3">
        <f>AVERAGEIFS(Daily!$E$3:$E$7756,Daily!$B$3:$B$7756,$A150)</f>
        <v>21.00064516129032</v>
      </c>
      <c r="R150" s="3">
        <f>AVERAGEIFS(Daily!$F$3:$F$7756,Daily!$B$3:$B$7756,$A150)</f>
        <v>25.0983870967742</v>
      </c>
      <c r="S150" s="3">
        <f>AVERAGEIFS(Daily!$G$3:$G$7756,Daily!$B$3:$B$7756,$A150)</f>
        <v>17.948387096774198</v>
      </c>
      <c r="T150" s="4">
        <f>SUMIFS(Daily!$H$3:$H$7756,Daily!$B$3:$B$7756,$A150)</f>
        <v>235.01</v>
      </c>
      <c r="U150" s="4">
        <f>SUMIFS(Daily!$I$3:$I$7756,Daily!$B$3:$B$7756,$A150)</f>
        <v>152.433</v>
      </c>
      <c r="V150" s="3">
        <f>AVERAGEIFS(Daily!$J$3:$J$7756,Daily!$B$3:$B$7756,$A150)</f>
        <v>21.336774193548383</v>
      </c>
      <c r="W150" s="3">
        <f>AVERAGEIFS(Daily!$K$3:$K$7756,Daily!$B$3:$B$7756,$A150)</f>
        <v>25.44096774193549</v>
      </c>
      <c r="X150" s="3">
        <f>AVERAGEIFS(Daily!$L$3:$L$7756,Daily!$B$3:$B$7756,$A150)</f>
        <v>18.352903225806457</v>
      </c>
      <c r="Y150" s="4">
        <f>SUMIFS(Daily!$M$3:$M$7756,Daily!$B$3:$B$7756,$A150)</f>
        <v>155.97</v>
      </c>
      <c r="Z150" s="4">
        <f>SUMIFS(Daily!$N$3:$N$7756,Daily!$B$3:$B$7756,$A150)</f>
        <v>248.724</v>
      </c>
      <c r="AA150" s="3">
        <f>AVERAGEIFS(Daily!$O$3:$O$7756,Daily!$B$3:$B$7756,$A150)</f>
        <v>21.77645161290323</v>
      </c>
      <c r="AB150" s="3">
        <f>AVERAGEIFS(Daily!$P$3:$P$7756,Daily!$B$3:$B$7756,$A150)</f>
        <v>25.63709677419355</v>
      </c>
      <c r="AC150" s="3">
        <f>AVERAGEIFS(Daily!$Q$3:$Q$7756,Daily!$B$3:$B$7756,$A150)</f>
        <v>19.111935483870973</v>
      </c>
      <c r="AD150" s="4">
        <f>SUMIFS(Daily!$R$3:$R$7756,Daily!$B$3:$B$7756,$A150)</f>
        <v>258.41</v>
      </c>
      <c r="AE150" s="4">
        <f>AVERAGE(P150,U150,Z150)</f>
        <v>178.93366666666665</v>
      </c>
      <c r="AF150" s="3">
        <f>AVERAGE(Q150,V150,AA150)</f>
        <v>21.371290322580645</v>
      </c>
      <c r="AG150" s="3">
        <f>AVERAGE(R150,W150,AB150)</f>
        <v>25.39215053763441</v>
      </c>
      <c r="AH150" s="3">
        <f>AVERAGE(S150,X150,AC150)</f>
        <v>18.47107526881721</v>
      </c>
      <c r="AI150" s="4">
        <f>AVERAGE(T150,Y150,AD150)</f>
        <v>216.46333333333337</v>
      </c>
    </row>
    <row r="151">
      <c r="A151" s="2" t="inlineStr">
        <is>
          <t xml:space="preserve">2017-11</t>
        </is>
      </c>
      <c r="B151" s="2">
        <v>2017</v>
      </c>
      <c r="C151" s="2">
        <v>11</v>
      </c>
      <c r="D151" s="2" t="inlineStr">
        <is>
          <t xml:space="preserve">Nov</t>
        </is>
      </c>
      <c r="E151" s="2" t="inlineStr">
        <is>
          <t xml:space="preserve">2017/18</t>
        </is>
      </c>
      <c r="F151" s="2">
        <v>5</v>
      </c>
      <c r="G151" s="9">
        <v>43040</v>
      </c>
      <c r="H151" s="9">
        <v>43069</v>
      </c>
      <c r="I151" s="2">
        <f>H151-G151+1</f>
        <v>30</v>
      </c>
      <c r="J151" s="2">
        <f>COUNTIF(Daily!$B$3:$B$7756,A151)</f>
        <v>30</v>
      </c>
      <c r="K151" s="2" t="str">
        <f>IF(J151=I151,"complete","partial ("&amp;J151&amp;" days)")</f>
        <v>complete</v>
      </c>
      <c r="L151" s="3">
        <f>INDEX(ENSO_monthly!$F:$F,MATCH(A151,ENSO_monthly!$A:$A,0))</f>
        <v>-0.61</v>
      </c>
      <c r="M151" s="2" t="str">
        <f>INDEX(ENSO_monthly!$D:$D,MATCH(A151,ENSO_monthly!$A:$A,0))</f>
        <v>OND</v>
      </c>
      <c r="N151" s="5" t="str">
        <f>INDEX(ENSO_monthly!$L:$L,MATCH(A151,ENSO_monthly!$A:$A,0))</f>
        <v>La Niña</v>
      </c>
      <c r="O151" s="12" t="str">
        <f>INDEX(ENSO_seasons!$U:$U,MATCH(E151,ENSO_seasons!$A:$A,0))</f>
        <v>La Niña</v>
      </c>
      <c r="P151" s="4">
        <f>SUMIFS(Daily!$D$3:$D$7756,Daily!$B$3:$B$7756,$A151)</f>
        <v>3.673</v>
      </c>
      <c r="Q151" s="3">
        <f>AVERAGEIFS(Daily!$E$3:$E$7756,Daily!$B$3:$B$7756,$A151)</f>
        <v>19.25966666666666</v>
      </c>
      <c r="R151" s="3">
        <f>AVERAGEIFS(Daily!$F$3:$F$7756,Daily!$B$3:$B$7756,$A151)</f>
        <v>24.153000000000002</v>
      </c>
      <c r="S151" s="3">
        <f>AVERAGEIFS(Daily!$G$3:$G$7756,Daily!$B$3:$B$7756,$A151)</f>
        <v>15.771333333333331</v>
      </c>
      <c r="T151" s="4">
        <f>SUMIFS(Daily!$H$3:$H$7756,Daily!$B$3:$B$7756,$A151)</f>
        <v>38.24</v>
      </c>
      <c r="U151" s="4">
        <f>SUMIFS(Daily!$I$3:$I$7756,Daily!$B$3:$B$7756,$A151)</f>
        <v>15.103</v>
      </c>
      <c r="V151" s="3">
        <f>AVERAGEIFS(Daily!$J$3:$J$7756,Daily!$B$3:$B$7756,$A151)</f>
        <v>19.644000000000002</v>
      </c>
      <c r="W151" s="3">
        <f>AVERAGEIFS(Daily!$K$3:$K$7756,Daily!$B$3:$B$7756,$A151)</f>
        <v>24.425666666666668</v>
      </c>
      <c r="X151" s="3">
        <f>AVERAGEIFS(Daily!$L$3:$L$7756,Daily!$B$3:$B$7756,$A151)</f>
        <v>16.081</v>
      </c>
      <c r="Y151" s="4">
        <f>SUMIFS(Daily!$M$3:$M$7756,Daily!$B$3:$B$7756,$A151)</f>
        <v>29.47</v>
      </c>
      <c r="Z151" s="4">
        <f>SUMIFS(Daily!$N$3:$N$7756,Daily!$B$3:$B$7756,$A151)</f>
        <v>56.539</v>
      </c>
      <c r="AA151" s="3">
        <f>AVERAGEIFS(Daily!$O$3:$O$7756,Daily!$B$3:$B$7756,$A151)</f>
        <v>19.79566666666666</v>
      </c>
      <c r="AB151" s="3">
        <f>AVERAGEIFS(Daily!$P$3:$P$7756,Daily!$B$3:$B$7756,$A151)</f>
        <v>24.165999999999997</v>
      </c>
      <c r="AC151" s="3">
        <f>AVERAGEIFS(Daily!$Q$3:$Q$7756,Daily!$B$3:$B$7756,$A151)</f>
        <v>16.668333333333337</v>
      </c>
      <c r="AD151" s="4">
        <f>SUMIFS(Daily!$R$3:$R$7756,Daily!$B$3:$B$7756,$A151)</f>
        <v>81.48</v>
      </c>
      <c r="AE151" s="4">
        <f>AVERAGE(P151,U151,Z151)</f>
        <v>25.105</v>
      </c>
      <c r="AF151" s="3">
        <f>AVERAGE(Q151,V151,AA151)</f>
        <v>19.566444444444443</v>
      </c>
      <c r="AG151" s="3">
        <f>AVERAGE(R151,W151,AB151)</f>
        <v>24.24822222222222</v>
      </c>
      <c r="AH151" s="3">
        <f>AVERAGE(S151,X151,AC151)</f>
        <v>16.173555555555556</v>
      </c>
      <c r="AI151" s="4">
        <f>AVERAGE(T151,Y151,AD151)</f>
        <v>49.73</v>
      </c>
    </row>
    <row r="152">
      <c r="A152" s="2" t="inlineStr">
        <is>
          <t xml:space="preserve">2017-12</t>
        </is>
      </c>
      <c r="B152" s="2">
        <v>2017</v>
      </c>
      <c r="C152" s="2">
        <v>12</v>
      </c>
      <c r="D152" s="2" t="inlineStr">
        <is>
          <t xml:space="preserve">Dec</t>
        </is>
      </c>
      <c r="E152" s="2" t="inlineStr">
        <is>
          <t xml:space="preserve">2017/18</t>
        </is>
      </c>
      <c r="F152" s="2">
        <v>6</v>
      </c>
      <c r="G152" s="9">
        <v>43070</v>
      </c>
      <c r="H152" s="9">
        <v>43100</v>
      </c>
      <c r="I152" s="2">
        <f>H152-G152+1</f>
        <v>31</v>
      </c>
      <c r="J152" s="2">
        <f>COUNTIF(Daily!$B$3:$B$7756,A152)</f>
        <v>31</v>
      </c>
      <c r="K152" s="2" t="str">
        <f>IF(J152=I152,"complete","partial ("&amp;J152&amp;" days)")</f>
        <v>complete</v>
      </c>
      <c r="L152" s="3">
        <f>INDEX(ENSO_monthly!$F:$F,MATCH(A152,ENSO_monthly!$A:$A,0))</f>
        <v>-0.76</v>
      </c>
      <c r="M152" s="2" t="str">
        <f>INDEX(ENSO_monthly!$D:$D,MATCH(A152,ENSO_monthly!$A:$A,0))</f>
        <v>NDJ</v>
      </c>
      <c r="N152" s="5" t="str">
        <f>INDEX(ENSO_monthly!$L:$L,MATCH(A152,ENSO_monthly!$A:$A,0))</f>
        <v>La Niña</v>
      </c>
      <c r="O152" s="12" t="str">
        <f>INDEX(ENSO_seasons!$U:$U,MATCH(E152,ENSO_seasons!$A:$A,0))</f>
        <v>La Niña</v>
      </c>
      <c r="P152" s="4">
        <f>SUMIFS(Daily!$D$3:$D$7756,Daily!$B$3:$B$7756,$A152)</f>
        <v>17.946</v>
      </c>
      <c r="Q152" s="3">
        <f>AVERAGEIFS(Daily!$E$3:$E$7756,Daily!$B$3:$B$7756,$A152)</f>
        <v>18.38451612903226</v>
      </c>
      <c r="R152" s="3">
        <f>AVERAGEIFS(Daily!$F$3:$F$7756,Daily!$B$3:$B$7756,$A152)</f>
        <v>23.280322580645166</v>
      </c>
      <c r="S152" s="3">
        <f>AVERAGEIFS(Daily!$G$3:$G$7756,Daily!$B$3:$B$7756,$A152)</f>
        <v>14.830322580645161</v>
      </c>
      <c r="T152" s="4">
        <f>SUMIFS(Daily!$H$3:$H$7756,Daily!$B$3:$B$7756,$A152)</f>
        <v>22.74</v>
      </c>
      <c r="U152" s="4">
        <f>SUMIFS(Daily!$I$3:$I$7756,Daily!$B$3:$B$7756,$A152)</f>
        <v>11.004</v>
      </c>
      <c r="V152" s="3">
        <f>AVERAGEIFS(Daily!$J$3:$J$7756,Daily!$B$3:$B$7756,$A152)</f>
        <v>18.733870967741936</v>
      </c>
      <c r="W152" s="3">
        <f>AVERAGEIFS(Daily!$K$3:$K$7756,Daily!$B$3:$B$7756,$A152)</f>
        <v>23.540000000000003</v>
      </c>
      <c r="X152" s="3">
        <f>AVERAGEIFS(Daily!$L$3:$L$7756,Daily!$B$3:$B$7756,$A152)</f>
        <v>15.28677419354839</v>
      </c>
      <c r="Y152" s="4">
        <f>SUMIFS(Daily!$M$3:$M$7756,Daily!$B$3:$B$7756,$A152)</f>
        <v>23.41</v>
      </c>
      <c r="Z152" s="4">
        <f>SUMIFS(Daily!$N$3:$N$7756,Daily!$B$3:$B$7756,$A152)</f>
        <v>39.412</v>
      </c>
      <c r="AA152" s="3">
        <f>AVERAGEIFS(Daily!$O$3:$O$7756,Daily!$B$3:$B$7756,$A152)</f>
        <v>19.00516129032258</v>
      </c>
      <c r="AB152" s="3">
        <f>AVERAGEIFS(Daily!$P$3:$P$7756,Daily!$B$3:$B$7756,$A152)</f>
        <v>23.250645161290326</v>
      </c>
      <c r="AC152" s="3">
        <f>AVERAGEIFS(Daily!$Q$3:$Q$7756,Daily!$B$3:$B$7756,$A152)</f>
        <v>16.008709677419354</v>
      </c>
      <c r="AD152" s="4">
        <f>SUMIFS(Daily!$R$3:$R$7756,Daily!$B$3:$B$7756,$A152)</f>
        <v>41.05</v>
      </c>
      <c r="AE152" s="4">
        <f>AVERAGE(P152,U152,Z152)</f>
        <v>22.787333333333333</v>
      </c>
      <c r="AF152" s="3">
        <f>AVERAGE(Q152,V152,AA152)</f>
        <v>18.70784946236559</v>
      </c>
      <c r="AG152" s="3">
        <f>AVERAGE(R152,W152,AB152)</f>
        <v>23.35698924731183</v>
      </c>
      <c r="AH152" s="3">
        <f>AVERAGE(S152,X152,AC152)</f>
        <v>15.3752688172043</v>
      </c>
      <c r="AI152" s="4">
        <f>AVERAGE(T152,Y152,AD152)</f>
        <v>29.066666666666663</v>
      </c>
    </row>
    <row r="153">
      <c r="A153" s="2" t="inlineStr">
        <is>
          <t xml:space="preserve">2018-01</t>
        </is>
      </c>
      <c r="B153" s="2">
        <v>2018</v>
      </c>
      <c r="C153" s="2">
        <v>1</v>
      </c>
      <c r="D153" s="2" t="inlineStr">
        <is>
          <t xml:space="preserve">Jan</t>
        </is>
      </c>
      <c r="E153" s="2" t="inlineStr">
        <is>
          <t xml:space="preserve">2017/18</t>
        </is>
      </c>
      <c r="F153" s="2">
        <v>7</v>
      </c>
      <c r="G153" s="9">
        <v>43101</v>
      </c>
      <c r="H153" s="9">
        <v>43131</v>
      </c>
      <c r="I153" s="2">
        <f>H153-G153+1</f>
        <v>31</v>
      </c>
      <c r="J153" s="2">
        <f>COUNTIF(Daily!$B$3:$B$7756,A153)</f>
        <v>31</v>
      </c>
      <c r="K153" s="2" t="str">
        <f>IF(J153=I153,"complete","partial ("&amp;J153&amp;" days)")</f>
        <v>complete</v>
      </c>
      <c r="L153" s="3">
        <f>INDEX(ENSO_monthly!$F:$F,MATCH(A153,ENSO_monthly!$A:$A,0))</f>
        <v>-0.71</v>
      </c>
      <c r="M153" s="2" t="str">
        <f>INDEX(ENSO_monthly!$D:$D,MATCH(A153,ENSO_monthly!$A:$A,0))</f>
        <v>DJF</v>
      </c>
      <c r="N153" s="5" t="str">
        <f>INDEX(ENSO_monthly!$L:$L,MATCH(A153,ENSO_monthly!$A:$A,0))</f>
        <v>La Niña</v>
      </c>
      <c r="O153" s="12" t="str">
        <f>INDEX(ENSO_seasons!$U:$U,MATCH(E153,ENSO_seasons!$A:$A,0))</f>
        <v>La Niña</v>
      </c>
      <c r="P153" s="4">
        <f>SUMIFS(Daily!$D$3:$D$7756,Daily!$B$3:$B$7756,$A153)</f>
        <v>0.812</v>
      </c>
      <c r="Q153" s="3">
        <f>AVERAGEIFS(Daily!$E$3:$E$7756,Daily!$B$3:$B$7756,$A153)</f>
        <v>17.995161290322578</v>
      </c>
      <c r="R153" s="3">
        <f>AVERAGEIFS(Daily!$F$3:$F$7756,Daily!$B$3:$B$7756,$A153)</f>
        <v>23.392258064516128</v>
      </c>
      <c r="S153" s="3">
        <f>AVERAGEIFS(Daily!$G$3:$G$7756,Daily!$B$3:$B$7756,$A153)</f>
        <v>14.329032258064517</v>
      </c>
      <c r="T153" s="4">
        <f>SUMIFS(Daily!$H$3:$H$7756,Daily!$B$3:$B$7756,$A153)</f>
        <v>34.57</v>
      </c>
      <c r="U153" s="4">
        <f>SUMIFS(Daily!$I$3:$I$7756,Daily!$B$3:$B$7756,$A153)</f>
        <v>21.208</v>
      </c>
      <c r="V153" s="3">
        <f>AVERAGEIFS(Daily!$J$3:$J$7756,Daily!$B$3:$B$7756,$A153)</f>
        <v>18.040322580645164</v>
      </c>
      <c r="W153" s="3">
        <f>AVERAGEIFS(Daily!$K$3:$K$7756,Daily!$B$3:$B$7756,$A153)</f>
        <v>23.161935483870963</v>
      </c>
      <c r="X153" s="3">
        <f>AVERAGEIFS(Daily!$L$3:$L$7756,Daily!$B$3:$B$7756,$A153)</f>
        <v>14.54</v>
      </c>
      <c r="Y153" s="4">
        <f>SUMIFS(Daily!$M$3:$M$7756,Daily!$B$3:$B$7756,$A153)</f>
        <v>38.54</v>
      </c>
      <c r="Z153" s="4">
        <f>SUMIFS(Daily!$N$3:$N$7756,Daily!$B$3:$B$7756,$A153)</f>
        <v>68.178</v>
      </c>
      <c r="AA153" s="3">
        <f>AVERAGEIFS(Daily!$O$3:$O$7756,Daily!$B$3:$B$7756,$A153)</f>
        <v>17.944516129032255</v>
      </c>
      <c r="AB153" s="3">
        <f>AVERAGEIFS(Daily!$P$3:$P$7756,Daily!$B$3:$B$7756,$A153)</f>
        <v>22.11032258064516</v>
      </c>
      <c r="AC153" s="3">
        <f>AVERAGEIFS(Daily!$Q$3:$Q$7756,Daily!$B$3:$B$7756,$A153)</f>
        <v>15.095483870967742</v>
      </c>
      <c r="AD153" s="4">
        <f>SUMIFS(Daily!$R$3:$R$7756,Daily!$B$3:$B$7756,$A153)</f>
        <v>88.51</v>
      </c>
      <c r="AE153" s="4">
        <f>AVERAGE(P153,U153,Z153)</f>
        <v>30.066</v>
      </c>
      <c r="AF153" s="3">
        <f>AVERAGE(Q153,V153,AA153)</f>
        <v>17.99333333333333</v>
      </c>
      <c r="AG153" s="3">
        <f>AVERAGE(R153,W153,AB153)</f>
        <v>22.88817204301075</v>
      </c>
      <c r="AH153" s="3">
        <f>AVERAGE(S153,X153,AC153)</f>
        <v>14.654838709677419</v>
      </c>
      <c r="AI153" s="4">
        <f>AVERAGE(T153,Y153,AD153)</f>
        <v>53.873333333333335</v>
      </c>
    </row>
    <row r="154">
      <c r="A154" s="2" t="inlineStr">
        <is>
          <t xml:space="preserve">2018-02</t>
        </is>
      </c>
      <c r="B154" s="2">
        <v>2018</v>
      </c>
      <c r="C154" s="2">
        <v>2</v>
      </c>
      <c r="D154" s="2" t="inlineStr">
        <is>
          <t xml:space="preserve">Feb</t>
        </is>
      </c>
      <c r="E154" s="2" t="inlineStr">
        <is>
          <t xml:space="preserve">2017/18</t>
        </is>
      </c>
      <c r="F154" s="2">
        <v>8</v>
      </c>
      <c r="G154" s="9">
        <v>43132</v>
      </c>
      <c r="H154" s="9">
        <v>43159</v>
      </c>
      <c r="I154" s="2">
        <f>H154-G154+1</f>
        <v>28</v>
      </c>
      <c r="J154" s="2">
        <f>COUNTIF(Daily!$B$3:$B$7756,A154)</f>
        <v>28</v>
      </c>
      <c r="K154" s="2" t="str">
        <f>IF(J154=I154,"complete","partial ("&amp;J154&amp;" days)")</f>
        <v>complete</v>
      </c>
      <c r="L154" s="3">
        <f>INDEX(ENSO_monthly!$F:$F,MATCH(A154,ENSO_monthly!$A:$A,0))</f>
        <v>-0.67</v>
      </c>
      <c r="M154" s="2" t="str">
        <f>INDEX(ENSO_monthly!$D:$D,MATCH(A154,ENSO_monthly!$A:$A,0))</f>
        <v>JFM</v>
      </c>
      <c r="N154" s="5" t="str">
        <f>INDEX(ENSO_monthly!$L:$L,MATCH(A154,ENSO_monthly!$A:$A,0))</f>
        <v>La Niña</v>
      </c>
      <c r="O154" s="12" t="str">
        <f>INDEX(ENSO_seasons!$U:$U,MATCH(E154,ENSO_seasons!$A:$A,0))</f>
        <v>La Niña</v>
      </c>
      <c r="P154" s="4">
        <f>SUMIFS(Daily!$D$3:$D$7756,Daily!$B$3:$B$7756,$A154)</f>
        <v>2.899</v>
      </c>
      <c r="Q154" s="3">
        <f>AVERAGEIFS(Daily!$E$3:$E$7756,Daily!$B$3:$B$7756,$A154)</f>
        <v>20.155</v>
      </c>
      <c r="R154" s="3">
        <f>AVERAGEIFS(Daily!$F$3:$F$7756,Daily!$B$3:$B$7756,$A154)</f>
        <v>27.698928571428574</v>
      </c>
      <c r="S154" s="3">
        <f>AVERAGEIFS(Daily!$G$3:$G$7756,Daily!$B$3:$B$7756,$A154)</f>
        <v>14.651785714285717</v>
      </c>
      <c r="T154" s="4">
        <f>SUMIFS(Daily!$H$3:$H$7756,Daily!$B$3:$B$7756,$A154)</f>
        <v>9.69</v>
      </c>
      <c r="U154" s="4">
        <f>SUMIFS(Daily!$I$3:$I$7756,Daily!$B$3:$B$7756,$A154)</f>
        <v>13.424</v>
      </c>
      <c r="V154" s="3">
        <f>AVERAGEIFS(Daily!$J$3:$J$7756,Daily!$B$3:$B$7756,$A154)</f>
        <v>21.215714285714288</v>
      </c>
      <c r="W154" s="3">
        <f>AVERAGEIFS(Daily!$K$3:$K$7756,Daily!$B$3:$B$7756,$A154)</f>
        <v>28.14464285714286</v>
      </c>
      <c r="X154" s="3">
        <f>AVERAGEIFS(Daily!$L$3:$L$7756,Daily!$B$3:$B$7756,$A154)</f>
        <v>16.13964285714286</v>
      </c>
      <c r="Y154" s="4">
        <f>SUMIFS(Daily!$M$3:$M$7756,Daily!$B$3:$B$7756,$A154)</f>
        <v>14.89</v>
      </c>
      <c r="Z154" s="4">
        <f>SUMIFS(Daily!$N$3:$N$7756,Daily!$B$3:$B$7756,$A154)</f>
        <v>19.481</v>
      </c>
      <c r="AA154" s="3">
        <f>AVERAGEIFS(Daily!$O$3:$O$7756,Daily!$B$3:$B$7756,$A154)</f>
        <v>20.2425</v>
      </c>
      <c r="AB154" s="3">
        <f>AVERAGEIFS(Daily!$P$3:$P$7756,Daily!$B$3:$B$7756,$A154)</f>
        <v>25.773928571428566</v>
      </c>
      <c r="AC154" s="3">
        <f>AVERAGEIFS(Daily!$Q$3:$Q$7756,Daily!$B$3:$B$7756,$A154)</f>
        <v>16.320000000000004</v>
      </c>
      <c r="AD154" s="4">
        <f>SUMIFS(Daily!$R$3:$R$7756,Daily!$B$3:$B$7756,$A154)</f>
        <v>18.89</v>
      </c>
      <c r="AE154" s="4">
        <f>AVERAGE(P154,U154,Z154)</f>
        <v>11.934666666666667</v>
      </c>
      <c r="AF154" s="3">
        <f>AVERAGE(Q154,V154,AA154)</f>
        <v>20.537738095238094</v>
      </c>
      <c r="AG154" s="3">
        <f>AVERAGE(R154,W154,AB154)</f>
        <v>27.205833333333334</v>
      </c>
      <c r="AH154" s="3">
        <f>AVERAGE(S154,X154,AC154)</f>
        <v>15.703809523809525</v>
      </c>
      <c r="AI154" s="4">
        <f>AVERAGE(T154,Y154,AD154)</f>
        <v>14.49</v>
      </c>
    </row>
    <row r="155">
      <c r="A155" s="2" t="inlineStr">
        <is>
          <t xml:space="preserve">2018-03</t>
        </is>
      </c>
      <c r="B155" s="2">
        <v>2018</v>
      </c>
      <c r="C155" s="2">
        <v>3</v>
      </c>
      <c r="D155" s="2" t="inlineStr">
        <is>
          <t xml:space="preserve">Mar</t>
        </is>
      </c>
      <c r="E155" s="2" t="inlineStr">
        <is>
          <t xml:space="preserve">2017/18</t>
        </is>
      </c>
      <c r="F155" s="2">
        <v>9</v>
      </c>
      <c r="G155" s="9">
        <v>43160</v>
      </c>
      <c r="H155" s="9">
        <v>43190</v>
      </c>
      <c r="I155" s="2">
        <f>H155-G155+1</f>
        <v>31</v>
      </c>
      <c r="J155" s="2">
        <f>COUNTIF(Daily!$B$3:$B$7756,A155)</f>
        <v>31</v>
      </c>
      <c r="K155" s="2" t="str">
        <f>IF(J155=I155,"complete","partial ("&amp;J155&amp;" days)")</f>
        <v>complete</v>
      </c>
      <c r="L155" s="3">
        <f>INDEX(ENSO_monthly!$F:$F,MATCH(A155,ENSO_monthly!$A:$A,0))</f>
        <v>-0.55</v>
      </c>
      <c r="M155" s="2" t="str">
        <f>INDEX(ENSO_monthly!$D:$D,MATCH(A155,ENSO_monthly!$A:$A,0))</f>
        <v>FMA</v>
      </c>
      <c r="N155" s="5" t="str">
        <f>INDEX(ENSO_monthly!$L:$L,MATCH(A155,ENSO_monthly!$A:$A,0))</f>
        <v>La Niña</v>
      </c>
      <c r="O155" s="12" t="str">
        <f>INDEX(ENSO_seasons!$U:$U,MATCH(E155,ENSO_seasons!$A:$A,0))</f>
        <v>La Niña</v>
      </c>
      <c r="P155" s="4">
        <f>SUMIFS(Daily!$D$3:$D$7756,Daily!$B$3:$B$7756,$A155)</f>
        <v>0.497</v>
      </c>
      <c r="Q155" s="3">
        <f>AVERAGEIFS(Daily!$E$3:$E$7756,Daily!$B$3:$B$7756,$A155)</f>
        <v>22.891612903225802</v>
      </c>
      <c r="R155" s="3">
        <f>AVERAGEIFS(Daily!$F$3:$F$7756,Daily!$B$3:$B$7756,$A155)</f>
        <v>31.5416129032258</v>
      </c>
      <c r="S155" s="3">
        <f>AVERAGEIFS(Daily!$G$3:$G$7756,Daily!$B$3:$B$7756,$A155)</f>
        <v>16.1258064516129</v>
      </c>
      <c r="T155" s="4">
        <f>SUMIFS(Daily!$H$3:$H$7756,Daily!$B$3:$B$7756,$A155)</f>
        <v>7.89</v>
      </c>
      <c r="U155" s="4">
        <f>SUMIFS(Daily!$I$3:$I$7756,Daily!$B$3:$B$7756,$A155)</f>
        <v>4.261</v>
      </c>
      <c r="V155" s="3">
        <f>AVERAGEIFS(Daily!$J$3:$J$7756,Daily!$B$3:$B$7756,$A155)</f>
        <v>23.707419354838706</v>
      </c>
      <c r="W155" s="3">
        <f>AVERAGEIFS(Daily!$K$3:$K$7756,Daily!$B$3:$B$7756,$A155)</f>
        <v>31.691612903225813</v>
      </c>
      <c r="X155" s="3">
        <f>AVERAGEIFS(Daily!$L$3:$L$7756,Daily!$B$3:$B$7756,$A155)</f>
        <v>17.512580645161293</v>
      </c>
      <c r="Y155" s="4">
        <f>SUMIFS(Daily!$M$3:$M$7756,Daily!$B$3:$B$7756,$A155)</f>
        <v>8.34</v>
      </c>
      <c r="Z155" s="4">
        <f>SUMIFS(Daily!$N$3:$N$7756,Daily!$B$3:$B$7756,$A155)</f>
        <v>14.403</v>
      </c>
      <c r="AA155" s="3">
        <f>AVERAGEIFS(Daily!$O$3:$O$7756,Daily!$B$3:$B$7756,$A155)</f>
        <v>22.602903225806454</v>
      </c>
      <c r="AB155" s="3">
        <f>AVERAGEIFS(Daily!$P$3:$P$7756,Daily!$B$3:$B$7756,$A155)</f>
        <v>29.900322580645152</v>
      </c>
      <c r="AC155" s="3">
        <f>AVERAGEIFS(Daily!$Q$3:$Q$7756,Daily!$B$3:$B$7756,$A155)</f>
        <v>17.47483870967742</v>
      </c>
      <c r="AD155" s="4">
        <f>SUMIFS(Daily!$R$3:$R$7756,Daily!$B$3:$B$7756,$A155)</f>
        <v>20.14</v>
      </c>
      <c r="AE155" s="4">
        <f>AVERAGE(P155,U155,Z155)</f>
        <v>6.3870000000000005</v>
      </c>
      <c r="AF155" s="3">
        <f>AVERAGE(Q155,V155,AA155)</f>
        <v>23.06731182795699</v>
      </c>
      <c r="AG155" s="3">
        <f>AVERAGE(R155,W155,AB155)</f>
        <v>31.044516129032257</v>
      </c>
      <c r="AH155" s="3">
        <f>AVERAGE(S155,X155,AC155)</f>
        <v>17.037741935483872</v>
      </c>
      <c r="AI155" s="4">
        <f>AVERAGE(T155,Y155,AD155)</f>
        <v>12.123333333333335</v>
      </c>
    </row>
    <row r="156">
      <c r="A156" s="2" t="inlineStr">
        <is>
          <t xml:space="preserve">2018-04</t>
        </is>
      </c>
      <c r="B156" s="2">
        <v>2018</v>
      </c>
      <c r="C156" s="2">
        <v>4</v>
      </c>
      <c r="D156" s="2" t="inlineStr">
        <is>
          <t xml:space="preserve">Apr</t>
        </is>
      </c>
      <c r="E156" s="2" t="inlineStr">
        <is>
          <t xml:space="preserve">2017/18</t>
        </is>
      </c>
      <c r="F156" s="2">
        <v>10</v>
      </c>
      <c r="G156" s="9">
        <v>43191</v>
      </c>
      <c r="H156" s="9">
        <v>43220</v>
      </c>
      <c r="I156" s="2">
        <f>H156-G156+1</f>
        <v>30</v>
      </c>
      <c r="J156" s="2">
        <f>COUNTIF(Daily!$B$3:$B$7756,A156)</f>
        <v>30</v>
      </c>
      <c r="K156" s="2" t="str">
        <f>IF(J156=I156,"complete","partial ("&amp;J156&amp;" days)")</f>
        <v>complete</v>
      </c>
      <c r="L156" s="3">
        <f>INDEX(ENSO_monthly!$F:$F,MATCH(A156,ENSO_monthly!$A:$A,0))</f>
        <v>-0.35</v>
      </c>
      <c r="M156" s="2" t="str">
        <f>INDEX(ENSO_monthly!$D:$D,MATCH(A156,ENSO_monthly!$A:$A,0))</f>
        <v>MAM</v>
      </c>
      <c r="N156" s="2" t="str">
        <f>INDEX(ENSO_monthly!$L:$L,MATCH(A156,ENSO_monthly!$A:$A,0))</f>
        <v>—</v>
      </c>
      <c r="O156" s="12" t="str">
        <f>INDEX(ENSO_seasons!$U:$U,MATCH(E156,ENSO_seasons!$A:$A,0))</f>
        <v>La Niña</v>
      </c>
      <c r="P156" s="4">
        <f>SUMIFS(Daily!$D$3:$D$7756,Daily!$B$3:$B$7756,$A156)</f>
        <v>81.822</v>
      </c>
      <c r="Q156" s="3">
        <f>AVERAGEIFS(Daily!$E$3:$E$7756,Daily!$B$3:$B$7756,$A156)</f>
        <v>24.055333333333337</v>
      </c>
      <c r="R156" s="3">
        <f>AVERAGEIFS(Daily!$F$3:$F$7756,Daily!$B$3:$B$7756,$A156)</f>
        <v>31.24533333333333</v>
      </c>
      <c r="S156" s="3">
        <f>AVERAGEIFS(Daily!$G$3:$G$7756,Daily!$B$3:$B$7756,$A156)</f>
        <v>18.304333333333332</v>
      </c>
      <c r="T156" s="4">
        <f>SUMIFS(Daily!$H$3:$H$7756,Daily!$B$3:$B$7756,$A156)</f>
        <v>67.71</v>
      </c>
      <c r="U156" s="4">
        <f>SUMIFS(Daily!$I$3:$I$7756,Daily!$B$3:$B$7756,$A156)</f>
        <v>122.293</v>
      </c>
      <c r="V156" s="3">
        <f>AVERAGEIFS(Daily!$J$3:$J$7756,Daily!$B$3:$B$7756,$A156)</f>
        <v>24.450999999999997</v>
      </c>
      <c r="W156" s="3">
        <f>AVERAGEIFS(Daily!$K$3:$K$7756,Daily!$B$3:$B$7756,$A156)</f>
        <v>31.52099999999999</v>
      </c>
      <c r="X156" s="3">
        <f>AVERAGEIFS(Daily!$L$3:$L$7756,Daily!$B$3:$B$7756,$A156)</f>
        <v>18.901666666666664</v>
      </c>
      <c r="Y156" s="4">
        <f>SUMIFS(Daily!$M$3:$M$7756,Daily!$B$3:$B$7756,$A156)</f>
        <v>87.56</v>
      </c>
      <c r="Z156" s="4">
        <f>SUMIFS(Daily!$N$3:$N$7756,Daily!$B$3:$B$7756,$A156)</f>
        <v>47.433</v>
      </c>
      <c r="AA156" s="3">
        <f>AVERAGEIFS(Daily!$O$3:$O$7756,Daily!$B$3:$B$7756,$A156)</f>
        <v>24.23866666666667</v>
      </c>
      <c r="AB156" s="3">
        <f>AVERAGEIFS(Daily!$P$3:$P$7756,Daily!$B$3:$B$7756,$A156)</f>
        <v>31.37333333333333</v>
      </c>
      <c r="AC156" s="3">
        <f>AVERAGEIFS(Daily!$Q$3:$Q$7756,Daily!$B$3:$B$7756,$A156)</f>
        <v>19.128999999999998</v>
      </c>
      <c r="AD156" s="4">
        <f>SUMIFS(Daily!$R$3:$R$7756,Daily!$B$3:$B$7756,$A156)</f>
        <v>42.48</v>
      </c>
      <c r="AE156" s="4">
        <f>AVERAGE(P156,U156,Z156)</f>
        <v>83.84933333333333</v>
      </c>
      <c r="AF156" s="3">
        <f>AVERAGE(Q156,V156,AA156)</f>
        <v>24.248333333333335</v>
      </c>
      <c r="AG156" s="3">
        <f>AVERAGE(R156,W156,AB156)</f>
        <v>31.379888888888885</v>
      </c>
      <c r="AH156" s="3">
        <f>AVERAGE(S156,X156,AC156)</f>
        <v>18.778333333333332</v>
      </c>
      <c r="AI156" s="4">
        <f>AVERAGE(T156,Y156,AD156)</f>
        <v>65.91666666666666</v>
      </c>
    </row>
    <row r="157">
      <c r="A157" s="2" t="inlineStr">
        <is>
          <t xml:space="preserve">2018-05</t>
        </is>
      </c>
      <c r="B157" s="2">
        <v>2018</v>
      </c>
      <c r="C157" s="2">
        <v>5</v>
      </c>
      <c r="D157" s="2" t="inlineStr">
        <is>
          <t xml:space="preserve">May</t>
        </is>
      </c>
      <c r="E157" s="2" t="inlineStr">
        <is>
          <t xml:space="preserve">2017/18</t>
        </is>
      </c>
      <c r="F157" s="2">
        <v>11</v>
      </c>
      <c r="G157" s="9">
        <v>43221</v>
      </c>
      <c r="H157" s="9">
        <v>43251</v>
      </c>
      <c r="I157" s="2">
        <f>H157-G157+1</f>
        <v>31</v>
      </c>
      <c r="J157" s="2">
        <f>COUNTIF(Daily!$B$3:$B$7756,A157)</f>
        <v>31</v>
      </c>
      <c r="K157" s="2" t="str">
        <f>IF(J157=I157,"complete","partial ("&amp;J157&amp;" days)")</f>
        <v>complete</v>
      </c>
      <c r="L157" s="3">
        <f>INDEX(ENSO_monthly!$F:$F,MATCH(A157,ENSO_monthly!$A:$A,0))</f>
        <v>-0.07</v>
      </c>
      <c r="M157" s="2" t="str">
        <f>INDEX(ENSO_monthly!$D:$D,MATCH(A157,ENSO_monthly!$A:$A,0))</f>
        <v>AMJ</v>
      </c>
      <c r="N157" s="2" t="str">
        <f>INDEX(ENSO_monthly!$L:$L,MATCH(A157,ENSO_monthly!$A:$A,0))</f>
        <v>—</v>
      </c>
      <c r="O157" s="12" t="str">
        <f>INDEX(ENSO_seasons!$U:$U,MATCH(E157,ENSO_seasons!$A:$A,0))</f>
        <v>La Niña</v>
      </c>
      <c r="P157" s="4">
        <f>SUMIFS(Daily!$D$3:$D$7756,Daily!$B$3:$B$7756,$A157)</f>
        <v>206.764</v>
      </c>
      <c r="Q157" s="3">
        <f>AVERAGEIFS(Daily!$E$3:$E$7756,Daily!$B$3:$B$7756,$A157)</f>
        <v>23.823225806451614</v>
      </c>
      <c r="R157" s="3">
        <f>AVERAGEIFS(Daily!$F$3:$F$7756,Daily!$B$3:$B$7756,$A157)</f>
        <v>30.023225806451613</v>
      </c>
      <c r="S157" s="3">
        <f>AVERAGEIFS(Daily!$G$3:$G$7756,Daily!$B$3:$B$7756,$A157)</f>
        <v>19.11161290322581</v>
      </c>
      <c r="T157" s="4">
        <f>SUMIFS(Daily!$H$3:$H$7756,Daily!$B$3:$B$7756,$A157)</f>
        <v>160.8</v>
      </c>
      <c r="U157" s="4">
        <f>SUMIFS(Daily!$I$3:$I$7756,Daily!$B$3:$B$7756,$A157)</f>
        <v>188.437</v>
      </c>
      <c r="V157" s="3">
        <f>AVERAGEIFS(Daily!$J$3:$J$7756,Daily!$B$3:$B$7756,$A157)</f>
        <v>24.32612903225807</v>
      </c>
      <c r="W157" s="3">
        <f>AVERAGEIFS(Daily!$K$3:$K$7756,Daily!$B$3:$B$7756,$A157)</f>
        <v>30.112258064516123</v>
      </c>
      <c r="X157" s="3">
        <f>AVERAGEIFS(Daily!$L$3:$L$7756,Daily!$B$3:$B$7756,$A157)</f>
        <v>19.71677419354839</v>
      </c>
      <c r="Y157" s="4">
        <f>SUMIFS(Daily!$M$3:$M$7756,Daily!$B$3:$B$7756,$A157)</f>
        <v>164.25</v>
      </c>
      <c r="Z157" s="4">
        <f>SUMIFS(Daily!$N$3:$N$7756,Daily!$B$3:$B$7756,$A157)</f>
        <v>142.19</v>
      </c>
      <c r="AA157" s="3">
        <f>AVERAGEIFS(Daily!$O$3:$O$7756,Daily!$B$3:$B$7756,$A157)</f>
        <v>24.839999999999993</v>
      </c>
      <c r="AB157" s="3">
        <f>AVERAGEIFS(Daily!$P$3:$P$7756,Daily!$B$3:$B$7756,$A157)</f>
        <v>31.207741935483874</v>
      </c>
      <c r="AC157" s="3">
        <f>AVERAGEIFS(Daily!$Q$3:$Q$7756,Daily!$B$3:$B$7756,$A157)</f>
        <v>20.05645161290322</v>
      </c>
      <c r="AD157" s="4">
        <f>SUMIFS(Daily!$R$3:$R$7756,Daily!$B$3:$B$7756,$A157)</f>
        <v>102.0</v>
      </c>
      <c r="AE157" s="4">
        <f>AVERAGE(P157,U157,Z157)</f>
        <v>179.13033333333337</v>
      </c>
      <c r="AF157" s="3">
        <f>AVERAGE(Q157,V157,AA157)</f>
        <v>24.329784946236558</v>
      </c>
      <c r="AG157" s="3">
        <f>AVERAGE(R157,W157,AB157)</f>
        <v>30.447741935483872</v>
      </c>
      <c r="AH157" s="3">
        <f>AVERAGE(S157,X157,AC157)</f>
        <v>19.628279569892474</v>
      </c>
      <c r="AI157" s="4">
        <f>AVERAGE(T157,Y157,AD157)</f>
        <v>142.35</v>
      </c>
    </row>
    <row r="158">
      <c r="A158" s="2" t="inlineStr">
        <is>
          <t xml:space="preserve">2018-06</t>
        </is>
      </c>
      <c r="B158" s="2">
        <v>2018</v>
      </c>
      <c r="C158" s="2">
        <v>6</v>
      </c>
      <c r="D158" s="2" t="inlineStr">
        <is>
          <t xml:space="preserve">Jun</t>
        </is>
      </c>
      <c r="E158" s="2" t="inlineStr">
        <is>
          <t xml:space="preserve">2017/18</t>
        </is>
      </c>
      <c r="F158" s="2">
        <v>12</v>
      </c>
      <c r="G158" s="9">
        <v>43252</v>
      </c>
      <c r="H158" s="9">
        <v>43281</v>
      </c>
      <c r="I158" s="2">
        <f>H158-G158+1</f>
        <v>30</v>
      </c>
      <c r="J158" s="2">
        <f>COUNTIF(Daily!$B$3:$B$7756,A158)</f>
        <v>30</v>
      </c>
      <c r="K158" s="2" t="str">
        <f>IF(J158=I158,"complete","partial ("&amp;J158&amp;" days)")</f>
        <v>complete</v>
      </c>
      <c r="L158" s="3">
        <f>INDEX(ENSO_monthly!$F:$F,MATCH(A158,ENSO_monthly!$A:$A,0))</f>
        <v>0.13</v>
      </c>
      <c r="M158" s="2" t="str">
        <f>INDEX(ENSO_monthly!$D:$D,MATCH(A158,ENSO_monthly!$A:$A,0))</f>
        <v>MJJ</v>
      </c>
      <c r="N158" s="2" t="str">
        <f>INDEX(ENSO_monthly!$L:$L,MATCH(A158,ENSO_monthly!$A:$A,0))</f>
        <v>—</v>
      </c>
      <c r="O158" s="12" t="str">
        <f>INDEX(ENSO_seasons!$U:$U,MATCH(E158,ENSO_seasons!$A:$A,0))</f>
        <v>La Niña</v>
      </c>
      <c r="P158" s="4">
        <f>SUMIFS(Daily!$D$3:$D$7756,Daily!$B$3:$B$7756,$A158)</f>
        <v>193.913</v>
      </c>
      <c r="Q158" s="3">
        <f>AVERAGEIFS(Daily!$E$3:$E$7756,Daily!$B$3:$B$7756,$A158)</f>
        <v>21.63766666666667</v>
      </c>
      <c r="R158" s="3">
        <f>AVERAGEIFS(Daily!$F$3:$F$7756,Daily!$B$3:$B$7756,$A158)</f>
        <v>26.31433333333333</v>
      </c>
      <c r="S158" s="3">
        <f>AVERAGEIFS(Daily!$G$3:$G$7756,Daily!$B$3:$B$7756,$A158)</f>
        <v>17.946666666666665</v>
      </c>
      <c r="T158" s="4">
        <f>SUMIFS(Daily!$H$3:$H$7756,Daily!$B$3:$B$7756,$A158)</f>
        <v>185.87</v>
      </c>
      <c r="U158" s="4">
        <f>SUMIFS(Daily!$I$3:$I$7756,Daily!$B$3:$B$7756,$A158)</f>
        <v>183.928</v>
      </c>
      <c r="V158" s="3">
        <f>AVERAGEIFS(Daily!$J$3:$J$7756,Daily!$B$3:$B$7756,$A158)</f>
        <v>22.76366666666667</v>
      </c>
      <c r="W158" s="3">
        <f>AVERAGEIFS(Daily!$K$3:$K$7756,Daily!$B$3:$B$7756,$A158)</f>
        <v>26.795333333333335</v>
      </c>
      <c r="X158" s="3">
        <f>AVERAGEIFS(Daily!$L$3:$L$7756,Daily!$B$3:$B$7756,$A158)</f>
        <v>19.60166666666667</v>
      </c>
      <c r="Y158" s="4">
        <f>SUMIFS(Daily!$M$3:$M$7756,Daily!$B$3:$B$7756,$A158)</f>
        <v>206.54</v>
      </c>
      <c r="Z158" s="4">
        <f>SUMIFS(Daily!$N$3:$N$7756,Daily!$B$3:$B$7756,$A158)</f>
        <v>303.535</v>
      </c>
      <c r="AA158" s="3">
        <f>AVERAGEIFS(Daily!$O$3:$O$7756,Daily!$B$3:$B$7756,$A158)</f>
        <v>23.07333333333333</v>
      </c>
      <c r="AB158" s="3">
        <f>AVERAGEIFS(Daily!$P$3:$P$7756,Daily!$B$3:$B$7756,$A158)</f>
        <v>27.50133333333333</v>
      </c>
      <c r="AC158" s="3">
        <f>AVERAGEIFS(Daily!$Q$3:$Q$7756,Daily!$B$3:$B$7756,$A158)</f>
        <v>20.05466666666667</v>
      </c>
      <c r="AD158" s="4">
        <f>SUMIFS(Daily!$R$3:$R$7756,Daily!$B$3:$B$7756,$A158)</f>
        <v>208.83</v>
      </c>
      <c r="AE158" s="4">
        <f>AVERAGE(P158,U158,Z158)</f>
        <v>227.12533333333332</v>
      </c>
      <c r="AF158" s="3">
        <f>AVERAGE(Q158,V158,AA158)</f>
        <v>22.49155555555556</v>
      </c>
      <c r="AG158" s="3">
        <f>AVERAGE(R158,W158,AB158)</f>
        <v>26.870333333333335</v>
      </c>
      <c r="AH158" s="3">
        <f>AVERAGE(S158,X158,AC158)</f>
        <v>19.201</v>
      </c>
      <c r="AI158" s="4">
        <f>AVERAGE(T158,Y158,AD158)</f>
        <v>200.41333333333333</v>
      </c>
    </row>
    <row r="159">
      <c r="A159" s="2" t="inlineStr">
        <is>
          <t xml:space="preserve">2018-07</t>
        </is>
      </c>
      <c r="B159" s="2">
        <v>2018</v>
      </c>
      <c r="C159" s="2">
        <v>7</v>
      </c>
      <c r="D159" s="2" t="inlineStr">
        <is>
          <t xml:space="preserve">Jul</t>
        </is>
      </c>
      <c r="E159" s="2" t="inlineStr">
        <is>
          <t xml:space="preserve">2018/19</t>
        </is>
      </c>
      <c r="F159" s="2">
        <v>1</v>
      </c>
      <c r="G159" s="9">
        <v>43282</v>
      </c>
      <c r="H159" s="9">
        <v>43312</v>
      </c>
      <c r="I159" s="2">
        <f>H159-G159+1</f>
        <v>31</v>
      </c>
      <c r="J159" s="2">
        <f>COUNTIF(Daily!$B$3:$B$7756,A159)</f>
        <v>31</v>
      </c>
      <c r="K159" s="2" t="str">
        <f>IF(J159=I159,"complete","partial ("&amp;J159&amp;" days)")</f>
        <v>complete</v>
      </c>
      <c r="L159" s="3">
        <f>INDEX(ENSO_monthly!$F:$F,MATCH(A159,ENSO_monthly!$A:$A,0))</f>
        <v>0.2</v>
      </c>
      <c r="M159" s="2" t="str">
        <f>INDEX(ENSO_monthly!$D:$D,MATCH(A159,ENSO_monthly!$A:$A,0))</f>
        <v>JJA</v>
      </c>
      <c r="N159" s="2" t="str">
        <f>INDEX(ENSO_monthly!$L:$L,MATCH(A159,ENSO_monthly!$A:$A,0))</f>
        <v>—</v>
      </c>
      <c r="O159" s="11" t="str">
        <f>INDEX(ENSO_seasons!$U:$U,MATCH(E159,ENSO_seasons!$A:$A,0))</f>
        <v>El Niño</v>
      </c>
      <c r="P159" s="4">
        <f>SUMIFS(Daily!$D$3:$D$7756,Daily!$B$3:$B$7756,$A159)</f>
        <v>67.395</v>
      </c>
      <c r="Q159" s="3">
        <f>AVERAGEIFS(Daily!$E$3:$E$7756,Daily!$B$3:$B$7756,$A159)</f>
        <v>22.12096774193549</v>
      </c>
      <c r="R159" s="3">
        <f>AVERAGEIFS(Daily!$F$3:$F$7756,Daily!$B$3:$B$7756,$A159)</f>
        <v>27.739354838709676</v>
      </c>
      <c r="S159" s="3">
        <f>AVERAGEIFS(Daily!$G$3:$G$7756,Daily!$B$3:$B$7756,$A159)</f>
        <v>17.660967741935483</v>
      </c>
      <c r="T159" s="4">
        <f>SUMIFS(Daily!$H$3:$H$7756,Daily!$B$3:$B$7756,$A159)</f>
        <v>74.95</v>
      </c>
      <c r="U159" s="4">
        <f>SUMIFS(Daily!$I$3:$I$7756,Daily!$B$3:$B$7756,$A159)</f>
        <v>104.002</v>
      </c>
      <c r="V159" s="3">
        <f>AVERAGEIFS(Daily!$J$3:$J$7756,Daily!$B$3:$B$7756,$A159)</f>
        <v>22.960322580645162</v>
      </c>
      <c r="W159" s="3">
        <f>AVERAGEIFS(Daily!$K$3:$K$7756,Daily!$B$3:$B$7756,$A159)</f>
        <v>27.810000000000006</v>
      </c>
      <c r="X159" s="3">
        <f>AVERAGEIFS(Daily!$L$3:$L$7756,Daily!$B$3:$B$7756,$A159)</f>
        <v>19.14677419354839</v>
      </c>
      <c r="Y159" s="4">
        <f>SUMIFS(Daily!$M$3:$M$7756,Daily!$B$3:$B$7756,$A159)</f>
        <v>106.45</v>
      </c>
      <c r="Z159" s="4">
        <f>SUMIFS(Daily!$N$3:$N$7756,Daily!$B$3:$B$7756,$A159)</f>
        <v>102.399</v>
      </c>
      <c r="AA159" s="3">
        <f>AVERAGEIFS(Daily!$O$3:$O$7756,Daily!$B$3:$B$7756,$A159)</f>
        <v>23.158709677419353</v>
      </c>
      <c r="AB159" s="3">
        <f>AVERAGEIFS(Daily!$P$3:$P$7756,Daily!$B$3:$B$7756,$A159)</f>
        <v>28.048709677419343</v>
      </c>
      <c r="AC159" s="3">
        <f>AVERAGEIFS(Daily!$Q$3:$Q$7756,Daily!$B$3:$B$7756,$A159)</f>
        <v>19.911612903225805</v>
      </c>
      <c r="AD159" s="4">
        <f>SUMIFS(Daily!$R$3:$R$7756,Daily!$B$3:$B$7756,$A159)</f>
        <v>102.14</v>
      </c>
      <c r="AE159" s="4">
        <f>AVERAGE(P159,U159,Z159)</f>
        <v>91.26533333333333</v>
      </c>
      <c r="AF159" s="3">
        <f>AVERAGE(Q159,V159,AA159)</f>
        <v>22.74666666666667</v>
      </c>
      <c r="AG159" s="3">
        <f>AVERAGE(R159,W159,AB159)</f>
        <v>27.86602150537634</v>
      </c>
      <c r="AH159" s="3">
        <f>AVERAGE(S159,X159,AC159)</f>
        <v>18.906451612903226</v>
      </c>
      <c r="AI159" s="4">
        <f>AVERAGE(T159,Y159,AD159)</f>
        <v>94.51333333333334</v>
      </c>
    </row>
    <row r="160">
      <c r="A160" s="2" t="inlineStr">
        <is>
          <t xml:space="preserve">2018-08</t>
        </is>
      </c>
      <c r="B160" s="2">
        <v>2018</v>
      </c>
      <c r="C160" s="2">
        <v>8</v>
      </c>
      <c r="D160" s="2" t="inlineStr">
        <is>
          <t xml:space="preserve">Aug</t>
        </is>
      </c>
      <c r="E160" s="2" t="inlineStr">
        <is>
          <t xml:space="preserve">2018/19</t>
        </is>
      </c>
      <c r="F160" s="2">
        <v>2</v>
      </c>
      <c r="G160" s="9">
        <v>43313</v>
      </c>
      <c r="H160" s="9">
        <v>43343</v>
      </c>
      <c r="I160" s="2">
        <f>H160-G160+1</f>
        <v>31</v>
      </c>
      <c r="J160" s="2">
        <f>COUNTIF(Daily!$B$3:$B$7756,A160)</f>
        <v>31</v>
      </c>
      <c r="K160" s="2" t="str">
        <f>IF(J160=I160,"complete","partial ("&amp;J160&amp;" days)")</f>
        <v>complete</v>
      </c>
      <c r="L160" s="3">
        <f>INDEX(ENSO_monthly!$F:$F,MATCH(A160,ENSO_monthly!$A:$A,0))</f>
        <v>0.3</v>
      </c>
      <c r="M160" s="2" t="str">
        <f>INDEX(ENSO_monthly!$D:$D,MATCH(A160,ENSO_monthly!$A:$A,0))</f>
        <v>JAS</v>
      </c>
      <c r="N160" s="2" t="str">
        <f>INDEX(ENSO_monthly!$L:$L,MATCH(A160,ENSO_monthly!$A:$A,0))</f>
        <v>—</v>
      </c>
      <c r="O160" s="11" t="str">
        <f>INDEX(ENSO_seasons!$U:$U,MATCH(E160,ENSO_seasons!$A:$A,0))</f>
        <v>El Niño</v>
      </c>
      <c r="P160" s="4">
        <f>SUMIFS(Daily!$D$3:$D$7756,Daily!$B$3:$B$7756,$A160)</f>
        <v>136.17</v>
      </c>
      <c r="Q160" s="3">
        <f>AVERAGEIFS(Daily!$E$3:$E$7756,Daily!$B$3:$B$7756,$A160)</f>
        <v>22.31870967741936</v>
      </c>
      <c r="R160" s="3">
        <f>AVERAGEIFS(Daily!$F$3:$F$7756,Daily!$B$3:$B$7756,$A160)</f>
        <v>28.50548387096774</v>
      </c>
      <c r="S160" s="3">
        <f>AVERAGEIFS(Daily!$G$3:$G$7756,Daily!$B$3:$B$7756,$A160)</f>
        <v>17.62838709677419</v>
      </c>
      <c r="T160" s="4">
        <f>SUMIFS(Daily!$H$3:$H$7756,Daily!$B$3:$B$7756,$A160)</f>
        <v>104.02</v>
      </c>
      <c r="U160" s="4">
        <f>SUMIFS(Daily!$I$3:$I$7756,Daily!$B$3:$B$7756,$A160)</f>
        <v>319.697</v>
      </c>
      <c r="V160" s="3">
        <f>AVERAGEIFS(Daily!$J$3:$J$7756,Daily!$B$3:$B$7756,$A160)</f>
        <v>22.738709677419358</v>
      </c>
      <c r="W160" s="3">
        <f>AVERAGEIFS(Daily!$K$3:$K$7756,Daily!$B$3:$B$7756,$A160)</f>
        <v>27.296774193548387</v>
      </c>
      <c r="X160" s="3">
        <f>AVERAGEIFS(Daily!$L$3:$L$7756,Daily!$B$3:$B$7756,$A160)</f>
        <v>19.277741935483874</v>
      </c>
      <c r="Y160" s="4">
        <f>SUMIFS(Daily!$M$3:$M$7756,Daily!$B$3:$B$7756,$A160)</f>
        <v>230.7</v>
      </c>
      <c r="Z160" s="4">
        <f>SUMIFS(Daily!$N$3:$N$7756,Daily!$B$3:$B$7756,$A160)</f>
        <v>126.959</v>
      </c>
      <c r="AA160" s="3">
        <f>AVERAGEIFS(Daily!$O$3:$O$7756,Daily!$B$3:$B$7756,$A160)</f>
        <v>22.94741935483871</v>
      </c>
      <c r="AB160" s="3">
        <f>AVERAGEIFS(Daily!$P$3:$P$7756,Daily!$B$3:$B$7756,$A160)</f>
        <v>27.70193548387098</v>
      </c>
      <c r="AC160" s="3">
        <f>AVERAGEIFS(Daily!$Q$3:$Q$7756,Daily!$B$3:$B$7756,$A160)</f>
        <v>19.85612903225806</v>
      </c>
      <c r="AD160" s="4">
        <f>SUMIFS(Daily!$R$3:$R$7756,Daily!$B$3:$B$7756,$A160)</f>
        <v>135.51</v>
      </c>
      <c r="AE160" s="4">
        <f>AVERAGE(P160,U160,Z160)</f>
        <v>194.27533333333335</v>
      </c>
      <c r="AF160" s="3">
        <f>AVERAGE(Q160,V160,AA160)</f>
        <v>22.668279569892476</v>
      </c>
      <c r="AG160" s="3">
        <f>AVERAGE(R160,W160,AB160)</f>
        <v>27.834731182795704</v>
      </c>
      <c r="AH160" s="3">
        <f>AVERAGE(S160,X160,AC160)</f>
        <v>18.92075268817204</v>
      </c>
      <c r="AI160" s="4">
        <f>AVERAGE(T160,Y160,AD160)</f>
        <v>156.7433333333333</v>
      </c>
    </row>
    <row r="161">
      <c r="A161" s="2" t="inlineStr">
        <is>
          <t xml:space="preserve">2018-09</t>
        </is>
      </c>
      <c r="B161" s="2">
        <v>2018</v>
      </c>
      <c r="C161" s="2">
        <v>9</v>
      </c>
      <c r="D161" s="2" t="inlineStr">
        <is>
          <t xml:space="preserve">Sep</t>
        </is>
      </c>
      <c r="E161" s="2" t="inlineStr">
        <is>
          <t xml:space="preserve">2018/19</t>
        </is>
      </c>
      <c r="F161" s="2">
        <v>3</v>
      </c>
      <c r="G161" s="9">
        <v>43344</v>
      </c>
      <c r="H161" s="9">
        <v>43373</v>
      </c>
      <c r="I161" s="2">
        <f>H161-G161+1</f>
        <v>30</v>
      </c>
      <c r="J161" s="2">
        <f>COUNTIF(Daily!$B$3:$B$7756,A161)</f>
        <v>30</v>
      </c>
      <c r="K161" s="2" t="str">
        <f>IF(J161=I161,"complete","partial ("&amp;J161&amp;" days)")</f>
        <v>complete</v>
      </c>
      <c r="L161" s="3">
        <f>INDEX(ENSO_monthly!$F:$F,MATCH(A161,ENSO_monthly!$A:$A,0))</f>
        <v>0.52</v>
      </c>
      <c r="M161" s="2" t="str">
        <f>INDEX(ENSO_monthly!$D:$D,MATCH(A161,ENSO_monthly!$A:$A,0))</f>
        <v>ASO</v>
      </c>
      <c r="N161" s="6" t="str">
        <f>INDEX(ENSO_monthly!$L:$L,MATCH(A161,ENSO_monthly!$A:$A,0))</f>
        <v>El Niño</v>
      </c>
      <c r="O161" s="11" t="str">
        <f>INDEX(ENSO_seasons!$U:$U,MATCH(E161,ENSO_seasons!$A:$A,0))</f>
        <v>El Niño</v>
      </c>
      <c r="P161" s="4">
        <f>SUMIFS(Daily!$D$3:$D$7756,Daily!$B$3:$B$7756,$A161)</f>
        <v>134.23</v>
      </c>
      <c r="Q161" s="3">
        <f>AVERAGEIFS(Daily!$E$3:$E$7756,Daily!$B$3:$B$7756,$A161)</f>
        <v>22.388</v>
      </c>
      <c r="R161" s="3">
        <f>AVERAGEIFS(Daily!$F$3:$F$7756,Daily!$B$3:$B$7756,$A161)</f>
        <v>28.08366666666667</v>
      </c>
      <c r="S161" s="3">
        <f>AVERAGEIFS(Daily!$G$3:$G$7756,Daily!$B$3:$B$7756,$A161)</f>
        <v>18.114333333333327</v>
      </c>
      <c r="T161" s="4">
        <f>SUMIFS(Daily!$H$3:$H$7756,Daily!$B$3:$B$7756,$A161)</f>
        <v>119.54</v>
      </c>
      <c r="U161" s="4">
        <f>SUMIFS(Daily!$I$3:$I$7756,Daily!$B$3:$B$7756,$A161)</f>
        <v>238.022</v>
      </c>
      <c r="V161" s="3">
        <f>AVERAGEIFS(Daily!$J$3:$J$7756,Daily!$B$3:$B$7756,$A161)</f>
        <v>22.605333333333327</v>
      </c>
      <c r="W161" s="3">
        <f>AVERAGEIFS(Daily!$K$3:$K$7756,Daily!$B$3:$B$7756,$A161)</f>
        <v>26.88233333333333</v>
      </c>
      <c r="X161" s="3">
        <f>AVERAGEIFS(Daily!$L$3:$L$7756,Daily!$B$3:$B$7756,$A161)</f>
        <v>19.298333333333332</v>
      </c>
      <c r="Y161" s="4">
        <f>SUMIFS(Daily!$M$3:$M$7756,Daily!$B$3:$B$7756,$A161)</f>
        <v>185.25</v>
      </c>
      <c r="Z161" s="4">
        <f>SUMIFS(Daily!$N$3:$N$7756,Daily!$B$3:$B$7756,$A161)</f>
        <v>168.533</v>
      </c>
      <c r="AA161" s="3">
        <f>AVERAGEIFS(Daily!$O$3:$O$7756,Daily!$B$3:$B$7756,$A161)</f>
        <v>23.094666666666665</v>
      </c>
      <c r="AB161" s="3">
        <f>AVERAGEIFS(Daily!$P$3:$P$7756,Daily!$B$3:$B$7756,$A161)</f>
        <v>27.840999999999994</v>
      </c>
      <c r="AC161" s="3">
        <f>AVERAGEIFS(Daily!$Q$3:$Q$7756,Daily!$B$3:$B$7756,$A161)</f>
        <v>20.090333333333337</v>
      </c>
      <c r="AD161" s="4">
        <f>SUMIFS(Daily!$R$3:$R$7756,Daily!$B$3:$B$7756,$A161)</f>
        <v>126.26</v>
      </c>
      <c r="AE161" s="4">
        <f>AVERAGE(P161,U161,Z161)</f>
        <v>180.26166666666666</v>
      </c>
      <c r="AF161" s="3">
        <f>AVERAGE(Q161,V161,AA161)</f>
        <v>22.695999999999998</v>
      </c>
      <c r="AG161" s="3">
        <f>AVERAGE(R161,W161,AB161)</f>
        <v>27.60233333333333</v>
      </c>
      <c r="AH161" s="3">
        <f>AVERAGE(S161,X161,AC161)</f>
        <v>19.167666666666666</v>
      </c>
      <c r="AI161" s="4">
        <f>AVERAGE(T161,Y161,AD161)</f>
        <v>143.68333333333334</v>
      </c>
    </row>
    <row r="162">
      <c r="A162" s="2" t="inlineStr">
        <is>
          <t xml:space="preserve">2018-10</t>
        </is>
      </c>
      <c r="B162" s="2">
        <v>2018</v>
      </c>
      <c r="C162" s="2">
        <v>10</v>
      </c>
      <c r="D162" s="2" t="inlineStr">
        <is>
          <t xml:space="preserve">Oct</t>
        </is>
      </c>
      <c r="E162" s="2" t="inlineStr">
        <is>
          <t xml:space="preserve">2018/19</t>
        </is>
      </c>
      <c r="F162" s="2">
        <v>4</v>
      </c>
      <c r="G162" s="9">
        <v>43374</v>
      </c>
      <c r="H162" s="9">
        <v>43404</v>
      </c>
      <c r="I162" s="2">
        <f>H162-G162+1</f>
        <v>31</v>
      </c>
      <c r="J162" s="2">
        <f>COUNTIF(Daily!$B$3:$B$7756,A162)</f>
        <v>31</v>
      </c>
      <c r="K162" s="2" t="str">
        <f>IF(J162=I162,"complete","partial ("&amp;J162&amp;" days)")</f>
        <v>complete</v>
      </c>
      <c r="L162" s="3">
        <f>INDEX(ENSO_monthly!$F:$F,MATCH(A162,ENSO_monthly!$A:$A,0))</f>
        <v>0.82</v>
      </c>
      <c r="M162" s="2" t="str">
        <f>INDEX(ENSO_monthly!$D:$D,MATCH(A162,ENSO_monthly!$A:$A,0))</f>
        <v>SON</v>
      </c>
      <c r="N162" s="6" t="str">
        <f>INDEX(ENSO_monthly!$L:$L,MATCH(A162,ENSO_monthly!$A:$A,0))</f>
        <v>El Niño</v>
      </c>
      <c r="O162" s="11" t="str">
        <f>INDEX(ENSO_seasons!$U:$U,MATCH(E162,ENSO_seasons!$A:$A,0))</f>
        <v>El Niño</v>
      </c>
      <c r="P162" s="4">
        <f>SUMIFS(Daily!$D$3:$D$7756,Daily!$B$3:$B$7756,$A162)</f>
        <v>158.318</v>
      </c>
      <c r="Q162" s="3">
        <f>AVERAGEIFS(Daily!$E$3:$E$7756,Daily!$B$3:$B$7756,$A162)</f>
        <v>21.297741935483867</v>
      </c>
      <c r="R162" s="3">
        <f>AVERAGEIFS(Daily!$F$3:$F$7756,Daily!$B$3:$B$7756,$A162)</f>
        <v>26.188387096774196</v>
      </c>
      <c r="S162" s="3">
        <f>AVERAGEIFS(Daily!$G$3:$G$7756,Daily!$B$3:$B$7756,$A162)</f>
        <v>17.68677419354839</v>
      </c>
      <c r="T162" s="4">
        <f>SUMIFS(Daily!$H$3:$H$7756,Daily!$B$3:$B$7756,$A162)</f>
        <v>169.74</v>
      </c>
      <c r="U162" s="4">
        <f>SUMIFS(Daily!$I$3:$I$7756,Daily!$B$3:$B$7756,$A162)</f>
        <v>131.118</v>
      </c>
      <c r="V162" s="3">
        <f>AVERAGEIFS(Daily!$J$3:$J$7756,Daily!$B$3:$B$7756,$A162)</f>
        <v>21.554193548387097</v>
      </c>
      <c r="W162" s="3">
        <f>AVERAGEIFS(Daily!$K$3:$K$7756,Daily!$B$3:$B$7756,$A162)</f>
        <v>25.739354838709673</v>
      </c>
      <c r="X162" s="3">
        <f>AVERAGEIFS(Daily!$L$3:$L$7756,Daily!$B$3:$B$7756,$A162)</f>
        <v>18.335806451612903</v>
      </c>
      <c r="Y162" s="4">
        <f>SUMIFS(Daily!$M$3:$M$7756,Daily!$B$3:$B$7756,$A162)</f>
        <v>125.46</v>
      </c>
      <c r="Z162" s="4">
        <f>SUMIFS(Daily!$N$3:$N$7756,Daily!$B$3:$B$7756,$A162)</f>
        <v>95.923</v>
      </c>
      <c r="AA162" s="3">
        <f>AVERAGEIFS(Daily!$O$3:$O$7756,Daily!$B$3:$B$7756,$A162)</f>
        <v>22.406451612903226</v>
      </c>
      <c r="AB162" s="3">
        <f>AVERAGEIFS(Daily!$P$3:$P$7756,Daily!$B$3:$B$7756,$A162)</f>
        <v>27.053548387096768</v>
      </c>
      <c r="AC162" s="3">
        <f>AVERAGEIFS(Daily!$Q$3:$Q$7756,Daily!$B$3:$B$7756,$A162)</f>
        <v>19.15193548387097</v>
      </c>
      <c r="AD162" s="4">
        <f>SUMIFS(Daily!$R$3:$R$7756,Daily!$B$3:$B$7756,$A162)</f>
        <v>90.36</v>
      </c>
      <c r="AE162" s="4">
        <f>AVERAGE(P162,U162,Z162)</f>
        <v>128.453</v>
      </c>
      <c r="AF162" s="3">
        <f>AVERAGE(Q162,V162,AA162)</f>
        <v>21.75279569892473</v>
      </c>
      <c r="AG162" s="3">
        <f>AVERAGE(R162,W162,AB162)</f>
        <v>26.327096774193546</v>
      </c>
      <c r="AH162" s="3">
        <f>AVERAGE(S162,X162,AC162)</f>
        <v>18.39150537634409</v>
      </c>
      <c r="AI162" s="4">
        <f>AVERAGE(T162,Y162,AD162)</f>
        <v>128.52</v>
      </c>
    </row>
    <row r="163">
      <c r="A163" s="2" t="inlineStr">
        <is>
          <t xml:space="preserve">2018-11</t>
        </is>
      </c>
      <c r="B163" s="2">
        <v>2018</v>
      </c>
      <c r="C163" s="2">
        <v>11</v>
      </c>
      <c r="D163" s="2" t="inlineStr">
        <is>
          <t xml:space="preserve">Nov</t>
        </is>
      </c>
      <c r="E163" s="2" t="inlineStr">
        <is>
          <t xml:space="preserve">2018/19</t>
        </is>
      </c>
      <c r="F163" s="2">
        <v>5</v>
      </c>
      <c r="G163" s="9">
        <v>43405</v>
      </c>
      <c r="H163" s="9">
        <v>43434</v>
      </c>
      <c r="I163" s="2">
        <f>H163-G163+1</f>
        <v>30</v>
      </c>
      <c r="J163" s="2">
        <f>COUNTIF(Daily!$B$3:$B$7756,A163)</f>
        <v>30</v>
      </c>
      <c r="K163" s="2" t="str">
        <f>IF(J163=I163,"complete","partial ("&amp;J163&amp;" days)")</f>
        <v>complete</v>
      </c>
      <c r="L163" s="3">
        <f>INDEX(ENSO_monthly!$F:$F,MATCH(A163,ENSO_monthly!$A:$A,0))</f>
        <v>1.04</v>
      </c>
      <c r="M163" s="2" t="str">
        <f>INDEX(ENSO_monthly!$D:$D,MATCH(A163,ENSO_monthly!$A:$A,0))</f>
        <v>OND</v>
      </c>
      <c r="N163" s="6" t="str">
        <f>INDEX(ENSO_monthly!$L:$L,MATCH(A163,ENSO_monthly!$A:$A,0))</f>
        <v>El Niño</v>
      </c>
      <c r="O163" s="11" t="str">
        <f>INDEX(ENSO_seasons!$U:$U,MATCH(E163,ENSO_seasons!$A:$A,0))</f>
        <v>El Niño</v>
      </c>
      <c r="P163" s="4">
        <f>SUMIFS(Daily!$D$3:$D$7756,Daily!$B$3:$B$7756,$A163)</f>
        <v>9.031</v>
      </c>
      <c r="Q163" s="3">
        <f>AVERAGEIFS(Daily!$E$3:$E$7756,Daily!$B$3:$B$7756,$A163)</f>
        <v>21.593</v>
      </c>
      <c r="R163" s="3">
        <f>AVERAGEIFS(Daily!$F$3:$F$7756,Daily!$B$3:$B$7756,$A163)</f>
        <v>27.89566666666666</v>
      </c>
      <c r="S163" s="3">
        <f>AVERAGEIFS(Daily!$G$3:$G$7756,Daily!$B$3:$B$7756,$A163)</f>
        <v>17.091666666666665</v>
      </c>
      <c r="T163" s="4">
        <f>SUMIFS(Daily!$H$3:$H$7756,Daily!$B$3:$B$7756,$A163)</f>
        <v>14.06</v>
      </c>
      <c r="U163" s="4">
        <f>SUMIFS(Daily!$I$3:$I$7756,Daily!$B$3:$B$7756,$A163)</f>
        <v>44.65</v>
      </c>
      <c r="V163" s="3">
        <f>AVERAGEIFS(Daily!$J$3:$J$7756,Daily!$B$3:$B$7756,$A163)</f>
        <v>21.411666666666665</v>
      </c>
      <c r="W163" s="3">
        <f>AVERAGEIFS(Daily!$K$3:$K$7756,Daily!$B$3:$B$7756,$A163)</f>
        <v>26.498666666666665</v>
      </c>
      <c r="X163" s="3">
        <f>AVERAGEIFS(Daily!$L$3:$L$7756,Daily!$B$3:$B$7756,$A163)</f>
        <v>17.55733333333334</v>
      </c>
      <c r="Y163" s="4">
        <f>SUMIFS(Daily!$M$3:$M$7756,Daily!$B$3:$B$7756,$A163)</f>
        <v>34.08</v>
      </c>
      <c r="Z163" s="4">
        <f>SUMIFS(Daily!$N$3:$N$7756,Daily!$B$3:$B$7756,$A163)</f>
        <v>13.58</v>
      </c>
      <c r="AA163" s="3">
        <f>AVERAGEIFS(Daily!$O$3:$O$7756,Daily!$B$3:$B$7756,$A163)</f>
        <v>22.479000000000006</v>
      </c>
      <c r="AB163" s="3">
        <f>AVERAGEIFS(Daily!$P$3:$P$7756,Daily!$B$3:$B$7756,$A163)</f>
        <v>28.332666666666668</v>
      </c>
      <c r="AC163" s="3">
        <f>AVERAGEIFS(Daily!$Q$3:$Q$7756,Daily!$B$3:$B$7756,$A163)</f>
        <v>18.534000000000002</v>
      </c>
      <c r="AD163" s="4">
        <f>SUMIFS(Daily!$R$3:$R$7756,Daily!$B$3:$B$7756,$A163)</f>
        <v>17.78</v>
      </c>
      <c r="AE163" s="4">
        <f>AVERAGE(P163,U163,Z163)</f>
        <v>22.420333333333332</v>
      </c>
      <c r="AF163" s="3">
        <f>AVERAGE(Q163,V163,AA163)</f>
        <v>21.82788888888889</v>
      </c>
      <c r="AG163" s="3">
        <f>AVERAGE(R163,W163,AB163)</f>
        <v>27.575666666666663</v>
      </c>
      <c r="AH163" s="3">
        <f>AVERAGE(S163,X163,AC163)</f>
        <v>17.727666666666668</v>
      </c>
      <c r="AI163" s="4">
        <f>AVERAGE(T163,Y163,AD163)</f>
        <v>21.973333333333333</v>
      </c>
    </row>
    <row r="164">
      <c r="A164" s="2" t="inlineStr">
        <is>
          <t xml:space="preserve">2018-12</t>
        </is>
      </c>
      <c r="B164" s="2">
        <v>2018</v>
      </c>
      <c r="C164" s="2">
        <v>12</v>
      </c>
      <c r="D164" s="2" t="inlineStr">
        <is>
          <t xml:space="preserve">Dec</t>
        </is>
      </c>
      <c r="E164" s="2" t="inlineStr">
        <is>
          <t xml:space="preserve">2018/19</t>
        </is>
      </c>
      <c r="F164" s="2">
        <v>6</v>
      </c>
      <c r="G164" s="9">
        <v>43435</v>
      </c>
      <c r="H164" s="9">
        <v>43465</v>
      </c>
      <c r="I164" s="2">
        <f>H164-G164+1</f>
        <v>31</v>
      </c>
      <c r="J164" s="2">
        <f>COUNTIF(Daily!$B$3:$B$7756,A164)</f>
        <v>31</v>
      </c>
      <c r="K164" s="2" t="str">
        <f>IF(J164=I164,"complete","partial ("&amp;J164&amp;" days)")</f>
        <v>complete</v>
      </c>
      <c r="L164" s="3">
        <f>INDEX(ENSO_monthly!$F:$F,MATCH(A164,ENSO_monthly!$A:$A,0))</f>
        <v>1.05</v>
      </c>
      <c r="M164" s="2" t="str">
        <f>INDEX(ENSO_monthly!$D:$D,MATCH(A164,ENSO_monthly!$A:$A,0))</f>
        <v>NDJ</v>
      </c>
      <c r="N164" s="6" t="str">
        <f>INDEX(ENSO_monthly!$L:$L,MATCH(A164,ENSO_monthly!$A:$A,0))</f>
        <v>El Niño</v>
      </c>
      <c r="O164" s="11" t="str">
        <f>INDEX(ENSO_seasons!$U:$U,MATCH(E164,ENSO_seasons!$A:$A,0))</f>
        <v>El Niño</v>
      </c>
      <c r="P164" s="4">
        <f>SUMIFS(Daily!$D$3:$D$7756,Daily!$B$3:$B$7756,$A164)</f>
        <v>1.151</v>
      </c>
      <c r="Q164" s="3">
        <f>AVERAGEIFS(Daily!$E$3:$E$7756,Daily!$B$3:$B$7756,$A164)</f>
        <v>20.3058064516129</v>
      </c>
      <c r="R164" s="3">
        <f>AVERAGEIFS(Daily!$F$3:$F$7756,Daily!$B$3:$B$7756,$A164)</f>
        <v>27.645806451612906</v>
      </c>
      <c r="S164" s="3">
        <f>AVERAGEIFS(Daily!$G$3:$G$7756,Daily!$B$3:$B$7756,$A164)</f>
        <v>15.095483870967742</v>
      </c>
      <c r="T164" s="4">
        <f>SUMIFS(Daily!$H$3:$H$7756,Daily!$B$3:$B$7756,$A164)</f>
        <v>26.22</v>
      </c>
      <c r="U164" s="4">
        <f>SUMIFS(Daily!$I$3:$I$7756,Daily!$B$3:$B$7756,$A164)</f>
        <v>15.356</v>
      </c>
      <c r="V164" s="3">
        <f>AVERAGEIFS(Daily!$J$3:$J$7756,Daily!$B$3:$B$7756,$A164)</f>
        <v>20.437419354838706</v>
      </c>
      <c r="W164" s="3">
        <f>AVERAGEIFS(Daily!$K$3:$K$7756,Daily!$B$3:$B$7756,$A164)</f>
        <v>26.886774193548387</v>
      </c>
      <c r="X164" s="3">
        <f>AVERAGEIFS(Daily!$L$3:$L$7756,Daily!$B$3:$B$7756,$A164)</f>
        <v>15.762580645161293</v>
      </c>
      <c r="Y164" s="4">
        <f>SUMIFS(Daily!$M$3:$M$7756,Daily!$B$3:$B$7756,$A164)</f>
        <v>21.1</v>
      </c>
      <c r="Z164" s="4">
        <f>SUMIFS(Daily!$N$3:$N$7756,Daily!$B$3:$B$7756,$A164)</f>
        <v>32.916</v>
      </c>
      <c r="AA164" s="3">
        <f>AVERAGEIFS(Daily!$O$3:$O$7756,Daily!$B$3:$B$7756,$A164)</f>
        <v>21.02645161290322</v>
      </c>
      <c r="AB164" s="3">
        <f>AVERAGEIFS(Daily!$P$3:$P$7756,Daily!$B$3:$B$7756,$A164)</f>
        <v>27.604516129032255</v>
      </c>
      <c r="AC164" s="3">
        <f>AVERAGEIFS(Daily!$Q$3:$Q$7756,Daily!$B$3:$B$7756,$A164)</f>
        <v>16.591290322580647</v>
      </c>
      <c r="AD164" s="4">
        <f>SUMIFS(Daily!$R$3:$R$7756,Daily!$B$3:$B$7756,$A164)</f>
        <v>41.49</v>
      </c>
      <c r="AE164" s="4">
        <f>AVERAGE(P164,U164,Z164)</f>
        <v>16.474333333333334</v>
      </c>
      <c r="AF164" s="3">
        <f>AVERAGE(Q164,V164,AA164)</f>
        <v>20.589892473118272</v>
      </c>
      <c r="AG164" s="3">
        <f>AVERAGE(R164,W164,AB164)</f>
        <v>27.379032258064512</v>
      </c>
      <c r="AH164" s="3">
        <f>AVERAGE(S164,X164,AC164)</f>
        <v>15.816451612903228</v>
      </c>
      <c r="AI164" s="4">
        <f>AVERAGE(T164,Y164,AD164)</f>
        <v>29.603333333333335</v>
      </c>
    </row>
    <row r="165">
      <c r="A165" s="2" t="inlineStr">
        <is>
          <t xml:space="preserve">2019-01</t>
        </is>
      </c>
      <c r="B165" s="2">
        <v>2019</v>
      </c>
      <c r="C165" s="2">
        <v>1</v>
      </c>
      <c r="D165" s="2" t="inlineStr">
        <is>
          <t xml:space="preserve">Jan</t>
        </is>
      </c>
      <c r="E165" s="2" t="inlineStr">
        <is>
          <t xml:space="preserve">2018/19</t>
        </is>
      </c>
      <c r="F165" s="2">
        <v>7</v>
      </c>
      <c r="G165" s="9">
        <v>43466</v>
      </c>
      <c r="H165" s="9">
        <v>43496</v>
      </c>
      <c r="I165" s="2">
        <f>H165-G165+1</f>
        <v>31</v>
      </c>
      <c r="J165" s="2">
        <f>COUNTIF(Daily!$B$3:$B$7756,A165)</f>
        <v>31</v>
      </c>
      <c r="K165" s="2" t="str">
        <f>IF(J165=I165,"complete","partial ("&amp;J165&amp;" days)")</f>
        <v>complete</v>
      </c>
      <c r="L165" s="3">
        <f>INDEX(ENSO_monthly!$F:$F,MATCH(A165,ENSO_monthly!$A:$A,0))</f>
        <v>0.99</v>
      </c>
      <c r="M165" s="2" t="str">
        <f>INDEX(ENSO_monthly!$D:$D,MATCH(A165,ENSO_monthly!$A:$A,0))</f>
        <v>DJF</v>
      </c>
      <c r="N165" s="6" t="str">
        <f>INDEX(ENSO_monthly!$L:$L,MATCH(A165,ENSO_monthly!$A:$A,0))</f>
        <v>El Niño</v>
      </c>
      <c r="O165" s="11" t="str">
        <f>INDEX(ENSO_seasons!$U:$U,MATCH(E165,ENSO_seasons!$A:$A,0))</f>
        <v>El Niño</v>
      </c>
      <c r="P165" s="4">
        <f>SUMIFS(Daily!$D$3:$D$7756,Daily!$B$3:$B$7756,$A165)</f>
        <v>6.217</v>
      </c>
      <c r="Q165" s="3">
        <f>AVERAGEIFS(Daily!$E$3:$E$7756,Daily!$B$3:$B$7756,$A165)</f>
        <v>20.50161290322581</v>
      </c>
      <c r="R165" s="3">
        <f>AVERAGEIFS(Daily!$F$3:$F$7756,Daily!$B$3:$B$7756,$A165)</f>
        <v>28.01612903225806</v>
      </c>
      <c r="S165" s="3">
        <f>AVERAGEIFS(Daily!$G$3:$G$7756,Daily!$B$3:$B$7756,$A165)</f>
        <v>15.236451612903224</v>
      </c>
      <c r="T165" s="4">
        <f>SUMIFS(Daily!$H$3:$H$7756,Daily!$B$3:$B$7756,$A165)</f>
        <v>23.51</v>
      </c>
      <c r="U165" s="4">
        <f>SUMIFS(Daily!$I$3:$I$7756,Daily!$B$3:$B$7756,$A165)</f>
        <v>10.609</v>
      </c>
      <c r="V165" s="3">
        <f>AVERAGEIFS(Daily!$J$3:$J$7756,Daily!$B$3:$B$7756,$A165)</f>
        <v>20.75483870967742</v>
      </c>
      <c r="W165" s="3">
        <f>AVERAGEIFS(Daily!$K$3:$K$7756,Daily!$B$3:$B$7756,$A165)</f>
        <v>28.073870967741936</v>
      </c>
      <c r="X165" s="3">
        <f>AVERAGEIFS(Daily!$L$3:$L$7756,Daily!$B$3:$B$7756,$A165)</f>
        <v>15.638064516129035</v>
      </c>
      <c r="Y165" s="4">
        <f>SUMIFS(Daily!$M$3:$M$7756,Daily!$B$3:$B$7756,$A165)</f>
        <v>22.16</v>
      </c>
      <c r="Z165" s="4">
        <f>SUMIFS(Daily!$N$3:$N$7756,Daily!$B$3:$B$7756,$A165)</f>
        <v>43.216</v>
      </c>
      <c r="AA165" s="3">
        <f>AVERAGEIFS(Daily!$O$3:$O$7756,Daily!$B$3:$B$7756,$A165)</f>
        <v>20.460322580645165</v>
      </c>
      <c r="AB165" s="3">
        <f>AVERAGEIFS(Daily!$P$3:$P$7756,Daily!$B$3:$B$7756,$A165)</f>
        <v>27.116129032258065</v>
      </c>
      <c r="AC165" s="3">
        <f>AVERAGEIFS(Daily!$Q$3:$Q$7756,Daily!$B$3:$B$7756,$A165)</f>
        <v>16.074516129032258</v>
      </c>
      <c r="AD165" s="4">
        <f>SUMIFS(Daily!$R$3:$R$7756,Daily!$B$3:$B$7756,$A165)</f>
        <v>37.03</v>
      </c>
      <c r="AE165" s="4">
        <f>AVERAGE(P165,U165,Z165)</f>
        <v>20.014</v>
      </c>
      <c r="AF165" s="3">
        <f>AVERAGE(Q165,V165,AA165)</f>
        <v>20.57225806451613</v>
      </c>
      <c r="AG165" s="3">
        <f>AVERAGE(R165,W165,AB165)</f>
        <v>27.73537634408602</v>
      </c>
      <c r="AH165" s="3">
        <f>AVERAGE(S165,X165,AC165)</f>
        <v>15.64967741935484</v>
      </c>
      <c r="AI165" s="4">
        <f>AVERAGE(T165,Y165,AD165)</f>
        <v>27.566666666666666</v>
      </c>
    </row>
    <row r="166">
      <c r="A166" s="2" t="inlineStr">
        <is>
          <t xml:space="preserve">2019-02</t>
        </is>
      </c>
      <c r="B166" s="2">
        <v>2019</v>
      </c>
      <c r="C166" s="2">
        <v>2</v>
      </c>
      <c r="D166" s="2" t="inlineStr">
        <is>
          <t xml:space="preserve">Feb</t>
        </is>
      </c>
      <c r="E166" s="2" t="inlineStr">
        <is>
          <t xml:space="preserve">2018/19</t>
        </is>
      </c>
      <c r="F166" s="2">
        <v>8</v>
      </c>
      <c r="G166" s="9">
        <v>43497</v>
      </c>
      <c r="H166" s="9">
        <v>43524</v>
      </c>
      <c r="I166" s="2">
        <f>H166-G166+1</f>
        <v>28</v>
      </c>
      <c r="J166" s="2">
        <f>COUNTIF(Daily!$B$3:$B$7756,A166)</f>
        <v>28</v>
      </c>
      <c r="K166" s="2" t="str">
        <f>IF(J166=I166,"complete","partial ("&amp;J166&amp;" days)")</f>
        <v>complete</v>
      </c>
      <c r="L166" s="3">
        <f>INDEX(ENSO_monthly!$F:$F,MATCH(A166,ENSO_monthly!$A:$A,0))</f>
        <v>0.94</v>
      </c>
      <c r="M166" s="2" t="str">
        <f>INDEX(ENSO_monthly!$D:$D,MATCH(A166,ENSO_monthly!$A:$A,0))</f>
        <v>JFM</v>
      </c>
      <c r="N166" s="6" t="str">
        <f>INDEX(ENSO_monthly!$L:$L,MATCH(A166,ENSO_monthly!$A:$A,0))</f>
        <v>El Niño</v>
      </c>
      <c r="O166" s="11" t="str">
        <f>INDEX(ENSO_seasons!$U:$U,MATCH(E166,ENSO_seasons!$A:$A,0))</f>
        <v>El Niño</v>
      </c>
      <c r="P166" s="4">
        <f>SUMIFS(Daily!$D$3:$D$7756,Daily!$B$3:$B$7756,$A166)</f>
        <v>4.738</v>
      </c>
      <c r="Q166" s="3">
        <f>AVERAGEIFS(Daily!$E$3:$E$7756,Daily!$B$3:$B$7756,$A166)</f>
        <v>22.977499999999996</v>
      </c>
      <c r="R166" s="3">
        <f>AVERAGEIFS(Daily!$F$3:$F$7756,Daily!$B$3:$B$7756,$A166)</f>
        <v>31.411071428571432</v>
      </c>
      <c r="S166" s="3">
        <f>AVERAGEIFS(Daily!$G$3:$G$7756,Daily!$B$3:$B$7756,$A166)</f>
        <v>16.291428571428572</v>
      </c>
      <c r="T166" s="4">
        <f>SUMIFS(Daily!$H$3:$H$7756,Daily!$B$3:$B$7756,$A166)</f>
        <v>5.85</v>
      </c>
      <c r="U166" s="4">
        <f>SUMIFS(Daily!$I$3:$I$7756,Daily!$B$3:$B$7756,$A166)</f>
        <v>6.47</v>
      </c>
      <c r="V166" s="3">
        <f>AVERAGEIFS(Daily!$J$3:$J$7756,Daily!$B$3:$B$7756,$A166)</f>
        <v>23.53464285714286</v>
      </c>
      <c r="W166" s="3">
        <f>AVERAGEIFS(Daily!$K$3:$K$7756,Daily!$B$3:$B$7756,$A166)</f>
        <v>31.566785714285718</v>
      </c>
      <c r="X166" s="3">
        <f>AVERAGEIFS(Daily!$L$3:$L$7756,Daily!$B$3:$B$7756,$A166)</f>
        <v>17.502142857142857</v>
      </c>
      <c r="Y166" s="4">
        <f>SUMIFS(Daily!$M$3:$M$7756,Daily!$B$3:$B$7756,$A166)</f>
        <v>8.43</v>
      </c>
      <c r="Z166" s="4">
        <f>SUMIFS(Daily!$N$3:$N$7756,Daily!$B$3:$B$7756,$A166)</f>
        <v>11.173</v>
      </c>
      <c r="AA166" s="3">
        <f>AVERAGEIFS(Daily!$O$3:$O$7756,Daily!$B$3:$B$7756,$A166)</f>
        <v>23.35821428571428</v>
      </c>
      <c r="AB166" s="3">
        <f>AVERAGEIFS(Daily!$P$3:$P$7756,Daily!$B$3:$B$7756,$A166)</f>
        <v>31.207857142857144</v>
      </c>
      <c r="AC166" s="3">
        <f>AVERAGEIFS(Daily!$Q$3:$Q$7756,Daily!$B$3:$B$7756,$A166)</f>
        <v>17.90321428571428</v>
      </c>
      <c r="AD166" s="4">
        <f>SUMIFS(Daily!$R$3:$R$7756,Daily!$B$3:$B$7756,$A166)</f>
        <v>9.8</v>
      </c>
      <c r="AE166" s="4">
        <f>AVERAGE(P166,U166,Z166)</f>
        <v>7.460333333333334</v>
      </c>
      <c r="AF166" s="3">
        <f>AVERAGE(Q166,V166,AA166)</f>
        <v>23.290119047619044</v>
      </c>
      <c r="AG166" s="3">
        <f>AVERAGE(R166,W166,AB166)</f>
        <v>31.395238095238096</v>
      </c>
      <c r="AH166" s="3">
        <f>AVERAGE(S166,X166,AC166)</f>
        <v>17.232261904761902</v>
      </c>
      <c r="AI166" s="4">
        <f>AVERAGE(T166,Y166,AD166)</f>
        <v>8.026666666666666</v>
      </c>
    </row>
    <row r="167">
      <c r="A167" s="2" t="inlineStr">
        <is>
          <t xml:space="preserve">2019-03</t>
        </is>
      </c>
      <c r="B167" s="2">
        <v>2019</v>
      </c>
      <c r="C167" s="2">
        <v>3</v>
      </c>
      <c r="D167" s="2" t="inlineStr">
        <is>
          <t xml:space="preserve">Mar</t>
        </is>
      </c>
      <c r="E167" s="2" t="inlineStr">
        <is>
          <t xml:space="preserve">2018/19</t>
        </is>
      </c>
      <c r="F167" s="2">
        <v>9</v>
      </c>
      <c r="G167" s="9">
        <v>43525</v>
      </c>
      <c r="H167" s="9">
        <v>43555</v>
      </c>
      <c r="I167" s="2">
        <f>H167-G167+1</f>
        <v>31</v>
      </c>
      <c r="J167" s="2">
        <f>COUNTIF(Daily!$B$3:$B$7756,A167)</f>
        <v>31</v>
      </c>
      <c r="K167" s="2" t="str">
        <f>IF(J167=I167,"complete","partial ("&amp;J167&amp;" days)")</f>
        <v>complete</v>
      </c>
      <c r="L167" s="3">
        <f>INDEX(ENSO_monthly!$F:$F,MATCH(A167,ENSO_monthly!$A:$A,0))</f>
        <v>0.87</v>
      </c>
      <c r="M167" s="2" t="str">
        <f>INDEX(ENSO_monthly!$D:$D,MATCH(A167,ENSO_monthly!$A:$A,0))</f>
        <v>FMA</v>
      </c>
      <c r="N167" s="6" t="str">
        <f>INDEX(ENSO_monthly!$L:$L,MATCH(A167,ENSO_monthly!$A:$A,0))</f>
        <v>El Niño</v>
      </c>
      <c r="O167" s="11" t="str">
        <f>INDEX(ENSO_seasons!$U:$U,MATCH(E167,ENSO_seasons!$A:$A,0))</f>
        <v>El Niño</v>
      </c>
      <c r="P167" s="4">
        <f>SUMIFS(Daily!$D$3:$D$7756,Daily!$B$3:$B$7756,$A167)</f>
        <v>0.058</v>
      </c>
      <c r="Q167" s="3">
        <f>AVERAGEIFS(Daily!$E$3:$E$7756,Daily!$B$3:$B$7756,$A167)</f>
        <v>23.505161290322576</v>
      </c>
      <c r="R167" s="3">
        <f>AVERAGEIFS(Daily!$F$3:$F$7756,Daily!$B$3:$B$7756,$A167)</f>
        <v>32.32741935483871</v>
      </c>
      <c r="S167" s="3">
        <f>AVERAGEIFS(Daily!$G$3:$G$7756,Daily!$B$3:$B$7756,$A167)</f>
        <v>16.381935483870972</v>
      </c>
      <c r="T167" s="4">
        <f>SUMIFS(Daily!$H$3:$H$7756,Daily!$B$3:$B$7756,$A167)</f>
        <v>1.22</v>
      </c>
      <c r="U167" s="4">
        <f>SUMIFS(Daily!$I$3:$I$7756,Daily!$B$3:$B$7756,$A167)</f>
        <v>0.677</v>
      </c>
      <c r="V167" s="3">
        <f>AVERAGEIFS(Daily!$J$3:$J$7756,Daily!$B$3:$B$7756,$A167)</f>
        <v>23.999032258064524</v>
      </c>
      <c r="W167" s="3">
        <f>AVERAGEIFS(Daily!$K$3:$K$7756,Daily!$B$3:$B$7756,$A167)</f>
        <v>32.52612903225806</v>
      </c>
      <c r="X167" s="3">
        <f>AVERAGEIFS(Daily!$L$3:$L$7756,Daily!$B$3:$B$7756,$A167)</f>
        <v>17.22612903225807</v>
      </c>
      <c r="Y167" s="4">
        <f>SUMIFS(Daily!$M$3:$M$7756,Daily!$B$3:$B$7756,$A167)</f>
        <v>3.47</v>
      </c>
      <c r="Z167" s="4">
        <f>SUMIFS(Daily!$N$3:$N$7756,Daily!$B$3:$B$7756,$A167)</f>
        <v>3.197</v>
      </c>
      <c r="AA167" s="3">
        <f>AVERAGEIFS(Daily!$O$3:$O$7756,Daily!$B$3:$B$7756,$A167)</f>
        <v>23.172258064516125</v>
      </c>
      <c r="AB167" s="3">
        <f>AVERAGEIFS(Daily!$P$3:$P$7756,Daily!$B$3:$B$7756,$A167)</f>
        <v>31.1909677419355</v>
      </c>
      <c r="AC167" s="3">
        <f>AVERAGEIFS(Daily!$Q$3:$Q$7756,Daily!$B$3:$B$7756,$A167)</f>
        <v>17.373870967741937</v>
      </c>
      <c r="AD167" s="4">
        <f>SUMIFS(Daily!$R$3:$R$7756,Daily!$B$3:$B$7756,$A167)</f>
        <v>2.98</v>
      </c>
      <c r="AE167" s="4">
        <f>AVERAGE(P167,U167,Z167)</f>
        <v>1.3106666666666669</v>
      </c>
      <c r="AF167" s="3">
        <f>AVERAGE(Q167,V167,AA167)</f>
        <v>23.558817204301075</v>
      </c>
      <c r="AG167" s="3">
        <f>AVERAGE(R167,W167,AB167)</f>
        <v>32.01483870967742</v>
      </c>
      <c r="AH167" s="3">
        <f>AVERAGE(S167,X167,AC167)</f>
        <v>16.993978494623658</v>
      </c>
      <c r="AI167" s="4">
        <f>AVERAGE(T167,Y167,AD167)</f>
        <v>2.5566666666666666</v>
      </c>
    </row>
    <row r="168">
      <c r="A168" s="2" t="inlineStr">
        <is>
          <t xml:space="preserve">2019-04</t>
        </is>
      </c>
      <c r="B168" s="2">
        <v>2019</v>
      </c>
      <c r="C168" s="2">
        <v>4</v>
      </c>
      <c r="D168" s="2" t="inlineStr">
        <is>
          <t xml:space="preserve">Apr</t>
        </is>
      </c>
      <c r="E168" s="2" t="inlineStr">
        <is>
          <t xml:space="preserve">2018/19</t>
        </is>
      </c>
      <c r="F168" s="2">
        <v>10</v>
      </c>
      <c r="G168" s="9">
        <v>43556</v>
      </c>
      <c r="H168" s="9">
        <v>43585</v>
      </c>
      <c r="I168" s="2">
        <f>H168-G168+1</f>
        <v>30</v>
      </c>
      <c r="J168" s="2">
        <f>COUNTIF(Daily!$B$3:$B$7756,A168)</f>
        <v>30</v>
      </c>
      <c r="K168" s="2" t="str">
        <f>IF(J168=I168,"complete","partial ("&amp;J168&amp;" days)")</f>
        <v>complete</v>
      </c>
      <c r="L168" s="3">
        <f>INDEX(ENSO_monthly!$F:$F,MATCH(A168,ENSO_monthly!$A:$A,0))</f>
        <v>0.82</v>
      </c>
      <c r="M168" s="2" t="str">
        <f>INDEX(ENSO_monthly!$D:$D,MATCH(A168,ENSO_monthly!$A:$A,0))</f>
        <v>MAM</v>
      </c>
      <c r="N168" s="6" t="str">
        <f>INDEX(ENSO_monthly!$L:$L,MATCH(A168,ENSO_monthly!$A:$A,0))</f>
        <v>El Niño</v>
      </c>
      <c r="O168" s="11" t="str">
        <f>INDEX(ENSO_seasons!$U:$U,MATCH(E168,ENSO_seasons!$A:$A,0))</f>
        <v>El Niño</v>
      </c>
      <c r="P168" s="4">
        <f>SUMIFS(Daily!$D$3:$D$7756,Daily!$B$3:$B$7756,$A168)</f>
        <v>24.923</v>
      </c>
      <c r="Q168" s="3">
        <f>AVERAGEIFS(Daily!$E$3:$E$7756,Daily!$B$3:$B$7756,$A168)</f>
        <v>25.215999999999998</v>
      </c>
      <c r="R168" s="3">
        <f>AVERAGEIFS(Daily!$F$3:$F$7756,Daily!$B$3:$B$7756,$A168)</f>
        <v>32.77233333333333</v>
      </c>
      <c r="S168" s="3">
        <f>AVERAGEIFS(Daily!$G$3:$G$7756,Daily!$B$3:$B$7756,$A168)</f>
        <v>18.80966666666667</v>
      </c>
      <c r="T168" s="4">
        <f>SUMIFS(Daily!$H$3:$H$7756,Daily!$B$3:$B$7756,$A168)</f>
        <v>28.24</v>
      </c>
      <c r="U168" s="4">
        <f>SUMIFS(Daily!$I$3:$I$7756,Daily!$B$3:$B$7756,$A168)</f>
        <v>21.552</v>
      </c>
      <c r="V168" s="3">
        <f>AVERAGEIFS(Daily!$J$3:$J$7756,Daily!$B$3:$B$7756,$A168)</f>
        <v>25.737000000000005</v>
      </c>
      <c r="W168" s="3">
        <f>AVERAGEIFS(Daily!$K$3:$K$7756,Daily!$B$3:$B$7756,$A168)</f>
        <v>33.39266666666666</v>
      </c>
      <c r="X168" s="3">
        <f>AVERAGEIFS(Daily!$L$3:$L$7756,Daily!$B$3:$B$7756,$A168)</f>
        <v>19.455666666666662</v>
      </c>
      <c r="Y168" s="4">
        <f>SUMIFS(Daily!$M$3:$M$7756,Daily!$B$3:$B$7756,$A168)</f>
        <v>26.11</v>
      </c>
      <c r="Z168" s="4">
        <f>SUMIFS(Daily!$N$3:$N$7756,Daily!$B$3:$B$7756,$A168)</f>
        <v>15.457</v>
      </c>
      <c r="AA168" s="3">
        <f>AVERAGEIFS(Daily!$O$3:$O$7756,Daily!$B$3:$B$7756,$A168)</f>
        <v>25.486666666666665</v>
      </c>
      <c r="AB168" s="3">
        <f>AVERAGEIFS(Daily!$P$3:$P$7756,Daily!$B$3:$B$7756,$A168)</f>
        <v>33.135333333333335</v>
      </c>
      <c r="AC168" s="3">
        <f>AVERAGEIFS(Daily!$Q$3:$Q$7756,Daily!$B$3:$B$7756,$A168)</f>
        <v>19.41733333333333</v>
      </c>
      <c r="AD168" s="4">
        <f>SUMIFS(Daily!$R$3:$R$7756,Daily!$B$3:$B$7756,$A168)</f>
        <v>18.95</v>
      </c>
      <c r="AE168" s="4">
        <f>AVERAGE(P168,U168,Z168)</f>
        <v>20.644</v>
      </c>
      <c r="AF168" s="3">
        <f>AVERAGE(Q168,V168,AA168)</f>
        <v>25.47988888888889</v>
      </c>
      <c r="AG168" s="3">
        <f>AVERAGE(R168,W168,AB168)</f>
        <v>33.10011111111111</v>
      </c>
      <c r="AH168" s="3">
        <f>AVERAGE(S168,X168,AC168)</f>
        <v>19.227555555555554</v>
      </c>
      <c r="AI168" s="4">
        <f>AVERAGE(T168,Y168,AD168)</f>
        <v>24.433333333333334</v>
      </c>
    </row>
    <row r="169">
      <c r="A169" s="2" t="inlineStr">
        <is>
          <t xml:space="preserve">2019-05</t>
        </is>
      </c>
      <c r="B169" s="2">
        <v>2019</v>
      </c>
      <c r="C169" s="2">
        <v>5</v>
      </c>
      <c r="D169" s="2" t="inlineStr">
        <is>
          <t xml:space="preserve">May</t>
        </is>
      </c>
      <c r="E169" s="2" t="inlineStr">
        <is>
          <t xml:space="preserve">2018/19</t>
        </is>
      </c>
      <c r="F169" s="2">
        <v>11</v>
      </c>
      <c r="G169" s="9">
        <v>43586</v>
      </c>
      <c r="H169" s="9">
        <v>43616</v>
      </c>
      <c r="I169" s="2">
        <f>H169-G169+1</f>
        <v>31</v>
      </c>
      <c r="J169" s="2">
        <f>COUNTIF(Daily!$B$3:$B$7756,A169)</f>
        <v>31</v>
      </c>
      <c r="K169" s="2" t="str">
        <f>IF(J169=I169,"complete","partial ("&amp;J169&amp;" days)")</f>
        <v>complete</v>
      </c>
      <c r="L169" s="3">
        <f>INDEX(ENSO_monthly!$F:$F,MATCH(A169,ENSO_monthly!$A:$A,0))</f>
        <v>0.71</v>
      </c>
      <c r="M169" s="2" t="str">
        <f>INDEX(ENSO_monthly!$D:$D,MATCH(A169,ENSO_monthly!$A:$A,0))</f>
        <v>AMJ</v>
      </c>
      <c r="N169" s="6" t="str">
        <f>INDEX(ENSO_monthly!$L:$L,MATCH(A169,ENSO_monthly!$A:$A,0))</f>
        <v>El Niño</v>
      </c>
      <c r="O169" s="11" t="str">
        <f>INDEX(ENSO_seasons!$U:$U,MATCH(E169,ENSO_seasons!$A:$A,0))</f>
        <v>El Niño</v>
      </c>
      <c r="P169" s="4">
        <f>SUMIFS(Daily!$D$3:$D$7756,Daily!$B$3:$B$7756,$A169)</f>
        <v>135.363</v>
      </c>
      <c r="Q169" s="3">
        <f>AVERAGEIFS(Daily!$E$3:$E$7756,Daily!$B$3:$B$7756,$A169)</f>
        <v>24.20999999999999</v>
      </c>
      <c r="R169" s="3">
        <f>AVERAGEIFS(Daily!$F$3:$F$7756,Daily!$B$3:$B$7756,$A169)</f>
        <v>29.829354838709676</v>
      </c>
      <c r="S169" s="3">
        <f>AVERAGEIFS(Daily!$G$3:$G$7756,Daily!$B$3:$B$7756,$A169)</f>
        <v>20.036774193548386</v>
      </c>
      <c r="T169" s="4">
        <f>SUMIFS(Daily!$H$3:$H$7756,Daily!$B$3:$B$7756,$A169)</f>
        <v>127.32</v>
      </c>
      <c r="U169" s="4">
        <f>SUMIFS(Daily!$I$3:$I$7756,Daily!$B$3:$B$7756,$A169)</f>
        <v>250.405</v>
      </c>
      <c r="V169" s="3">
        <f>AVERAGEIFS(Daily!$J$3:$J$7756,Daily!$B$3:$B$7756,$A169)</f>
        <v>24.126451612903224</v>
      </c>
      <c r="W169" s="3">
        <f>AVERAGEIFS(Daily!$K$3:$K$7756,Daily!$B$3:$B$7756,$A169)</f>
        <v>29.0683870967742</v>
      </c>
      <c r="X169" s="3">
        <f>AVERAGEIFS(Daily!$L$3:$L$7756,Daily!$B$3:$B$7756,$A169)</f>
        <v>20.58354838709678</v>
      </c>
      <c r="Y169" s="4">
        <f>SUMIFS(Daily!$M$3:$M$7756,Daily!$B$3:$B$7756,$A169)</f>
        <v>227.46</v>
      </c>
      <c r="Z169" s="4">
        <f>SUMIFS(Daily!$N$3:$N$7756,Daily!$B$3:$B$7756,$A169)</f>
        <v>239.585</v>
      </c>
      <c r="AA169" s="3">
        <f>AVERAGEIFS(Daily!$O$3:$O$7756,Daily!$B$3:$B$7756,$A169)</f>
        <v>25.378709677419348</v>
      </c>
      <c r="AB169" s="3">
        <f>AVERAGEIFS(Daily!$P$3:$P$7756,Daily!$B$3:$B$7756,$A169)</f>
        <v>31.54806451612903</v>
      </c>
      <c r="AC169" s="3">
        <f>AVERAGEIFS(Daily!$Q$3:$Q$7756,Daily!$B$3:$B$7756,$A169)</f>
        <v>21.187741935483878</v>
      </c>
      <c r="AD169" s="4">
        <f>SUMIFS(Daily!$R$3:$R$7756,Daily!$B$3:$B$7756,$A169)</f>
        <v>149.36</v>
      </c>
      <c r="AE169" s="4">
        <f>AVERAGE(P169,U169,Z169)</f>
        <v>208.45100000000002</v>
      </c>
      <c r="AF169" s="3">
        <f>AVERAGE(Q169,V169,AA169)</f>
        <v>24.571720430107522</v>
      </c>
      <c r="AG169" s="3">
        <f>AVERAGE(R169,W169,AB169)</f>
        <v>30.148602150537638</v>
      </c>
      <c r="AH169" s="3">
        <f>AVERAGE(S169,X169,AC169)</f>
        <v>20.602688172043013</v>
      </c>
      <c r="AI169" s="4">
        <f>AVERAGE(T169,Y169,AD169)</f>
        <v>168.04666666666665</v>
      </c>
    </row>
    <row r="170">
      <c r="A170" s="2" t="inlineStr">
        <is>
          <t xml:space="preserve">2019-06</t>
        </is>
      </c>
      <c r="B170" s="2">
        <v>2019</v>
      </c>
      <c r="C170" s="2">
        <v>6</v>
      </c>
      <c r="D170" s="2" t="inlineStr">
        <is>
          <t xml:space="preserve">Jun</t>
        </is>
      </c>
      <c r="E170" s="2" t="inlineStr">
        <is>
          <t xml:space="preserve">2018/19</t>
        </is>
      </c>
      <c r="F170" s="2">
        <v>12</v>
      </c>
      <c r="G170" s="9">
        <v>43617</v>
      </c>
      <c r="H170" s="9">
        <v>43646</v>
      </c>
      <c r="I170" s="2">
        <f>H170-G170+1</f>
        <v>30</v>
      </c>
      <c r="J170" s="2">
        <f>COUNTIF(Daily!$B$3:$B$7756,A170)</f>
        <v>30</v>
      </c>
      <c r="K170" s="2" t="str">
        <f>IF(J170=I170,"complete","partial ("&amp;J170&amp;" days)")</f>
        <v>complete</v>
      </c>
      <c r="L170" s="3">
        <f>INDEX(ENSO_monthly!$F:$F,MATCH(A170,ENSO_monthly!$A:$A,0))</f>
        <v>0.59</v>
      </c>
      <c r="M170" s="2" t="str">
        <f>INDEX(ENSO_monthly!$D:$D,MATCH(A170,ENSO_monthly!$A:$A,0))</f>
        <v>MJJ</v>
      </c>
      <c r="N170" s="6" t="str">
        <f>INDEX(ENSO_monthly!$L:$L,MATCH(A170,ENSO_monthly!$A:$A,0))</f>
        <v>El Niño</v>
      </c>
      <c r="O170" s="11" t="str">
        <f>INDEX(ENSO_seasons!$U:$U,MATCH(E170,ENSO_seasons!$A:$A,0))</f>
        <v>El Niño</v>
      </c>
      <c r="P170" s="4">
        <f>SUMIFS(Daily!$D$3:$D$7756,Daily!$B$3:$B$7756,$A170)</f>
        <v>147.869</v>
      </c>
      <c r="Q170" s="3">
        <f>AVERAGEIFS(Daily!$E$3:$E$7756,Daily!$B$3:$B$7756,$A170)</f>
        <v>23.975333333333328</v>
      </c>
      <c r="R170" s="3">
        <f>AVERAGEIFS(Daily!$F$3:$F$7756,Daily!$B$3:$B$7756,$A170)</f>
        <v>29.644333333333336</v>
      </c>
      <c r="S170" s="3">
        <f>AVERAGEIFS(Daily!$G$3:$G$7756,Daily!$B$3:$B$7756,$A170)</f>
        <v>19.41466666666667</v>
      </c>
      <c r="T170" s="4">
        <f>SUMIFS(Daily!$H$3:$H$7756,Daily!$B$3:$B$7756,$A170)</f>
        <v>134.3</v>
      </c>
      <c r="U170" s="4">
        <f>SUMIFS(Daily!$I$3:$I$7756,Daily!$B$3:$B$7756,$A170)</f>
        <v>134.204</v>
      </c>
      <c r="V170" s="3">
        <f>AVERAGEIFS(Daily!$J$3:$J$7756,Daily!$B$3:$B$7756,$A170)</f>
        <v>23.679333333333325</v>
      </c>
      <c r="W170" s="3">
        <f>AVERAGEIFS(Daily!$K$3:$K$7756,Daily!$B$3:$B$7756,$A170)</f>
        <v>27.93633333333333</v>
      </c>
      <c r="X170" s="3">
        <f>AVERAGEIFS(Daily!$L$3:$L$7756,Daily!$B$3:$B$7756,$A170)</f>
        <v>20.336333333333332</v>
      </c>
      <c r="Y170" s="4">
        <f>SUMIFS(Daily!$M$3:$M$7756,Daily!$B$3:$B$7756,$A170)</f>
        <v>146.2</v>
      </c>
      <c r="Z170" s="4">
        <f>SUMIFS(Daily!$N$3:$N$7756,Daily!$B$3:$B$7756,$A170)</f>
        <v>168.26</v>
      </c>
      <c r="AA170" s="3">
        <f>AVERAGEIFS(Daily!$O$3:$O$7756,Daily!$B$3:$B$7756,$A170)</f>
        <v>24.531999999999996</v>
      </c>
      <c r="AB170" s="3">
        <f>AVERAGEIFS(Daily!$P$3:$P$7756,Daily!$B$3:$B$7756,$A170)</f>
        <v>29.558333333333326</v>
      </c>
      <c r="AC170" s="3">
        <f>AVERAGEIFS(Daily!$Q$3:$Q$7756,Daily!$B$3:$B$7756,$A170)</f>
        <v>21.137333333333338</v>
      </c>
      <c r="AD170" s="4">
        <f>SUMIFS(Daily!$R$3:$R$7756,Daily!$B$3:$B$7756,$A170)</f>
        <v>136.3</v>
      </c>
      <c r="AE170" s="4">
        <f>AVERAGE(P170,U170,Z170)</f>
        <v>150.111</v>
      </c>
      <c r="AF170" s="3">
        <f>AVERAGE(Q170,V170,AA170)</f>
        <v>24.062222222222218</v>
      </c>
      <c r="AG170" s="3">
        <f>AVERAGE(R170,W170,AB170)</f>
        <v>29.046333333333333</v>
      </c>
      <c r="AH170" s="3">
        <f>AVERAGE(S170,X170,AC170)</f>
        <v>20.296111111111113</v>
      </c>
      <c r="AI170" s="4">
        <f>AVERAGE(T170,Y170,AD170)</f>
        <v>138.93333333333334</v>
      </c>
    </row>
    <row r="171">
      <c r="A171" s="2" t="inlineStr">
        <is>
          <t xml:space="preserve">2019-07</t>
        </is>
      </c>
      <c r="B171" s="2">
        <v>2019</v>
      </c>
      <c r="C171" s="2">
        <v>7</v>
      </c>
      <c r="D171" s="2" t="inlineStr">
        <is>
          <t xml:space="preserve">Jul</t>
        </is>
      </c>
      <c r="E171" s="2" t="inlineStr">
        <is>
          <t xml:space="preserve">2019/20</t>
        </is>
      </c>
      <c r="F171" s="2">
        <v>1</v>
      </c>
      <c r="G171" s="9">
        <v>43647</v>
      </c>
      <c r="H171" s="9">
        <v>43677</v>
      </c>
      <c r="I171" s="2">
        <f>H171-G171+1</f>
        <v>31</v>
      </c>
      <c r="J171" s="2">
        <f>COUNTIF(Daily!$B$3:$B$7756,A171)</f>
        <v>31</v>
      </c>
      <c r="K171" s="2" t="str">
        <f>IF(J171=I171,"complete","partial ("&amp;J171&amp;" days)")</f>
        <v>complete</v>
      </c>
      <c r="L171" s="3">
        <f>INDEX(ENSO_monthly!$F:$F,MATCH(A171,ENSO_monthly!$A:$A,0))</f>
        <v>0.38</v>
      </c>
      <c r="M171" s="2" t="str">
        <f>INDEX(ENSO_monthly!$D:$D,MATCH(A171,ENSO_monthly!$A:$A,0))</f>
        <v>JJA</v>
      </c>
      <c r="N171" s="2" t="str">
        <f>INDEX(ENSO_monthly!$L:$L,MATCH(A171,ENSO_monthly!$A:$A,0))</f>
        <v>—</v>
      </c>
      <c r="O171" s="11" t="str">
        <f>INDEX(ENSO_seasons!$U:$U,MATCH(E171,ENSO_seasons!$A:$A,0))</f>
        <v>El Niño</v>
      </c>
      <c r="P171" s="4">
        <f>SUMIFS(Daily!$D$3:$D$7756,Daily!$B$3:$B$7756,$A171)</f>
        <v>95.932</v>
      </c>
      <c r="Q171" s="3">
        <f>AVERAGEIFS(Daily!$E$3:$E$7756,Daily!$B$3:$B$7756,$A171)</f>
        <v>23.910967741935487</v>
      </c>
      <c r="R171" s="3">
        <f>AVERAGEIFS(Daily!$F$3:$F$7756,Daily!$B$3:$B$7756,$A171)</f>
        <v>30.59258064516129</v>
      </c>
      <c r="S171" s="3">
        <f>AVERAGEIFS(Daily!$G$3:$G$7756,Daily!$B$3:$B$7756,$A171)</f>
        <v>18.379354838709677</v>
      </c>
      <c r="T171" s="4">
        <f>SUMIFS(Daily!$H$3:$H$7756,Daily!$B$3:$B$7756,$A171)</f>
        <v>63.83</v>
      </c>
      <c r="U171" s="4">
        <f>SUMIFS(Daily!$I$3:$I$7756,Daily!$B$3:$B$7756,$A171)</f>
        <v>207.088</v>
      </c>
      <c r="V171" s="3">
        <f>AVERAGEIFS(Daily!$J$3:$J$7756,Daily!$B$3:$B$7756,$A171)</f>
        <v>23.434838709677425</v>
      </c>
      <c r="W171" s="3">
        <f>AVERAGEIFS(Daily!$K$3:$K$7756,Daily!$B$3:$B$7756,$A171)</f>
        <v>28.407096774193548</v>
      </c>
      <c r="X171" s="3">
        <f>AVERAGEIFS(Daily!$L$3:$L$7756,Daily!$B$3:$B$7756,$A171)</f>
        <v>19.429032258064513</v>
      </c>
      <c r="Y171" s="4">
        <f>SUMIFS(Daily!$M$3:$M$7756,Daily!$B$3:$B$7756,$A171)</f>
        <v>135.4</v>
      </c>
      <c r="Z171" s="4">
        <f>SUMIFS(Daily!$N$3:$N$7756,Daily!$B$3:$B$7756,$A171)</f>
        <v>72.657</v>
      </c>
      <c r="AA171" s="3">
        <f>AVERAGEIFS(Daily!$O$3:$O$7756,Daily!$B$3:$B$7756,$A171)</f>
        <v>24.186129032258073</v>
      </c>
      <c r="AB171" s="3">
        <f>AVERAGEIFS(Daily!$P$3:$P$7756,Daily!$B$3:$B$7756,$A171)</f>
        <v>29.92225806451613</v>
      </c>
      <c r="AC171" s="3">
        <f>AVERAGEIFS(Daily!$Q$3:$Q$7756,Daily!$B$3:$B$7756,$A171)</f>
        <v>20.43258064516129</v>
      </c>
      <c r="AD171" s="4">
        <f>SUMIFS(Daily!$R$3:$R$7756,Daily!$B$3:$B$7756,$A171)</f>
        <v>77.85</v>
      </c>
      <c r="AE171" s="4">
        <f>AVERAGE(P171,U171,Z171)</f>
        <v>125.22566666666665</v>
      </c>
      <c r="AF171" s="3">
        <f>AVERAGE(Q171,V171,AA171)</f>
        <v>23.843978494623666</v>
      </c>
      <c r="AG171" s="3">
        <f>AVERAGE(R171,W171,AB171)</f>
        <v>29.640645161290323</v>
      </c>
      <c r="AH171" s="3">
        <f>AVERAGE(S171,X171,AC171)</f>
        <v>19.41365591397849</v>
      </c>
      <c r="AI171" s="4">
        <f>AVERAGE(T171,Y171,AD171)</f>
        <v>92.36000000000001</v>
      </c>
    </row>
    <row r="172">
      <c r="A172" s="2" t="inlineStr">
        <is>
          <t xml:space="preserve">2019-08</t>
        </is>
      </c>
      <c r="B172" s="2">
        <v>2019</v>
      </c>
      <c r="C172" s="2">
        <v>8</v>
      </c>
      <c r="D172" s="2" t="inlineStr">
        <is>
          <t xml:space="preserve">Aug</t>
        </is>
      </c>
      <c r="E172" s="2" t="inlineStr">
        <is>
          <t xml:space="preserve">2019/20</t>
        </is>
      </c>
      <c r="F172" s="2">
        <v>2</v>
      </c>
      <c r="G172" s="9">
        <v>43678</v>
      </c>
      <c r="H172" s="9">
        <v>43708</v>
      </c>
      <c r="I172" s="2">
        <f>H172-G172+1</f>
        <v>31</v>
      </c>
      <c r="J172" s="2">
        <f>COUNTIF(Daily!$B$3:$B$7756,A172)</f>
        <v>31</v>
      </c>
      <c r="K172" s="2" t="str">
        <f>IF(J172=I172,"complete","partial ("&amp;J172&amp;" days)")</f>
        <v>complete</v>
      </c>
      <c r="L172" s="3">
        <f>INDEX(ENSO_monthly!$F:$F,MATCH(A172,ENSO_monthly!$A:$A,0))</f>
        <v>0.2</v>
      </c>
      <c r="M172" s="2" t="str">
        <f>INDEX(ENSO_monthly!$D:$D,MATCH(A172,ENSO_monthly!$A:$A,0))</f>
        <v>JAS</v>
      </c>
      <c r="N172" s="2" t="str">
        <f>INDEX(ENSO_monthly!$L:$L,MATCH(A172,ENSO_monthly!$A:$A,0))</f>
        <v>—</v>
      </c>
      <c r="O172" s="11" t="str">
        <f>INDEX(ENSO_seasons!$U:$U,MATCH(E172,ENSO_seasons!$A:$A,0))</f>
        <v>El Niño</v>
      </c>
      <c r="P172" s="4">
        <f>SUMIFS(Daily!$D$3:$D$7756,Daily!$B$3:$B$7756,$A172)</f>
        <v>152.612</v>
      </c>
      <c r="Q172" s="3">
        <f>AVERAGEIFS(Daily!$E$3:$E$7756,Daily!$B$3:$B$7756,$A172)</f>
        <v>24.363548387096774</v>
      </c>
      <c r="R172" s="3">
        <f>AVERAGEIFS(Daily!$F$3:$F$7756,Daily!$B$3:$B$7756,$A172)</f>
        <v>30.938709677419357</v>
      </c>
      <c r="S172" s="3">
        <f>AVERAGEIFS(Daily!$G$3:$G$7756,Daily!$B$3:$B$7756,$A172)</f>
        <v>19.12161290322581</v>
      </c>
      <c r="T172" s="4">
        <f>SUMIFS(Daily!$H$3:$H$7756,Daily!$B$3:$B$7756,$A172)</f>
        <v>118.01</v>
      </c>
      <c r="U172" s="4">
        <f>SUMIFS(Daily!$I$3:$I$7756,Daily!$B$3:$B$7756,$A172)</f>
        <v>216.069</v>
      </c>
      <c r="V172" s="3">
        <f>AVERAGEIFS(Daily!$J$3:$J$7756,Daily!$B$3:$B$7756,$A172)</f>
        <v>23.713225806451614</v>
      </c>
      <c r="W172" s="3">
        <f>AVERAGEIFS(Daily!$K$3:$K$7756,Daily!$B$3:$B$7756,$A172)</f>
        <v>28.272903225806452</v>
      </c>
      <c r="X172" s="3">
        <f>AVERAGEIFS(Daily!$L$3:$L$7756,Daily!$B$3:$B$7756,$A172)</f>
        <v>20.084838709677417</v>
      </c>
      <c r="Y172" s="4">
        <f>SUMIFS(Daily!$M$3:$M$7756,Daily!$B$3:$B$7756,$A172)</f>
        <v>203.77</v>
      </c>
      <c r="Z172" s="4">
        <f>SUMIFS(Daily!$N$3:$N$7756,Daily!$B$3:$B$7756,$A172)</f>
        <v>224.37</v>
      </c>
      <c r="AA172" s="3">
        <f>AVERAGEIFS(Daily!$O$3:$O$7756,Daily!$B$3:$B$7756,$A172)</f>
        <v>24.41483870967742</v>
      </c>
      <c r="AB172" s="3">
        <f>AVERAGEIFS(Daily!$P$3:$P$7756,Daily!$B$3:$B$7756,$A172)</f>
        <v>29.854516129032262</v>
      </c>
      <c r="AC172" s="3">
        <f>AVERAGEIFS(Daily!$Q$3:$Q$7756,Daily!$B$3:$B$7756,$A172)</f>
        <v>20.892580645161285</v>
      </c>
      <c r="AD172" s="4">
        <f>SUMIFS(Daily!$R$3:$R$7756,Daily!$B$3:$B$7756,$A172)</f>
        <v>147.51</v>
      </c>
      <c r="AE172" s="4">
        <f>AVERAGE(P172,U172,Z172)</f>
        <v>197.68366666666665</v>
      </c>
      <c r="AF172" s="3">
        <f>AVERAGE(Q172,V172,AA172)</f>
        <v>24.16387096774194</v>
      </c>
      <c r="AG172" s="3">
        <f>AVERAGE(R172,W172,AB172)</f>
        <v>29.688709677419357</v>
      </c>
      <c r="AH172" s="3">
        <f>AVERAGE(S172,X172,AC172)</f>
        <v>20.03301075268817</v>
      </c>
      <c r="AI172" s="4">
        <f>AVERAGE(T172,Y172,AD172)</f>
        <v>156.43</v>
      </c>
    </row>
    <row r="173">
      <c r="A173" s="2" t="inlineStr">
        <is>
          <t xml:space="preserve">2019-09</t>
        </is>
      </c>
      <c r="B173" s="2">
        <v>2019</v>
      </c>
      <c r="C173" s="2">
        <v>9</v>
      </c>
      <c r="D173" s="2" t="inlineStr">
        <is>
          <t xml:space="preserve">Sep</t>
        </is>
      </c>
      <c r="E173" s="2" t="inlineStr">
        <is>
          <t xml:space="preserve">2019/20</t>
        </is>
      </c>
      <c r="F173" s="2">
        <v>3</v>
      </c>
      <c r="G173" s="9">
        <v>43709</v>
      </c>
      <c r="H173" s="9">
        <v>43738</v>
      </c>
      <c r="I173" s="2">
        <f>H173-G173+1</f>
        <v>30</v>
      </c>
      <c r="J173" s="2">
        <f>COUNTIF(Daily!$B$3:$B$7756,A173)</f>
        <v>30</v>
      </c>
      <c r="K173" s="2" t="str">
        <f>IF(J173=I173,"complete","partial ("&amp;J173&amp;" days)")</f>
        <v>complete</v>
      </c>
      <c r="L173" s="3">
        <f>INDEX(ENSO_monthly!$F:$F,MATCH(A173,ENSO_monthly!$A:$A,0))</f>
        <v>0.31</v>
      </c>
      <c r="M173" s="2" t="str">
        <f>INDEX(ENSO_monthly!$D:$D,MATCH(A173,ENSO_monthly!$A:$A,0))</f>
        <v>ASO</v>
      </c>
      <c r="N173" s="2" t="str">
        <f>INDEX(ENSO_monthly!$L:$L,MATCH(A173,ENSO_monthly!$A:$A,0))</f>
        <v>—</v>
      </c>
      <c r="O173" s="11" t="str">
        <f>INDEX(ENSO_seasons!$U:$U,MATCH(E173,ENSO_seasons!$A:$A,0))</f>
        <v>El Niño</v>
      </c>
      <c r="P173" s="4">
        <f>SUMIFS(Daily!$D$3:$D$7756,Daily!$B$3:$B$7756,$A173)</f>
        <v>238.234</v>
      </c>
      <c r="Q173" s="3">
        <f>AVERAGEIFS(Daily!$E$3:$E$7756,Daily!$B$3:$B$7756,$A173)</f>
        <v>23.420333333333335</v>
      </c>
      <c r="R173" s="3">
        <f>AVERAGEIFS(Daily!$F$3:$F$7756,Daily!$B$3:$B$7756,$A173)</f>
        <v>29.207</v>
      </c>
      <c r="S173" s="3">
        <f>AVERAGEIFS(Daily!$G$3:$G$7756,Daily!$B$3:$B$7756,$A173)</f>
        <v>18.982000000000006</v>
      </c>
      <c r="T173" s="4">
        <f>SUMIFS(Daily!$H$3:$H$7756,Daily!$B$3:$B$7756,$A173)</f>
        <v>189.84</v>
      </c>
      <c r="U173" s="4">
        <f>SUMIFS(Daily!$I$3:$I$7756,Daily!$B$3:$B$7756,$A173)</f>
        <v>228.741</v>
      </c>
      <c r="V173" s="3">
        <f>AVERAGEIFS(Daily!$J$3:$J$7756,Daily!$B$3:$B$7756,$A173)</f>
        <v>22.85166666666667</v>
      </c>
      <c r="W173" s="3">
        <f>AVERAGEIFS(Daily!$K$3:$K$7756,Daily!$B$3:$B$7756,$A173)</f>
        <v>27.073999999999998</v>
      </c>
      <c r="X173" s="3">
        <f>AVERAGEIFS(Daily!$L$3:$L$7756,Daily!$B$3:$B$7756,$A173)</f>
        <v>19.551000000000002</v>
      </c>
      <c r="Y173" s="4">
        <f>SUMIFS(Daily!$M$3:$M$7756,Daily!$B$3:$B$7756,$A173)</f>
        <v>223.02</v>
      </c>
      <c r="Z173" s="4">
        <f>SUMIFS(Daily!$N$3:$N$7756,Daily!$B$3:$B$7756,$A173)</f>
        <v>229.74</v>
      </c>
      <c r="AA173" s="3">
        <f>AVERAGEIFS(Daily!$O$3:$O$7756,Daily!$B$3:$B$7756,$A173)</f>
        <v>23.577000000000005</v>
      </c>
      <c r="AB173" s="3">
        <f>AVERAGEIFS(Daily!$P$3:$P$7756,Daily!$B$3:$B$7756,$A173)</f>
        <v>28.338666666666665</v>
      </c>
      <c r="AC173" s="3">
        <f>AVERAGEIFS(Daily!$Q$3:$Q$7756,Daily!$B$3:$B$7756,$A173)</f>
        <v>20.406333333333336</v>
      </c>
      <c r="AD173" s="4">
        <f>SUMIFS(Daily!$R$3:$R$7756,Daily!$B$3:$B$7756,$A173)</f>
        <v>186.87</v>
      </c>
      <c r="AE173" s="4">
        <f>AVERAGE(P173,U173,Z173)</f>
        <v>232.23833333333334</v>
      </c>
      <c r="AF173" s="3">
        <f>AVERAGE(Q173,V173,AA173)</f>
        <v>23.283000000000005</v>
      </c>
      <c r="AG173" s="3">
        <f>AVERAGE(R173,W173,AB173)</f>
        <v>28.206555555555553</v>
      </c>
      <c r="AH173" s="3">
        <f>AVERAGE(S173,X173,AC173)</f>
        <v>19.646444444444448</v>
      </c>
      <c r="AI173" s="4">
        <f>AVERAGE(T173,Y173,AD173)</f>
        <v>199.91</v>
      </c>
    </row>
    <row r="174">
      <c r="A174" s="2" t="inlineStr">
        <is>
          <t xml:space="preserve">2019-10</t>
        </is>
      </c>
      <c r="B174" s="2">
        <v>2019</v>
      </c>
      <c r="C174" s="2">
        <v>10</v>
      </c>
      <c r="D174" s="2" t="inlineStr">
        <is>
          <t xml:space="preserve">Oct</t>
        </is>
      </c>
      <c r="E174" s="2" t="inlineStr">
        <is>
          <t xml:space="preserve">2019/20</t>
        </is>
      </c>
      <c r="F174" s="2">
        <v>4</v>
      </c>
      <c r="G174" s="9">
        <v>43739</v>
      </c>
      <c r="H174" s="9">
        <v>43769</v>
      </c>
      <c r="I174" s="2">
        <f>H174-G174+1</f>
        <v>31</v>
      </c>
      <c r="J174" s="2">
        <f>COUNTIF(Daily!$B$3:$B$7756,A174)</f>
        <v>31</v>
      </c>
      <c r="K174" s="2" t="str">
        <f>IF(J174=I174,"complete","partial ("&amp;J174&amp;" days)")</f>
        <v>complete</v>
      </c>
      <c r="L174" s="3">
        <f>INDEX(ENSO_monthly!$F:$F,MATCH(A174,ENSO_monthly!$A:$A,0))</f>
        <v>0.51</v>
      </c>
      <c r="M174" s="2" t="str">
        <f>INDEX(ENSO_monthly!$D:$D,MATCH(A174,ENSO_monthly!$A:$A,0))</f>
        <v>SON</v>
      </c>
      <c r="N174" s="6" t="str">
        <f>INDEX(ENSO_monthly!$L:$L,MATCH(A174,ENSO_monthly!$A:$A,0))</f>
        <v>El Niño</v>
      </c>
      <c r="O174" s="11" t="str">
        <f>INDEX(ENSO_seasons!$U:$U,MATCH(E174,ENSO_seasons!$A:$A,0))</f>
        <v>El Niño</v>
      </c>
      <c r="P174" s="4">
        <f>SUMIFS(Daily!$D$3:$D$7756,Daily!$B$3:$B$7756,$A174)</f>
        <v>219.873</v>
      </c>
      <c r="Q174" s="3">
        <f>AVERAGEIFS(Daily!$E$3:$E$7756,Daily!$B$3:$B$7756,$A174)</f>
        <v>21.71225806451613</v>
      </c>
      <c r="R174" s="3">
        <f>AVERAGEIFS(Daily!$F$3:$F$7756,Daily!$B$3:$B$7756,$A174)</f>
        <v>26.33645161290323</v>
      </c>
      <c r="S174" s="3">
        <f>AVERAGEIFS(Daily!$G$3:$G$7756,Daily!$B$3:$B$7756,$A174)</f>
        <v>18.162258064516124</v>
      </c>
      <c r="T174" s="4">
        <f>SUMIFS(Daily!$H$3:$H$7756,Daily!$B$3:$B$7756,$A174)</f>
        <v>181.9</v>
      </c>
      <c r="U174" s="4">
        <f>SUMIFS(Daily!$I$3:$I$7756,Daily!$B$3:$B$7756,$A174)</f>
        <v>225.823</v>
      </c>
      <c r="V174" s="3">
        <f>AVERAGEIFS(Daily!$J$3:$J$7756,Daily!$B$3:$B$7756,$A174)</f>
        <v>22.385483870967747</v>
      </c>
      <c r="W174" s="3">
        <f>AVERAGEIFS(Daily!$K$3:$K$7756,Daily!$B$3:$B$7756,$A174)</f>
        <v>26.590645161290325</v>
      </c>
      <c r="X174" s="3">
        <f>AVERAGEIFS(Daily!$L$3:$L$7756,Daily!$B$3:$B$7756,$A174)</f>
        <v>19.36548387096774</v>
      </c>
      <c r="Y174" s="4">
        <f>SUMIFS(Daily!$M$3:$M$7756,Daily!$B$3:$B$7756,$A174)</f>
        <v>270.99</v>
      </c>
      <c r="Z174" s="4">
        <f>SUMIFS(Daily!$N$3:$N$7756,Daily!$B$3:$B$7756,$A174)</f>
        <v>409.218</v>
      </c>
      <c r="AA174" s="3">
        <f>AVERAGEIFS(Daily!$O$3:$O$7756,Daily!$B$3:$B$7756,$A174)</f>
        <v>22.910322580645154</v>
      </c>
      <c r="AB174" s="3">
        <f>AVERAGEIFS(Daily!$P$3:$P$7756,Daily!$B$3:$B$7756,$A174)</f>
        <v>27.31645161290322</v>
      </c>
      <c r="AC174" s="3">
        <f>AVERAGEIFS(Daily!$Q$3:$Q$7756,Daily!$B$3:$B$7756,$A174)</f>
        <v>19.938064516129035</v>
      </c>
      <c r="AD174" s="4">
        <f>SUMIFS(Daily!$R$3:$R$7756,Daily!$B$3:$B$7756,$A174)</f>
        <v>235.13</v>
      </c>
      <c r="AE174" s="4">
        <f>AVERAGE(P174,U174,Z174)</f>
        <v>284.97133333333335</v>
      </c>
      <c r="AF174" s="3">
        <f>AVERAGE(Q174,V174,AA174)</f>
        <v>22.336021505376348</v>
      </c>
      <c r="AG174" s="3">
        <f>AVERAGE(R174,W174,AB174)</f>
        <v>26.747849462365593</v>
      </c>
      <c r="AH174" s="3">
        <f>AVERAGE(S174,X174,AC174)</f>
        <v>19.1552688172043</v>
      </c>
      <c r="AI174" s="4">
        <f>AVERAGE(T174,Y174,AD174)</f>
        <v>229.34</v>
      </c>
    </row>
    <row r="175">
      <c r="A175" s="2" t="inlineStr">
        <is>
          <t xml:space="preserve">2019-11</t>
        </is>
      </c>
      <c r="B175" s="2">
        <v>2019</v>
      </c>
      <c r="C175" s="2">
        <v>11</v>
      </c>
      <c r="D175" s="2" t="inlineStr">
        <is>
          <t xml:space="preserve">Nov</t>
        </is>
      </c>
      <c r="E175" s="2" t="inlineStr">
        <is>
          <t xml:space="preserve">2019/20</t>
        </is>
      </c>
      <c r="F175" s="2">
        <v>5</v>
      </c>
      <c r="G175" s="9">
        <v>43770</v>
      </c>
      <c r="H175" s="9">
        <v>43799</v>
      </c>
      <c r="I175" s="2">
        <f>H175-G175+1</f>
        <v>30</v>
      </c>
      <c r="J175" s="2">
        <f>COUNTIF(Daily!$B$3:$B$7756,A175)</f>
        <v>30</v>
      </c>
      <c r="K175" s="2" t="str">
        <f>IF(J175=I175,"complete","partial ("&amp;J175&amp;" days)")</f>
        <v>complete</v>
      </c>
      <c r="L175" s="3">
        <f>INDEX(ENSO_monthly!$F:$F,MATCH(A175,ENSO_monthly!$A:$A,0))</f>
        <v>0.72</v>
      </c>
      <c r="M175" s="2" t="str">
        <f>INDEX(ENSO_monthly!$D:$D,MATCH(A175,ENSO_monthly!$A:$A,0))</f>
        <v>OND</v>
      </c>
      <c r="N175" s="6" t="str">
        <f>INDEX(ENSO_monthly!$L:$L,MATCH(A175,ENSO_monthly!$A:$A,0))</f>
        <v>El Niño</v>
      </c>
      <c r="O175" s="11" t="str">
        <f>INDEX(ENSO_seasons!$U:$U,MATCH(E175,ENSO_seasons!$A:$A,0))</f>
        <v>El Niño</v>
      </c>
      <c r="P175" s="4">
        <f>SUMIFS(Daily!$D$3:$D$7756,Daily!$B$3:$B$7756,$A175)</f>
        <v>16.164</v>
      </c>
      <c r="Q175" s="3">
        <f>AVERAGEIFS(Daily!$E$3:$E$7756,Daily!$B$3:$B$7756,$A175)</f>
        <v>20.740666666666662</v>
      </c>
      <c r="R175" s="3">
        <f>AVERAGEIFS(Daily!$F$3:$F$7756,Daily!$B$3:$B$7756,$A175)</f>
        <v>26.121333333333336</v>
      </c>
      <c r="S175" s="3">
        <f>AVERAGEIFS(Daily!$G$3:$G$7756,Daily!$B$3:$B$7756,$A175)</f>
        <v>16.938000000000002</v>
      </c>
      <c r="T175" s="4">
        <f>SUMIFS(Daily!$H$3:$H$7756,Daily!$B$3:$B$7756,$A175)</f>
        <v>38.24</v>
      </c>
      <c r="U175" s="4">
        <f>SUMIFS(Daily!$I$3:$I$7756,Daily!$B$3:$B$7756,$A175)</f>
        <v>24.355</v>
      </c>
      <c r="V175" s="3">
        <f>AVERAGEIFS(Daily!$J$3:$J$7756,Daily!$B$3:$B$7756,$A175)</f>
        <v>20.774333333333335</v>
      </c>
      <c r="W175" s="3">
        <f>AVERAGEIFS(Daily!$K$3:$K$7756,Daily!$B$3:$B$7756,$A175)</f>
        <v>25.60533333333334</v>
      </c>
      <c r="X175" s="3">
        <f>AVERAGEIFS(Daily!$L$3:$L$7756,Daily!$B$3:$B$7756,$A175)</f>
        <v>17.359333333333332</v>
      </c>
      <c r="Y175" s="4">
        <f>SUMIFS(Daily!$M$3:$M$7756,Daily!$B$3:$B$7756,$A175)</f>
        <v>42.92</v>
      </c>
      <c r="Z175" s="4">
        <f>SUMIFS(Daily!$N$3:$N$7756,Daily!$B$3:$B$7756,$A175)</f>
        <v>71.93</v>
      </c>
      <c r="AA175" s="3">
        <f>AVERAGEIFS(Daily!$O$3:$O$7756,Daily!$B$3:$B$7756,$A175)</f>
        <v>20.967</v>
      </c>
      <c r="AB175" s="3">
        <f>AVERAGEIFS(Daily!$P$3:$P$7756,Daily!$B$3:$B$7756,$A175)</f>
        <v>25.414</v>
      </c>
      <c r="AC175" s="3">
        <f>AVERAGEIFS(Daily!$Q$3:$Q$7756,Daily!$B$3:$B$7756,$A175)</f>
        <v>17.909</v>
      </c>
      <c r="AD175" s="4">
        <f>SUMIFS(Daily!$R$3:$R$7756,Daily!$B$3:$B$7756,$A175)</f>
        <v>67.11</v>
      </c>
      <c r="AE175" s="4">
        <f>AVERAGE(P175,U175,Z175)</f>
        <v>37.483000000000004</v>
      </c>
      <c r="AF175" s="3">
        <f>AVERAGE(Q175,V175,AA175)</f>
        <v>20.827333333333332</v>
      </c>
      <c r="AG175" s="3">
        <f>AVERAGE(R175,W175,AB175)</f>
        <v>25.71355555555556</v>
      </c>
      <c r="AH175" s="3">
        <f>AVERAGE(S175,X175,AC175)</f>
        <v>17.40211111111111</v>
      </c>
      <c r="AI175" s="4">
        <f>AVERAGE(T175,Y175,AD175)</f>
        <v>49.423333333333325</v>
      </c>
    </row>
    <row r="176">
      <c r="A176" s="2" t="inlineStr">
        <is>
          <t xml:space="preserve">2019-12</t>
        </is>
      </c>
      <c r="B176" s="2">
        <v>2019</v>
      </c>
      <c r="C176" s="2">
        <v>12</v>
      </c>
      <c r="D176" s="2" t="inlineStr">
        <is>
          <t xml:space="preserve">Dec</t>
        </is>
      </c>
      <c r="E176" s="2" t="inlineStr">
        <is>
          <t xml:space="preserve">2019/20</t>
        </is>
      </c>
      <c r="F176" s="2">
        <v>6</v>
      </c>
      <c r="G176" s="9">
        <v>43800</v>
      </c>
      <c r="H176" s="9">
        <v>43830</v>
      </c>
      <c r="I176" s="2">
        <f>H176-G176+1</f>
        <v>31</v>
      </c>
      <c r="J176" s="2">
        <f>COUNTIF(Daily!$B$3:$B$7756,A176)</f>
        <v>31</v>
      </c>
      <c r="K176" s="2" t="str">
        <f>IF(J176=I176,"complete","partial ("&amp;J176&amp;" days)")</f>
        <v>complete</v>
      </c>
      <c r="L176" s="3">
        <f>INDEX(ENSO_monthly!$F:$F,MATCH(A176,ENSO_monthly!$A:$A,0))</f>
        <v>0.75</v>
      </c>
      <c r="M176" s="2" t="str">
        <f>INDEX(ENSO_monthly!$D:$D,MATCH(A176,ENSO_monthly!$A:$A,0))</f>
        <v>NDJ</v>
      </c>
      <c r="N176" s="6" t="str">
        <f>INDEX(ENSO_monthly!$L:$L,MATCH(A176,ENSO_monthly!$A:$A,0))</f>
        <v>El Niño</v>
      </c>
      <c r="O176" s="11" t="str">
        <f>INDEX(ENSO_seasons!$U:$U,MATCH(E176,ENSO_seasons!$A:$A,0))</f>
        <v>El Niño</v>
      </c>
      <c r="P176" s="4">
        <f>SUMIFS(Daily!$D$3:$D$7756,Daily!$B$3:$B$7756,$A176)</f>
        <v>1.978</v>
      </c>
      <c r="Q176" s="3">
        <f>AVERAGEIFS(Daily!$E$3:$E$7756,Daily!$B$3:$B$7756,$A176)</f>
        <v>20.900000000000002</v>
      </c>
      <c r="R176" s="3">
        <f>AVERAGEIFS(Daily!$F$3:$F$7756,Daily!$B$3:$B$7756,$A176)</f>
        <v>27.67258064516129</v>
      </c>
      <c r="S176" s="3">
        <f>AVERAGEIFS(Daily!$G$3:$G$7756,Daily!$B$3:$B$7756,$A176)</f>
        <v>16.119999999999997</v>
      </c>
      <c r="T176" s="4">
        <f>SUMIFS(Daily!$H$3:$H$7756,Daily!$B$3:$B$7756,$A176)</f>
        <v>11.44</v>
      </c>
      <c r="U176" s="4">
        <f>SUMIFS(Daily!$I$3:$I$7756,Daily!$B$3:$B$7756,$A176)</f>
        <v>15.344</v>
      </c>
      <c r="V176" s="3">
        <f>AVERAGEIFS(Daily!$J$3:$J$7756,Daily!$B$3:$B$7756,$A176)</f>
        <v>19.970967741935485</v>
      </c>
      <c r="W176" s="3">
        <f>AVERAGEIFS(Daily!$K$3:$K$7756,Daily!$B$3:$B$7756,$A176)</f>
        <v>25.386451612903222</v>
      </c>
      <c r="X176" s="3">
        <f>AVERAGEIFS(Daily!$L$3:$L$7756,Daily!$B$3:$B$7756,$A176)</f>
        <v>16.063548387096773</v>
      </c>
      <c r="Y176" s="4">
        <f>SUMIFS(Daily!$M$3:$M$7756,Daily!$B$3:$B$7756,$A176)</f>
        <v>25.42</v>
      </c>
      <c r="Z176" s="4">
        <f>SUMIFS(Daily!$N$3:$N$7756,Daily!$B$3:$B$7756,$A176)</f>
        <v>49.262</v>
      </c>
      <c r="AA176" s="3">
        <f>AVERAGEIFS(Daily!$O$3:$O$7756,Daily!$B$3:$B$7756,$A176)</f>
        <v>20.186774193548384</v>
      </c>
      <c r="AB176" s="3">
        <f>AVERAGEIFS(Daily!$P$3:$P$7756,Daily!$B$3:$B$7756,$A176)</f>
        <v>25.26096774193548</v>
      </c>
      <c r="AC176" s="3">
        <f>AVERAGEIFS(Daily!$Q$3:$Q$7756,Daily!$B$3:$B$7756,$A176)</f>
        <v>16.78225806451613</v>
      </c>
      <c r="AD176" s="4">
        <f>SUMIFS(Daily!$R$3:$R$7756,Daily!$B$3:$B$7756,$A176)</f>
        <v>35.15</v>
      </c>
      <c r="AE176" s="4">
        <f>AVERAGE(P176,U176,Z176)</f>
        <v>22.194666666666667</v>
      </c>
      <c r="AF176" s="3">
        <f>AVERAGE(Q176,V176,AA176)</f>
        <v>20.352580645161293</v>
      </c>
      <c r="AG176" s="3">
        <f>AVERAGE(R176,W176,AB176)</f>
        <v>26.106666666666666</v>
      </c>
      <c r="AH176" s="3">
        <f>AVERAGE(S176,X176,AC176)</f>
        <v>16.32193548387097</v>
      </c>
      <c r="AI176" s="4">
        <f>AVERAGE(T176,Y176,AD176)</f>
        <v>24.00333333333333</v>
      </c>
    </row>
    <row r="177">
      <c r="A177" s="2" t="inlineStr">
        <is>
          <t xml:space="preserve">2020-01</t>
        </is>
      </c>
      <c r="B177" s="2">
        <v>2020</v>
      </c>
      <c r="C177" s="2">
        <v>1</v>
      </c>
      <c r="D177" s="2" t="inlineStr">
        <is>
          <t xml:space="preserve">Jan</t>
        </is>
      </c>
      <c r="E177" s="2" t="inlineStr">
        <is>
          <t xml:space="preserve">2019/20</t>
        </is>
      </c>
      <c r="F177" s="2">
        <v>7</v>
      </c>
      <c r="G177" s="9">
        <v>43831</v>
      </c>
      <c r="H177" s="9">
        <v>43861</v>
      </c>
      <c r="I177" s="2">
        <f>H177-G177+1</f>
        <v>31</v>
      </c>
      <c r="J177" s="2">
        <f>COUNTIF(Daily!$B$3:$B$7756,A177)</f>
        <v>31</v>
      </c>
      <c r="K177" s="2" t="str">
        <f>IF(J177=I177,"complete","partial ("&amp;J177&amp;" days)")</f>
        <v>complete</v>
      </c>
      <c r="L177" s="3">
        <f>INDEX(ENSO_monthly!$F:$F,MATCH(A177,ENSO_monthly!$A:$A,0))</f>
        <v>0.71</v>
      </c>
      <c r="M177" s="2" t="str">
        <f>INDEX(ENSO_monthly!$D:$D,MATCH(A177,ENSO_monthly!$A:$A,0))</f>
        <v>DJF</v>
      </c>
      <c r="N177" s="6" t="str">
        <f>INDEX(ENSO_monthly!$L:$L,MATCH(A177,ENSO_monthly!$A:$A,0))</f>
        <v>El Niño</v>
      </c>
      <c r="O177" s="11" t="str">
        <f>INDEX(ENSO_seasons!$U:$U,MATCH(E177,ENSO_seasons!$A:$A,0))</f>
        <v>El Niño</v>
      </c>
      <c r="P177" s="4">
        <f>SUMIFS(Daily!$D$3:$D$7756,Daily!$B$3:$B$7756,$A177)</f>
        <v>1.587</v>
      </c>
      <c r="Q177" s="3">
        <f>AVERAGEIFS(Daily!$E$3:$E$7756,Daily!$B$3:$B$7756,$A177)</f>
        <v>21.342580645161295</v>
      </c>
      <c r="R177" s="3">
        <f>AVERAGEIFS(Daily!$F$3:$F$7756,Daily!$B$3:$B$7756,$A177)</f>
        <v>28.64</v>
      </c>
      <c r="S177" s="3">
        <f>AVERAGEIFS(Daily!$G$3:$G$7756,Daily!$B$3:$B$7756,$A177)</f>
        <v>16.09548387096774</v>
      </c>
      <c r="T177" s="4">
        <f>SUMIFS(Daily!$H$3:$H$7756,Daily!$B$3:$B$7756,$A177)</f>
        <v>23.38</v>
      </c>
      <c r="U177" s="4">
        <f>SUMIFS(Daily!$I$3:$I$7756,Daily!$B$3:$B$7756,$A177)</f>
        <v>12.872</v>
      </c>
      <c r="V177" s="3">
        <f>AVERAGEIFS(Daily!$J$3:$J$7756,Daily!$B$3:$B$7756,$A177)</f>
        <v>20.87</v>
      </c>
      <c r="W177" s="3">
        <f>AVERAGEIFS(Daily!$K$3:$K$7756,Daily!$B$3:$B$7756,$A177)</f>
        <v>26.89516129032259</v>
      </c>
      <c r="X177" s="3">
        <f>AVERAGEIFS(Daily!$L$3:$L$7756,Daily!$B$3:$B$7756,$A177)</f>
        <v>16.448709677419355</v>
      </c>
      <c r="Y177" s="4">
        <f>SUMIFS(Daily!$M$3:$M$7756,Daily!$B$3:$B$7756,$A177)</f>
        <v>26.1</v>
      </c>
      <c r="Z177" s="4">
        <f>SUMIFS(Daily!$N$3:$N$7756,Daily!$B$3:$B$7756,$A177)</f>
        <v>51.669</v>
      </c>
      <c r="AA177" s="3">
        <f>AVERAGEIFS(Daily!$O$3:$O$7756,Daily!$B$3:$B$7756,$A177)</f>
        <v>21.063870967741938</v>
      </c>
      <c r="AB177" s="3">
        <f>AVERAGEIFS(Daily!$P$3:$P$7756,Daily!$B$3:$B$7756,$A177)</f>
        <v>26.80354838709677</v>
      </c>
      <c r="AC177" s="3">
        <f>AVERAGEIFS(Daily!$Q$3:$Q$7756,Daily!$B$3:$B$7756,$A177)</f>
        <v>16.86451612903226</v>
      </c>
      <c r="AD177" s="4">
        <f>SUMIFS(Daily!$R$3:$R$7756,Daily!$B$3:$B$7756,$A177)</f>
        <v>50.81</v>
      </c>
      <c r="AE177" s="4">
        <f>AVERAGE(P177,U177,Z177)</f>
        <v>22.042666666666666</v>
      </c>
      <c r="AF177" s="3">
        <f>AVERAGE(Q177,V177,AA177)</f>
        <v>21.09215053763441</v>
      </c>
      <c r="AG177" s="3">
        <f>AVERAGE(R177,W177,AB177)</f>
        <v>27.446236559139788</v>
      </c>
      <c r="AH177" s="3">
        <f>AVERAGE(S177,X177,AC177)</f>
        <v>16.46956989247312</v>
      </c>
      <c r="AI177" s="4">
        <f>AVERAGE(T177,Y177,AD177)</f>
        <v>33.43</v>
      </c>
    </row>
    <row r="178">
      <c r="A178" s="2" t="inlineStr">
        <is>
          <t xml:space="preserve">2020-02</t>
        </is>
      </c>
      <c r="B178" s="2">
        <v>2020</v>
      </c>
      <c r="C178" s="2">
        <v>2</v>
      </c>
      <c r="D178" s="2" t="inlineStr">
        <is>
          <t xml:space="preserve">Feb</t>
        </is>
      </c>
      <c r="E178" s="2" t="inlineStr">
        <is>
          <t xml:space="preserve">2019/20</t>
        </is>
      </c>
      <c r="F178" s="2">
        <v>8</v>
      </c>
      <c r="G178" s="9">
        <v>43862</v>
      </c>
      <c r="H178" s="9">
        <v>43890</v>
      </c>
      <c r="I178" s="2">
        <f>H178-G178+1</f>
        <v>29</v>
      </c>
      <c r="J178" s="2">
        <f>COUNTIF(Daily!$B$3:$B$7756,A178)</f>
        <v>29</v>
      </c>
      <c r="K178" s="2" t="str">
        <f>IF(J178=I178,"complete","partial ("&amp;J178&amp;" days)")</f>
        <v>complete</v>
      </c>
      <c r="L178" s="3">
        <f>INDEX(ENSO_monthly!$F:$F,MATCH(A178,ENSO_monthly!$A:$A,0))</f>
        <v>0.66</v>
      </c>
      <c r="M178" s="2" t="str">
        <f>INDEX(ENSO_monthly!$D:$D,MATCH(A178,ENSO_monthly!$A:$A,0))</f>
        <v>JFM</v>
      </c>
      <c r="N178" s="6" t="str">
        <f>INDEX(ENSO_monthly!$L:$L,MATCH(A178,ENSO_monthly!$A:$A,0))</f>
        <v>El Niño</v>
      </c>
      <c r="O178" s="11" t="str">
        <f>INDEX(ENSO_seasons!$U:$U,MATCH(E178,ENSO_seasons!$A:$A,0))</f>
        <v>El Niño</v>
      </c>
      <c r="P178" s="4">
        <f>SUMIFS(Daily!$D$3:$D$7756,Daily!$B$3:$B$7756,$A178)</f>
        <v>2.659</v>
      </c>
      <c r="Q178" s="3">
        <f>AVERAGEIFS(Daily!$E$3:$E$7756,Daily!$B$3:$B$7756,$A178)</f>
        <v>22.37758620689655</v>
      </c>
      <c r="R178" s="3">
        <f>AVERAGEIFS(Daily!$F$3:$F$7756,Daily!$B$3:$B$7756,$A178)</f>
        <v>30.562068965517234</v>
      </c>
      <c r="S178" s="3">
        <f>AVERAGEIFS(Daily!$G$3:$G$7756,Daily!$B$3:$B$7756,$A178)</f>
        <v>16.21379310344828</v>
      </c>
      <c r="T178" s="4">
        <f>SUMIFS(Daily!$H$3:$H$7756,Daily!$B$3:$B$7756,$A178)</f>
        <v>38.51</v>
      </c>
      <c r="U178" s="4">
        <f>SUMIFS(Daily!$I$3:$I$7756,Daily!$B$3:$B$7756,$A178)</f>
        <v>8.3</v>
      </c>
      <c r="V178" s="3">
        <f>AVERAGEIFS(Daily!$J$3:$J$7756,Daily!$B$3:$B$7756,$A178)</f>
        <v>22.32862068965517</v>
      </c>
      <c r="W178" s="3">
        <f>AVERAGEIFS(Daily!$K$3:$K$7756,Daily!$B$3:$B$7756,$A178)</f>
        <v>29.63413793103448</v>
      </c>
      <c r="X178" s="3">
        <f>AVERAGEIFS(Daily!$L$3:$L$7756,Daily!$B$3:$B$7756,$A178)</f>
        <v>16.952413793103446</v>
      </c>
      <c r="Y178" s="4">
        <f>SUMIFS(Daily!$M$3:$M$7756,Daily!$B$3:$B$7756,$A178)</f>
        <v>19.83</v>
      </c>
      <c r="Z178" s="4">
        <f>SUMIFS(Daily!$N$3:$N$7756,Daily!$B$3:$B$7756,$A178)</f>
        <v>34.539</v>
      </c>
      <c r="AA178" s="3">
        <f>AVERAGEIFS(Daily!$O$3:$O$7756,Daily!$B$3:$B$7756,$A178)</f>
        <v>22.206896551724142</v>
      </c>
      <c r="AB178" s="3">
        <f>AVERAGEIFS(Daily!$P$3:$P$7756,Daily!$B$3:$B$7756,$A178)</f>
        <v>29.07827586206896</v>
      </c>
      <c r="AC178" s="3">
        <f>AVERAGEIFS(Daily!$Q$3:$Q$7756,Daily!$B$3:$B$7756,$A178)</f>
        <v>17.298275862068966</v>
      </c>
      <c r="AD178" s="4">
        <f>SUMIFS(Daily!$R$3:$R$7756,Daily!$B$3:$B$7756,$A178)</f>
        <v>62.46</v>
      </c>
      <c r="AE178" s="4">
        <f>AVERAGE(P178,U178,Z178)</f>
        <v>15.166000000000002</v>
      </c>
      <c r="AF178" s="3">
        <f>AVERAGE(Q178,V178,AA178)</f>
        <v>22.304367816091954</v>
      </c>
      <c r="AG178" s="3">
        <f>AVERAGE(R178,W178,AB178)</f>
        <v>29.758160919540227</v>
      </c>
      <c r="AH178" s="3">
        <f>AVERAGE(S178,X178,AC178)</f>
        <v>16.821494252873563</v>
      </c>
      <c r="AI178" s="4">
        <f>AVERAGE(T178,Y178,AD178)</f>
        <v>40.266666666666666</v>
      </c>
    </row>
    <row r="179">
      <c r="A179" s="2" t="inlineStr">
        <is>
          <t xml:space="preserve">2020-03</t>
        </is>
      </c>
      <c r="B179" s="2">
        <v>2020</v>
      </c>
      <c r="C179" s="2">
        <v>3</v>
      </c>
      <c r="D179" s="2" t="inlineStr">
        <is>
          <t xml:space="preserve">Mar</t>
        </is>
      </c>
      <c r="E179" s="2" t="inlineStr">
        <is>
          <t xml:space="preserve">2019/20</t>
        </is>
      </c>
      <c r="F179" s="2">
        <v>9</v>
      </c>
      <c r="G179" s="9">
        <v>43891</v>
      </c>
      <c r="H179" s="9">
        <v>43921</v>
      </c>
      <c r="I179" s="2">
        <f>H179-G179+1</f>
        <v>31</v>
      </c>
      <c r="J179" s="2">
        <f>COUNTIF(Daily!$B$3:$B$7756,A179)</f>
        <v>31</v>
      </c>
      <c r="K179" s="2" t="str">
        <f>IF(J179=I179,"complete","partial ("&amp;J179&amp;" days)")</f>
        <v>complete</v>
      </c>
      <c r="L179" s="3">
        <f>INDEX(ENSO_monthly!$F:$F,MATCH(A179,ENSO_monthly!$A:$A,0))</f>
        <v>0.57</v>
      </c>
      <c r="M179" s="2" t="str">
        <f>INDEX(ENSO_monthly!$D:$D,MATCH(A179,ENSO_monthly!$A:$A,0))</f>
        <v>FMA</v>
      </c>
      <c r="N179" s="6" t="str">
        <f>INDEX(ENSO_monthly!$L:$L,MATCH(A179,ENSO_monthly!$A:$A,0))</f>
        <v>El Niño</v>
      </c>
      <c r="O179" s="11" t="str">
        <f>INDEX(ENSO_seasons!$U:$U,MATCH(E179,ENSO_seasons!$A:$A,0))</f>
        <v>El Niño</v>
      </c>
      <c r="P179" s="4">
        <f>SUMIFS(Daily!$D$3:$D$7756,Daily!$B$3:$B$7756,$A179)</f>
        <v>1.387</v>
      </c>
      <c r="Q179" s="3">
        <f>AVERAGEIFS(Daily!$E$3:$E$7756,Daily!$B$3:$B$7756,$A179)</f>
        <v>23.615806451612904</v>
      </c>
      <c r="R179" s="3">
        <f>AVERAGEIFS(Daily!$F$3:$F$7756,Daily!$B$3:$B$7756,$A179)</f>
        <v>32.027741935483874</v>
      </c>
      <c r="S179" s="3">
        <f>AVERAGEIFS(Daily!$G$3:$G$7756,Daily!$B$3:$B$7756,$A179)</f>
        <v>17.032258064516128</v>
      </c>
      <c r="T179" s="4">
        <f>SUMIFS(Daily!$H$3:$H$7756,Daily!$B$3:$B$7756,$A179)</f>
        <v>14.43</v>
      </c>
      <c r="U179" s="4">
        <f>SUMIFS(Daily!$I$3:$I$7756,Daily!$B$3:$B$7756,$A179)</f>
        <v>7.126</v>
      </c>
      <c r="V179" s="3">
        <f>AVERAGEIFS(Daily!$J$3:$J$7756,Daily!$B$3:$B$7756,$A179)</f>
        <v>24.122258064516124</v>
      </c>
      <c r="W179" s="3">
        <f>AVERAGEIFS(Daily!$K$3:$K$7756,Daily!$B$3:$B$7756,$A179)</f>
        <v>32.05129032258064</v>
      </c>
      <c r="X179" s="3">
        <f>AVERAGEIFS(Daily!$L$3:$L$7756,Daily!$B$3:$B$7756,$A179)</f>
        <v>17.870967741935484</v>
      </c>
      <c r="Y179" s="4">
        <f>SUMIFS(Daily!$M$3:$M$7756,Daily!$B$3:$B$7756,$A179)</f>
        <v>16.08</v>
      </c>
      <c r="Z179" s="4">
        <f>SUMIFS(Daily!$N$3:$N$7756,Daily!$B$3:$B$7756,$A179)</f>
        <v>29.557</v>
      </c>
      <c r="AA179" s="3">
        <f>AVERAGEIFS(Daily!$O$3:$O$7756,Daily!$B$3:$B$7756,$A179)</f>
        <v>23.119999999999994</v>
      </c>
      <c r="AB179" s="3">
        <f>AVERAGEIFS(Daily!$P$3:$P$7756,Daily!$B$3:$B$7756,$A179)</f>
        <v>30.375806451612902</v>
      </c>
      <c r="AC179" s="3">
        <f>AVERAGEIFS(Daily!$Q$3:$Q$7756,Daily!$B$3:$B$7756,$A179)</f>
        <v>17.93225806451613</v>
      </c>
      <c r="AD179" s="4">
        <f>SUMIFS(Daily!$R$3:$R$7756,Daily!$B$3:$B$7756,$A179)</f>
        <v>37.38</v>
      </c>
      <c r="AE179" s="4">
        <f>AVERAGE(P179,U179,Z179)</f>
        <v>12.69</v>
      </c>
      <c r="AF179" s="3">
        <f>AVERAGE(Q179,V179,AA179)</f>
        <v>23.619354838709672</v>
      </c>
      <c r="AG179" s="3">
        <f>AVERAGE(R179,W179,AB179)</f>
        <v>31.48494623655914</v>
      </c>
      <c r="AH179" s="3">
        <f>AVERAGE(S179,X179,AC179)</f>
        <v>17.61182795698925</v>
      </c>
      <c r="AI179" s="4">
        <f>AVERAGE(T179,Y179,AD179)</f>
        <v>22.63</v>
      </c>
    </row>
    <row r="180">
      <c r="A180" s="2" t="inlineStr">
        <is>
          <t xml:space="preserve">2020-04</t>
        </is>
      </c>
      <c r="B180" s="2">
        <v>2020</v>
      </c>
      <c r="C180" s="2">
        <v>4</v>
      </c>
      <c r="D180" s="2" t="inlineStr">
        <is>
          <t xml:space="preserve">Apr</t>
        </is>
      </c>
      <c r="E180" s="2" t="inlineStr">
        <is>
          <t xml:space="preserve">2019/20</t>
        </is>
      </c>
      <c r="F180" s="2">
        <v>10</v>
      </c>
      <c r="G180" s="9">
        <v>43922</v>
      </c>
      <c r="H180" s="9">
        <v>43951</v>
      </c>
      <c r="I180" s="2">
        <f>H180-G180+1</f>
        <v>30</v>
      </c>
      <c r="J180" s="2">
        <f>COUNTIF(Daily!$B$3:$B$7756,A180)</f>
        <v>30</v>
      </c>
      <c r="K180" s="2" t="str">
        <f>IF(J180=I180,"complete","partial ("&amp;J180&amp;" days)")</f>
        <v>complete</v>
      </c>
      <c r="L180" s="3">
        <f>INDEX(ENSO_monthly!$F:$F,MATCH(A180,ENSO_monthly!$A:$A,0))</f>
        <v>0.33</v>
      </c>
      <c r="M180" s="2" t="str">
        <f>INDEX(ENSO_monthly!$D:$D,MATCH(A180,ENSO_monthly!$A:$A,0))</f>
        <v>MAM</v>
      </c>
      <c r="N180" s="2" t="str">
        <f>INDEX(ENSO_monthly!$L:$L,MATCH(A180,ENSO_monthly!$A:$A,0))</f>
        <v>—</v>
      </c>
      <c r="O180" s="11" t="str">
        <f>INDEX(ENSO_seasons!$U:$U,MATCH(E180,ENSO_seasons!$A:$A,0))</f>
        <v>El Niño</v>
      </c>
      <c r="P180" s="4">
        <f>SUMIFS(Daily!$D$3:$D$7756,Daily!$B$3:$B$7756,$A180)</f>
        <v>5.584</v>
      </c>
      <c r="Q180" s="3">
        <f>AVERAGEIFS(Daily!$E$3:$E$7756,Daily!$B$3:$B$7756,$A180)</f>
        <v>27.10166666666667</v>
      </c>
      <c r="R180" s="3">
        <f>AVERAGEIFS(Daily!$F$3:$F$7756,Daily!$B$3:$B$7756,$A180)</f>
        <v>35.07166666666667</v>
      </c>
      <c r="S180" s="3">
        <f>AVERAGEIFS(Daily!$G$3:$G$7756,Daily!$B$3:$B$7756,$A180)</f>
        <v>20.184666666666665</v>
      </c>
      <c r="T180" s="4">
        <f>SUMIFS(Daily!$H$3:$H$7756,Daily!$B$3:$B$7756,$A180)</f>
        <v>9.03</v>
      </c>
      <c r="U180" s="4">
        <f>SUMIFS(Daily!$I$3:$I$7756,Daily!$B$3:$B$7756,$A180)</f>
        <v>7.135</v>
      </c>
      <c r="V180" s="3">
        <f>AVERAGEIFS(Daily!$J$3:$J$7756,Daily!$B$3:$B$7756,$A180)</f>
        <v>27.169999999999995</v>
      </c>
      <c r="W180" s="3">
        <f>AVERAGEIFS(Daily!$K$3:$K$7756,Daily!$B$3:$B$7756,$A180)</f>
        <v>34.60333333333334</v>
      </c>
      <c r="X180" s="3">
        <f>AVERAGEIFS(Daily!$L$3:$L$7756,Daily!$B$3:$B$7756,$A180)</f>
        <v>21.226999999999997</v>
      </c>
      <c r="Y180" s="4">
        <f>SUMIFS(Daily!$M$3:$M$7756,Daily!$B$3:$B$7756,$A180)</f>
        <v>11.31</v>
      </c>
      <c r="Z180" s="4">
        <f>SUMIFS(Daily!$N$3:$N$7756,Daily!$B$3:$B$7756,$A180)</f>
        <v>16.928</v>
      </c>
      <c r="AA180" s="3">
        <f>AVERAGEIFS(Daily!$O$3:$O$7756,Daily!$B$3:$B$7756,$A180)</f>
        <v>26.868333333333336</v>
      </c>
      <c r="AB180" s="3">
        <f>AVERAGEIFS(Daily!$P$3:$P$7756,Daily!$B$3:$B$7756,$A180)</f>
        <v>34.47433333333333</v>
      </c>
      <c r="AC180" s="3">
        <f>AVERAGEIFS(Daily!$Q$3:$Q$7756,Daily!$B$3:$B$7756,$A180)</f>
        <v>21.009666666666664</v>
      </c>
      <c r="AD180" s="4">
        <f>SUMIFS(Daily!$R$3:$R$7756,Daily!$B$3:$B$7756,$A180)</f>
        <v>10.22</v>
      </c>
      <c r="AE180" s="4">
        <f>AVERAGE(P180,U180,Z180)</f>
        <v>9.882333333333333</v>
      </c>
      <c r="AF180" s="3">
        <f>AVERAGE(Q180,V180,AA180)</f>
        <v>27.046666666666667</v>
      </c>
      <c r="AG180" s="3">
        <f>AVERAGE(R180,W180,AB180)</f>
        <v>34.71644444444445</v>
      </c>
      <c r="AH180" s="3">
        <f>AVERAGE(S180,X180,AC180)</f>
        <v>20.80711111111111</v>
      </c>
      <c r="AI180" s="4">
        <f>AVERAGE(T180,Y180,AD180)</f>
        <v>10.186666666666667</v>
      </c>
    </row>
    <row r="181">
      <c r="A181" s="2" t="inlineStr">
        <is>
          <t xml:space="preserve">2020-05</t>
        </is>
      </c>
      <c r="B181" s="2">
        <v>2020</v>
      </c>
      <c r="C181" s="2">
        <v>5</v>
      </c>
      <c r="D181" s="2" t="inlineStr">
        <is>
          <t xml:space="preserve">May</t>
        </is>
      </c>
      <c r="E181" s="2" t="inlineStr">
        <is>
          <t xml:space="preserve">2019/20</t>
        </is>
      </c>
      <c r="F181" s="2">
        <v>11</v>
      </c>
      <c r="G181" s="9">
        <v>43952</v>
      </c>
      <c r="H181" s="9">
        <v>43982</v>
      </c>
      <c r="I181" s="2">
        <f>H181-G181+1</f>
        <v>31</v>
      </c>
      <c r="J181" s="2">
        <f>COUNTIF(Daily!$B$3:$B$7756,A181)</f>
        <v>31</v>
      </c>
      <c r="K181" s="2" t="str">
        <f>IF(J181=I181,"complete","partial ("&amp;J181&amp;" days)")</f>
        <v>complete</v>
      </c>
      <c r="L181" s="3">
        <f>INDEX(ENSO_monthly!$F:$F,MATCH(A181,ENSO_monthly!$A:$A,0))</f>
        <v>0.04</v>
      </c>
      <c r="M181" s="2" t="str">
        <f>INDEX(ENSO_monthly!$D:$D,MATCH(A181,ENSO_monthly!$A:$A,0))</f>
        <v>AMJ</v>
      </c>
      <c r="N181" s="2" t="str">
        <f>INDEX(ENSO_monthly!$L:$L,MATCH(A181,ENSO_monthly!$A:$A,0))</f>
        <v>—</v>
      </c>
      <c r="O181" s="11" t="str">
        <f>INDEX(ENSO_seasons!$U:$U,MATCH(E181,ENSO_seasons!$A:$A,0))</f>
        <v>El Niño</v>
      </c>
      <c r="P181" s="4">
        <f>SUMIFS(Daily!$D$3:$D$7756,Daily!$B$3:$B$7756,$A181)</f>
        <v>236.887</v>
      </c>
      <c r="Q181" s="3">
        <f>AVERAGEIFS(Daily!$E$3:$E$7756,Daily!$B$3:$B$7756,$A181)</f>
        <v>24.32967741935484</v>
      </c>
      <c r="R181" s="3">
        <f>AVERAGEIFS(Daily!$F$3:$F$7756,Daily!$B$3:$B$7756,$A181)</f>
        <v>30.17903225806451</v>
      </c>
      <c r="S181" s="3">
        <f>AVERAGEIFS(Daily!$G$3:$G$7756,Daily!$B$3:$B$7756,$A181)</f>
        <v>19.89967741935484</v>
      </c>
      <c r="T181" s="4">
        <f>SUMIFS(Daily!$H$3:$H$7756,Daily!$B$3:$B$7756,$A181)</f>
        <v>201.06</v>
      </c>
      <c r="U181" s="4">
        <f>SUMIFS(Daily!$I$3:$I$7756,Daily!$B$3:$B$7756,$A181)</f>
        <v>256.675</v>
      </c>
      <c r="V181" s="3">
        <f>AVERAGEIFS(Daily!$J$3:$J$7756,Daily!$B$3:$B$7756,$A181)</f>
        <v>24.706774193548387</v>
      </c>
      <c r="W181" s="3">
        <f>AVERAGEIFS(Daily!$K$3:$K$7756,Daily!$B$3:$B$7756,$A181)</f>
        <v>30.147096774193553</v>
      </c>
      <c r="X181" s="3">
        <f>AVERAGEIFS(Daily!$L$3:$L$7756,Daily!$B$3:$B$7756,$A181)</f>
        <v>20.638064516129024</v>
      </c>
      <c r="Y181" s="4">
        <f>SUMIFS(Daily!$M$3:$M$7756,Daily!$B$3:$B$7756,$A181)</f>
        <v>246.06</v>
      </c>
      <c r="Z181" s="4">
        <f>SUMIFS(Daily!$N$3:$N$7756,Daily!$B$3:$B$7756,$A181)</f>
        <v>196.588</v>
      </c>
      <c r="AA181" s="3">
        <f>AVERAGEIFS(Daily!$O$3:$O$7756,Daily!$B$3:$B$7756,$A181)</f>
        <v>25.002580645161288</v>
      </c>
      <c r="AB181" s="3">
        <f>AVERAGEIFS(Daily!$P$3:$P$7756,Daily!$B$3:$B$7756,$A181)</f>
        <v>30.85645161290323</v>
      </c>
      <c r="AC181" s="3">
        <f>AVERAGEIFS(Daily!$Q$3:$Q$7756,Daily!$B$3:$B$7756,$A181)</f>
        <v>20.809677419354834</v>
      </c>
      <c r="AD181" s="4">
        <f>SUMIFS(Daily!$R$3:$R$7756,Daily!$B$3:$B$7756,$A181)</f>
        <v>176.14</v>
      </c>
      <c r="AE181" s="4">
        <f>AVERAGE(P181,U181,Z181)</f>
        <v>230.04999999999998</v>
      </c>
      <c r="AF181" s="3">
        <f>AVERAGE(Q181,V181,AA181)</f>
        <v>24.679677419354835</v>
      </c>
      <c r="AG181" s="3">
        <f>AVERAGE(R181,W181,AB181)</f>
        <v>30.394193548387097</v>
      </c>
      <c r="AH181" s="3">
        <f>AVERAGE(S181,X181,AC181)</f>
        <v>20.449139784946233</v>
      </c>
      <c r="AI181" s="4">
        <f>AVERAGE(T181,Y181,AD181)</f>
        <v>207.75333333333333</v>
      </c>
    </row>
    <row r="182">
      <c r="A182" s="2" t="inlineStr">
        <is>
          <t xml:space="preserve">2020-06</t>
        </is>
      </c>
      <c r="B182" s="2">
        <v>2020</v>
      </c>
      <c r="C182" s="2">
        <v>6</v>
      </c>
      <c r="D182" s="2" t="inlineStr">
        <is>
          <t xml:space="preserve">Jun</t>
        </is>
      </c>
      <c r="E182" s="2" t="inlineStr">
        <is>
          <t xml:space="preserve">2019/20</t>
        </is>
      </c>
      <c r="F182" s="2">
        <v>12</v>
      </c>
      <c r="G182" s="9">
        <v>43983</v>
      </c>
      <c r="H182" s="9">
        <v>44012</v>
      </c>
      <c r="I182" s="2">
        <f>H182-G182+1</f>
        <v>30</v>
      </c>
      <c r="J182" s="2">
        <f>COUNTIF(Daily!$B$3:$B$7756,A182)</f>
        <v>30</v>
      </c>
      <c r="K182" s="2" t="str">
        <f>IF(J182=I182,"complete","partial ("&amp;J182&amp;" days)")</f>
        <v>complete</v>
      </c>
      <c r="L182" s="3">
        <f>INDEX(ENSO_monthly!$F:$F,MATCH(A182,ENSO_monthly!$A:$A,0))</f>
        <v>-0.18</v>
      </c>
      <c r="M182" s="2" t="str">
        <f>INDEX(ENSO_monthly!$D:$D,MATCH(A182,ENSO_monthly!$A:$A,0))</f>
        <v>MJJ</v>
      </c>
      <c r="N182" s="2" t="str">
        <f>INDEX(ENSO_monthly!$L:$L,MATCH(A182,ENSO_monthly!$A:$A,0))</f>
        <v>—</v>
      </c>
      <c r="O182" s="11" t="str">
        <f>INDEX(ENSO_seasons!$U:$U,MATCH(E182,ENSO_seasons!$A:$A,0))</f>
        <v>El Niño</v>
      </c>
      <c r="P182" s="4">
        <f>SUMIFS(Daily!$D$3:$D$7756,Daily!$B$3:$B$7756,$A182)</f>
        <v>150.196</v>
      </c>
      <c r="Q182" s="3">
        <f>AVERAGEIFS(Daily!$E$3:$E$7756,Daily!$B$3:$B$7756,$A182)</f>
        <v>21.985000000000007</v>
      </c>
      <c r="R182" s="3">
        <f>AVERAGEIFS(Daily!$F$3:$F$7756,Daily!$B$3:$B$7756,$A182)</f>
        <v>26.474333333333337</v>
      </c>
      <c r="S182" s="3">
        <f>AVERAGEIFS(Daily!$G$3:$G$7756,Daily!$B$3:$B$7756,$A182)</f>
        <v>18.356333333333332</v>
      </c>
      <c r="T182" s="4">
        <f>SUMIFS(Daily!$H$3:$H$7756,Daily!$B$3:$B$7756,$A182)</f>
        <v>297.36</v>
      </c>
      <c r="U182" s="4">
        <f>SUMIFS(Daily!$I$3:$I$7756,Daily!$B$3:$B$7756,$A182)</f>
        <v>198.805</v>
      </c>
      <c r="V182" s="3">
        <f>AVERAGEIFS(Daily!$J$3:$J$7756,Daily!$B$3:$B$7756,$A182)</f>
        <v>22.972666666666672</v>
      </c>
      <c r="W182" s="3">
        <f>AVERAGEIFS(Daily!$K$3:$K$7756,Daily!$B$3:$B$7756,$A182)</f>
        <v>27.074666666666662</v>
      </c>
      <c r="X182" s="3">
        <f>AVERAGEIFS(Daily!$L$3:$L$7756,Daily!$B$3:$B$7756,$A182)</f>
        <v>19.552</v>
      </c>
      <c r="Y182" s="4">
        <f>SUMIFS(Daily!$M$3:$M$7756,Daily!$B$3:$B$7756,$A182)</f>
        <v>163.83</v>
      </c>
      <c r="Z182" s="4">
        <f>SUMIFS(Daily!$N$3:$N$7756,Daily!$B$3:$B$7756,$A182)</f>
        <v>93.36</v>
      </c>
      <c r="AA182" s="3">
        <f>AVERAGEIFS(Daily!$O$3:$O$7756,Daily!$B$3:$B$7756,$A182)</f>
        <v>23.81466666666666</v>
      </c>
      <c r="AB182" s="3">
        <f>AVERAGEIFS(Daily!$P$3:$P$7756,Daily!$B$3:$B$7756,$A182)</f>
        <v>28.862666666666666</v>
      </c>
      <c r="AC182" s="3">
        <f>AVERAGEIFS(Daily!$Q$3:$Q$7756,Daily!$B$3:$B$7756,$A182)</f>
        <v>20.353000000000005</v>
      </c>
      <c r="AD182" s="4">
        <f>SUMIFS(Daily!$R$3:$R$7756,Daily!$B$3:$B$7756,$A182)</f>
        <v>112.09</v>
      </c>
      <c r="AE182" s="4">
        <f>AVERAGE(P182,U182,Z182)</f>
        <v>147.45366666666666</v>
      </c>
      <c r="AF182" s="3">
        <f>AVERAGE(Q182,V182,AA182)</f>
        <v>22.924111111111113</v>
      </c>
      <c r="AG182" s="3">
        <f>AVERAGE(R182,W182,AB182)</f>
        <v>27.470555555555553</v>
      </c>
      <c r="AH182" s="3">
        <f>AVERAGE(S182,X182,AC182)</f>
        <v>19.420444444444446</v>
      </c>
      <c r="AI182" s="4">
        <f>AVERAGE(T182,Y182,AD182)</f>
        <v>191.09333333333336</v>
      </c>
    </row>
    <row r="183">
      <c r="A183" s="2" t="inlineStr">
        <is>
          <t xml:space="preserve">2020-07</t>
        </is>
      </c>
      <c r="B183" s="2">
        <v>2020</v>
      </c>
      <c r="C183" s="2">
        <v>7</v>
      </c>
      <c r="D183" s="2" t="inlineStr">
        <is>
          <t xml:space="preserve">Jul</t>
        </is>
      </c>
      <c r="E183" s="2" t="inlineStr">
        <is>
          <t xml:space="preserve">2020/21</t>
        </is>
      </c>
      <c r="F183" s="2">
        <v>1</v>
      </c>
      <c r="G183" s="9">
        <v>44013</v>
      </c>
      <c r="H183" s="9">
        <v>44043</v>
      </c>
      <c r="I183" s="2">
        <f>H183-G183+1</f>
        <v>31</v>
      </c>
      <c r="J183" s="2">
        <f>COUNTIF(Daily!$B$3:$B$7756,A183)</f>
        <v>31</v>
      </c>
      <c r="K183" s="2" t="str">
        <f>IF(J183=I183,"complete","partial ("&amp;J183&amp;" days)")</f>
        <v>complete</v>
      </c>
      <c r="L183" s="3">
        <f>INDEX(ENSO_monthly!$F:$F,MATCH(A183,ENSO_monthly!$A:$A,0))</f>
        <v>-0.29</v>
      </c>
      <c r="M183" s="2" t="str">
        <f>INDEX(ENSO_monthly!$D:$D,MATCH(A183,ENSO_monthly!$A:$A,0))</f>
        <v>JJA</v>
      </c>
      <c r="N183" s="2" t="str">
        <f>INDEX(ENSO_monthly!$L:$L,MATCH(A183,ENSO_monthly!$A:$A,0))</f>
        <v>—</v>
      </c>
      <c r="O183" s="12" t="str">
        <f>INDEX(ENSO_seasons!$U:$U,MATCH(E183,ENSO_seasons!$A:$A,0))</f>
        <v>La Niña</v>
      </c>
      <c r="P183" s="4">
        <f>SUMIFS(Daily!$D$3:$D$7756,Daily!$B$3:$B$7756,$A183)</f>
        <v>133.289</v>
      </c>
      <c r="Q183" s="3">
        <f>AVERAGEIFS(Daily!$E$3:$E$7756,Daily!$B$3:$B$7756,$A183)</f>
        <v>22.038064516129026</v>
      </c>
      <c r="R183" s="3">
        <f>AVERAGEIFS(Daily!$F$3:$F$7756,Daily!$B$3:$B$7756,$A183)</f>
        <v>27.017419354838704</v>
      </c>
      <c r="S183" s="3">
        <f>AVERAGEIFS(Daily!$G$3:$G$7756,Daily!$B$3:$B$7756,$A183)</f>
        <v>17.93548387096774</v>
      </c>
      <c r="T183" s="4">
        <f>SUMIFS(Daily!$H$3:$H$7756,Daily!$B$3:$B$7756,$A183)</f>
        <v>126.59</v>
      </c>
      <c r="U183" s="4">
        <f>SUMIFS(Daily!$I$3:$I$7756,Daily!$B$3:$B$7756,$A183)</f>
        <v>180.968</v>
      </c>
      <c r="V183" s="3">
        <f>AVERAGEIFS(Daily!$J$3:$J$7756,Daily!$B$3:$B$7756,$A183)</f>
        <v>22.93967741935484</v>
      </c>
      <c r="W183" s="3">
        <f>AVERAGEIFS(Daily!$K$3:$K$7756,Daily!$B$3:$B$7756,$A183)</f>
        <v>27.169677419354837</v>
      </c>
      <c r="X183" s="3">
        <f>AVERAGEIFS(Daily!$L$3:$L$7756,Daily!$B$3:$B$7756,$A183)</f>
        <v>19.386774193548387</v>
      </c>
      <c r="Y183" s="4">
        <f>SUMIFS(Daily!$M$3:$M$7756,Daily!$B$3:$B$7756,$A183)</f>
        <v>191.38</v>
      </c>
      <c r="Z183" s="4">
        <f>SUMIFS(Daily!$N$3:$N$7756,Daily!$B$3:$B$7756,$A183)</f>
        <v>209.743</v>
      </c>
      <c r="AA183" s="3">
        <f>AVERAGEIFS(Daily!$O$3:$O$7756,Daily!$B$3:$B$7756,$A183)</f>
        <v>23.77903225806451</v>
      </c>
      <c r="AB183" s="3">
        <f>AVERAGEIFS(Daily!$P$3:$P$7756,Daily!$B$3:$B$7756,$A183)</f>
        <v>28.81161290322581</v>
      </c>
      <c r="AC183" s="3">
        <f>AVERAGEIFS(Daily!$Q$3:$Q$7756,Daily!$B$3:$B$7756,$A183)</f>
        <v>20.3183870967742</v>
      </c>
      <c r="AD183" s="4">
        <f>SUMIFS(Daily!$R$3:$R$7756,Daily!$B$3:$B$7756,$A183)</f>
        <v>152.69</v>
      </c>
      <c r="AE183" s="4">
        <f>AVERAGE(P183,U183,Z183)</f>
        <v>174.66666666666666</v>
      </c>
      <c r="AF183" s="3">
        <f>AVERAGE(Q183,V183,AA183)</f>
        <v>22.918924731182795</v>
      </c>
      <c r="AG183" s="3">
        <f>AVERAGE(R183,W183,AB183)</f>
        <v>27.666236559139787</v>
      </c>
      <c r="AH183" s="3">
        <f>AVERAGE(S183,X183,AC183)</f>
        <v>19.213548387096775</v>
      </c>
      <c r="AI183" s="4">
        <f>AVERAGE(T183,Y183,AD183)</f>
        <v>156.88666666666668</v>
      </c>
    </row>
    <row r="184">
      <c r="A184" s="2" t="inlineStr">
        <is>
          <t xml:space="preserve">2020-08</t>
        </is>
      </c>
      <c r="B184" s="2">
        <v>2020</v>
      </c>
      <c r="C184" s="2">
        <v>8</v>
      </c>
      <c r="D184" s="2" t="inlineStr">
        <is>
          <t xml:space="preserve">Aug</t>
        </is>
      </c>
      <c r="E184" s="2" t="inlineStr">
        <is>
          <t xml:space="preserve">2020/21</t>
        </is>
      </c>
      <c r="F184" s="2">
        <v>2</v>
      </c>
      <c r="G184" s="9">
        <v>44044</v>
      </c>
      <c r="H184" s="9">
        <v>44074</v>
      </c>
      <c r="I184" s="2">
        <f>H184-G184+1</f>
        <v>31</v>
      </c>
      <c r="J184" s="2">
        <f>COUNTIF(Daily!$B$3:$B$7756,A184)</f>
        <v>31</v>
      </c>
      <c r="K184" s="2" t="str">
        <f>IF(J184=I184,"complete","partial ("&amp;J184&amp;" days)")</f>
        <v>complete</v>
      </c>
      <c r="L184" s="3">
        <f>INDEX(ENSO_monthly!$F:$F,MATCH(A184,ENSO_monthly!$A:$A,0))</f>
        <v>-0.43</v>
      </c>
      <c r="M184" s="2" t="str">
        <f>INDEX(ENSO_monthly!$D:$D,MATCH(A184,ENSO_monthly!$A:$A,0))</f>
        <v>JAS</v>
      </c>
      <c r="N184" s="2" t="str">
        <f>INDEX(ENSO_monthly!$L:$L,MATCH(A184,ENSO_monthly!$A:$A,0))</f>
        <v>—</v>
      </c>
      <c r="O184" s="12" t="str">
        <f>INDEX(ENSO_seasons!$U:$U,MATCH(E184,ENSO_seasons!$A:$A,0))</f>
        <v>La Niña</v>
      </c>
      <c r="P184" s="4">
        <f>SUMIFS(Daily!$D$3:$D$7756,Daily!$B$3:$B$7756,$A184)</f>
        <v>220.559</v>
      </c>
      <c r="Q184" s="3">
        <f>AVERAGEIFS(Daily!$E$3:$E$7756,Daily!$B$3:$B$7756,$A184)</f>
        <v>22.056129032258063</v>
      </c>
      <c r="R184" s="3">
        <f>AVERAGEIFS(Daily!$F$3:$F$7756,Daily!$B$3:$B$7756,$A184)</f>
        <v>26.59548387096774</v>
      </c>
      <c r="S184" s="3">
        <f>AVERAGEIFS(Daily!$G$3:$G$7756,Daily!$B$3:$B$7756,$A184)</f>
        <v>18.368709677419353</v>
      </c>
      <c r="T184" s="4">
        <f>SUMIFS(Daily!$H$3:$H$7756,Daily!$B$3:$B$7756,$A184)</f>
        <v>171.72</v>
      </c>
      <c r="U184" s="4">
        <f>SUMIFS(Daily!$I$3:$I$7756,Daily!$B$3:$B$7756,$A184)</f>
        <v>211.345</v>
      </c>
      <c r="V184" s="3">
        <f>AVERAGEIFS(Daily!$J$3:$J$7756,Daily!$B$3:$B$7756,$A184)</f>
        <v>22.55516129032258</v>
      </c>
      <c r="W184" s="3">
        <f>AVERAGEIFS(Daily!$K$3:$K$7756,Daily!$B$3:$B$7756,$A184)</f>
        <v>26.532903225806447</v>
      </c>
      <c r="X184" s="3">
        <f>AVERAGEIFS(Daily!$L$3:$L$7756,Daily!$B$3:$B$7756,$A184)</f>
        <v>19.40064516129032</v>
      </c>
      <c r="Y184" s="4">
        <f>SUMIFS(Daily!$M$3:$M$7756,Daily!$B$3:$B$7756,$A184)</f>
        <v>222.37</v>
      </c>
      <c r="Z184" s="4">
        <f>SUMIFS(Daily!$N$3:$N$7756,Daily!$B$3:$B$7756,$A184)</f>
        <v>278.427</v>
      </c>
      <c r="AA184" s="3">
        <f>AVERAGEIFS(Daily!$O$3:$O$7756,Daily!$B$3:$B$7756,$A184)</f>
        <v>23.26709677419355</v>
      </c>
      <c r="AB184" s="3">
        <f>AVERAGEIFS(Daily!$P$3:$P$7756,Daily!$B$3:$B$7756,$A184)</f>
        <v>27.474838709677424</v>
      </c>
      <c r="AC184" s="3">
        <f>AVERAGEIFS(Daily!$Q$3:$Q$7756,Daily!$B$3:$B$7756,$A184)</f>
        <v>20.182258064516127</v>
      </c>
      <c r="AD184" s="4">
        <f>SUMIFS(Daily!$R$3:$R$7756,Daily!$B$3:$B$7756,$A184)</f>
        <v>178.72</v>
      </c>
      <c r="AE184" s="4">
        <f>AVERAGE(P184,U184,Z184)</f>
        <v>236.77700000000002</v>
      </c>
      <c r="AF184" s="3">
        <f>AVERAGE(Q184,V184,AA184)</f>
        <v>22.626129032258063</v>
      </c>
      <c r="AG184" s="3">
        <f>AVERAGE(R184,W184,AB184)</f>
        <v>26.867741935483874</v>
      </c>
      <c r="AH184" s="3">
        <f>AVERAGE(S184,X184,AC184)</f>
        <v>19.317204301075268</v>
      </c>
      <c r="AI184" s="4">
        <f>AVERAGE(T184,Y184,AD184)</f>
        <v>190.9366666666667</v>
      </c>
    </row>
    <row r="185">
      <c r="A185" s="2" t="inlineStr">
        <is>
          <t xml:space="preserve">2020-09</t>
        </is>
      </c>
      <c r="B185" s="2">
        <v>2020</v>
      </c>
      <c r="C185" s="2">
        <v>9</v>
      </c>
      <c r="D185" s="2" t="inlineStr">
        <is>
          <t xml:space="preserve">Sep</t>
        </is>
      </c>
      <c r="E185" s="2" t="inlineStr">
        <is>
          <t xml:space="preserve">2020/21</t>
        </is>
      </c>
      <c r="F185" s="2">
        <v>3</v>
      </c>
      <c r="G185" s="9">
        <v>44075</v>
      </c>
      <c r="H185" s="9">
        <v>44104</v>
      </c>
      <c r="I185" s="2">
        <f>H185-G185+1</f>
        <v>30</v>
      </c>
      <c r="J185" s="2">
        <f>COUNTIF(Daily!$B$3:$B$7756,A185)</f>
        <v>30</v>
      </c>
      <c r="K185" s="2" t="str">
        <f>IF(J185=I185,"complete","partial ("&amp;J185&amp;" days)")</f>
        <v>complete</v>
      </c>
      <c r="L185" s="3">
        <f>INDEX(ENSO_monthly!$F:$F,MATCH(A185,ENSO_monthly!$A:$A,0))</f>
        <v>-0.77</v>
      </c>
      <c r="M185" s="2" t="str">
        <f>INDEX(ENSO_monthly!$D:$D,MATCH(A185,ENSO_monthly!$A:$A,0))</f>
        <v>ASO</v>
      </c>
      <c r="N185" s="5" t="str">
        <f>INDEX(ENSO_monthly!$L:$L,MATCH(A185,ENSO_monthly!$A:$A,0))</f>
        <v>La Niña</v>
      </c>
      <c r="O185" s="12" t="str">
        <f>INDEX(ENSO_seasons!$U:$U,MATCH(E185,ENSO_seasons!$A:$A,0))</f>
        <v>La Niña</v>
      </c>
      <c r="P185" s="4">
        <f>SUMIFS(Daily!$D$3:$D$7756,Daily!$B$3:$B$7756,$A185)</f>
        <v>241.907</v>
      </c>
      <c r="Q185" s="3">
        <f>AVERAGEIFS(Daily!$E$3:$E$7756,Daily!$B$3:$B$7756,$A185)</f>
        <v>22.277333333333324</v>
      </c>
      <c r="R185" s="3">
        <f>AVERAGEIFS(Daily!$F$3:$F$7756,Daily!$B$3:$B$7756,$A185)</f>
        <v>26.802333333333333</v>
      </c>
      <c r="S185" s="3">
        <f>AVERAGEIFS(Daily!$G$3:$G$7756,Daily!$B$3:$B$7756,$A185)</f>
        <v>18.635666666666662</v>
      </c>
      <c r="T185" s="4">
        <f>SUMIFS(Daily!$H$3:$H$7756,Daily!$B$3:$B$7756,$A185)</f>
        <v>220.46</v>
      </c>
      <c r="U185" s="4">
        <f>SUMIFS(Daily!$I$3:$I$7756,Daily!$B$3:$B$7756,$A185)</f>
        <v>251.172</v>
      </c>
      <c r="V185" s="3">
        <f>AVERAGEIFS(Daily!$J$3:$J$7756,Daily!$B$3:$B$7756,$A185)</f>
        <v>22.61733333333333</v>
      </c>
      <c r="W185" s="3">
        <f>AVERAGEIFS(Daily!$K$3:$K$7756,Daily!$B$3:$B$7756,$A185)</f>
        <v>26.762666666666675</v>
      </c>
      <c r="X185" s="3">
        <f>AVERAGEIFS(Daily!$L$3:$L$7756,Daily!$B$3:$B$7756,$A185)</f>
        <v>19.424999999999997</v>
      </c>
      <c r="Y185" s="4">
        <f>SUMIFS(Daily!$M$3:$M$7756,Daily!$B$3:$B$7756,$A185)</f>
        <v>318.71</v>
      </c>
      <c r="Z185" s="4">
        <f>SUMIFS(Daily!$N$3:$N$7756,Daily!$B$3:$B$7756,$A185)</f>
        <v>492.964</v>
      </c>
      <c r="AA185" s="3">
        <f>AVERAGEIFS(Daily!$O$3:$O$7756,Daily!$B$3:$B$7756,$A185)</f>
        <v>23.247666666666667</v>
      </c>
      <c r="AB185" s="3">
        <f>AVERAGEIFS(Daily!$P$3:$P$7756,Daily!$B$3:$B$7756,$A185)</f>
        <v>27.488666666666667</v>
      </c>
      <c r="AC185" s="3">
        <f>AVERAGEIFS(Daily!$Q$3:$Q$7756,Daily!$B$3:$B$7756,$A185)</f>
        <v>20.230666666666668</v>
      </c>
      <c r="AD185" s="4">
        <f>SUMIFS(Daily!$R$3:$R$7756,Daily!$B$3:$B$7756,$A185)</f>
        <v>272.92</v>
      </c>
      <c r="AE185" s="4">
        <f>AVERAGE(P185,U185,Z185)</f>
        <v>328.681</v>
      </c>
      <c r="AF185" s="3">
        <f>AVERAGE(Q185,V185,AA185)</f>
        <v>22.714111111111105</v>
      </c>
      <c r="AG185" s="3">
        <f>AVERAGE(R185,W185,AB185)</f>
        <v>27.017888888888894</v>
      </c>
      <c r="AH185" s="3">
        <f>AVERAGE(S185,X185,AC185)</f>
        <v>19.430444444444444</v>
      </c>
      <c r="AI185" s="4">
        <f>AVERAGE(T185,Y185,AD185)</f>
        <v>270.69666666666666</v>
      </c>
    </row>
    <row r="186">
      <c r="A186" s="2" t="inlineStr">
        <is>
          <t xml:space="preserve">2020-10</t>
        </is>
      </c>
      <c r="B186" s="2">
        <v>2020</v>
      </c>
      <c r="C186" s="2">
        <v>10</v>
      </c>
      <c r="D186" s="2" t="inlineStr">
        <is>
          <t xml:space="preserve">Oct</t>
        </is>
      </c>
      <c r="E186" s="2" t="inlineStr">
        <is>
          <t xml:space="preserve">2020/21</t>
        </is>
      </c>
      <c r="F186" s="2">
        <v>4</v>
      </c>
      <c r="G186" s="9">
        <v>44105</v>
      </c>
      <c r="H186" s="9">
        <v>44135</v>
      </c>
      <c r="I186" s="2">
        <f>H186-G186+1</f>
        <v>31</v>
      </c>
      <c r="J186" s="2">
        <f>COUNTIF(Daily!$B$3:$B$7756,A186)</f>
        <v>31</v>
      </c>
      <c r="K186" s="2" t="str">
        <f>IF(J186=I186,"complete","partial ("&amp;J186&amp;" days)")</f>
        <v>complete</v>
      </c>
      <c r="L186" s="3">
        <f>INDEX(ENSO_monthly!$F:$F,MATCH(A186,ENSO_monthly!$A:$A,0))</f>
        <v>-1.0</v>
      </c>
      <c r="M186" s="2" t="str">
        <f>INDEX(ENSO_monthly!$D:$D,MATCH(A186,ENSO_monthly!$A:$A,0))</f>
        <v>SON</v>
      </c>
      <c r="N186" s="5" t="str">
        <f>INDEX(ENSO_monthly!$L:$L,MATCH(A186,ENSO_monthly!$A:$A,0))</f>
        <v>La Niña</v>
      </c>
      <c r="O186" s="12" t="str">
        <f>INDEX(ENSO_seasons!$U:$U,MATCH(E186,ENSO_seasons!$A:$A,0))</f>
        <v>La Niña</v>
      </c>
      <c r="P186" s="4">
        <f>SUMIFS(Daily!$D$3:$D$7756,Daily!$B$3:$B$7756,$A186)</f>
        <v>140.191</v>
      </c>
      <c r="Q186" s="3">
        <f>AVERAGEIFS(Daily!$E$3:$E$7756,Daily!$B$3:$B$7756,$A186)</f>
        <v>21.298387096774192</v>
      </c>
      <c r="R186" s="3">
        <f>AVERAGEIFS(Daily!$F$3:$F$7756,Daily!$B$3:$B$7756,$A186)</f>
        <v>25.49032258064516</v>
      </c>
      <c r="S186" s="3">
        <f>AVERAGEIFS(Daily!$G$3:$G$7756,Daily!$B$3:$B$7756,$A186)</f>
        <v>18.142580645161285</v>
      </c>
      <c r="T186" s="4">
        <f>SUMIFS(Daily!$H$3:$H$7756,Daily!$B$3:$B$7756,$A186)</f>
        <v>187.79</v>
      </c>
      <c r="U186" s="4">
        <f>SUMIFS(Daily!$I$3:$I$7756,Daily!$B$3:$B$7756,$A186)</f>
        <v>154.544</v>
      </c>
      <c r="V186" s="3">
        <f>AVERAGEIFS(Daily!$J$3:$J$7756,Daily!$B$3:$B$7756,$A186)</f>
        <v>21.922258064516125</v>
      </c>
      <c r="W186" s="3">
        <f>AVERAGEIFS(Daily!$K$3:$K$7756,Daily!$B$3:$B$7756,$A186)</f>
        <v>25.972903225806455</v>
      </c>
      <c r="X186" s="3">
        <f>AVERAGEIFS(Daily!$L$3:$L$7756,Daily!$B$3:$B$7756,$A186)</f>
        <v>18.73290322580645</v>
      </c>
      <c r="Y186" s="4">
        <f>SUMIFS(Daily!$M$3:$M$7756,Daily!$B$3:$B$7756,$A186)</f>
        <v>197.3</v>
      </c>
      <c r="Z186" s="4">
        <f>SUMIFS(Daily!$N$3:$N$7756,Daily!$B$3:$B$7756,$A186)</f>
        <v>246.973</v>
      </c>
      <c r="AA186" s="3">
        <f>AVERAGEIFS(Daily!$O$3:$O$7756,Daily!$B$3:$B$7756,$A186)</f>
        <v>22.286774193548382</v>
      </c>
      <c r="AB186" s="3">
        <f>AVERAGEIFS(Daily!$P$3:$P$7756,Daily!$B$3:$B$7756,$A186)</f>
        <v>26.05354838709678</v>
      </c>
      <c r="AC186" s="3">
        <f>AVERAGEIFS(Daily!$Q$3:$Q$7756,Daily!$B$3:$B$7756,$A186)</f>
        <v>19.527096774193545</v>
      </c>
      <c r="AD186" s="4">
        <f>SUMIFS(Daily!$R$3:$R$7756,Daily!$B$3:$B$7756,$A186)</f>
        <v>184.0</v>
      </c>
      <c r="AE186" s="4">
        <f>AVERAGE(P186,U186,Z186)</f>
        <v>180.56933333333336</v>
      </c>
      <c r="AF186" s="3">
        <f>AVERAGE(Q186,V186,AA186)</f>
        <v>21.8358064516129</v>
      </c>
      <c r="AG186" s="3">
        <f>AVERAGE(R186,W186,AB186)</f>
        <v>25.8389247311828</v>
      </c>
      <c r="AH186" s="3">
        <f>AVERAGE(S186,X186,AC186)</f>
        <v>18.80086021505376</v>
      </c>
      <c r="AI186" s="4">
        <f>AVERAGE(T186,Y186,AD186)</f>
        <v>189.6966666666667</v>
      </c>
    </row>
    <row r="187">
      <c r="A187" s="2" t="inlineStr">
        <is>
          <t xml:space="preserve">2020-11</t>
        </is>
      </c>
      <c r="B187" s="2">
        <v>2020</v>
      </c>
      <c r="C187" s="2">
        <v>11</v>
      </c>
      <c r="D187" s="2" t="inlineStr">
        <is>
          <t xml:space="preserve">Nov</t>
        </is>
      </c>
      <c r="E187" s="2" t="inlineStr">
        <is>
          <t xml:space="preserve">2020/21</t>
        </is>
      </c>
      <c r="F187" s="2">
        <v>5</v>
      </c>
      <c r="G187" s="9">
        <v>44136</v>
      </c>
      <c r="H187" s="9">
        <v>44165</v>
      </c>
      <c r="I187" s="2">
        <f>H187-G187+1</f>
        <v>30</v>
      </c>
      <c r="J187" s="2">
        <f>COUNTIF(Daily!$B$3:$B$7756,A187)</f>
        <v>30</v>
      </c>
      <c r="K187" s="2" t="str">
        <f>IF(J187=I187,"complete","partial ("&amp;J187&amp;" days)")</f>
        <v>complete</v>
      </c>
      <c r="L187" s="3">
        <f>INDEX(ENSO_monthly!$F:$F,MATCH(A187,ENSO_monthly!$A:$A,0))</f>
        <v>-1.11</v>
      </c>
      <c r="M187" s="2" t="str">
        <f>INDEX(ENSO_monthly!$D:$D,MATCH(A187,ENSO_monthly!$A:$A,0))</f>
        <v>OND</v>
      </c>
      <c r="N187" s="5" t="str">
        <f>INDEX(ENSO_monthly!$L:$L,MATCH(A187,ENSO_monthly!$A:$A,0))</f>
        <v>La Niña</v>
      </c>
      <c r="O187" s="12" t="str">
        <f>INDEX(ENSO_seasons!$U:$U,MATCH(E187,ENSO_seasons!$A:$A,0))</f>
        <v>La Niña</v>
      </c>
      <c r="P187" s="4">
        <f>SUMIFS(Daily!$D$3:$D$7756,Daily!$B$3:$B$7756,$A187)</f>
        <v>212.268</v>
      </c>
      <c r="Q187" s="3">
        <f>AVERAGEIFS(Daily!$E$3:$E$7756,Daily!$B$3:$B$7756,$A187)</f>
        <v>20.58000000000001</v>
      </c>
      <c r="R187" s="3">
        <f>AVERAGEIFS(Daily!$F$3:$F$7756,Daily!$B$3:$B$7756,$A187)</f>
        <v>24.369999999999994</v>
      </c>
      <c r="S187" s="3">
        <f>AVERAGEIFS(Daily!$G$3:$G$7756,Daily!$B$3:$B$7756,$A187)</f>
        <v>17.775666666666666</v>
      </c>
      <c r="T187" s="4">
        <f>SUMIFS(Daily!$H$3:$H$7756,Daily!$B$3:$B$7756,$A187)</f>
        <v>346.48</v>
      </c>
      <c r="U187" s="4">
        <f>SUMIFS(Daily!$I$3:$I$7756,Daily!$B$3:$B$7756,$A187)</f>
        <v>195.619</v>
      </c>
      <c r="V187" s="3">
        <f>AVERAGEIFS(Daily!$J$3:$J$7756,Daily!$B$3:$B$7756,$A187)</f>
        <v>20.896333333333338</v>
      </c>
      <c r="W187" s="3">
        <f>AVERAGEIFS(Daily!$K$3:$K$7756,Daily!$B$3:$B$7756,$A187)</f>
        <v>24.663666666666668</v>
      </c>
      <c r="X187" s="3">
        <f>AVERAGEIFS(Daily!$L$3:$L$7756,Daily!$B$3:$B$7756,$A187)</f>
        <v>18.150000000000002</v>
      </c>
      <c r="Y187" s="4">
        <f>SUMIFS(Daily!$M$3:$M$7756,Daily!$B$3:$B$7756,$A187)</f>
        <v>294.92</v>
      </c>
      <c r="Z187" s="4">
        <f>SUMIFS(Daily!$N$3:$N$7756,Daily!$B$3:$B$7756,$A187)</f>
        <v>439.708</v>
      </c>
      <c r="AA187" s="3">
        <f>AVERAGEIFS(Daily!$O$3:$O$7756,Daily!$B$3:$B$7756,$A187)</f>
        <v>21.212333333333326</v>
      </c>
      <c r="AB187" s="3">
        <f>AVERAGEIFS(Daily!$P$3:$P$7756,Daily!$B$3:$B$7756,$A187)</f>
        <v>24.605333333333327</v>
      </c>
      <c r="AC187" s="3">
        <f>AVERAGEIFS(Daily!$Q$3:$Q$7756,Daily!$B$3:$B$7756,$A187)</f>
        <v>18.737000000000002</v>
      </c>
      <c r="AD187" s="4">
        <f>SUMIFS(Daily!$R$3:$R$7756,Daily!$B$3:$B$7756,$A187)</f>
        <v>526.19</v>
      </c>
      <c r="AE187" s="4">
        <f>AVERAGE(P187,U187,Z187)</f>
        <v>282.5316666666667</v>
      </c>
      <c r="AF187" s="3">
        <f>AVERAGE(Q187,V187,AA187)</f>
        <v>20.896222222222224</v>
      </c>
      <c r="AG187" s="3">
        <f>AVERAGE(R187,W187,AB187)</f>
        <v>24.546333333333326</v>
      </c>
      <c r="AH187" s="3">
        <f>AVERAGE(S187,X187,AC187)</f>
        <v>18.22088888888889</v>
      </c>
      <c r="AI187" s="4">
        <f>AVERAGE(T187,Y187,AD187)</f>
        <v>389.1966666666667</v>
      </c>
    </row>
    <row r="188">
      <c r="A188" s="2" t="inlineStr">
        <is>
          <t xml:space="preserve">2020-12</t>
        </is>
      </c>
      <c r="B188" s="2">
        <v>2020</v>
      </c>
      <c r="C188" s="2">
        <v>12</v>
      </c>
      <c r="D188" s="2" t="inlineStr">
        <is>
          <t xml:space="preserve">Dec</t>
        </is>
      </c>
      <c r="E188" s="2" t="inlineStr">
        <is>
          <t xml:space="preserve">2020/21</t>
        </is>
      </c>
      <c r="F188" s="2">
        <v>6</v>
      </c>
      <c r="G188" s="9">
        <v>44166</v>
      </c>
      <c r="H188" s="9">
        <v>44196</v>
      </c>
      <c r="I188" s="2">
        <f>H188-G188+1</f>
        <v>31</v>
      </c>
      <c r="J188" s="2">
        <f>COUNTIF(Daily!$B$3:$B$7756,A188)</f>
        <v>31</v>
      </c>
      <c r="K188" s="2" t="str">
        <f>IF(J188=I188,"complete","partial ("&amp;J188&amp;" days)")</f>
        <v>complete</v>
      </c>
      <c r="L188" s="3">
        <f>INDEX(ENSO_monthly!$F:$F,MATCH(A188,ENSO_monthly!$A:$A,0))</f>
        <v>-1.06</v>
      </c>
      <c r="M188" s="2" t="str">
        <f>INDEX(ENSO_monthly!$D:$D,MATCH(A188,ENSO_monthly!$A:$A,0))</f>
        <v>NDJ</v>
      </c>
      <c r="N188" s="5" t="str">
        <f>INDEX(ENSO_monthly!$L:$L,MATCH(A188,ENSO_monthly!$A:$A,0))</f>
        <v>La Niña</v>
      </c>
      <c r="O188" s="12" t="str">
        <f>INDEX(ENSO_seasons!$U:$U,MATCH(E188,ENSO_seasons!$A:$A,0))</f>
        <v>La Niña</v>
      </c>
      <c r="P188" s="4">
        <f>SUMIFS(Daily!$D$3:$D$7756,Daily!$B$3:$B$7756,$A188)</f>
        <v>3.37</v>
      </c>
      <c r="Q188" s="3">
        <f>AVERAGEIFS(Daily!$E$3:$E$7756,Daily!$B$3:$B$7756,$A188)</f>
        <v>18.61774193548387</v>
      </c>
      <c r="R188" s="3">
        <f>AVERAGEIFS(Daily!$F$3:$F$7756,Daily!$B$3:$B$7756,$A188)</f>
        <v>23.291612903225804</v>
      </c>
      <c r="S188" s="3">
        <f>AVERAGEIFS(Daily!$G$3:$G$7756,Daily!$B$3:$B$7756,$A188)</f>
        <v>15.195483870967742</v>
      </c>
      <c r="T188" s="4">
        <f>SUMIFS(Daily!$H$3:$H$7756,Daily!$B$3:$B$7756,$A188)</f>
        <v>360.29</v>
      </c>
      <c r="U188" s="4">
        <f>SUMIFS(Daily!$I$3:$I$7756,Daily!$B$3:$B$7756,$A188)</f>
        <v>6.775</v>
      </c>
      <c r="V188" s="3">
        <f>AVERAGEIFS(Daily!$J$3:$J$7756,Daily!$B$3:$B$7756,$A188)</f>
        <v>19.304838709677416</v>
      </c>
      <c r="W188" s="3">
        <f>AVERAGEIFS(Daily!$K$3:$K$7756,Daily!$B$3:$B$7756,$A188)</f>
        <v>24.23225806451613</v>
      </c>
      <c r="X188" s="3">
        <f>AVERAGEIFS(Daily!$L$3:$L$7756,Daily!$B$3:$B$7756,$A188)</f>
        <v>15.62096774193548</v>
      </c>
      <c r="Y188" s="4">
        <f>SUMIFS(Daily!$M$3:$M$7756,Daily!$B$3:$B$7756,$A188)</f>
        <v>20.72</v>
      </c>
      <c r="Z188" s="4">
        <f>SUMIFS(Daily!$N$3:$N$7756,Daily!$B$3:$B$7756,$A188)</f>
        <v>25.996</v>
      </c>
      <c r="AA188" s="3">
        <f>AVERAGEIFS(Daily!$O$3:$O$7756,Daily!$B$3:$B$7756,$A188)</f>
        <v>19.490322580645167</v>
      </c>
      <c r="AB188" s="3">
        <f>AVERAGEIFS(Daily!$P$3:$P$7756,Daily!$B$3:$B$7756,$A188)</f>
        <v>23.74032258064516</v>
      </c>
      <c r="AC188" s="3">
        <f>AVERAGEIFS(Daily!$Q$3:$Q$7756,Daily!$B$3:$B$7756,$A188)</f>
        <v>16.52451612903226</v>
      </c>
      <c r="AD188" s="4">
        <f>SUMIFS(Daily!$R$3:$R$7756,Daily!$B$3:$B$7756,$A188)</f>
        <v>149.82</v>
      </c>
      <c r="AE188" s="4">
        <f>AVERAGE(P188,U188,Z188)</f>
        <v>12.046999999999999</v>
      </c>
      <c r="AF188" s="3">
        <f>AVERAGE(Q188,V188,AA188)</f>
        <v>19.137634408602153</v>
      </c>
      <c r="AG188" s="3">
        <f>AVERAGE(R188,W188,AB188)</f>
        <v>23.754731182795698</v>
      </c>
      <c r="AH188" s="3">
        <f>AVERAGE(S188,X188,AC188)</f>
        <v>15.780322580645162</v>
      </c>
      <c r="AI188" s="4">
        <f>AVERAGE(T188,Y188,AD188)</f>
        <v>176.9433333333333</v>
      </c>
    </row>
    <row r="189">
      <c r="A189" s="2" t="inlineStr">
        <is>
          <t xml:space="preserve">2021-01</t>
        </is>
      </c>
      <c r="B189" s="2">
        <v>2021</v>
      </c>
      <c r="C189" s="2">
        <v>1</v>
      </c>
      <c r="D189" s="2" t="inlineStr">
        <is>
          <t xml:space="preserve">Jan</t>
        </is>
      </c>
      <c r="E189" s="2" t="inlineStr">
        <is>
          <t xml:space="preserve">2020/21</t>
        </is>
      </c>
      <c r="F189" s="2">
        <v>7</v>
      </c>
      <c r="G189" s="9">
        <v>44197</v>
      </c>
      <c r="H189" s="9">
        <v>44227</v>
      </c>
      <c r="I189" s="2">
        <f>H189-G189+1</f>
        <v>31</v>
      </c>
      <c r="J189" s="2">
        <f>COUNTIF(Daily!$B$3:$B$7756,A189)</f>
        <v>31</v>
      </c>
      <c r="K189" s="2" t="str">
        <f>IF(J189=I189,"complete","partial ("&amp;J189&amp;" days)")</f>
        <v>complete</v>
      </c>
      <c r="L189" s="3">
        <f>INDEX(ENSO_monthly!$F:$F,MATCH(A189,ENSO_monthly!$A:$A,0))</f>
        <v>-0.99</v>
      </c>
      <c r="M189" s="2" t="str">
        <f>INDEX(ENSO_monthly!$D:$D,MATCH(A189,ENSO_monthly!$A:$A,0))</f>
        <v>DJF</v>
      </c>
      <c r="N189" s="5" t="str">
        <f>INDEX(ENSO_monthly!$L:$L,MATCH(A189,ENSO_monthly!$A:$A,0))</f>
        <v>La Niña</v>
      </c>
      <c r="O189" s="12" t="str">
        <f>INDEX(ENSO_seasons!$U:$U,MATCH(E189,ENSO_seasons!$A:$A,0))</f>
        <v>La Niña</v>
      </c>
      <c r="P189" s="4">
        <f>SUMIFS(Daily!$D$3:$D$7756,Daily!$B$3:$B$7756,$A189)</f>
        <v>2.95</v>
      </c>
      <c r="Q189" s="3">
        <f>AVERAGEIFS(Daily!$E$3:$E$7756,Daily!$B$3:$B$7756,$A189)</f>
        <v>18.839354838709678</v>
      </c>
      <c r="R189" s="3">
        <f>AVERAGEIFS(Daily!$F$3:$F$7756,Daily!$B$3:$B$7756,$A189)</f>
        <v>23.70096774193548</v>
      </c>
      <c r="S189" s="3">
        <f>AVERAGEIFS(Daily!$G$3:$G$7756,Daily!$B$3:$B$7756,$A189)</f>
        <v>15.393870967741934</v>
      </c>
      <c r="T189" s="4">
        <f>SUMIFS(Daily!$H$3:$H$7756,Daily!$B$3:$B$7756,$A189)</f>
        <v>242.85</v>
      </c>
      <c r="U189" s="4">
        <f>SUMIFS(Daily!$I$3:$I$7756,Daily!$B$3:$B$7756,$A189)</f>
        <v>11.085</v>
      </c>
      <c r="V189" s="3">
        <f>AVERAGEIFS(Daily!$J$3:$J$7756,Daily!$B$3:$B$7756,$A189)</f>
        <v>19.829677419354837</v>
      </c>
      <c r="W189" s="3">
        <f>AVERAGEIFS(Daily!$K$3:$K$7756,Daily!$B$3:$B$7756,$A189)</f>
        <v>24.90064516129032</v>
      </c>
      <c r="X189" s="3">
        <f>AVERAGEIFS(Daily!$L$3:$L$7756,Daily!$B$3:$B$7756,$A189)</f>
        <v>16.070967741935487</v>
      </c>
      <c r="Y189" s="4">
        <f>SUMIFS(Daily!$M$3:$M$7756,Daily!$B$3:$B$7756,$A189)</f>
        <v>53.19</v>
      </c>
      <c r="Z189" s="4">
        <f>SUMIFS(Daily!$N$3:$N$7756,Daily!$B$3:$B$7756,$A189)</f>
        <v>35.406</v>
      </c>
      <c r="AA189" s="3">
        <f>AVERAGEIFS(Daily!$O$3:$O$7756,Daily!$B$3:$B$7756,$A189)</f>
        <v>19.88290322580645</v>
      </c>
      <c r="AB189" s="3">
        <f>AVERAGEIFS(Daily!$P$3:$P$7756,Daily!$B$3:$B$7756,$A189)</f>
        <v>24.269354838709674</v>
      </c>
      <c r="AC189" s="3">
        <f>AVERAGEIFS(Daily!$Q$3:$Q$7756,Daily!$B$3:$B$7756,$A189)</f>
        <v>16.762903225806454</v>
      </c>
      <c r="AD189" s="4">
        <f>SUMIFS(Daily!$R$3:$R$7756,Daily!$B$3:$B$7756,$A189)</f>
        <v>171.23</v>
      </c>
      <c r="AE189" s="4">
        <f>AVERAGE(P189,U189,Z189)</f>
        <v>16.480333333333334</v>
      </c>
      <c r="AF189" s="3">
        <f>AVERAGE(Q189,V189,AA189)</f>
        <v>19.51731182795699</v>
      </c>
      <c r="AG189" s="3">
        <f>AVERAGE(R189,W189,AB189)</f>
        <v>24.290322580645157</v>
      </c>
      <c r="AH189" s="3">
        <f>AVERAGE(S189,X189,AC189)</f>
        <v>16.075913978494626</v>
      </c>
      <c r="AI189" s="4">
        <f>AVERAGE(T189,Y189,AD189)</f>
        <v>155.75666666666666</v>
      </c>
    </row>
    <row r="190">
      <c r="A190" s="2" t="inlineStr">
        <is>
          <t xml:space="preserve">2021-02</t>
        </is>
      </c>
      <c r="B190" s="2">
        <v>2021</v>
      </c>
      <c r="C190" s="2">
        <v>2</v>
      </c>
      <c r="D190" s="2" t="inlineStr">
        <is>
          <t xml:space="preserve">Feb</t>
        </is>
      </c>
      <c r="E190" s="2" t="inlineStr">
        <is>
          <t xml:space="preserve">2020/21</t>
        </is>
      </c>
      <c r="F190" s="2">
        <v>8</v>
      </c>
      <c r="G190" s="9">
        <v>44228</v>
      </c>
      <c r="H190" s="9">
        <v>44255</v>
      </c>
      <c r="I190" s="2">
        <f>H190-G190+1</f>
        <v>28</v>
      </c>
      <c r="J190" s="2">
        <f>COUNTIF(Daily!$B$3:$B$7756,A190)</f>
        <v>28</v>
      </c>
      <c r="K190" s="2" t="str">
        <f>IF(J190=I190,"complete","partial ("&amp;J190&amp;" days)")</f>
        <v>complete</v>
      </c>
      <c r="L190" s="3">
        <f>INDEX(ENSO_monthly!$F:$F,MATCH(A190,ENSO_monthly!$A:$A,0))</f>
        <v>-0.85</v>
      </c>
      <c r="M190" s="2" t="str">
        <f>INDEX(ENSO_monthly!$D:$D,MATCH(A190,ENSO_monthly!$A:$A,0))</f>
        <v>JFM</v>
      </c>
      <c r="N190" s="5" t="str">
        <f>INDEX(ENSO_monthly!$L:$L,MATCH(A190,ENSO_monthly!$A:$A,0))</f>
        <v>La Niña</v>
      </c>
      <c r="O190" s="12" t="str">
        <f>INDEX(ENSO_seasons!$U:$U,MATCH(E190,ENSO_seasons!$A:$A,0))</f>
        <v>La Niña</v>
      </c>
      <c r="P190" s="4">
        <f>SUMIFS(Daily!$D$3:$D$7756,Daily!$B$3:$B$7756,$A190)</f>
        <v>7.916</v>
      </c>
      <c r="Q190" s="3">
        <f>AVERAGEIFS(Daily!$E$3:$E$7756,Daily!$B$3:$B$7756,$A190)</f>
        <v>19.291785714285712</v>
      </c>
      <c r="R190" s="3">
        <f>AVERAGEIFS(Daily!$F$3:$F$7756,Daily!$B$3:$B$7756,$A190)</f>
        <v>24.895714285714284</v>
      </c>
      <c r="S190" s="3">
        <f>AVERAGEIFS(Daily!$G$3:$G$7756,Daily!$B$3:$B$7756,$A190)</f>
        <v>14.683571428571426</v>
      </c>
      <c r="T190" s="4">
        <f>SUMIFS(Daily!$H$3:$H$7756,Daily!$B$3:$B$7756,$A190)</f>
        <v>22.91</v>
      </c>
      <c r="U190" s="4">
        <f>SUMIFS(Daily!$I$3:$I$7756,Daily!$B$3:$B$7756,$A190)</f>
        <v>19.94</v>
      </c>
      <c r="V190" s="3">
        <f>AVERAGEIFS(Daily!$J$3:$J$7756,Daily!$B$3:$B$7756,$A190)</f>
        <v>20.227142857142862</v>
      </c>
      <c r="W190" s="3">
        <f>AVERAGEIFS(Daily!$K$3:$K$7756,Daily!$B$3:$B$7756,$A190)</f>
        <v>26.203214285714285</v>
      </c>
      <c r="X190" s="3">
        <f>AVERAGEIFS(Daily!$L$3:$L$7756,Daily!$B$3:$B$7756,$A190)</f>
        <v>15.566428571428569</v>
      </c>
      <c r="Y190" s="4">
        <f>SUMIFS(Daily!$M$3:$M$7756,Daily!$B$3:$B$7756,$A190)</f>
        <v>25.32</v>
      </c>
      <c r="Z190" s="4">
        <f>SUMIFS(Daily!$N$3:$N$7756,Daily!$B$3:$B$7756,$A190)</f>
        <v>35.748</v>
      </c>
      <c r="AA190" s="3">
        <f>AVERAGEIFS(Daily!$O$3:$O$7756,Daily!$B$3:$B$7756,$A190)</f>
        <v>20.203928571428573</v>
      </c>
      <c r="AB190" s="3">
        <f>AVERAGEIFS(Daily!$P$3:$P$7756,Daily!$B$3:$B$7756,$A190)</f>
        <v>25.2925</v>
      </c>
      <c r="AC190" s="3">
        <f>AVERAGEIFS(Daily!$Q$3:$Q$7756,Daily!$B$3:$B$7756,$A190)</f>
        <v>16.231785714285714</v>
      </c>
      <c r="AD190" s="4">
        <f>SUMIFS(Daily!$R$3:$R$7756,Daily!$B$3:$B$7756,$A190)</f>
        <v>46.95</v>
      </c>
      <c r="AE190" s="4">
        <f>AVERAGE(P190,U190,Z190)</f>
        <v>21.201333333333334</v>
      </c>
      <c r="AF190" s="3">
        <f>AVERAGE(Q190,V190,AA190)</f>
        <v>19.90761904761905</v>
      </c>
      <c r="AG190" s="3">
        <f>AVERAGE(R190,W190,AB190)</f>
        <v>25.463809523809527</v>
      </c>
      <c r="AH190" s="3">
        <f>AVERAGE(S190,X190,AC190)</f>
        <v>15.493928571428569</v>
      </c>
      <c r="AI190" s="4">
        <f>AVERAGE(T190,Y190,AD190)</f>
        <v>31.72666666666667</v>
      </c>
    </row>
    <row r="191">
      <c r="A191" s="2" t="inlineStr">
        <is>
          <t xml:space="preserve">2021-03</t>
        </is>
      </c>
      <c r="B191" s="2">
        <v>2021</v>
      </c>
      <c r="C191" s="2">
        <v>3</v>
      </c>
      <c r="D191" s="2" t="inlineStr">
        <is>
          <t xml:space="preserve">Mar</t>
        </is>
      </c>
      <c r="E191" s="2" t="inlineStr">
        <is>
          <t xml:space="preserve">2020/21</t>
        </is>
      </c>
      <c r="F191" s="2">
        <v>9</v>
      </c>
      <c r="G191" s="9">
        <v>44256</v>
      </c>
      <c r="H191" s="9">
        <v>44286</v>
      </c>
      <c r="I191" s="2">
        <f>H191-G191+1</f>
        <v>31</v>
      </c>
      <c r="J191" s="2">
        <f>COUNTIF(Daily!$B$3:$B$7756,A191)</f>
        <v>31</v>
      </c>
      <c r="K191" s="2" t="str">
        <f>IF(J191=I191,"complete","partial ("&amp;J191&amp;" days)")</f>
        <v>complete</v>
      </c>
      <c r="L191" s="3">
        <f>INDEX(ENSO_monthly!$F:$F,MATCH(A191,ENSO_monthly!$A:$A,0))</f>
        <v>-0.74</v>
      </c>
      <c r="M191" s="2" t="str">
        <f>INDEX(ENSO_monthly!$D:$D,MATCH(A191,ENSO_monthly!$A:$A,0))</f>
        <v>FMA</v>
      </c>
      <c r="N191" s="5" t="str">
        <f>INDEX(ENSO_monthly!$L:$L,MATCH(A191,ENSO_monthly!$A:$A,0))</f>
        <v>La Niña</v>
      </c>
      <c r="O191" s="12" t="str">
        <f>INDEX(ENSO_seasons!$U:$U,MATCH(E191,ENSO_seasons!$A:$A,0))</f>
        <v>La Niña</v>
      </c>
      <c r="P191" s="4">
        <f>SUMIFS(Daily!$D$3:$D$7756,Daily!$B$3:$B$7756,$A191)</f>
        <v>3.218</v>
      </c>
      <c r="Q191" s="3">
        <f>AVERAGEIFS(Daily!$E$3:$E$7756,Daily!$B$3:$B$7756,$A191)</f>
        <v>20.16709677419355</v>
      </c>
      <c r="R191" s="3">
        <f>AVERAGEIFS(Daily!$F$3:$F$7756,Daily!$B$3:$B$7756,$A191)</f>
        <v>26.002903225806456</v>
      </c>
      <c r="S191" s="3">
        <f>AVERAGEIFS(Daily!$G$3:$G$7756,Daily!$B$3:$B$7756,$A191)</f>
        <v>15.235161290322583</v>
      </c>
      <c r="T191" s="4">
        <f>SUMIFS(Daily!$H$3:$H$7756,Daily!$B$3:$B$7756,$A191)</f>
        <v>283.95</v>
      </c>
      <c r="U191" s="4">
        <f>SUMIFS(Daily!$I$3:$I$7756,Daily!$B$3:$B$7756,$A191)</f>
        <v>7.027</v>
      </c>
      <c r="V191" s="3">
        <f>AVERAGEIFS(Daily!$J$3:$J$7756,Daily!$B$3:$B$7756,$A191)</f>
        <v>21.58903225806451</v>
      </c>
      <c r="W191" s="3">
        <f>AVERAGEIFS(Daily!$K$3:$K$7756,Daily!$B$3:$B$7756,$A191)</f>
        <v>28.06129032258064</v>
      </c>
      <c r="X191" s="3">
        <f>AVERAGEIFS(Daily!$L$3:$L$7756,Daily!$B$3:$B$7756,$A191)</f>
        <v>16.562258064516126</v>
      </c>
      <c r="Y191" s="4">
        <f>SUMIFS(Daily!$M$3:$M$7756,Daily!$B$3:$B$7756,$A191)</f>
        <v>191.71</v>
      </c>
      <c r="Z191" s="4">
        <f>SUMIFS(Daily!$N$3:$N$7756,Daily!$B$3:$B$7756,$A191)</f>
        <v>24.869</v>
      </c>
      <c r="AA191" s="3">
        <f>AVERAGEIFS(Daily!$O$3:$O$7756,Daily!$B$3:$B$7756,$A191)</f>
        <v>20.999032258064513</v>
      </c>
      <c r="AB191" s="3">
        <f>AVERAGEIFS(Daily!$P$3:$P$7756,Daily!$B$3:$B$7756,$A191)</f>
        <v>26.322903225806456</v>
      </c>
      <c r="AC191" s="3">
        <f>AVERAGEIFS(Daily!$Q$3:$Q$7756,Daily!$B$3:$B$7756,$A191)</f>
        <v>16.96645161290323</v>
      </c>
      <c r="AD191" s="4">
        <f>SUMIFS(Daily!$R$3:$R$7756,Daily!$B$3:$B$7756,$A191)</f>
        <v>288.45</v>
      </c>
      <c r="AE191" s="4">
        <f>AVERAGE(P191,U191,Z191)</f>
        <v>11.704666666666668</v>
      </c>
      <c r="AF191" s="3">
        <f>AVERAGE(Q191,V191,AA191)</f>
        <v>20.918387096774193</v>
      </c>
      <c r="AG191" s="3">
        <f>AVERAGE(R191,W191,AB191)</f>
        <v>26.795698924731184</v>
      </c>
      <c r="AH191" s="3">
        <f>AVERAGE(S191,X191,AC191)</f>
        <v>16.254623655913978</v>
      </c>
      <c r="AI191" s="4">
        <f>AVERAGE(T191,Y191,AD191)</f>
        <v>254.7033333333333</v>
      </c>
    </row>
    <row r="192">
      <c r="A192" s="2" t="inlineStr">
        <is>
          <t xml:space="preserve">2021-04</t>
        </is>
      </c>
      <c r="B192" s="2">
        <v>2021</v>
      </c>
      <c r="C192" s="2">
        <v>4</v>
      </c>
      <c r="D192" s="2" t="inlineStr">
        <is>
          <t xml:space="preserve">Apr</t>
        </is>
      </c>
      <c r="E192" s="2" t="inlineStr">
        <is>
          <t xml:space="preserve">2020/21</t>
        </is>
      </c>
      <c r="F192" s="2">
        <v>10</v>
      </c>
      <c r="G192" s="9">
        <v>44287</v>
      </c>
      <c r="H192" s="9">
        <v>44316</v>
      </c>
      <c r="I192" s="2">
        <f>H192-G192+1</f>
        <v>30</v>
      </c>
      <c r="J192" s="2">
        <f>COUNTIF(Daily!$B$3:$B$7756,A192)</f>
        <v>30</v>
      </c>
      <c r="K192" s="2" t="str">
        <f>IF(J192=I192,"complete","partial ("&amp;J192&amp;" days)")</f>
        <v>complete</v>
      </c>
      <c r="L192" s="3">
        <f>INDEX(ENSO_monthly!$F:$F,MATCH(A192,ENSO_monthly!$A:$A,0))</f>
        <v>-0.56</v>
      </c>
      <c r="M192" s="2" t="str">
        <f>INDEX(ENSO_monthly!$D:$D,MATCH(A192,ENSO_monthly!$A:$A,0))</f>
        <v>MAM</v>
      </c>
      <c r="N192" s="5" t="str">
        <f>INDEX(ENSO_monthly!$L:$L,MATCH(A192,ENSO_monthly!$A:$A,0))</f>
        <v>La Niña</v>
      </c>
      <c r="O192" s="12" t="str">
        <f>INDEX(ENSO_seasons!$U:$U,MATCH(E192,ENSO_seasons!$A:$A,0))</f>
        <v>La Niña</v>
      </c>
      <c r="P192" s="4">
        <f>SUMIFS(Daily!$D$3:$D$7756,Daily!$B$3:$B$7756,$A192)</f>
        <v>186.406</v>
      </c>
      <c r="Q192" s="3">
        <f>AVERAGEIFS(Daily!$E$3:$E$7756,Daily!$B$3:$B$7756,$A192)</f>
        <v>22.113333333333333</v>
      </c>
      <c r="R192" s="3">
        <f>AVERAGEIFS(Daily!$F$3:$F$7756,Daily!$B$3:$B$7756,$A192)</f>
        <v>27.28433333333333</v>
      </c>
      <c r="S192" s="3">
        <f>AVERAGEIFS(Daily!$G$3:$G$7756,Daily!$B$3:$B$7756,$A192)</f>
        <v>17.711333333333336</v>
      </c>
      <c r="T192" s="4">
        <f>SUMIFS(Daily!$H$3:$H$7756,Daily!$B$3:$B$7756,$A192)</f>
        <v>122.3</v>
      </c>
      <c r="U192" s="4">
        <f>SUMIFS(Daily!$I$3:$I$7756,Daily!$B$3:$B$7756,$A192)</f>
        <v>41.586</v>
      </c>
      <c r="V192" s="3">
        <f>AVERAGEIFS(Daily!$J$3:$J$7756,Daily!$B$3:$B$7756,$A192)</f>
        <v>23.193666666666672</v>
      </c>
      <c r="W192" s="3">
        <f>AVERAGEIFS(Daily!$K$3:$K$7756,Daily!$B$3:$B$7756,$A192)</f>
        <v>28.790666666666663</v>
      </c>
      <c r="X192" s="3">
        <f>AVERAGEIFS(Daily!$L$3:$L$7756,Daily!$B$3:$B$7756,$A192)</f>
        <v>18.933333333333334</v>
      </c>
      <c r="Y192" s="4">
        <f>SUMIFS(Daily!$M$3:$M$7756,Daily!$B$3:$B$7756,$A192)</f>
        <v>67.81</v>
      </c>
      <c r="Z192" s="4">
        <f>SUMIFS(Daily!$N$3:$N$7756,Daily!$B$3:$B$7756,$A192)</f>
        <v>113.47</v>
      </c>
      <c r="AA192" s="3">
        <f>AVERAGEIFS(Daily!$O$3:$O$7756,Daily!$B$3:$B$7756,$A192)</f>
        <v>22.90966666666667</v>
      </c>
      <c r="AB192" s="3">
        <f>AVERAGEIFS(Daily!$P$3:$P$7756,Daily!$B$3:$B$7756,$A192)</f>
        <v>27.776000000000003</v>
      </c>
      <c r="AC192" s="3">
        <f>AVERAGEIFS(Daily!$Q$3:$Q$7756,Daily!$B$3:$B$7756,$A192)</f>
        <v>19.267999999999997</v>
      </c>
      <c r="AD192" s="4">
        <f>SUMIFS(Daily!$R$3:$R$7756,Daily!$B$3:$B$7756,$A192)</f>
        <v>91.25</v>
      </c>
      <c r="AE192" s="4">
        <f>AVERAGE(P192,U192,Z192)</f>
        <v>113.82066666666667</v>
      </c>
      <c r="AF192" s="3">
        <f>AVERAGE(Q192,V192,AA192)</f>
        <v>22.73888888888889</v>
      </c>
      <c r="AG192" s="3">
        <f>AVERAGE(R192,W192,AB192)</f>
        <v>27.950333333333333</v>
      </c>
      <c r="AH192" s="3">
        <f>AVERAGE(S192,X192,AC192)</f>
        <v>18.637555555555554</v>
      </c>
      <c r="AI192" s="4">
        <f>AVERAGE(T192,Y192,AD192)</f>
        <v>93.78666666666668</v>
      </c>
    </row>
    <row r="193">
      <c r="A193" s="2" t="inlineStr">
        <is>
          <t xml:space="preserve">2021-05</t>
        </is>
      </c>
      <c r="B193" s="2">
        <v>2021</v>
      </c>
      <c r="C193" s="2">
        <v>5</v>
      </c>
      <c r="D193" s="2" t="inlineStr">
        <is>
          <t xml:space="preserve">May</t>
        </is>
      </c>
      <c r="E193" s="2" t="inlineStr">
        <is>
          <t xml:space="preserve">2020/21</t>
        </is>
      </c>
      <c r="F193" s="2">
        <v>11</v>
      </c>
      <c r="G193" s="9">
        <v>44317</v>
      </c>
      <c r="H193" s="9">
        <v>44347</v>
      </c>
      <c r="I193" s="2">
        <f>H193-G193+1</f>
        <v>31</v>
      </c>
      <c r="J193" s="2">
        <f>COUNTIF(Daily!$B$3:$B$7756,A193)</f>
        <v>31</v>
      </c>
      <c r="K193" s="2" t="str">
        <f>IF(J193=I193,"complete","partial ("&amp;J193&amp;" days)")</f>
        <v>complete</v>
      </c>
      <c r="L193" s="3">
        <f>INDEX(ENSO_monthly!$F:$F,MATCH(A193,ENSO_monthly!$A:$A,0))</f>
        <v>-0.4</v>
      </c>
      <c r="M193" s="2" t="str">
        <f>INDEX(ENSO_monthly!$D:$D,MATCH(A193,ENSO_monthly!$A:$A,0))</f>
        <v>AMJ</v>
      </c>
      <c r="N193" s="2" t="str">
        <f>INDEX(ENSO_monthly!$L:$L,MATCH(A193,ENSO_monthly!$A:$A,0))</f>
        <v>—</v>
      </c>
      <c r="O193" s="12" t="str">
        <f>INDEX(ENSO_seasons!$U:$U,MATCH(E193,ENSO_seasons!$A:$A,0))</f>
        <v>La Niña</v>
      </c>
      <c r="P193" s="4">
        <f>SUMIFS(Daily!$D$3:$D$7756,Daily!$B$3:$B$7756,$A193)</f>
        <v>104.648</v>
      </c>
      <c r="Q193" s="3">
        <f>AVERAGEIFS(Daily!$E$3:$E$7756,Daily!$B$3:$B$7756,$A193)</f>
        <v>23.18870967741936</v>
      </c>
      <c r="R193" s="3">
        <f>AVERAGEIFS(Daily!$F$3:$F$7756,Daily!$B$3:$B$7756,$A193)</f>
        <v>28.659032258064517</v>
      </c>
      <c r="S193" s="3">
        <f>AVERAGEIFS(Daily!$G$3:$G$7756,Daily!$B$3:$B$7756,$A193)</f>
        <v>18.519354838709674</v>
      </c>
      <c r="T193" s="4">
        <f>SUMIFS(Daily!$H$3:$H$7756,Daily!$B$3:$B$7756,$A193)</f>
        <v>122.69</v>
      </c>
      <c r="U193" s="4">
        <f>SUMIFS(Daily!$I$3:$I$7756,Daily!$B$3:$B$7756,$A193)</f>
        <v>144.432</v>
      </c>
      <c r="V193" s="3">
        <f>AVERAGEIFS(Daily!$J$3:$J$7756,Daily!$B$3:$B$7756,$A193)</f>
        <v>23.923225806451605</v>
      </c>
      <c r="W193" s="3">
        <f>AVERAGEIFS(Daily!$K$3:$K$7756,Daily!$B$3:$B$7756,$A193)</f>
        <v>29.23806451612903</v>
      </c>
      <c r="X193" s="3">
        <f>AVERAGEIFS(Daily!$L$3:$L$7756,Daily!$B$3:$B$7756,$A193)</f>
        <v>19.776129032258062</v>
      </c>
      <c r="Y193" s="4">
        <f>SUMIFS(Daily!$M$3:$M$7756,Daily!$B$3:$B$7756,$A193)</f>
        <v>443.3</v>
      </c>
      <c r="Z193" s="4">
        <f>SUMIFS(Daily!$N$3:$N$7756,Daily!$B$3:$B$7756,$A193)</f>
        <v>75.194</v>
      </c>
      <c r="AA193" s="3">
        <f>AVERAGEIFS(Daily!$O$3:$O$7756,Daily!$B$3:$B$7756,$A193)</f>
        <v>23.690645161290327</v>
      </c>
      <c r="AB193" s="3">
        <f>AVERAGEIFS(Daily!$P$3:$P$7756,Daily!$B$3:$B$7756,$A193)</f>
        <v>28.53387096774194</v>
      </c>
      <c r="AC193" s="3">
        <f>AVERAGEIFS(Daily!$Q$3:$Q$7756,Daily!$B$3:$B$7756,$A193)</f>
        <v>20.1541935483871</v>
      </c>
      <c r="AD193" s="4">
        <f>SUMIFS(Daily!$R$3:$R$7756,Daily!$B$3:$B$7756,$A193)</f>
        <v>358.9</v>
      </c>
      <c r="AE193" s="4">
        <f>AVERAGE(P193,U193,Z193)</f>
        <v>108.09133333333334</v>
      </c>
      <c r="AF193" s="3">
        <f>AVERAGE(Q193,V193,AA193)</f>
        <v>23.600860215053768</v>
      </c>
      <c r="AG193" s="3">
        <f>AVERAGE(R193,W193,AB193)</f>
        <v>28.810322580645163</v>
      </c>
      <c r="AH193" s="3">
        <f>AVERAGE(S193,X193,AC193)</f>
        <v>19.48322580645161</v>
      </c>
      <c r="AI193" s="4">
        <f>AVERAGE(T193,Y193,AD193)</f>
        <v>308.2966666666667</v>
      </c>
    </row>
    <row r="194">
      <c r="A194" s="2" t="inlineStr">
        <is>
          <t xml:space="preserve">2021-06</t>
        </is>
      </c>
      <c r="B194" s="2">
        <v>2021</v>
      </c>
      <c r="C194" s="2">
        <v>6</v>
      </c>
      <c r="D194" s="2" t="inlineStr">
        <is>
          <t xml:space="preserve">Jun</t>
        </is>
      </c>
      <c r="E194" s="2" t="inlineStr">
        <is>
          <t xml:space="preserve">2020/21</t>
        </is>
      </c>
      <c r="F194" s="2">
        <v>12</v>
      </c>
      <c r="G194" s="9">
        <v>44348</v>
      </c>
      <c r="H194" s="9">
        <v>44377</v>
      </c>
      <c r="I194" s="2">
        <f>H194-G194+1</f>
        <v>30</v>
      </c>
      <c r="J194" s="2">
        <f>COUNTIF(Daily!$B$3:$B$7756,A194)</f>
        <v>30</v>
      </c>
      <c r="K194" s="2" t="str">
        <f>IF(J194=I194,"complete","partial ("&amp;J194&amp;" days)")</f>
        <v>complete</v>
      </c>
      <c r="L194" s="3">
        <f>INDEX(ENSO_monthly!$F:$F,MATCH(A194,ENSO_monthly!$A:$A,0))</f>
        <v>-0.31</v>
      </c>
      <c r="M194" s="2" t="str">
        <f>INDEX(ENSO_monthly!$D:$D,MATCH(A194,ENSO_monthly!$A:$A,0))</f>
        <v>MJJ</v>
      </c>
      <c r="N194" s="2" t="str">
        <f>INDEX(ENSO_monthly!$L:$L,MATCH(A194,ENSO_monthly!$A:$A,0))</f>
        <v>—</v>
      </c>
      <c r="O194" s="12" t="str">
        <f>INDEX(ENSO_seasons!$U:$U,MATCH(E194,ENSO_seasons!$A:$A,0))</f>
        <v>La Niña</v>
      </c>
      <c r="P194" s="4">
        <f>SUMIFS(Daily!$D$3:$D$7756,Daily!$B$3:$B$7756,$A194)</f>
        <v>227.072</v>
      </c>
      <c r="Q194" s="3">
        <f>AVERAGEIFS(Daily!$E$3:$E$7756,Daily!$B$3:$B$7756,$A194)</f>
        <v>22.597666666666665</v>
      </c>
      <c r="R194" s="3">
        <f>AVERAGEIFS(Daily!$F$3:$F$7756,Daily!$B$3:$B$7756,$A194)</f>
        <v>27.120333333333328</v>
      </c>
      <c r="S194" s="3">
        <f>AVERAGEIFS(Daily!$G$3:$G$7756,Daily!$B$3:$B$7756,$A194)</f>
        <v>18.929333333333332</v>
      </c>
      <c r="T194" s="4">
        <f>SUMIFS(Daily!$H$3:$H$7756,Daily!$B$3:$B$7756,$A194)</f>
        <v>210.87</v>
      </c>
      <c r="U194" s="4">
        <f>SUMIFS(Daily!$I$3:$I$7756,Daily!$B$3:$B$7756,$A194)</f>
        <v>307.854</v>
      </c>
      <c r="V194" s="3">
        <f>AVERAGEIFS(Daily!$J$3:$J$7756,Daily!$B$3:$B$7756,$A194)</f>
        <v>22.863333333333337</v>
      </c>
      <c r="W194" s="3">
        <f>AVERAGEIFS(Daily!$K$3:$K$7756,Daily!$B$3:$B$7756,$A194)</f>
        <v>26.508333333333336</v>
      </c>
      <c r="X194" s="3">
        <f>AVERAGEIFS(Daily!$L$3:$L$7756,Daily!$B$3:$B$7756,$A194)</f>
        <v>19.94666666666667</v>
      </c>
      <c r="Y194" s="4">
        <f>SUMIFS(Daily!$M$3:$M$7756,Daily!$B$3:$B$7756,$A194)</f>
        <v>335.31</v>
      </c>
      <c r="Z194" s="4">
        <f>SUMIFS(Daily!$N$3:$N$7756,Daily!$B$3:$B$7756,$A194)</f>
        <v>450.436</v>
      </c>
      <c r="AA194" s="3">
        <f>AVERAGEIFS(Daily!$O$3:$O$7756,Daily!$B$3:$B$7756,$A194)</f>
        <v>23.198333333333334</v>
      </c>
      <c r="AB194" s="3">
        <f>AVERAGEIFS(Daily!$P$3:$P$7756,Daily!$B$3:$B$7756,$A194)</f>
        <v>26.891</v>
      </c>
      <c r="AC194" s="3">
        <f>AVERAGEIFS(Daily!$Q$3:$Q$7756,Daily!$B$3:$B$7756,$A194)</f>
        <v>20.479333333333336</v>
      </c>
      <c r="AD194" s="4">
        <f>SUMIFS(Daily!$R$3:$R$7756,Daily!$B$3:$B$7756,$A194)</f>
        <v>271.5</v>
      </c>
      <c r="AE194" s="4">
        <f>AVERAGE(P194,U194,Z194)</f>
        <v>328.45399999999995</v>
      </c>
      <c r="AF194" s="3">
        <f>AVERAGE(Q194,V194,AA194)</f>
        <v>22.886444444444447</v>
      </c>
      <c r="AG194" s="3">
        <f>AVERAGE(R194,W194,AB194)</f>
        <v>26.83988888888889</v>
      </c>
      <c r="AH194" s="3">
        <f>AVERAGE(S194,X194,AC194)</f>
        <v>19.785111111111114</v>
      </c>
      <c r="AI194" s="4">
        <f>AVERAGE(T194,Y194,AD194)</f>
        <v>272.56</v>
      </c>
    </row>
    <row r="195">
      <c r="A195" s="2" t="inlineStr">
        <is>
          <t xml:space="preserve">2021-07</t>
        </is>
      </c>
      <c r="B195" s="2">
        <v>2021</v>
      </c>
      <c r="C195" s="2">
        <v>7</v>
      </c>
      <c r="D195" s="2" t="inlineStr">
        <is>
          <t xml:space="preserve">Jul</t>
        </is>
      </c>
      <c r="E195" s="2" t="inlineStr">
        <is>
          <t xml:space="preserve">2021/22</t>
        </is>
      </c>
      <c r="F195" s="2">
        <v>1</v>
      </c>
      <c r="G195" s="9">
        <v>44378</v>
      </c>
      <c r="H195" s="9">
        <v>44408</v>
      </c>
      <c r="I195" s="2">
        <f>H195-G195+1</f>
        <v>31</v>
      </c>
      <c r="J195" s="2">
        <f>COUNTIF(Daily!$B$3:$B$7756,A195)</f>
        <v>31</v>
      </c>
      <c r="K195" s="2" t="str">
        <f>IF(J195=I195,"complete","partial ("&amp;J195&amp;" days)")</f>
        <v>complete</v>
      </c>
      <c r="L195" s="3">
        <f>INDEX(ENSO_monthly!$F:$F,MATCH(A195,ENSO_monthly!$A:$A,0))</f>
        <v>-0.35</v>
      </c>
      <c r="M195" s="2" t="str">
        <f>INDEX(ENSO_monthly!$D:$D,MATCH(A195,ENSO_monthly!$A:$A,0))</f>
        <v>JJA</v>
      </c>
      <c r="N195" s="2" t="str">
        <f>INDEX(ENSO_monthly!$L:$L,MATCH(A195,ENSO_monthly!$A:$A,0))</f>
        <v>—</v>
      </c>
      <c r="O195" s="12" t="str">
        <f>INDEX(ENSO_seasons!$U:$U,MATCH(E195,ENSO_seasons!$A:$A,0))</f>
        <v>La Niña</v>
      </c>
      <c r="P195" s="4">
        <f>SUMIFS(Daily!$D$3:$D$7756,Daily!$B$3:$B$7756,$A195)</f>
        <v>109.618</v>
      </c>
      <c r="Q195" s="3">
        <f>AVERAGEIFS(Daily!$E$3:$E$7756,Daily!$B$3:$B$7756,$A195)</f>
        <v>22.078387096774193</v>
      </c>
      <c r="R195" s="3">
        <f>AVERAGEIFS(Daily!$F$3:$F$7756,Daily!$B$3:$B$7756,$A195)</f>
        <v>27.09548387096775</v>
      </c>
      <c r="S195" s="3">
        <f>AVERAGEIFS(Daily!$G$3:$G$7756,Daily!$B$3:$B$7756,$A195)</f>
        <v>17.973225806451616</v>
      </c>
      <c r="T195" s="4">
        <f>SUMIFS(Daily!$H$3:$H$7756,Daily!$B$3:$B$7756,$A195)</f>
        <v>102.26</v>
      </c>
      <c r="U195" s="4">
        <f>SUMIFS(Daily!$I$3:$I$7756,Daily!$B$3:$B$7756,$A195)</f>
        <v>160.959</v>
      </c>
      <c r="V195" s="3">
        <f>AVERAGEIFS(Daily!$J$3:$J$7756,Daily!$B$3:$B$7756,$A195)</f>
        <v>22.62161290322581</v>
      </c>
      <c r="W195" s="3">
        <f>AVERAGEIFS(Daily!$K$3:$K$7756,Daily!$B$3:$B$7756,$A195)</f>
        <v>26.68290322580645</v>
      </c>
      <c r="X195" s="3">
        <f>AVERAGEIFS(Daily!$L$3:$L$7756,Daily!$B$3:$B$7756,$A195)</f>
        <v>19.373225806451615</v>
      </c>
      <c r="Y195" s="4">
        <f>SUMIFS(Daily!$M$3:$M$7756,Daily!$B$3:$B$7756,$A195)</f>
        <v>133.12</v>
      </c>
      <c r="Z195" s="4">
        <f>SUMIFS(Daily!$N$3:$N$7756,Daily!$B$3:$B$7756,$A195)</f>
        <v>115.291</v>
      </c>
      <c r="AA195" s="3">
        <f>AVERAGEIFS(Daily!$O$3:$O$7756,Daily!$B$3:$B$7756,$A195)</f>
        <v>22.979677419354836</v>
      </c>
      <c r="AB195" s="3">
        <f>AVERAGEIFS(Daily!$P$3:$P$7756,Daily!$B$3:$B$7756,$A195)</f>
        <v>26.901935483870968</v>
      </c>
      <c r="AC195" s="3">
        <f>AVERAGEIFS(Daily!$Q$3:$Q$7756,Daily!$B$3:$B$7756,$A195)</f>
        <v>20.271290322580647</v>
      </c>
      <c r="AD195" s="4">
        <f>SUMIFS(Daily!$R$3:$R$7756,Daily!$B$3:$B$7756,$A195)</f>
        <v>96.51</v>
      </c>
      <c r="AE195" s="4">
        <f>AVERAGE(P195,U195,Z195)</f>
        <v>128.62266666666667</v>
      </c>
      <c r="AF195" s="3">
        <f>AVERAGE(Q195,V195,AA195)</f>
        <v>22.559892473118282</v>
      </c>
      <c r="AG195" s="3">
        <f>AVERAGE(R195,W195,AB195)</f>
        <v>26.893440860215055</v>
      </c>
      <c r="AH195" s="3">
        <f>AVERAGE(S195,X195,AC195)</f>
        <v>19.205913978494625</v>
      </c>
      <c r="AI195" s="4">
        <f>AVERAGE(T195,Y195,AD195)</f>
        <v>110.63</v>
      </c>
    </row>
    <row r="196">
      <c r="A196" s="2" t="inlineStr">
        <is>
          <t xml:space="preserve">2021-08</t>
        </is>
      </c>
      <c r="B196" s="2">
        <v>2021</v>
      </c>
      <c r="C196" s="2">
        <v>8</v>
      </c>
      <c r="D196" s="2" t="inlineStr">
        <is>
          <t xml:space="preserve">Aug</t>
        </is>
      </c>
      <c r="E196" s="2" t="inlineStr">
        <is>
          <t xml:space="preserve">2021/22</t>
        </is>
      </c>
      <c r="F196" s="2">
        <v>2</v>
      </c>
      <c r="G196" s="9">
        <v>44409</v>
      </c>
      <c r="H196" s="9">
        <v>44439</v>
      </c>
      <c r="I196" s="2">
        <f>H196-G196+1</f>
        <v>31</v>
      </c>
      <c r="J196" s="2">
        <f>COUNTIF(Daily!$B$3:$B$7756,A196)</f>
        <v>31</v>
      </c>
      <c r="K196" s="2" t="str">
        <f>IF(J196=I196,"complete","partial ("&amp;J196&amp;" days)")</f>
        <v>complete</v>
      </c>
      <c r="L196" s="3">
        <f>INDEX(ENSO_monthly!$F:$F,MATCH(A196,ENSO_monthly!$A:$A,0))</f>
        <v>-0.46</v>
      </c>
      <c r="M196" s="2" t="str">
        <f>INDEX(ENSO_monthly!$D:$D,MATCH(A196,ENSO_monthly!$A:$A,0))</f>
        <v>JAS</v>
      </c>
      <c r="N196" s="5" t="str">
        <f>INDEX(ENSO_monthly!$L:$L,MATCH(A196,ENSO_monthly!$A:$A,0))</f>
        <v>La Niña</v>
      </c>
      <c r="O196" s="12" t="str">
        <f>INDEX(ENSO_seasons!$U:$U,MATCH(E196,ENSO_seasons!$A:$A,0))</f>
        <v>La Niña</v>
      </c>
      <c r="P196" s="4">
        <f>SUMIFS(Daily!$D$3:$D$7756,Daily!$B$3:$B$7756,$A196)</f>
        <v>232.284</v>
      </c>
      <c r="Q196" s="3">
        <f>AVERAGEIFS(Daily!$E$3:$E$7756,Daily!$B$3:$B$7756,$A196)</f>
        <v>22.102580645161286</v>
      </c>
      <c r="R196" s="3">
        <f>AVERAGEIFS(Daily!$F$3:$F$7756,Daily!$B$3:$B$7756,$A196)</f>
        <v>27.10290322580645</v>
      </c>
      <c r="S196" s="3">
        <f>AVERAGEIFS(Daily!$G$3:$G$7756,Daily!$B$3:$B$7756,$A196)</f>
        <v>18.161290322580644</v>
      </c>
      <c r="T196" s="4">
        <f>SUMIFS(Daily!$H$3:$H$7756,Daily!$B$3:$B$7756,$A196)</f>
        <v>187.85</v>
      </c>
      <c r="U196" s="4">
        <f>SUMIFS(Daily!$I$3:$I$7756,Daily!$B$3:$B$7756,$A196)</f>
        <v>229.253</v>
      </c>
      <c r="V196" s="3">
        <f>AVERAGEIFS(Daily!$J$3:$J$7756,Daily!$B$3:$B$7756,$A196)</f>
        <v>22.61774193548387</v>
      </c>
      <c r="W196" s="3">
        <f>AVERAGEIFS(Daily!$K$3:$K$7756,Daily!$B$3:$B$7756,$A196)</f>
        <v>26.67096774193548</v>
      </c>
      <c r="X196" s="3">
        <f>AVERAGEIFS(Daily!$L$3:$L$7756,Daily!$B$3:$B$7756,$A196)</f>
        <v>19.41645161290322</v>
      </c>
      <c r="Y196" s="4">
        <f>SUMIFS(Daily!$M$3:$M$7756,Daily!$B$3:$B$7756,$A196)</f>
        <v>262.97</v>
      </c>
      <c r="Z196" s="4">
        <f>SUMIFS(Daily!$N$3:$N$7756,Daily!$B$3:$B$7756,$A196)</f>
        <v>374.078</v>
      </c>
      <c r="AA196" s="3">
        <f>AVERAGEIFS(Daily!$O$3:$O$7756,Daily!$B$3:$B$7756,$A196)</f>
        <v>22.99806451612903</v>
      </c>
      <c r="AB196" s="3">
        <f>AVERAGEIFS(Daily!$P$3:$P$7756,Daily!$B$3:$B$7756,$A196)</f>
        <v>26.992580645161297</v>
      </c>
      <c r="AC196" s="3">
        <f>AVERAGEIFS(Daily!$Q$3:$Q$7756,Daily!$B$3:$B$7756,$A196)</f>
        <v>20.227096774193548</v>
      </c>
      <c r="AD196" s="4">
        <f>SUMIFS(Daily!$R$3:$R$7756,Daily!$B$3:$B$7756,$A196)</f>
        <v>225.87</v>
      </c>
      <c r="AE196" s="4">
        <f>AVERAGE(P196,U196,Z196)</f>
        <v>278.53833333333336</v>
      </c>
      <c r="AF196" s="3">
        <f>AVERAGE(Q196,V196,AA196)</f>
        <v>22.572795698924732</v>
      </c>
      <c r="AG196" s="3">
        <f>AVERAGE(R196,W196,AB196)</f>
        <v>26.92215053763441</v>
      </c>
      <c r="AH196" s="3">
        <f>AVERAGE(S196,X196,AC196)</f>
        <v>19.26827956989247</v>
      </c>
      <c r="AI196" s="4">
        <f>AVERAGE(T196,Y196,AD196)</f>
        <v>225.56333333333336</v>
      </c>
    </row>
    <row r="197">
      <c r="A197" s="2" t="inlineStr">
        <is>
          <t xml:space="preserve">2021-09</t>
        </is>
      </c>
      <c r="B197" s="2">
        <v>2021</v>
      </c>
      <c r="C197" s="2">
        <v>9</v>
      </c>
      <c r="D197" s="2" t="inlineStr">
        <is>
          <t xml:space="preserve">Sep</t>
        </is>
      </c>
      <c r="E197" s="2" t="inlineStr">
        <is>
          <t xml:space="preserve">2021/22</t>
        </is>
      </c>
      <c r="F197" s="2">
        <v>3</v>
      </c>
      <c r="G197" s="9">
        <v>44440</v>
      </c>
      <c r="H197" s="9">
        <v>44469</v>
      </c>
      <c r="I197" s="2">
        <f>H197-G197+1</f>
        <v>30</v>
      </c>
      <c r="J197" s="2">
        <f>COUNTIF(Daily!$B$3:$B$7756,A197)</f>
        <v>30</v>
      </c>
      <c r="K197" s="2" t="str">
        <f>IF(J197=I197,"complete","partial ("&amp;J197&amp;" days)")</f>
        <v>complete</v>
      </c>
      <c r="L197" s="3">
        <f>INDEX(ENSO_monthly!$F:$F,MATCH(A197,ENSO_monthly!$A:$A,0))</f>
        <v>-0.64</v>
      </c>
      <c r="M197" s="2" t="str">
        <f>INDEX(ENSO_monthly!$D:$D,MATCH(A197,ENSO_monthly!$A:$A,0))</f>
        <v>ASO</v>
      </c>
      <c r="N197" s="5" t="str">
        <f>INDEX(ENSO_monthly!$L:$L,MATCH(A197,ENSO_monthly!$A:$A,0))</f>
        <v>La Niña</v>
      </c>
      <c r="O197" s="12" t="str">
        <f>INDEX(ENSO_seasons!$U:$U,MATCH(E197,ENSO_seasons!$A:$A,0))</f>
        <v>La Niña</v>
      </c>
      <c r="P197" s="4">
        <f>SUMIFS(Daily!$D$3:$D$7756,Daily!$B$3:$B$7756,$A197)</f>
        <v>152.37</v>
      </c>
      <c r="Q197" s="3">
        <f>AVERAGEIFS(Daily!$E$3:$E$7756,Daily!$B$3:$B$7756,$A197)</f>
        <v>22.14166666666667</v>
      </c>
      <c r="R197" s="3">
        <f>AVERAGEIFS(Daily!$F$3:$F$7756,Daily!$B$3:$B$7756,$A197)</f>
        <v>26.99266666666666</v>
      </c>
      <c r="S197" s="3">
        <f>AVERAGEIFS(Daily!$G$3:$G$7756,Daily!$B$3:$B$7756,$A197)</f>
        <v>18.263333333333332</v>
      </c>
      <c r="T197" s="4">
        <f>SUMIFS(Daily!$H$3:$H$7756,Daily!$B$3:$B$7756,$A197)</f>
        <v>205.99</v>
      </c>
      <c r="U197" s="4">
        <f>SUMIFS(Daily!$I$3:$I$7756,Daily!$B$3:$B$7756,$A197)</f>
        <v>167.768</v>
      </c>
      <c r="V197" s="3">
        <f>AVERAGEIFS(Daily!$J$3:$J$7756,Daily!$B$3:$B$7756,$A197)</f>
        <v>22.564333333333334</v>
      </c>
      <c r="W197" s="3">
        <f>AVERAGEIFS(Daily!$K$3:$K$7756,Daily!$B$3:$B$7756,$A197)</f>
        <v>26.480999999999998</v>
      </c>
      <c r="X197" s="3">
        <f>AVERAGEIFS(Daily!$L$3:$L$7756,Daily!$B$3:$B$7756,$A197)</f>
        <v>19.505</v>
      </c>
      <c r="Y197" s="4">
        <f>SUMIFS(Daily!$M$3:$M$7756,Daily!$B$3:$B$7756,$A197)</f>
        <v>179.82</v>
      </c>
      <c r="Z197" s="4">
        <f>SUMIFS(Daily!$N$3:$N$7756,Daily!$B$3:$B$7756,$A197)</f>
        <v>131.503</v>
      </c>
      <c r="AA197" s="3">
        <f>AVERAGEIFS(Daily!$O$3:$O$7756,Daily!$B$3:$B$7756,$A197)</f>
        <v>23.101999999999997</v>
      </c>
      <c r="AB197" s="3">
        <f>AVERAGEIFS(Daily!$P$3:$P$7756,Daily!$B$3:$B$7756,$A197)</f>
        <v>27.257</v>
      </c>
      <c r="AC197" s="3">
        <f>AVERAGEIFS(Daily!$Q$3:$Q$7756,Daily!$B$3:$B$7756,$A197)</f>
        <v>20.20633333333333</v>
      </c>
      <c r="AD197" s="4">
        <f>SUMIFS(Daily!$R$3:$R$7756,Daily!$B$3:$B$7756,$A197)</f>
        <v>169.26</v>
      </c>
      <c r="AE197" s="4">
        <f>AVERAGE(P197,U197,Z197)</f>
        <v>150.547</v>
      </c>
      <c r="AF197" s="3">
        <f>AVERAGE(Q197,V197,AA197)</f>
        <v>22.602666666666664</v>
      </c>
      <c r="AG197" s="3">
        <f>AVERAGE(R197,W197,AB197)</f>
        <v>26.91022222222222</v>
      </c>
      <c r="AH197" s="3">
        <f>AVERAGE(S197,X197,AC197)</f>
        <v>19.32488888888889</v>
      </c>
      <c r="AI197" s="4">
        <f>AVERAGE(T197,Y197,AD197)</f>
        <v>185.0233333333333</v>
      </c>
    </row>
    <row r="198">
      <c r="A198" s="2" t="inlineStr">
        <is>
          <t xml:space="preserve">2021-10</t>
        </is>
      </c>
      <c r="B198" s="2">
        <v>2021</v>
      </c>
      <c r="C198" s="2">
        <v>10</v>
      </c>
      <c r="D198" s="2" t="inlineStr">
        <is>
          <t xml:space="preserve">Oct</t>
        </is>
      </c>
      <c r="E198" s="2" t="inlineStr">
        <is>
          <t xml:space="preserve">2021/22</t>
        </is>
      </c>
      <c r="F198" s="2">
        <v>4</v>
      </c>
      <c r="G198" s="9">
        <v>44470</v>
      </c>
      <c r="H198" s="9">
        <v>44500</v>
      </c>
      <c r="I198" s="2">
        <f>H198-G198+1</f>
        <v>31</v>
      </c>
      <c r="J198" s="2">
        <f>COUNTIF(Daily!$B$3:$B$7756,A198)</f>
        <v>31</v>
      </c>
      <c r="K198" s="2" t="str">
        <f>IF(J198=I198,"complete","partial ("&amp;J198&amp;" days)")</f>
        <v>complete</v>
      </c>
      <c r="L198" s="3">
        <f>INDEX(ENSO_monthly!$F:$F,MATCH(A198,ENSO_monthly!$A:$A,0))</f>
        <v>-0.77</v>
      </c>
      <c r="M198" s="2" t="str">
        <f>INDEX(ENSO_monthly!$D:$D,MATCH(A198,ENSO_monthly!$A:$A,0))</f>
        <v>SON</v>
      </c>
      <c r="N198" s="5" t="str">
        <f>INDEX(ENSO_monthly!$L:$L,MATCH(A198,ENSO_monthly!$A:$A,0))</f>
        <v>La Niña</v>
      </c>
      <c r="O198" s="12" t="str">
        <f>INDEX(ENSO_seasons!$U:$U,MATCH(E198,ENSO_seasons!$A:$A,0))</f>
        <v>La Niña</v>
      </c>
      <c r="P198" s="4">
        <f>SUMIFS(Daily!$D$3:$D$7756,Daily!$B$3:$B$7756,$A198)</f>
        <v>175.261</v>
      </c>
      <c r="Q198" s="3">
        <f>AVERAGEIFS(Daily!$E$3:$E$7756,Daily!$B$3:$B$7756,$A198)</f>
        <v>21.95483870967742</v>
      </c>
      <c r="R198" s="3">
        <f>AVERAGEIFS(Daily!$F$3:$F$7756,Daily!$B$3:$B$7756,$A198)</f>
        <v>26.67064516129032</v>
      </c>
      <c r="S198" s="3">
        <f>AVERAGEIFS(Daily!$G$3:$G$7756,Daily!$B$3:$B$7756,$A198)</f>
        <v>18.24741935483871</v>
      </c>
      <c r="T198" s="4">
        <f>SUMIFS(Daily!$H$3:$H$7756,Daily!$B$3:$B$7756,$A198)</f>
        <v>222.16</v>
      </c>
      <c r="U198" s="4">
        <f>SUMIFS(Daily!$I$3:$I$7756,Daily!$B$3:$B$7756,$A198)</f>
        <v>133.58</v>
      </c>
      <c r="V198" s="3">
        <f>AVERAGEIFS(Daily!$J$3:$J$7756,Daily!$B$3:$B$7756,$A198)</f>
        <v>22.359999999999996</v>
      </c>
      <c r="W198" s="3">
        <f>AVERAGEIFS(Daily!$K$3:$K$7756,Daily!$B$3:$B$7756,$A198)</f>
        <v>26.550967741935477</v>
      </c>
      <c r="X198" s="3">
        <f>AVERAGEIFS(Daily!$L$3:$L$7756,Daily!$B$3:$B$7756,$A198)</f>
        <v>19.009999999999994</v>
      </c>
      <c r="Y198" s="4">
        <f>SUMIFS(Daily!$M$3:$M$7756,Daily!$B$3:$B$7756,$A198)</f>
        <v>227.95</v>
      </c>
      <c r="Z198" s="4">
        <f>SUMIFS(Daily!$N$3:$N$7756,Daily!$B$3:$B$7756,$A198)</f>
        <v>239.776</v>
      </c>
      <c r="AA198" s="3">
        <f>AVERAGEIFS(Daily!$O$3:$O$7756,Daily!$B$3:$B$7756,$A198)</f>
        <v>22.82129032258064</v>
      </c>
      <c r="AB198" s="3">
        <f>AVERAGEIFS(Daily!$P$3:$P$7756,Daily!$B$3:$B$7756,$A198)</f>
        <v>26.928387096774188</v>
      </c>
      <c r="AC198" s="3">
        <f>AVERAGEIFS(Daily!$Q$3:$Q$7756,Daily!$B$3:$B$7756,$A198)</f>
        <v>20.001290322580644</v>
      </c>
      <c r="AD198" s="4">
        <f>SUMIFS(Daily!$R$3:$R$7756,Daily!$B$3:$B$7756,$A198)</f>
        <v>252.7</v>
      </c>
      <c r="AE198" s="4">
        <f>AVERAGE(P198,U198,Z198)</f>
        <v>182.87233333333333</v>
      </c>
      <c r="AF198" s="3">
        <f>AVERAGE(Q198,V198,AA198)</f>
        <v>22.37870967741935</v>
      </c>
      <c r="AG198" s="3">
        <f>AVERAGE(R198,W198,AB198)</f>
        <v>26.716666666666658</v>
      </c>
      <c r="AH198" s="3">
        <f>AVERAGE(S198,X198,AC198)</f>
        <v>19.08623655913978</v>
      </c>
      <c r="AI198" s="4">
        <f>AVERAGE(T198,Y198,AD198)</f>
        <v>234.26999999999998</v>
      </c>
    </row>
    <row r="199">
      <c r="A199" s="2" t="inlineStr">
        <is>
          <t xml:space="preserve">2021-11</t>
        </is>
      </c>
      <c r="B199" s="2">
        <v>2021</v>
      </c>
      <c r="C199" s="2">
        <v>11</v>
      </c>
      <c r="D199" s="2" t="inlineStr">
        <is>
          <t xml:space="preserve">Nov</t>
        </is>
      </c>
      <c r="E199" s="2" t="inlineStr">
        <is>
          <t xml:space="preserve">2021/22</t>
        </is>
      </c>
      <c r="F199" s="2">
        <v>5</v>
      </c>
      <c r="G199" s="9">
        <v>44501</v>
      </c>
      <c r="H199" s="9">
        <v>44530</v>
      </c>
      <c r="I199" s="2">
        <f>H199-G199+1</f>
        <v>30</v>
      </c>
      <c r="J199" s="2">
        <f>COUNTIF(Daily!$B$3:$B$7756,A199)</f>
        <v>30</v>
      </c>
      <c r="K199" s="2" t="str">
        <f>IF(J199=I199,"complete","partial ("&amp;J199&amp;" days)")</f>
        <v>complete</v>
      </c>
      <c r="L199" s="3">
        <f>INDEX(ENSO_monthly!$F:$F,MATCH(A199,ENSO_monthly!$A:$A,0))</f>
        <v>-0.91</v>
      </c>
      <c r="M199" s="2" t="str">
        <f>INDEX(ENSO_monthly!$D:$D,MATCH(A199,ENSO_monthly!$A:$A,0))</f>
        <v>OND</v>
      </c>
      <c r="N199" s="5" t="str">
        <f>INDEX(ENSO_monthly!$L:$L,MATCH(A199,ENSO_monthly!$A:$A,0))</f>
        <v>La Niña</v>
      </c>
      <c r="O199" s="12" t="str">
        <f>INDEX(ENSO_seasons!$U:$U,MATCH(E199,ENSO_seasons!$A:$A,0))</f>
        <v>La Niña</v>
      </c>
      <c r="P199" s="4">
        <f>SUMIFS(Daily!$D$3:$D$7756,Daily!$B$3:$B$7756,$A199)</f>
        <v>4.951</v>
      </c>
      <c r="Q199" s="3">
        <f>AVERAGEIFS(Daily!$E$3:$E$7756,Daily!$B$3:$B$7756,$A199)</f>
        <v>19.435333333333332</v>
      </c>
      <c r="R199" s="3">
        <f>AVERAGEIFS(Daily!$F$3:$F$7756,Daily!$B$3:$B$7756,$A199)</f>
        <v>24.21766666666667</v>
      </c>
      <c r="S199" s="3">
        <f>AVERAGEIFS(Daily!$G$3:$G$7756,Daily!$B$3:$B$7756,$A199)</f>
        <v>16.162000000000003</v>
      </c>
      <c r="T199" s="4">
        <f>SUMIFS(Daily!$H$3:$H$7756,Daily!$B$3:$B$7756,$A199)</f>
        <v>189.8</v>
      </c>
      <c r="U199" s="4">
        <f>SUMIFS(Daily!$I$3:$I$7756,Daily!$B$3:$B$7756,$A199)</f>
        <v>13.11</v>
      </c>
      <c r="V199" s="3">
        <f>AVERAGEIFS(Daily!$J$3:$J$7756,Daily!$B$3:$B$7756,$A199)</f>
        <v>19.473666666666666</v>
      </c>
      <c r="W199" s="3">
        <f>AVERAGEIFS(Daily!$K$3:$K$7756,Daily!$B$3:$B$7756,$A199)</f>
        <v>23.915666666666667</v>
      </c>
      <c r="X199" s="3">
        <f>AVERAGEIFS(Daily!$L$3:$L$7756,Daily!$B$3:$B$7756,$A199)</f>
        <v>16.298666666666666</v>
      </c>
      <c r="Y199" s="4">
        <f>SUMIFS(Daily!$M$3:$M$7756,Daily!$B$3:$B$7756,$A199)</f>
        <v>124.94</v>
      </c>
      <c r="Z199" s="4">
        <f>SUMIFS(Daily!$N$3:$N$7756,Daily!$B$3:$B$7756,$A199)</f>
        <v>55.094</v>
      </c>
      <c r="AA199" s="3">
        <f>AVERAGEIFS(Daily!$O$3:$O$7756,Daily!$B$3:$B$7756,$A199)</f>
        <v>19.707333333333334</v>
      </c>
      <c r="AB199" s="3">
        <f>AVERAGEIFS(Daily!$P$3:$P$7756,Daily!$B$3:$B$7756,$A199)</f>
        <v>23.71033333333333</v>
      </c>
      <c r="AC199" s="3">
        <f>AVERAGEIFS(Daily!$Q$3:$Q$7756,Daily!$B$3:$B$7756,$A199)</f>
        <v>17.053</v>
      </c>
      <c r="AD199" s="4">
        <f>SUMIFS(Daily!$R$3:$R$7756,Daily!$B$3:$B$7756,$A199)</f>
        <v>250.6</v>
      </c>
      <c r="AE199" s="4">
        <f>AVERAGE(P199,U199,Z199)</f>
        <v>24.385</v>
      </c>
      <c r="AF199" s="3">
        <f>AVERAGE(Q199,V199,AA199)</f>
        <v>19.538777777777778</v>
      </c>
      <c r="AG199" s="3">
        <f>AVERAGE(R199,W199,AB199)</f>
        <v>23.947888888888894</v>
      </c>
      <c r="AH199" s="3">
        <f>AVERAGE(S199,X199,AC199)</f>
        <v>16.504555555555555</v>
      </c>
      <c r="AI199" s="4">
        <f>AVERAGE(T199,Y199,AD199)</f>
        <v>188.4466666666667</v>
      </c>
    </row>
    <row r="200">
      <c r="A200" s="2" t="inlineStr">
        <is>
          <t xml:space="preserve">2021-12</t>
        </is>
      </c>
      <c r="B200" s="2">
        <v>2021</v>
      </c>
      <c r="C200" s="2">
        <v>12</v>
      </c>
      <c r="D200" s="2" t="inlineStr">
        <is>
          <t xml:space="preserve">Dec</t>
        </is>
      </c>
      <c r="E200" s="2" t="inlineStr">
        <is>
          <t xml:space="preserve">2021/22</t>
        </is>
      </c>
      <c r="F200" s="2">
        <v>6</v>
      </c>
      <c r="G200" s="9">
        <v>44531</v>
      </c>
      <c r="H200" s="9">
        <v>44561</v>
      </c>
      <c r="I200" s="2">
        <f>H200-G200+1</f>
        <v>31</v>
      </c>
      <c r="J200" s="2">
        <f>COUNTIF(Daily!$B$3:$B$7756,A200)</f>
        <v>31</v>
      </c>
      <c r="K200" s="2" t="str">
        <f>IF(J200=I200,"complete","partial ("&amp;J200&amp;" days)")</f>
        <v>complete</v>
      </c>
      <c r="L200" s="3">
        <f>INDEX(ENSO_monthly!$F:$F,MATCH(A200,ENSO_monthly!$A:$A,0))</f>
        <v>-0.83</v>
      </c>
      <c r="M200" s="2" t="str">
        <f>INDEX(ENSO_monthly!$D:$D,MATCH(A200,ENSO_monthly!$A:$A,0))</f>
        <v>NDJ</v>
      </c>
      <c r="N200" s="5" t="str">
        <f>INDEX(ENSO_monthly!$L:$L,MATCH(A200,ENSO_monthly!$A:$A,0))</f>
        <v>La Niña</v>
      </c>
      <c r="O200" s="12" t="str">
        <f>INDEX(ENSO_seasons!$U:$U,MATCH(E200,ENSO_seasons!$A:$A,0))</f>
        <v>La Niña</v>
      </c>
      <c r="P200" s="4">
        <f>SUMIFS(Daily!$D$3:$D$7756,Daily!$B$3:$B$7756,$A200)</f>
        <v>2.482</v>
      </c>
      <c r="Q200" s="3">
        <f>AVERAGEIFS(Daily!$E$3:$E$7756,Daily!$B$3:$B$7756,$A200)</f>
        <v>19.470645161290328</v>
      </c>
      <c r="R200" s="3">
        <f>AVERAGEIFS(Daily!$F$3:$F$7756,Daily!$B$3:$B$7756,$A200)</f>
        <v>24.93354838709677</v>
      </c>
      <c r="S200" s="3">
        <f>AVERAGEIFS(Daily!$G$3:$G$7756,Daily!$B$3:$B$7756,$A200)</f>
        <v>15.44</v>
      </c>
      <c r="T200" s="4">
        <f>SUMIFS(Daily!$H$3:$H$7756,Daily!$B$3:$B$7756,$A200)</f>
        <v>154.54</v>
      </c>
      <c r="U200" s="4">
        <f>SUMIFS(Daily!$I$3:$I$7756,Daily!$B$3:$B$7756,$A200)</f>
        <v>12.092</v>
      </c>
      <c r="V200" s="3">
        <f>AVERAGEIFS(Daily!$J$3:$J$7756,Daily!$B$3:$B$7756,$A200)</f>
        <v>19.902903225806455</v>
      </c>
      <c r="W200" s="3">
        <f>AVERAGEIFS(Daily!$K$3:$K$7756,Daily!$B$3:$B$7756,$A200)</f>
        <v>24.885806451612904</v>
      </c>
      <c r="X200" s="3">
        <f>AVERAGEIFS(Daily!$L$3:$L$7756,Daily!$B$3:$B$7756,$A200)</f>
        <v>16.20193548387097</v>
      </c>
      <c r="Y200" s="4">
        <f>SUMIFS(Daily!$M$3:$M$7756,Daily!$B$3:$B$7756,$A200)</f>
        <v>104.32</v>
      </c>
      <c r="Z200" s="4">
        <f>SUMIFS(Daily!$N$3:$N$7756,Daily!$B$3:$B$7756,$A200)</f>
        <v>14.776</v>
      </c>
      <c r="AA200" s="3">
        <f>AVERAGEIFS(Daily!$O$3:$O$7756,Daily!$B$3:$B$7756,$A200)</f>
        <v>20.249354838709678</v>
      </c>
      <c r="AB200" s="3">
        <f>AVERAGEIFS(Daily!$P$3:$P$7756,Daily!$B$3:$B$7756,$A200)</f>
        <v>24.646129032258063</v>
      </c>
      <c r="AC200" s="3">
        <f>AVERAGEIFS(Daily!$Q$3:$Q$7756,Daily!$B$3:$B$7756,$A200)</f>
        <v>17.110645161290325</v>
      </c>
      <c r="AD200" s="4">
        <f>SUMIFS(Daily!$R$3:$R$7756,Daily!$B$3:$B$7756,$A200)</f>
        <v>160.66</v>
      </c>
      <c r="AE200" s="4">
        <f>AVERAGE(P200,U200,Z200)</f>
        <v>9.783333333333333</v>
      </c>
      <c r="AF200" s="3">
        <f>AVERAGE(Q200,V200,AA200)</f>
        <v>19.87430107526882</v>
      </c>
      <c r="AG200" s="3">
        <f>AVERAGE(R200,W200,AB200)</f>
        <v>24.821827956989242</v>
      </c>
      <c r="AH200" s="3">
        <f>AVERAGE(S200,X200,AC200)</f>
        <v>16.250860215053763</v>
      </c>
      <c r="AI200" s="4">
        <f>AVERAGE(T200,Y200,AD200)</f>
        <v>139.84</v>
      </c>
    </row>
    <row r="201">
      <c r="A201" s="2" t="inlineStr">
        <is>
          <t xml:space="preserve">2022-01</t>
        </is>
      </c>
      <c r="B201" s="2">
        <v>2022</v>
      </c>
      <c r="C201" s="2">
        <v>1</v>
      </c>
      <c r="D201" s="2" t="inlineStr">
        <is>
          <t xml:space="preserve">Jan</t>
        </is>
      </c>
      <c r="E201" s="2" t="inlineStr">
        <is>
          <t xml:space="preserve">2021/22</t>
        </is>
      </c>
      <c r="F201" s="2">
        <v>7</v>
      </c>
      <c r="G201" s="9">
        <v>44562</v>
      </c>
      <c r="H201" s="9">
        <v>44592</v>
      </c>
      <c r="I201" s="2">
        <f>H201-G201+1</f>
        <v>31</v>
      </c>
      <c r="J201" s="2">
        <f>COUNTIF(Daily!$B$3:$B$7756,A201)</f>
        <v>31</v>
      </c>
      <c r="K201" s="2" t="str">
        <f>IF(J201=I201,"complete","partial ("&amp;J201&amp;" days)")</f>
        <v>complete</v>
      </c>
      <c r="L201" s="3">
        <f>INDEX(ENSO_monthly!$F:$F,MATCH(A201,ENSO_monthly!$A:$A,0))</f>
        <v>-0.76</v>
      </c>
      <c r="M201" s="2" t="str">
        <f>INDEX(ENSO_monthly!$D:$D,MATCH(A201,ENSO_monthly!$A:$A,0))</f>
        <v>DJF</v>
      </c>
      <c r="N201" s="5" t="str">
        <f>INDEX(ENSO_monthly!$L:$L,MATCH(A201,ENSO_monthly!$A:$A,0))</f>
        <v>La Niña</v>
      </c>
      <c r="O201" s="12" t="str">
        <f>INDEX(ENSO_seasons!$U:$U,MATCH(E201,ENSO_seasons!$A:$A,0))</f>
        <v>La Niña</v>
      </c>
      <c r="P201" s="4">
        <f>SUMIFS(Daily!$D$3:$D$7756,Daily!$B$3:$B$7756,$A201)</f>
        <v>11.926</v>
      </c>
      <c r="Q201" s="3">
        <f>AVERAGEIFS(Daily!$E$3:$E$7756,Daily!$B$3:$B$7756,$A201)</f>
        <v>19.239354838709676</v>
      </c>
      <c r="R201" s="3">
        <f>AVERAGEIFS(Daily!$F$3:$F$7756,Daily!$B$3:$B$7756,$A201)</f>
        <v>25.538387096774187</v>
      </c>
      <c r="S201" s="3">
        <f>AVERAGEIFS(Daily!$G$3:$G$7756,Daily!$B$3:$B$7756,$A201)</f>
        <v>14.67548387096774</v>
      </c>
      <c r="T201" s="4">
        <f>SUMIFS(Daily!$H$3:$H$7756,Daily!$B$3:$B$7756,$A201)</f>
        <v>29.03</v>
      </c>
      <c r="U201" s="4">
        <f>SUMIFS(Daily!$I$3:$I$7756,Daily!$B$3:$B$7756,$A201)</f>
        <v>13.49</v>
      </c>
      <c r="V201" s="3">
        <f>AVERAGEIFS(Daily!$J$3:$J$7756,Daily!$B$3:$B$7756,$A201)</f>
        <v>19.203225806451613</v>
      </c>
      <c r="W201" s="3">
        <f>AVERAGEIFS(Daily!$K$3:$K$7756,Daily!$B$3:$B$7756,$A201)</f>
        <v>24.611290322580643</v>
      </c>
      <c r="X201" s="3">
        <f>AVERAGEIFS(Daily!$L$3:$L$7756,Daily!$B$3:$B$7756,$A201)</f>
        <v>15.261290322580646</v>
      </c>
      <c r="Y201" s="4">
        <f>SUMIFS(Daily!$M$3:$M$7756,Daily!$B$3:$B$7756,$A201)</f>
        <v>31.27</v>
      </c>
      <c r="Z201" s="4">
        <f>SUMIFS(Daily!$N$3:$N$7756,Daily!$B$3:$B$7756,$A201)</f>
        <v>48.5</v>
      </c>
      <c r="AA201" s="3">
        <f>AVERAGEIFS(Daily!$O$3:$O$7756,Daily!$B$3:$B$7756,$A201)</f>
        <v>19.288709677419355</v>
      </c>
      <c r="AB201" s="3">
        <f>AVERAGEIFS(Daily!$P$3:$P$7756,Daily!$B$3:$B$7756,$A201)</f>
        <v>24.033548387096776</v>
      </c>
      <c r="AC201" s="3">
        <f>AVERAGEIFS(Daily!$Q$3:$Q$7756,Daily!$B$3:$B$7756,$A201)</f>
        <v>15.910645161290326</v>
      </c>
      <c r="AD201" s="4">
        <f>SUMIFS(Daily!$R$3:$R$7756,Daily!$B$3:$B$7756,$A201)</f>
        <v>68.07</v>
      </c>
      <c r="AE201" s="4">
        <f>AVERAGE(P201,U201,Z201)</f>
        <v>24.638666666666666</v>
      </c>
      <c r="AF201" s="3">
        <f>AVERAGE(Q201,V201,AA201)</f>
        <v>19.243763440860214</v>
      </c>
      <c r="AG201" s="3">
        <f>AVERAGE(R201,W201,AB201)</f>
        <v>24.727741935483866</v>
      </c>
      <c r="AH201" s="3">
        <f>AVERAGE(S201,X201,AC201)</f>
        <v>15.28247311827957</v>
      </c>
      <c r="AI201" s="4">
        <f>AVERAGE(T201,Y201,AD201)</f>
        <v>42.79</v>
      </c>
    </row>
    <row r="202">
      <c r="A202" s="2" t="inlineStr">
        <is>
          <t xml:space="preserve">2022-02</t>
        </is>
      </c>
      <c r="B202" s="2">
        <v>2022</v>
      </c>
      <c r="C202" s="2">
        <v>2</v>
      </c>
      <c r="D202" s="2" t="inlineStr">
        <is>
          <t xml:space="preserve">Feb</t>
        </is>
      </c>
      <c r="E202" s="2" t="inlineStr">
        <is>
          <t xml:space="preserve">2021/22</t>
        </is>
      </c>
      <c r="F202" s="2">
        <v>8</v>
      </c>
      <c r="G202" s="9">
        <v>44593</v>
      </c>
      <c r="H202" s="9">
        <v>44620</v>
      </c>
      <c r="I202" s="2">
        <f>H202-G202+1</f>
        <v>28</v>
      </c>
      <c r="J202" s="2">
        <f>COUNTIF(Daily!$B$3:$B$7756,A202)</f>
        <v>28</v>
      </c>
      <c r="K202" s="2" t="str">
        <f>IF(J202=I202,"complete","partial ("&amp;J202&amp;" days)")</f>
        <v>complete</v>
      </c>
      <c r="L202" s="3">
        <f>INDEX(ENSO_monthly!$F:$F,MATCH(A202,ENSO_monthly!$A:$A,0))</f>
        <v>-0.68</v>
      </c>
      <c r="M202" s="2" t="str">
        <f>INDEX(ENSO_monthly!$D:$D,MATCH(A202,ENSO_monthly!$A:$A,0))</f>
        <v>JFM</v>
      </c>
      <c r="N202" s="5" t="str">
        <f>INDEX(ENSO_monthly!$L:$L,MATCH(A202,ENSO_monthly!$A:$A,0))</f>
        <v>La Niña</v>
      </c>
      <c r="O202" s="12" t="str">
        <f>INDEX(ENSO_seasons!$U:$U,MATCH(E202,ENSO_seasons!$A:$A,0))</f>
        <v>La Niña</v>
      </c>
      <c r="P202" s="4">
        <f>SUMIFS(Daily!$D$3:$D$7756,Daily!$B$3:$B$7756,$A202)</f>
        <v>3.674</v>
      </c>
      <c r="Q202" s="3">
        <f>AVERAGEIFS(Daily!$E$3:$E$7756,Daily!$B$3:$B$7756,$A202)</f>
        <v>19.797499999999996</v>
      </c>
      <c r="R202" s="3">
        <f>AVERAGEIFS(Daily!$F$3:$F$7756,Daily!$B$3:$B$7756,$A202)</f>
        <v>25.99642857142857</v>
      </c>
      <c r="S202" s="3">
        <f>AVERAGEIFS(Daily!$G$3:$G$7756,Daily!$B$3:$B$7756,$A202)</f>
        <v>15.066785714285714</v>
      </c>
      <c r="T202" s="4">
        <f>SUMIFS(Daily!$H$3:$H$7756,Daily!$B$3:$B$7756,$A202)</f>
        <v>181.59</v>
      </c>
      <c r="U202" s="4">
        <f>SUMIFS(Daily!$I$3:$I$7756,Daily!$B$3:$B$7756,$A202)</f>
        <v>16.493</v>
      </c>
      <c r="V202" s="3">
        <f>AVERAGEIFS(Daily!$J$3:$J$7756,Daily!$B$3:$B$7756,$A202)</f>
        <v>19.912499999999998</v>
      </c>
      <c r="W202" s="3">
        <f>AVERAGEIFS(Daily!$K$3:$K$7756,Daily!$B$3:$B$7756,$A202)</f>
        <v>25.454642857142858</v>
      </c>
      <c r="X202" s="3">
        <f>AVERAGEIFS(Daily!$L$3:$L$7756,Daily!$B$3:$B$7756,$A202)</f>
        <v>15.788928571428572</v>
      </c>
      <c r="Y202" s="4">
        <f>SUMIFS(Daily!$M$3:$M$7756,Daily!$B$3:$B$7756,$A202)</f>
        <v>135.84</v>
      </c>
      <c r="Z202" s="4">
        <f>SUMIFS(Daily!$N$3:$N$7756,Daily!$B$3:$B$7756,$A202)</f>
        <v>61.149</v>
      </c>
      <c r="AA202" s="3">
        <f>AVERAGEIFS(Daily!$O$3:$O$7756,Daily!$B$3:$B$7756,$A202)</f>
        <v>19.83535714285714</v>
      </c>
      <c r="AB202" s="3">
        <f>AVERAGEIFS(Daily!$P$3:$P$7756,Daily!$B$3:$B$7756,$A202)</f>
        <v>24.539642857142866</v>
      </c>
      <c r="AC202" s="3">
        <f>AVERAGEIFS(Daily!$Q$3:$Q$7756,Daily!$B$3:$B$7756,$A202)</f>
        <v>16.41035714285714</v>
      </c>
      <c r="AD202" s="4">
        <f>SUMIFS(Daily!$R$3:$R$7756,Daily!$B$3:$B$7756,$A202)</f>
        <v>224.16</v>
      </c>
      <c r="AE202" s="4">
        <f>AVERAGE(P202,U202,Z202)</f>
        <v>27.105333333333334</v>
      </c>
      <c r="AF202" s="3">
        <f>AVERAGE(Q202,V202,AA202)</f>
        <v>19.848452380952377</v>
      </c>
      <c r="AG202" s="3">
        <f>AVERAGE(R202,W202,AB202)</f>
        <v>25.330238095238098</v>
      </c>
      <c r="AH202" s="3">
        <f>AVERAGE(S202,X202,AC202)</f>
        <v>15.755357142857141</v>
      </c>
      <c r="AI202" s="4">
        <f>AVERAGE(T202,Y202,AD202)</f>
        <v>180.53</v>
      </c>
    </row>
    <row r="203">
      <c r="A203" s="2" t="inlineStr">
        <is>
          <t xml:space="preserve">2022-03</t>
        </is>
      </c>
      <c r="B203" s="2">
        <v>2022</v>
      </c>
      <c r="C203" s="2">
        <v>3</v>
      </c>
      <c r="D203" s="2" t="inlineStr">
        <is>
          <t xml:space="preserve">Mar</t>
        </is>
      </c>
      <c r="E203" s="2" t="inlineStr">
        <is>
          <t xml:space="preserve">2021/22</t>
        </is>
      </c>
      <c r="F203" s="2">
        <v>9</v>
      </c>
      <c r="G203" s="9">
        <v>44621</v>
      </c>
      <c r="H203" s="9">
        <v>44651</v>
      </c>
      <c r="I203" s="2">
        <f>H203-G203+1</f>
        <v>31</v>
      </c>
      <c r="J203" s="2">
        <f>COUNTIF(Daily!$B$3:$B$7756,A203)</f>
        <v>31</v>
      </c>
      <c r="K203" s="2" t="str">
        <f>IF(J203=I203,"complete","partial ("&amp;J203&amp;" days)")</f>
        <v>complete</v>
      </c>
      <c r="L203" s="3">
        <f>INDEX(ENSO_monthly!$F:$F,MATCH(A203,ENSO_monthly!$A:$A,0))</f>
        <v>-0.77</v>
      </c>
      <c r="M203" s="2" t="str">
        <f>INDEX(ENSO_monthly!$D:$D,MATCH(A203,ENSO_monthly!$A:$A,0))</f>
        <v>FMA</v>
      </c>
      <c r="N203" s="5" t="str">
        <f>INDEX(ENSO_monthly!$L:$L,MATCH(A203,ENSO_monthly!$A:$A,0))</f>
        <v>La Niña</v>
      </c>
      <c r="O203" s="12" t="str">
        <f>INDEX(ENSO_seasons!$U:$U,MATCH(E203,ENSO_seasons!$A:$A,0))</f>
        <v>La Niña</v>
      </c>
      <c r="P203" s="4">
        <f>SUMIFS(Daily!$D$3:$D$7756,Daily!$B$3:$B$7756,$A203)</f>
        <v>12.942</v>
      </c>
      <c r="Q203" s="3">
        <f>AVERAGEIFS(Daily!$E$3:$E$7756,Daily!$B$3:$B$7756,$A203)</f>
        <v>22.239032258064515</v>
      </c>
      <c r="R203" s="3">
        <f>AVERAGEIFS(Daily!$F$3:$F$7756,Daily!$B$3:$B$7756,$A203)</f>
        <v>29.247096774193547</v>
      </c>
      <c r="S203" s="3">
        <f>AVERAGEIFS(Daily!$G$3:$G$7756,Daily!$B$3:$B$7756,$A203)</f>
        <v>16.690645161290327</v>
      </c>
      <c r="T203" s="4">
        <f>SUMIFS(Daily!$H$3:$H$7756,Daily!$B$3:$B$7756,$A203)</f>
        <v>59.39</v>
      </c>
      <c r="U203" s="4">
        <f>SUMIFS(Daily!$I$3:$I$7756,Daily!$B$3:$B$7756,$A203)</f>
        <v>30.209</v>
      </c>
      <c r="V203" s="3">
        <f>AVERAGEIFS(Daily!$J$3:$J$7756,Daily!$B$3:$B$7756,$A203)</f>
        <v>21.44193548387097</v>
      </c>
      <c r="W203" s="3">
        <f>AVERAGEIFS(Daily!$K$3:$K$7756,Daily!$B$3:$B$7756,$A203)</f>
        <v>26.96064516129032</v>
      </c>
      <c r="X203" s="3">
        <f>AVERAGEIFS(Daily!$L$3:$L$7756,Daily!$B$3:$B$7756,$A203)</f>
        <v>17.09483870967742</v>
      </c>
      <c r="Y203" s="4">
        <f>SUMIFS(Daily!$M$3:$M$7756,Daily!$B$3:$B$7756,$A203)</f>
        <v>360.59</v>
      </c>
      <c r="Z203" s="4">
        <f>SUMIFS(Daily!$N$3:$N$7756,Daily!$B$3:$B$7756,$A203)</f>
        <v>24.79</v>
      </c>
      <c r="AA203" s="3">
        <f>AVERAGEIFS(Daily!$O$3:$O$7756,Daily!$B$3:$B$7756,$A203)</f>
        <v>21.470645161290324</v>
      </c>
      <c r="AB203" s="3">
        <f>AVERAGEIFS(Daily!$P$3:$P$7756,Daily!$B$3:$B$7756,$A203)</f>
        <v>26.61806451612904</v>
      </c>
      <c r="AC203" s="3">
        <f>AVERAGEIFS(Daily!$Q$3:$Q$7756,Daily!$B$3:$B$7756,$A203)</f>
        <v>17.537096774193547</v>
      </c>
      <c r="AD203" s="4">
        <f>SUMIFS(Daily!$R$3:$R$7756,Daily!$B$3:$B$7756,$A203)</f>
        <v>319.29</v>
      </c>
      <c r="AE203" s="4">
        <f>AVERAGE(P203,U203,Z203)</f>
        <v>22.647000000000002</v>
      </c>
      <c r="AF203" s="3">
        <f>AVERAGE(Q203,V203,AA203)</f>
        <v>21.71720430107527</v>
      </c>
      <c r="AG203" s="3">
        <f>AVERAGE(R203,W203,AB203)</f>
        <v>27.608602150537635</v>
      </c>
      <c r="AH203" s="3">
        <f>AVERAGE(S203,X203,AC203)</f>
        <v>17.107526881720432</v>
      </c>
      <c r="AI203" s="4">
        <f>AVERAGE(T203,Y203,AD203)</f>
        <v>246.42333333333332</v>
      </c>
    </row>
    <row r="204">
      <c r="A204" s="2" t="inlineStr">
        <is>
          <t xml:space="preserve">2022-04</t>
        </is>
      </c>
      <c r="B204" s="2">
        <v>2022</v>
      </c>
      <c r="C204" s="2">
        <v>4</v>
      </c>
      <c r="D204" s="2" t="inlineStr">
        <is>
          <t xml:space="preserve">Apr</t>
        </is>
      </c>
      <c r="E204" s="2" t="inlineStr">
        <is>
          <t xml:space="preserve">2021/22</t>
        </is>
      </c>
      <c r="F204" s="2">
        <v>10</v>
      </c>
      <c r="G204" s="9">
        <v>44652</v>
      </c>
      <c r="H204" s="9">
        <v>44681</v>
      </c>
      <c r="I204" s="2">
        <f>H204-G204+1</f>
        <v>30</v>
      </c>
      <c r="J204" s="2">
        <f>COUNTIF(Daily!$B$3:$B$7756,A204)</f>
        <v>30</v>
      </c>
      <c r="K204" s="2" t="str">
        <f>IF(J204=I204,"complete","partial ("&amp;J204&amp;" days)")</f>
        <v>complete</v>
      </c>
      <c r="L204" s="3">
        <f>INDEX(ENSO_monthly!$F:$F,MATCH(A204,ENSO_monthly!$A:$A,0))</f>
        <v>-0.86</v>
      </c>
      <c r="M204" s="2" t="str">
        <f>INDEX(ENSO_monthly!$D:$D,MATCH(A204,ENSO_monthly!$A:$A,0))</f>
        <v>MAM</v>
      </c>
      <c r="N204" s="5" t="str">
        <f>INDEX(ENSO_monthly!$L:$L,MATCH(A204,ENSO_monthly!$A:$A,0))</f>
        <v>La Niña</v>
      </c>
      <c r="O204" s="12" t="str">
        <f>INDEX(ENSO_seasons!$U:$U,MATCH(E204,ENSO_seasons!$A:$A,0))</f>
        <v>La Niña</v>
      </c>
      <c r="P204" s="4">
        <f>SUMIFS(Daily!$D$3:$D$7756,Daily!$B$3:$B$7756,$A204)</f>
        <v>52.999</v>
      </c>
      <c r="Q204" s="3">
        <f>AVERAGEIFS(Daily!$E$3:$E$7756,Daily!$B$3:$B$7756,$A204)</f>
        <v>24.002</v>
      </c>
      <c r="R204" s="3">
        <f>AVERAGEIFS(Daily!$F$3:$F$7756,Daily!$B$3:$B$7756,$A204)</f>
        <v>30.91133333333333</v>
      </c>
      <c r="S204" s="3">
        <f>AVERAGEIFS(Daily!$G$3:$G$7756,Daily!$B$3:$B$7756,$A204)</f>
        <v>18.444333333333336</v>
      </c>
      <c r="T204" s="4">
        <f>SUMIFS(Daily!$H$3:$H$7756,Daily!$B$3:$B$7756,$A204)</f>
        <v>61.68</v>
      </c>
      <c r="U204" s="4">
        <f>SUMIFS(Daily!$I$3:$I$7756,Daily!$B$3:$B$7756,$A204)</f>
        <v>48.542</v>
      </c>
      <c r="V204" s="3">
        <f>AVERAGEIFS(Daily!$J$3:$J$7756,Daily!$B$3:$B$7756,$A204)</f>
        <v>23.721666666666668</v>
      </c>
      <c r="W204" s="3">
        <f>AVERAGEIFS(Daily!$K$3:$K$7756,Daily!$B$3:$B$7756,$A204)</f>
        <v>30.08666666666667</v>
      </c>
      <c r="X204" s="3">
        <f>AVERAGEIFS(Daily!$L$3:$L$7756,Daily!$B$3:$B$7756,$A204)</f>
        <v>18.61433333333333</v>
      </c>
      <c r="Y204" s="4">
        <f>SUMIFS(Daily!$M$3:$M$7756,Daily!$B$3:$B$7756,$A204)</f>
        <v>56.62</v>
      </c>
      <c r="Z204" s="4">
        <f>SUMIFS(Daily!$N$3:$N$7756,Daily!$B$3:$B$7756,$A204)</f>
        <v>63.915</v>
      </c>
      <c r="AA204" s="3">
        <f>AVERAGEIFS(Daily!$O$3:$O$7756,Daily!$B$3:$B$7756,$A204)</f>
        <v>23.311</v>
      </c>
      <c r="AB204" s="3">
        <f>AVERAGEIFS(Daily!$P$3:$P$7756,Daily!$B$3:$B$7756,$A204)</f>
        <v>29.24633333333333</v>
      </c>
      <c r="AC204" s="3">
        <f>AVERAGEIFS(Daily!$Q$3:$Q$7756,Daily!$B$3:$B$7756,$A204)</f>
        <v>19.034999999999993</v>
      </c>
      <c r="AD204" s="4">
        <f>SUMIFS(Daily!$R$3:$R$7756,Daily!$B$3:$B$7756,$A204)</f>
        <v>60.53</v>
      </c>
      <c r="AE204" s="4">
        <f>AVERAGE(P204,U204,Z204)</f>
        <v>55.151999999999994</v>
      </c>
      <c r="AF204" s="3">
        <f>AVERAGE(Q204,V204,AA204)</f>
        <v>23.67822222222222</v>
      </c>
      <c r="AG204" s="3">
        <f>AVERAGE(R204,W204,AB204)</f>
        <v>30.081444444444443</v>
      </c>
      <c r="AH204" s="3">
        <f>AVERAGE(S204,X204,AC204)</f>
        <v>18.697888888888887</v>
      </c>
      <c r="AI204" s="4">
        <f>AVERAGE(T204,Y204,AD204)</f>
        <v>59.60999999999999</v>
      </c>
    </row>
    <row r="205">
      <c r="A205" s="2" t="inlineStr">
        <is>
          <t xml:space="preserve">2022-05</t>
        </is>
      </c>
      <c r="B205" s="2">
        <v>2022</v>
      </c>
      <c r="C205" s="2">
        <v>5</v>
      </c>
      <c r="D205" s="2" t="inlineStr">
        <is>
          <t xml:space="preserve">May</t>
        </is>
      </c>
      <c r="E205" s="2" t="inlineStr">
        <is>
          <t xml:space="preserve">2021/22</t>
        </is>
      </c>
      <c r="F205" s="2">
        <v>11</v>
      </c>
      <c r="G205" s="9">
        <v>44682</v>
      </c>
      <c r="H205" s="9">
        <v>44712</v>
      </c>
      <c r="I205" s="2">
        <f>H205-G205+1</f>
        <v>31</v>
      </c>
      <c r="J205" s="2">
        <f>COUNTIF(Daily!$B$3:$B$7756,A205)</f>
        <v>31</v>
      </c>
      <c r="K205" s="2" t="str">
        <f>IF(J205=I205,"complete","partial ("&amp;J205&amp;" days)")</f>
        <v>complete</v>
      </c>
      <c r="L205" s="3">
        <f>INDEX(ENSO_monthly!$F:$F,MATCH(A205,ENSO_monthly!$A:$A,0))</f>
        <v>-0.83</v>
      </c>
      <c r="M205" s="2" t="str">
        <f>INDEX(ENSO_monthly!$D:$D,MATCH(A205,ENSO_monthly!$A:$A,0))</f>
        <v>AMJ</v>
      </c>
      <c r="N205" s="5" t="str">
        <f>INDEX(ENSO_monthly!$L:$L,MATCH(A205,ENSO_monthly!$A:$A,0))</f>
        <v>La Niña</v>
      </c>
      <c r="O205" s="12" t="str">
        <f>INDEX(ENSO_seasons!$U:$U,MATCH(E205,ENSO_seasons!$A:$A,0))</f>
        <v>La Niña</v>
      </c>
      <c r="P205" s="4">
        <f>SUMIFS(Daily!$D$3:$D$7756,Daily!$B$3:$B$7756,$A205)</f>
        <v>202.91</v>
      </c>
      <c r="Q205" s="3">
        <f>AVERAGEIFS(Daily!$E$3:$E$7756,Daily!$B$3:$B$7756,$A205)</f>
        <v>23.129354838709677</v>
      </c>
      <c r="R205" s="3">
        <f>AVERAGEIFS(Daily!$F$3:$F$7756,Daily!$B$3:$B$7756,$A205)</f>
        <v>28.553870967741936</v>
      </c>
      <c r="S205" s="3">
        <f>AVERAGEIFS(Daily!$G$3:$G$7756,Daily!$B$3:$B$7756,$A205)</f>
        <v>19.050645161290316</v>
      </c>
      <c r="T205" s="4">
        <f>SUMIFS(Daily!$H$3:$H$7756,Daily!$B$3:$B$7756,$A205)</f>
        <v>239.72</v>
      </c>
      <c r="U205" s="4">
        <f>SUMIFS(Daily!$I$3:$I$7756,Daily!$B$3:$B$7756,$A205)</f>
        <v>111.351</v>
      </c>
      <c r="V205" s="3">
        <f>AVERAGEIFS(Daily!$J$3:$J$7756,Daily!$B$3:$B$7756,$A205)</f>
        <v>22.856774193548382</v>
      </c>
      <c r="W205" s="3">
        <f>AVERAGEIFS(Daily!$K$3:$K$7756,Daily!$B$3:$B$7756,$A205)</f>
        <v>27.659677419354836</v>
      </c>
      <c r="X205" s="3">
        <f>AVERAGEIFS(Daily!$L$3:$L$7756,Daily!$B$3:$B$7756,$A205)</f>
        <v>19.03870967741935</v>
      </c>
      <c r="Y205" s="4">
        <f>SUMIFS(Daily!$M$3:$M$7756,Daily!$B$3:$B$7756,$A205)</f>
        <v>473.65</v>
      </c>
      <c r="Z205" s="4">
        <f>SUMIFS(Daily!$N$3:$N$7756,Daily!$B$3:$B$7756,$A205)</f>
        <v>188.41</v>
      </c>
      <c r="AA205" s="3">
        <f>AVERAGEIFS(Daily!$O$3:$O$7756,Daily!$B$3:$B$7756,$A205)</f>
        <v>23.197741935483865</v>
      </c>
      <c r="AB205" s="3">
        <f>AVERAGEIFS(Daily!$P$3:$P$7756,Daily!$B$3:$B$7756,$A205)</f>
        <v>27.809677419354834</v>
      </c>
      <c r="AC205" s="3">
        <f>AVERAGEIFS(Daily!$Q$3:$Q$7756,Daily!$B$3:$B$7756,$A205)</f>
        <v>19.63935483870967</v>
      </c>
      <c r="AD205" s="4">
        <f>SUMIFS(Daily!$R$3:$R$7756,Daily!$B$3:$B$7756,$A205)</f>
        <v>469.73</v>
      </c>
      <c r="AE205" s="4">
        <f>AVERAGE(P205,U205,Z205)</f>
        <v>167.557</v>
      </c>
      <c r="AF205" s="3">
        <f>AVERAGE(Q205,V205,AA205)</f>
        <v>23.061290322580643</v>
      </c>
      <c r="AG205" s="3">
        <f>AVERAGE(R205,W205,AB205)</f>
        <v>28.007741935483867</v>
      </c>
      <c r="AH205" s="3">
        <f>AVERAGE(S205,X205,AC205)</f>
        <v>19.242903225806447</v>
      </c>
      <c r="AI205" s="4">
        <f>AVERAGE(T205,Y205,AD205)</f>
        <v>394.3666666666666</v>
      </c>
    </row>
    <row r="206">
      <c r="A206" s="2" t="inlineStr">
        <is>
          <t xml:space="preserve">2022-06</t>
        </is>
      </c>
      <c r="B206" s="2">
        <v>2022</v>
      </c>
      <c r="C206" s="2">
        <v>6</v>
      </c>
      <c r="D206" s="2" t="inlineStr">
        <is>
          <t xml:space="preserve">Jun</t>
        </is>
      </c>
      <c r="E206" s="2" t="inlineStr">
        <is>
          <t xml:space="preserve">2021/22</t>
        </is>
      </c>
      <c r="F206" s="2">
        <v>12</v>
      </c>
      <c r="G206" s="9">
        <v>44713</v>
      </c>
      <c r="H206" s="9">
        <v>44742</v>
      </c>
      <c r="I206" s="2">
        <f>H206-G206+1</f>
        <v>30</v>
      </c>
      <c r="J206" s="2">
        <f>COUNTIF(Daily!$B$3:$B$7756,A206)</f>
        <v>30</v>
      </c>
      <c r="K206" s="2" t="str">
        <f>IF(J206=I206,"complete","partial ("&amp;J206&amp;" days)")</f>
        <v>complete</v>
      </c>
      <c r="L206" s="3">
        <f>INDEX(ENSO_monthly!$F:$F,MATCH(A206,ENSO_monthly!$A:$A,0))</f>
        <v>-0.73</v>
      </c>
      <c r="M206" s="2" t="str">
        <f>INDEX(ENSO_monthly!$D:$D,MATCH(A206,ENSO_monthly!$A:$A,0))</f>
        <v>MJJ</v>
      </c>
      <c r="N206" s="5" t="str">
        <f>INDEX(ENSO_monthly!$L:$L,MATCH(A206,ENSO_monthly!$A:$A,0))</f>
        <v>La Niña</v>
      </c>
      <c r="O206" s="12" t="str">
        <f>INDEX(ENSO_seasons!$U:$U,MATCH(E206,ENSO_seasons!$A:$A,0))</f>
        <v>La Niña</v>
      </c>
      <c r="P206" s="4">
        <f>SUMIFS(Daily!$D$3:$D$7756,Daily!$B$3:$B$7756,$A206)</f>
        <v>250.556</v>
      </c>
      <c r="Q206" s="3">
        <f>AVERAGEIFS(Daily!$E$3:$E$7756,Daily!$B$3:$B$7756,$A206)</f>
        <v>21.36266666666667</v>
      </c>
      <c r="R206" s="3">
        <f>AVERAGEIFS(Daily!$F$3:$F$7756,Daily!$B$3:$B$7756,$A206)</f>
        <v>25.653000000000002</v>
      </c>
      <c r="S206" s="3">
        <f>AVERAGEIFS(Daily!$G$3:$G$7756,Daily!$B$3:$B$7756,$A206)</f>
        <v>18.003666666666668</v>
      </c>
      <c r="T206" s="4">
        <f>SUMIFS(Daily!$H$3:$H$7756,Daily!$B$3:$B$7756,$A206)</f>
        <v>341.46</v>
      </c>
      <c r="U206" s="4">
        <f>SUMIFS(Daily!$I$3:$I$7756,Daily!$B$3:$B$7756,$A206)</f>
        <v>224.061</v>
      </c>
      <c r="V206" s="3">
        <f>AVERAGEIFS(Daily!$J$3:$J$7756,Daily!$B$3:$B$7756,$A206)</f>
        <v>22.00766666666667</v>
      </c>
      <c r="W206" s="3">
        <f>AVERAGEIFS(Daily!$K$3:$K$7756,Daily!$B$3:$B$7756,$A206)</f>
        <v>25.973333333333326</v>
      </c>
      <c r="X206" s="3">
        <f>AVERAGEIFS(Daily!$L$3:$L$7756,Daily!$B$3:$B$7756,$A206)</f>
        <v>18.97233333333333</v>
      </c>
      <c r="Y206" s="4">
        <f>SUMIFS(Daily!$M$3:$M$7756,Daily!$B$3:$B$7756,$A206)</f>
        <v>369.88</v>
      </c>
      <c r="Z206" s="4">
        <f>SUMIFS(Daily!$N$3:$N$7756,Daily!$B$3:$B$7756,$A206)</f>
        <v>363.358</v>
      </c>
      <c r="AA206" s="3">
        <f>AVERAGEIFS(Daily!$O$3:$O$7756,Daily!$B$3:$B$7756,$A206)</f>
        <v>22.44033333333333</v>
      </c>
      <c r="AB206" s="3">
        <f>AVERAGEIFS(Daily!$P$3:$P$7756,Daily!$B$3:$B$7756,$A206)</f>
        <v>26.341333333333335</v>
      </c>
      <c r="AC206" s="3">
        <f>AVERAGEIFS(Daily!$Q$3:$Q$7756,Daily!$B$3:$B$7756,$A206)</f>
        <v>19.54033333333333</v>
      </c>
      <c r="AD206" s="4">
        <f>SUMIFS(Daily!$R$3:$R$7756,Daily!$B$3:$B$7756,$A206)</f>
        <v>369.69</v>
      </c>
      <c r="AE206" s="4">
        <f>AVERAGE(P206,U206,Z206)</f>
        <v>279.325</v>
      </c>
      <c r="AF206" s="3">
        <f>AVERAGE(Q206,V206,AA206)</f>
        <v>21.936888888888888</v>
      </c>
      <c r="AG206" s="3">
        <f>AVERAGE(R206,W206,AB206)</f>
        <v>25.98922222222222</v>
      </c>
      <c r="AH206" s="3">
        <f>AVERAGE(S206,X206,AC206)</f>
        <v>18.838777777777775</v>
      </c>
      <c r="AI206" s="4">
        <f>AVERAGE(T206,Y206,AD206)</f>
        <v>360.3433333333333</v>
      </c>
    </row>
    <row r="207">
      <c r="A207" s="2" t="inlineStr">
        <is>
          <t xml:space="preserve">2022-07</t>
        </is>
      </c>
      <c r="B207" s="2">
        <v>2022</v>
      </c>
      <c r="C207" s="2">
        <v>7</v>
      </c>
      <c r="D207" s="2" t="inlineStr">
        <is>
          <t xml:space="preserve">Jul</t>
        </is>
      </c>
      <c r="E207" s="2" t="inlineStr">
        <is>
          <t xml:space="preserve">2022/23</t>
        </is>
      </c>
      <c r="F207" s="2">
        <v>1</v>
      </c>
      <c r="G207" s="9">
        <v>44743</v>
      </c>
      <c r="H207" s="9">
        <v>44773</v>
      </c>
      <c r="I207" s="2">
        <f>H207-G207+1</f>
        <v>31</v>
      </c>
      <c r="J207" s="2">
        <f>COUNTIF(Daily!$B$3:$B$7756,A207)</f>
        <v>31</v>
      </c>
      <c r="K207" s="2" t="str">
        <f>IF(J207=I207,"complete","partial ("&amp;J207&amp;" days)")</f>
        <v>complete</v>
      </c>
      <c r="L207" s="3">
        <f>INDEX(ENSO_monthly!$F:$F,MATCH(A207,ENSO_monthly!$A:$A,0))</f>
        <v>-0.7</v>
      </c>
      <c r="M207" s="2" t="str">
        <f>INDEX(ENSO_monthly!$D:$D,MATCH(A207,ENSO_monthly!$A:$A,0))</f>
        <v>JJA</v>
      </c>
      <c r="N207" s="5" t="str">
        <f>INDEX(ENSO_monthly!$L:$L,MATCH(A207,ENSO_monthly!$A:$A,0))</f>
        <v>La Niña</v>
      </c>
      <c r="O207" s="12" t="str">
        <f>INDEX(ENSO_seasons!$U:$U,MATCH(E207,ENSO_seasons!$A:$A,0))</f>
        <v>La Niña</v>
      </c>
      <c r="P207" s="4">
        <f>SUMIFS(Daily!$D$3:$D$7756,Daily!$B$3:$B$7756,$A207)</f>
        <v>105.332</v>
      </c>
      <c r="Q207" s="3">
        <f>AVERAGEIFS(Daily!$E$3:$E$7756,Daily!$B$3:$B$7756,$A207)</f>
        <v>21.585483870967746</v>
      </c>
      <c r="R207" s="3">
        <f>AVERAGEIFS(Daily!$F$3:$F$7756,Daily!$B$3:$B$7756,$A207)</f>
        <v>26.33483870967742</v>
      </c>
      <c r="S207" s="3">
        <f>AVERAGEIFS(Daily!$G$3:$G$7756,Daily!$B$3:$B$7756,$A207)</f>
        <v>17.7958064516129</v>
      </c>
      <c r="T207" s="4">
        <f>SUMIFS(Daily!$H$3:$H$7756,Daily!$B$3:$B$7756,$A207)</f>
        <v>114.59</v>
      </c>
      <c r="U207" s="4">
        <f>SUMIFS(Daily!$I$3:$I$7756,Daily!$B$3:$B$7756,$A207)</f>
        <v>210.152</v>
      </c>
      <c r="V207" s="3">
        <f>AVERAGEIFS(Daily!$J$3:$J$7756,Daily!$B$3:$B$7756,$A207)</f>
        <v>22.505161290322576</v>
      </c>
      <c r="W207" s="3">
        <f>AVERAGEIFS(Daily!$K$3:$K$7756,Daily!$B$3:$B$7756,$A207)</f>
        <v>26.684516129032257</v>
      </c>
      <c r="X207" s="3">
        <f>AVERAGEIFS(Daily!$L$3:$L$7756,Daily!$B$3:$B$7756,$A207)</f>
        <v>19.18032258064516</v>
      </c>
      <c r="Y207" s="4">
        <f>SUMIFS(Daily!$M$3:$M$7756,Daily!$B$3:$B$7756,$A207)</f>
        <v>183.0</v>
      </c>
      <c r="Z207" s="4">
        <f>SUMIFS(Daily!$N$3:$N$7756,Daily!$B$3:$B$7756,$A207)</f>
        <v>166.353</v>
      </c>
      <c r="AA207" s="3">
        <f>AVERAGEIFS(Daily!$O$3:$O$7756,Daily!$B$3:$B$7756,$A207)</f>
        <v>22.712903225806446</v>
      </c>
      <c r="AB207" s="3">
        <f>AVERAGEIFS(Daily!$P$3:$P$7756,Daily!$B$3:$B$7756,$A207)</f>
        <v>26.556774193548385</v>
      </c>
      <c r="AC207" s="3">
        <f>AVERAGEIFS(Daily!$Q$3:$Q$7756,Daily!$B$3:$B$7756,$A207)</f>
        <v>19.987419354838714</v>
      </c>
      <c r="AD207" s="4">
        <f>SUMIFS(Daily!$R$3:$R$7756,Daily!$B$3:$B$7756,$A207)</f>
        <v>160.29</v>
      </c>
      <c r="AE207" s="4">
        <f>AVERAGE(P207,U207,Z207)</f>
        <v>160.61233333333334</v>
      </c>
      <c r="AF207" s="3">
        <f>AVERAGE(Q207,V207,AA207)</f>
        <v>22.26784946236559</v>
      </c>
      <c r="AG207" s="3">
        <f>AVERAGE(R207,W207,AB207)</f>
        <v>26.525376344086016</v>
      </c>
      <c r="AH207" s="3">
        <f>AVERAGE(S207,X207,AC207)</f>
        <v>18.987849462365592</v>
      </c>
      <c r="AI207" s="4">
        <f>AVERAGE(T207,Y207,AD207)</f>
        <v>152.62666666666667</v>
      </c>
    </row>
    <row r="208">
      <c r="A208" s="2" t="inlineStr">
        <is>
          <t xml:space="preserve">2022-08</t>
        </is>
      </c>
      <c r="B208" s="2">
        <v>2022</v>
      </c>
      <c r="C208" s="2">
        <v>8</v>
      </c>
      <c r="D208" s="2" t="inlineStr">
        <is>
          <t xml:space="preserve">Aug</t>
        </is>
      </c>
      <c r="E208" s="2" t="inlineStr">
        <is>
          <t xml:space="preserve">2022/23</t>
        </is>
      </c>
      <c r="F208" s="2">
        <v>2</v>
      </c>
      <c r="G208" s="9">
        <v>44774</v>
      </c>
      <c r="H208" s="9">
        <v>44804</v>
      </c>
      <c r="I208" s="2">
        <f>H208-G208+1</f>
        <v>31</v>
      </c>
      <c r="J208" s="2">
        <f>COUNTIF(Daily!$B$3:$B$7756,A208)</f>
        <v>31</v>
      </c>
      <c r="K208" s="2" t="str">
        <f>IF(J208=I208,"complete","partial ("&amp;J208&amp;" days)")</f>
        <v>complete</v>
      </c>
      <c r="L208" s="3">
        <f>INDEX(ENSO_monthly!$F:$F,MATCH(A208,ENSO_monthly!$A:$A,0))</f>
        <v>-0.78</v>
      </c>
      <c r="M208" s="2" t="str">
        <f>INDEX(ENSO_monthly!$D:$D,MATCH(A208,ENSO_monthly!$A:$A,0))</f>
        <v>JAS</v>
      </c>
      <c r="N208" s="5" t="str">
        <f>INDEX(ENSO_monthly!$L:$L,MATCH(A208,ENSO_monthly!$A:$A,0))</f>
        <v>La Niña</v>
      </c>
      <c r="O208" s="12" t="str">
        <f>INDEX(ENSO_seasons!$U:$U,MATCH(E208,ENSO_seasons!$A:$A,0))</f>
        <v>La Niña</v>
      </c>
      <c r="P208" s="4">
        <f>SUMIFS(Daily!$D$3:$D$7756,Daily!$B$3:$B$7756,$A208)</f>
        <v>260.849</v>
      </c>
      <c r="Q208" s="3">
        <f>AVERAGEIFS(Daily!$E$3:$E$7756,Daily!$B$3:$B$7756,$A208)</f>
        <v>21.689677419354833</v>
      </c>
      <c r="R208" s="3">
        <f>AVERAGEIFS(Daily!$F$3:$F$7756,Daily!$B$3:$B$7756,$A208)</f>
        <v>26.302903225806453</v>
      </c>
      <c r="S208" s="3">
        <f>AVERAGEIFS(Daily!$G$3:$G$7756,Daily!$B$3:$B$7756,$A208)</f>
        <v>17.975483870967736</v>
      </c>
      <c r="T208" s="4">
        <f>SUMIFS(Daily!$H$3:$H$7756,Daily!$B$3:$B$7756,$A208)</f>
        <v>220.84</v>
      </c>
      <c r="U208" s="4">
        <f>SUMIFS(Daily!$I$3:$I$7756,Daily!$B$3:$B$7756,$A208)</f>
        <v>329.191</v>
      </c>
      <c r="V208" s="3">
        <f>AVERAGEIFS(Daily!$J$3:$J$7756,Daily!$B$3:$B$7756,$A208)</f>
        <v>22.556451612903224</v>
      </c>
      <c r="W208" s="3">
        <f>AVERAGEIFS(Daily!$K$3:$K$7756,Daily!$B$3:$B$7756,$A208)</f>
        <v>26.523225806451617</v>
      </c>
      <c r="X208" s="3">
        <f>AVERAGEIFS(Daily!$L$3:$L$7756,Daily!$B$3:$B$7756,$A208)</f>
        <v>19.47741935483871</v>
      </c>
      <c r="Y208" s="4">
        <f>SUMIFS(Daily!$M$3:$M$7756,Daily!$B$3:$B$7756,$A208)</f>
        <v>330.86</v>
      </c>
      <c r="Z208" s="4">
        <f>SUMIFS(Daily!$N$3:$N$7756,Daily!$B$3:$B$7756,$A208)</f>
        <v>370.203</v>
      </c>
      <c r="AA208" s="3">
        <f>AVERAGEIFS(Daily!$O$3:$O$7756,Daily!$B$3:$B$7756,$A208)</f>
        <v>22.896774193548385</v>
      </c>
      <c r="AB208" s="3">
        <f>AVERAGEIFS(Daily!$P$3:$P$7756,Daily!$B$3:$B$7756,$A208)</f>
        <v>26.691612903225806</v>
      </c>
      <c r="AC208" s="3">
        <f>AVERAGEIFS(Daily!$Q$3:$Q$7756,Daily!$B$3:$B$7756,$A208)</f>
        <v>20.239354838709676</v>
      </c>
      <c r="AD208" s="4">
        <f>SUMIFS(Daily!$R$3:$R$7756,Daily!$B$3:$B$7756,$A208)</f>
        <v>247.45</v>
      </c>
      <c r="AE208" s="4">
        <f>AVERAGE(P208,U208,Z208)</f>
        <v>320.08099999999996</v>
      </c>
      <c r="AF208" s="3">
        <f>AVERAGE(Q208,V208,AA208)</f>
        <v>22.38096774193548</v>
      </c>
      <c r="AG208" s="3">
        <f>AVERAGE(R208,W208,AB208)</f>
        <v>26.505913978494622</v>
      </c>
      <c r="AH208" s="3">
        <f>AVERAGE(S208,X208,AC208)</f>
        <v>19.230752688172043</v>
      </c>
      <c r="AI208" s="4">
        <f>AVERAGE(T208,Y208,AD208)</f>
        <v>266.3833333333334</v>
      </c>
    </row>
    <row r="209">
      <c r="A209" s="2" t="inlineStr">
        <is>
          <t xml:space="preserve">2022-09</t>
        </is>
      </c>
      <c r="B209" s="2">
        <v>2022</v>
      </c>
      <c r="C209" s="2">
        <v>9</v>
      </c>
      <c r="D209" s="2" t="inlineStr">
        <is>
          <t xml:space="preserve">Sep</t>
        </is>
      </c>
      <c r="E209" s="2" t="inlineStr">
        <is>
          <t xml:space="preserve">2022/23</t>
        </is>
      </c>
      <c r="F209" s="2">
        <v>3</v>
      </c>
      <c r="G209" s="9">
        <v>44805</v>
      </c>
      <c r="H209" s="9">
        <v>44834</v>
      </c>
      <c r="I209" s="2">
        <f>H209-G209+1</f>
        <v>30</v>
      </c>
      <c r="J209" s="2">
        <f>COUNTIF(Daily!$B$3:$B$7756,A209)</f>
        <v>30</v>
      </c>
      <c r="K209" s="2" t="str">
        <f>IF(J209=I209,"complete","partial ("&amp;J209&amp;" days)")</f>
        <v>complete</v>
      </c>
      <c r="L209" s="3">
        <f>INDEX(ENSO_monthly!$F:$F,MATCH(A209,ENSO_monthly!$A:$A,0))</f>
        <v>-0.87</v>
      </c>
      <c r="M209" s="2" t="str">
        <f>INDEX(ENSO_monthly!$D:$D,MATCH(A209,ENSO_monthly!$A:$A,0))</f>
        <v>ASO</v>
      </c>
      <c r="N209" s="5" t="str">
        <f>INDEX(ENSO_monthly!$L:$L,MATCH(A209,ENSO_monthly!$A:$A,0))</f>
        <v>La Niña</v>
      </c>
      <c r="O209" s="12" t="str">
        <f>INDEX(ENSO_seasons!$U:$U,MATCH(E209,ENSO_seasons!$A:$A,0))</f>
        <v>La Niña</v>
      </c>
      <c r="P209" s="4">
        <f>SUMIFS(Daily!$D$3:$D$7756,Daily!$B$3:$B$7756,$A209)</f>
        <v>374.691</v>
      </c>
      <c r="Q209" s="3">
        <f>AVERAGEIFS(Daily!$E$3:$E$7756,Daily!$B$3:$B$7756,$A209)</f>
        <v>21.65433333333333</v>
      </c>
      <c r="R209" s="3">
        <f>AVERAGEIFS(Daily!$F$3:$F$7756,Daily!$B$3:$B$7756,$A209)</f>
        <v>25.960333333333335</v>
      </c>
      <c r="S209" s="3">
        <f>AVERAGEIFS(Daily!$G$3:$G$7756,Daily!$B$3:$B$7756,$A209)</f>
        <v>18.417666666666662</v>
      </c>
      <c r="T209" s="4">
        <f>SUMIFS(Daily!$H$3:$H$7756,Daily!$B$3:$B$7756,$A209)</f>
        <v>323.94</v>
      </c>
      <c r="U209" s="4">
        <f>SUMIFS(Daily!$I$3:$I$7756,Daily!$B$3:$B$7756,$A209)</f>
        <v>235.141</v>
      </c>
      <c r="V209" s="3">
        <f>AVERAGEIFS(Daily!$J$3:$J$7756,Daily!$B$3:$B$7756,$A209)</f>
        <v>22.271666666666672</v>
      </c>
      <c r="W209" s="3">
        <f>AVERAGEIFS(Daily!$K$3:$K$7756,Daily!$B$3:$B$7756,$A209)</f>
        <v>26.153000000000002</v>
      </c>
      <c r="X209" s="3">
        <f>AVERAGEIFS(Daily!$L$3:$L$7756,Daily!$B$3:$B$7756,$A209)</f>
        <v>19.358999999999998</v>
      </c>
      <c r="Y209" s="4">
        <f>SUMIFS(Daily!$M$3:$M$7756,Daily!$B$3:$B$7756,$A209)</f>
        <v>305.67</v>
      </c>
      <c r="Z209" s="4">
        <f>SUMIFS(Daily!$N$3:$N$7756,Daily!$B$3:$B$7756,$A209)</f>
        <v>459.506</v>
      </c>
      <c r="AA209" s="3">
        <f>AVERAGEIFS(Daily!$O$3:$O$7756,Daily!$B$3:$B$7756,$A209)</f>
        <v>22.60333333333333</v>
      </c>
      <c r="AB209" s="3">
        <f>AVERAGEIFS(Daily!$P$3:$P$7756,Daily!$B$3:$B$7756,$A209)</f>
        <v>26.305000000000003</v>
      </c>
      <c r="AC209" s="3">
        <f>AVERAGEIFS(Daily!$Q$3:$Q$7756,Daily!$B$3:$B$7756,$A209)</f>
        <v>19.99033333333334</v>
      </c>
      <c r="AD209" s="4">
        <f>SUMIFS(Daily!$R$3:$R$7756,Daily!$B$3:$B$7756,$A209)</f>
        <v>319.9</v>
      </c>
      <c r="AE209" s="4">
        <f>AVERAGE(P209,U209,Z209)</f>
        <v>356.44599999999997</v>
      </c>
      <c r="AF209" s="3">
        <f>AVERAGE(Q209,V209,AA209)</f>
        <v>22.176444444444446</v>
      </c>
      <c r="AG209" s="3">
        <f>AVERAGE(R209,W209,AB209)</f>
        <v>26.139444444444447</v>
      </c>
      <c r="AH209" s="3">
        <f>AVERAGE(S209,X209,AC209)</f>
        <v>19.255666666666666</v>
      </c>
      <c r="AI209" s="4">
        <f>AVERAGE(T209,Y209,AD209)</f>
        <v>316.50333333333333</v>
      </c>
    </row>
    <row r="210">
      <c r="A210" s="2" t="inlineStr">
        <is>
          <t xml:space="preserve">2022-10</t>
        </is>
      </c>
      <c r="B210" s="2">
        <v>2022</v>
      </c>
      <c r="C210" s="2">
        <v>10</v>
      </c>
      <c r="D210" s="2" t="inlineStr">
        <is>
          <t xml:space="preserve">Oct</t>
        </is>
      </c>
      <c r="E210" s="2" t="inlineStr">
        <is>
          <t xml:space="preserve">2022/23</t>
        </is>
      </c>
      <c r="F210" s="2">
        <v>4</v>
      </c>
      <c r="G210" s="9">
        <v>44835</v>
      </c>
      <c r="H210" s="9">
        <v>44865</v>
      </c>
      <c r="I210" s="2">
        <f>H210-G210+1</f>
        <v>31</v>
      </c>
      <c r="J210" s="2">
        <f>COUNTIF(Daily!$B$3:$B$7756,A210)</f>
        <v>31</v>
      </c>
      <c r="K210" s="2" t="str">
        <f>IF(J210=I210,"complete","partial ("&amp;J210&amp;" days)")</f>
        <v>complete</v>
      </c>
      <c r="L210" s="3">
        <f>INDEX(ENSO_monthly!$F:$F,MATCH(A210,ENSO_monthly!$A:$A,0))</f>
        <v>-0.89</v>
      </c>
      <c r="M210" s="2" t="str">
        <f>INDEX(ENSO_monthly!$D:$D,MATCH(A210,ENSO_monthly!$A:$A,0))</f>
        <v>SON</v>
      </c>
      <c r="N210" s="5" t="str">
        <f>INDEX(ENSO_monthly!$L:$L,MATCH(A210,ENSO_monthly!$A:$A,0))</f>
        <v>La Niña</v>
      </c>
      <c r="O210" s="12" t="str">
        <f>INDEX(ENSO_seasons!$U:$U,MATCH(E210,ENSO_seasons!$A:$A,0))</f>
        <v>La Niña</v>
      </c>
      <c r="P210" s="4">
        <f>SUMIFS(Daily!$D$3:$D$7756,Daily!$B$3:$B$7756,$A210)</f>
        <v>118.201</v>
      </c>
      <c r="Q210" s="3">
        <f>AVERAGEIFS(Daily!$E$3:$E$7756,Daily!$B$3:$B$7756,$A210)</f>
        <v>21.317096774193548</v>
      </c>
      <c r="R210" s="3">
        <f>AVERAGEIFS(Daily!$F$3:$F$7756,Daily!$B$3:$B$7756,$A210)</f>
        <v>25.73741935483871</v>
      </c>
      <c r="S210" s="3">
        <f>AVERAGEIFS(Daily!$G$3:$G$7756,Daily!$B$3:$B$7756,$A210)</f>
        <v>18.02935483870968</v>
      </c>
      <c r="T210" s="4">
        <f>SUMIFS(Daily!$H$3:$H$7756,Daily!$B$3:$B$7756,$A210)</f>
        <v>135.81</v>
      </c>
      <c r="U210" s="4">
        <f>SUMIFS(Daily!$I$3:$I$7756,Daily!$B$3:$B$7756,$A210)</f>
        <v>153.806</v>
      </c>
      <c r="V210" s="3">
        <f>AVERAGEIFS(Daily!$J$3:$J$7756,Daily!$B$3:$B$7756,$A210)</f>
        <v>21.56451612903226</v>
      </c>
      <c r="W210" s="3">
        <f>AVERAGEIFS(Daily!$K$3:$K$7756,Daily!$B$3:$B$7756,$A210)</f>
        <v>25.694193548387094</v>
      </c>
      <c r="X210" s="3">
        <f>AVERAGEIFS(Daily!$L$3:$L$7756,Daily!$B$3:$B$7756,$A210)</f>
        <v>18.453870967741935</v>
      </c>
      <c r="Y210" s="4">
        <f>SUMIFS(Daily!$M$3:$M$7756,Daily!$B$3:$B$7756,$A210)</f>
        <v>197.07</v>
      </c>
      <c r="Z210" s="4">
        <f>SUMIFS(Daily!$N$3:$N$7756,Daily!$B$3:$B$7756,$A210)</f>
        <v>278.868</v>
      </c>
      <c r="AA210" s="3">
        <f>AVERAGEIFS(Daily!$O$3:$O$7756,Daily!$B$3:$B$7756,$A210)</f>
        <v>22.089999999999996</v>
      </c>
      <c r="AB210" s="3">
        <f>AVERAGEIFS(Daily!$P$3:$P$7756,Daily!$B$3:$B$7756,$A210)</f>
        <v>26.01516129032258</v>
      </c>
      <c r="AC210" s="3">
        <f>AVERAGEIFS(Daily!$Q$3:$Q$7756,Daily!$B$3:$B$7756,$A210)</f>
        <v>19.34225806451613</v>
      </c>
      <c r="AD210" s="4">
        <f>SUMIFS(Daily!$R$3:$R$7756,Daily!$B$3:$B$7756,$A210)</f>
        <v>236.62</v>
      </c>
      <c r="AE210" s="4">
        <f>AVERAGE(P210,U210,Z210)</f>
        <v>183.625</v>
      </c>
      <c r="AF210" s="3">
        <f>AVERAGE(Q210,V210,AA210)</f>
        <v>21.657204301075268</v>
      </c>
      <c r="AG210" s="3">
        <f>AVERAGE(R210,W210,AB210)</f>
        <v>25.81559139784946</v>
      </c>
      <c r="AH210" s="3">
        <f>AVERAGE(S210,X210,AC210)</f>
        <v>18.608494623655915</v>
      </c>
      <c r="AI210" s="4">
        <f>AVERAGE(T210,Y210,AD210)</f>
        <v>189.83333333333334</v>
      </c>
    </row>
    <row r="211">
      <c r="A211" s="2" t="inlineStr">
        <is>
          <t xml:space="preserve">2022-11</t>
        </is>
      </c>
      <c r="B211" s="2">
        <v>2022</v>
      </c>
      <c r="C211" s="2">
        <v>11</v>
      </c>
      <c r="D211" s="2" t="inlineStr">
        <is>
          <t xml:space="preserve">Nov</t>
        </is>
      </c>
      <c r="E211" s="2" t="inlineStr">
        <is>
          <t xml:space="preserve">2022/23</t>
        </is>
      </c>
      <c r="F211" s="2">
        <v>5</v>
      </c>
      <c r="G211" s="9">
        <v>44866</v>
      </c>
      <c r="H211" s="9">
        <v>44895</v>
      </c>
      <c r="I211" s="2">
        <f>H211-G211+1</f>
        <v>30</v>
      </c>
      <c r="J211" s="2">
        <f>COUNTIF(Daily!$B$3:$B$7756,A211)</f>
        <v>30</v>
      </c>
      <c r="K211" s="2" t="str">
        <f>IF(J211=I211,"complete","partial ("&amp;J211&amp;" days)")</f>
        <v>complete</v>
      </c>
      <c r="L211" s="3">
        <f>INDEX(ENSO_monthly!$F:$F,MATCH(A211,ENSO_monthly!$A:$A,0))</f>
        <v>-0.82</v>
      </c>
      <c r="M211" s="2" t="str">
        <f>INDEX(ENSO_monthly!$D:$D,MATCH(A211,ENSO_monthly!$A:$A,0))</f>
        <v>OND</v>
      </c>
      <c r="N211" s="5" t="str">
        <f>INDEX(ENSO_monthly!$L:$L,MATCH(A211,ENSO_monthly!$A:$A,0))</f>
        <v>La Niña</v>
      </c>
      <c r="O211" s="12" t="str">
        <f>INDEX(ENSO_seasons!$U:$U,MATCH(E211,ENSO_seasons!$A:$A,0))</f>
        <v>La Niña</v>
      </c>
      <c r="P211" s="4">
        <f>SUMIFS(Daily!$D$3:$D$7756,Daily!$B$3:$B$7756,$A211)</f>
        <v>94.025</v>
      </c>
      <c r="Q211" s="3">
        <f>AVERAGEIFS(Daily!$E$3:$E$7756,Daily!$B$3:$B$7756,$A211)</f>
        <v>20.480000000000004</v>
      </c>
      <c r="R211" s="3">
        <f>AVERAGEIFS(Daily!$F$3:$F$7756,Daily!$B$3:$B$7756,$A211)</f>
        <v>25.100333333333328</v>
      </c>
      <c r="S211" s="3">
        <f>AVERAGEIFS(Daily!$G$3:$G$7756,Daily!$B$3:$B$7756,$A211)</f>
        <v>16.970000000000002</v>
      </c>
      <c r="T211" s="4">
        <f>SUMIFS(Daily!$H$3:$H$7756,Daily!$B$3:$B$7756,$A211)</f>
        <v>146.15</v>
      </c>
      <c r="U211" s="4">
        <f>SUMIFS(Daily!$I$3:$I$7756,Daily!$B$3:$B$7756,$A211)</f>
        <v>51.526</v>
      </c>
      <c r="V211" s="3">
        <f>AVERAGEIFS(Daily!$J$3:$J$7756,Daily!$B$3:$B$7756,$A211)</f>
        <v>21.09933333333333</v>
      </c>
      <c r="W211" s="3">
        <f>AVERAGEIFS(Daily!$K$3:$K$7756,Daily!$B$3:$B$7756,$A211)</f>
        <v>25.538333333333338</v>
      </c>
      <c r="X211" s="3">
        <f>AVERAGEIFS(Daily!$L$3:$L$7756,Daily!$B$3:$B$7756,$A211)</f>
        <v>17.82433333333334</v>
      </c>
      <c r="Y211" s="4">
        <f>SUMIFS(Daily!$M$3:$M$7756,Daily!$B$3:$B$7756,$A211)</f>
        <v>101.7</v>
      </c>
      <c r="Z211" s="4">
        <f>SUMIFS(Daily!$N$3:$N$7756,Daily!$B$3:$B$7756,$A211)</f>
        <v>93.887</v>
      </c>
      <c r="AA211" s="3">
        <f>AVERAGEIFS(Daily!$O$3:$O$7756,Daily!$B$3:$B$7756,$A211)</f>
        <v>21.426666666666666</v>
      </c>
      <c r="AB211" s="3">
        <f>AVERAGEIFS(Daily!$P$3:$P$7756,Daily!$B$3:$B$7756,$A211)</f>
        <v>25.560999999999993</v>
      </c>
      <c r="AC211" s="3">
        <f>AVERAGEIFS(Daily!$Q$3:$Q$7756,Daily!$B$3:$B$7756,$A211)</f>
        <v>18.55866666666667</v>
      </c>
      <c r="AD211" s="4">
        <f>SUMIFS(Daily!$R$3:$R$7756,Daily!$B$3:$B$7756,$A211)</f>
        <v>148.33</v>
      </c>
      <c r="AE211" s="4">
        <f>AVERAGE(P211,U211,Z211)</f>
        <v>79.81266666666667</v>
      </c>
      <c r="AF211" s="3">
        <f>AVERAGE(Q211,V211,AA211)</f>
        <v>21.002</v>
      </c>
      <c r="AG211" s="3">
        <f>AVERAGE(R211,W211,AB211)</f>
        <v>25.399888888888885</v>
      </c>
      <c r="AH211" s="3">
        <f>AVERAGE(S211,X211,AC211)</f>
        <v>17.784333333333336</v>
      </c>
      <c r="AI211" s="4">
        <f>AVERAGE(T211,Y211,AD211)</f>
        <v>132.06000000000003</v>
      </c>
    </row>
    <row r="212">
      <c r="A212" s="2" t="inlineStr">
        <is>
          <t xml:space="preserve">2022-12</t>
        </is>
      </c>
      <c r="B212" s="2">
        <v>2022</v>
      </c>
      <c r="C212" s="2">
        <v>12</v>
      </c>
      <c r="D212" s="2" t="inlineStr">
        <is>
          <t xml:space="preserve">Dec</t>
        </is>
      </c>
      <c r="E212" s="2" t="inlineStr">
        <is>
          <t xml:space="preserve">2022/23</t>
        </is>
      </c>
      <c r="F212" s="2">
        <v>6</v>
      </c>
      <c r="G212" s="9">
        <v>44896</v>
      </c>
      <c r="H212" s="9">
        <v>44926</v>
      </c>
      <c r="I212" s="2">
        <f>H212-G212+1</f>
        <v>31</v>
      </c>
      <c r="J212" s="2">
        <f>COUNTIF(Daily!$B$3:$B$7756,A212)</f>
        <v>31</v>
      </c>
      <c r="K212" s="2" t="str">
        <f>IF(J212=I212,"complete","partial ("&amp;J212&amp;" days)")</f>
        <v>complete</v>
      </c>
      <c r="L212" s="3">
        <f>INDEX(ENSO_monthly!$F:$F,MATCH(A212,ENSO_monthly!$A:$A,0))</f>
        <v>-0.7</v>
      </c>
      <c r="M212" s="2" t="str">
        <f>INDEX(ENSO_monthly!$D:$D,MATCH(A212,ENSO_monthly!$A:$A,0))</f>
        <v>NDJ</v>
      </c>
      <c r="N212" s="5" t="str">
        <f>INDEX(ENSO_monthly!$L:$L,MATCH(A212,ENSO_monthly!$A:$A,0))</f>
        <v>La Niña</v>
      </c>
      <c r="O212" s="12" t="str">
        <f>INDEX(ENSO_seasons!$U:$U,MATCH(E212,ENSO_seasons!$A:$A,0))</f>
        <v>La Niña</v>
      </c>
      <c r="P212" s="4">
        <f>SUMIFS(Daily!$D$3:$D$7756,Daily!$B$3:$B$7756,$A212)</f>
        <v>0.84</v>
      </c>
      <c r="Q212" s="3">
        <f>AVERAGEIFS(Daily!$E$3:$E$7756,Daily!$B$3:$B$7756,$A212)</f>
        <v>18.74129032258065</v>
      </c>
      <c r="R212" s="3">
        <f>AVERAGEIFS(Daily!$F$3:$F$7756,Daily!$B$3:$B$7756,$A212)</f>
        <v>23.66419354838709</v>
      </c>
      <c r="S212" s="3">
        <f>AVERAGEIFS(Daily!$G$3:$G$7756,Daily!$B$3:$B$7756,$A212)</f>
        <v>15.084193548387098</v>
      </c>
      <c r="T212" s="4">
        <f>SUMIFS(Daily!$H$3:$H$7756,Daily!$B$3:$B$7756,$A212)</f>
        <v>199.03</v>
      </c>
      <c r="U212" s="4">
        <f>SUMIFS(Daily!$I$3:$I$7756,Daily!$B$3:$B$7756,$A212)</f>
        <v>3.755</v>
      </c>
      <c r="V212" s="3">
        <f>AVERAGEIFS(Daily!$J$3:$J$7756,Daily!$B$3:$B$7756,$A212)</f>
        <v>19.541935483870965</v>
      </c>
      <c r="W212" s="3">
        <f>AVERAGEIFS(Daily!$K$3:$K$7756,Daily!$B$3:$B$7756,$A212)</f>
        <v>24.366774193548387</v>
      </c>
      <c r="X212" s="3">
        <f>AVERAGEIFS(Daily!$L$3:$L$7756,Daily!$B$3:$B$7756,$A212)</f>
        <v>16.00225806451613</v>
      </c>
      <c r="Y212" s="4">
        <f>SUMIFS(Daily!$M$3:$M$7756,Daily!$B$3:$B$7756,$A212)</f>
        <v>62.47</v>
      </c>
      <c r="Z212" s="4">
        <f>SUMIFS(Daily!$N$3:$N$7756,Daily!$B$3:$B$7756,$A212)</f>
        <v>13.804</v>
      </c>
      <c r="AA212" s="3">
        <f>AVERAGEIFS(Daily!$O$3:$O$7756,Daily!$B$3:$B$7756,$A212)</f>
        <v>19.912258064516127</v>
      </c>
      <c r="AB212" s="3">
        <f>AVERAGEIFS(Daily!$P$3:$P$7756,Daily!$B$3:$B$7756,$A212)</f>
        <v>24.029999999999994</v>
      </c>
      <c r="AC212" s="3">
        <f>AVERAGEIFS(Daily!$Q$3:$Q$7756,Daily!$B$3:$B$7756,$A212)</f>
        <v>17.058709677419362</v>
      </c>
      <c r="AD212" s="4">
        <f>SUMIFS(Daily!$R$3:$R$7756,Daily!$B$3:$B$7756,$A212)</f>
        <v>149.53</v>
      </c>
      <c r="AE212" s="4">
        <f>AVERAGE(P212,U212,Z212)</f>
        <v>6.133</v>
      </c>
      <c r="AF212" s="3">
        <f>AVERAGE(Q212,V212,AA212)</f>
        <v>19.39849462365591</v>
      </c>
      <c r="AG212" s="3">
        <f>AVERAGE(R212,W212,AB212)</f>
        <v>24.020322580645157</v>
      </c>
      <c r="AH212" s="3">
        <f>AVERAGE(S212,X212,AC212)</f>
        <v>16.048387096774196</v>
      </c>
      <c r="AI212" s="4">
        <f>AVERAGE(T212,Y212,AD212)</f>
        <v>137.01</v>
      </c>
    </row>
    <row r="213">
      <c r="A213" s="2" t="inlineStr">
        <is>
          <t xml:space="preserve">2023-01</t>
        </is>
      </c>
      <c r="B213" s="2">
        <v>2023</v>
      </c>
      <c r="C213" s="2">
        <v>1</v>
      </c>
      <c r="D213" s="2" t="inlineStr">
        <is>
          <t xml:space="preserve">Jan</t>
        </is>
      </c>
      <c r="E213" s="2" t="inlineStr">
        <is>
          <t xml:space="preserve">2022/23</t>
        </is>
      </c>
      <c r="F213" s="2">
        <v>7</v>
      </c>
      <c r="G213" s="9">
        <v>44927</v>
      </c>
      <c r="H213" s="9">
        <v>44957</v>
      </c>
      <c r="I213" s="2">
        <f>H213-G213+1</f>
        <v>31</v>
      </c>
      <c r="J213" s="2">
        <f>COUNTIF(Daily!$B$3:$B$7756,A213)</f>
        <v>31</v>
      </c>
      <c r="K213" s="2" t="str">
        <f>IF(J213=I213,"complete","partial ("&amp;J213&amp;" days)")</f>
        <v>complete</v>
      </c>
      <c r="L213" s="3">
        <f>INDEX(ENSO_monthly!$F:$F,MATCH(A213,ENSO_monthly!$A:$A,0))</f>
        <v>-0.55</v>
      </c>
      <c r="M213" s="2" t="str">
        <f>INDEX(ENSO_monthly!$D:$D,MATCH(A213,ENSO_monthly!$A:$A,0))</f>
        <v>DJF</v>
      </c>
      <c r="N213" s="5" t="str">
        <f>INDEX(ENSO_monthly!$L:$L,MATCH(A213,ENSO_monthly!$A:$A,0))</f>
        <v>La Niña</v>
      </c>
      <c r="O213" s="12" t="str">
        <f>INDEX(ENSO_seasons!$U:$U,MATCH(E213,ENSO_seasons!$A:$A,0))</f>
        <v>La Niña</v>
      </c>
      <c r="P213" s="4">
        <f>SUMIFS(Daily!$D$3:$D$7756,Daily!$B$3:$B$7756,$A213)</f>
        <v>0.51</v>
      </c>
      <c r="Q213" s="3">
        <f>AVERAGEIFS(Daily!$E$3:$E$7756,Daily!$B$3:$B$7756,$A213)</f>
        <v>18.810967741935478</v>
      </c>
      <c r="R213" s="3">
        <f>AVERAGEIFS(Daily!$F$3:$F$7756,Daily!$B$3:$B$7756,$A213)</f>
        <v>24.340645161290322</v>
      </c>
      <c r="S213" s="3">
        <f>AVERAGEIFS(Daily!$G$3:$G$7756,Daily!$B$3:$B$7756,$A213)</f>
        <v>14.374838709677416</v>
      </c>
      <c r="T213" s="4">
        <f>SUMIFS(Daily!$H$3:$H$7756,Daily!$B$3:$B$7756,$A213)</f>
        <v>57.67</v>
      </c>
      <c r="U213" s="4">
        <f>SUMIFS(Daily!$I$3:$I$7756,Daily!$B$3:$B$7756,$A213)</f>
        <v>4.77</v>
      </c>
      <c r="V213" s="3">
        <f>AVERAGEIFS(Daily!$J$3:$J$7756,Daily!$B$3:$B$7756,$A213)</f>
        <v>19.673870967741934</v>
      </c>
      <c r="W213" s="3">
        <f>AVERAGEIFS(Daily!$K$3:$K$7756,Daily!$B$3:$B$7756,$A213)</f>
        <v>24.859354838709677</v>
      </c>
      <c r="X213" s="3">
        <f>AVERAGEIFS(Daily!$L$3:$L$7756,Daily!$B$3:$B$7756,$A213)</f>
        <v>15.718064516129035</v>
      </c>
      <c r="Y213" s="4">
        <f>SUMIFS(Daily!$M$3:$M$7756,Daily!$B$3:$B$7756,$A213)</f>
        <v>355.27</v>
      </c>
      <c r="Z213" s="4">
        <f>SUMIFS(Daily!$N$3:$N$7756,Daily!$B$3:$B$7756,$A213)</f>
        <v>20.348</v>
      </c>
      <c r="AA213" s="3">
        <f>AVERAGEIFS(Daily!$O$3:$O$7756,Daily!$B$3:$B$7756,$A213)</f>
        <v>19.92677419354838</v>
      </c>
      <c r="AB213" s="3">
        <f>AVERAGEIFS(Daily!$P$3:$P$7756,Daily!$B$3:$B$7756,$A213)</f>
        <v>24.601290322580642</v>
      </c>
      <c r="AC213" s="3">
        <f>AVERAGEIFS(Daily!$Q$3:$Q$7756,Daily!$B$3:$B$7756,$A213)</f>
        <v>16.42774193548387</v>
      </c>
      <c r="AD213" s="4">
        <f>SUMIFS(Daily!$R$3:$R$7756,Daily!$B$3:$B$7756,$A213)</f>
        <v>331.31</v>
      </c>
      <c r="AE213" s="4">
        <f>AVERAGE(P213,U213,Z213)</f>
        <v>8.542666666666667</v>
      </c>
      <c r="AF213" s="3">
        <f>AVERAGE(Q213,V213,AA213)</f>
        <v>19.470537634408597</v>
      </c>
      <c r="AG213" s="3">
        <f>AVERAGE(R213,W213,AB213)</f>
        <v>24.60043010752688</v>
      </c>
      <c r="AH213" s="3">
        <f>AVERAGE(S213,X213,AC213)</f>
        <v>15.506881720430107</v>
      </c>
      <c r="AI213" s="4">
        <f>AVERAGE(T213,Y213,AD213)</f>
        <v>248.08333333333334</v>
      </c>
    </row>
    <row r="214">
      <c r="A214" s="2" t="inlineStr">
        <is>
          <t xml:space="preserve">2023-02</t>
        </is>
      </c>
      <c r="B214" s="2">
        <v>2023</v>
      </c>
      <c r="C214" s="2">
        <v>2</v>
      </c>
      <c r="D214" s="2" t="inlineStr">
        <is>
          <t xml:space="preserve">Feb</t>
        </is>
      </c>
      <c r="E214" s="2" t="inlineStr">
        <is>
          <t xml:space="preserve">2022/23</t>
        </is>
      </c>
      <c r="F214" s="2">
        <v>8</v>
      </c>
      <c r="G214" s="9">
        <v>44958</v>
      </c>
      <c r="H214" s="9">
        <v>44985</v>
      </c>
      <c r="I214" s="2">
        <f>H214-G214+1</f>
        <v>28</v>
      </c>
      <c r="J214" s="2">
        <f>COUNTIF(Daily!$B$3:$B$7756,A214)</f>
        <v>28</v>
      </c>
      <c r="K214" s="2" t="str">
        <f>IF(J214=I214,"complete","partial ("&amp;J214&amp;" days)")</f>
        <v>complete</v>
      </c>
      <c r="L214" s="3">
        <f>INDEX(ENSO_monthly!$F:$F,MATCH(A214,ENSO_monthly!$A:$A,0))</f>
        <v>-0.33</v>
      </c>
      <c r="M214" s="2" t="str">
        <f>INDEX(ENSO_monthly!$D:$D,MATCH(A214,ENSO_monthly!$A:$A,0))</f>
        <v>JFM</v>
      </c>
      <c r="N214" s="2" t="str">
        <f>INDEX(ENSO_monthly!$L:$L,MATCH(A214,ENSO_monthly!$A:$A,0))</f>
        <v>—</v>
      </c>
      <c r="O214" s="12" t="str">
        <f>INDEX(ENSO_seasons!$U:$U,MATCH(E214,ENSO_seasons!$A:$A,0))</f>
        <v>La Niña</v>
      </c>
      <c r="P214" s="4">
        <f>SUMIFS(Daily!$D$3:$D$7756,Daily!$B$3:$B$7756,$A214)</f>
        <v>0.191</v>
      </c>
      <c r="Q214" s="3">
        <f>AVERAGEIFS(Daily!$E$3:$E$7756,Daily!$B$3:$B$7756,$A214)</f>
        <v>19.983571428571427</v>
      </c>
      <c r="R214" s="3">
        <f>AVERAGEIFS(Daily!$F$3:$F$7756,Daily!$B$3:$B$7756,$A214)</f>
        <v>26.814999999999998</v>
      </c>
      <c r="S214" s="3">
        <f>AVERAGEIFS(Daily!$G$3:$G$7756,Daily!$B$3:$B$7756,$A214)</f>
        <v>14.489642857142858</v>
      </c>
      <c r="T214" s="4">
        <f>SUMIFS(Daily!$H$3:$H$7756,Daily!$B$3:$B$7756,$A214)</f>
        <v>7.87</v>
      </c>
      <c r="U214" s="4">
        <f>SUMIFS(Daily!$I$3:$I$7756,Daily!$B$3:$B$7756,$A214)</f>
        <v>1.814</v>
      </c>
      <c r="V214" s="3">
        <f>AVERAGEIFS(Daily!$J$3:$J$7756,Daily!$B$3:$B$7756,$A214)</f>
        <v>20.421785714285715</v>
      </c>
      <c r="W214" s="3">
        <f>AVERAGEIFS(Daily!$K$3:$K$7756,Daily!$B$3:$B$7756,$A214)</f>
        <v>26.0525</v>
      </c>
      <c r="X214" s="3">
        <f>AVERAGEIFS(Daily!$L$3:$L$7756,Daily!$B$3:$B$7756,$A214)</f>
        <v>16.196428571428573</v>
      </c>
      <c r="Y214" s="4">
        <f>SUMIFS(Daily!$M$3:$M$7756,Daily!$B$3:$B$7756,$A214)</f>
        <v>4.35</v>
      </c>
      <c r="Z214" s="4">
        <f>SUMIFS(Daily!$N$3:$N$7756,Daily!$B$3:$B$7756,$A214)</f>
        <v>7.792</v>
      </c>
      <c r="AA214" s="3">
        <f>AVERAGEIFS(Daily!$O$3:$O$7756,Daily!$B$3:$B$7756,$A214)</f>
        <v>20.363214285714285</v>
      </c>
      <c r="AB214" s="3">
        <f>AVERAGEIFS(Daily!$P$3:$P$7756,Daily!$B$3:$B$7756,$A214)</f>
        <v>25.318214285714287</v>
      </c>
      <c r="AC214" s="3">
        <f>AVERAGEIFS(Daily!$Q$3:$Q$7756,Daily!$B$3:$B$7756,$A214)</f>
        <v>16.835357142857145</v>
      </c>
      <c r="AD214" s="4">
        <f>SUMIFS(Daily!$R$3:$R$7756,Daily!$B$3:$B$7756,$A214)</f>
        <v>14.92</v>
      </c>
      <c r="AE214" s="4">
        <f>AVERAGE(P214,U214,Z214)</f>
        <v>3.2656666666666667</v>
      </c>
      <c r="AF214" s="3">
        <f>AVERAGE(Q214,V214,AA214)</f>
        <v>20.256190476190476</v>
      </c>
      <c r="AG214" s="3">
        <f>AVERAGE(R214,W214,AB214)</f>
        <v>26.06190476190476</v>
      </c>
      <c r="AH214" s="3">
        <f>AVERAGE(S214,X214,AC214)</f>
        <v>15.84047619047619</v>
      </c>
      <c r="AI214" s="4">
        <f>AVERAGE(T214,Y214,AD214)</f>
        <v>9.046666666666667</v>
      </c>
    </row>
    <row r="215">
      <c r="A215" s="2" t="inlineStr">
        <is>
          <t xml:space="preserve">2023-03</t>
        </is>
      </c>
      <c r="B215" s="2">
        <v>2023</v>
      </c>
      <c r="C215" s="2">
        <v>3</v>
      </c>
      <c r="D215" s="2" t="inlineStr">
        <is>
          <t xml:space="preserve">Mar</t>
        </is>
      </c>
      <c r="E215" s="2" t="inlineStr">
        <is>
          <t xml:space="preserve">2022/23</t>
        </is>
      </c>
      <c r="F215" s="2">
        <v>9</v>
      </c>
      <c r="G215" s="9">
        <v>44986</v>
      </c>
      <c r="H215" s="9">
        <v>45016</v>
      </c>
      <c r="I215" s="2">
        <f>H215-G215+1</f>
        <v>31</v>
      </c>
      <c r="J215" s="2">
        <f>COUNTIF(Daily!$B$3:$B$7756,A215)</f>
        <v>31</v>
      </c>
      <c r="K215" s="2" t="str">
        <f>IF(J215=I215,"complete","partial ("&amp;J215&amp;" days)")</f>
        <v>complete</v>
      </c>
      <c r="L215" s="3">
        <f>INDEX(ENSO_monthly!$F:$F,MATCH(A215,ENSO_monthly!$A:$A,0))</f>
        <v>-0.11</v>
      </c>
      <c r="M215" s="2" t="str">
        <f>INDEX(ENSO_monthly!$D:$D,MATCH(A215,ENSO_monthly!$A:$A,0))</f>
        <v>FMA</v>
      </c>
      <c r="N215" s="2" t="str">
        <f>INDEX(ENSO_monthly!$L:$L,MATCH(A215,ENSO_monthly!$A:$A,0))</f>
        <v>—</v>
      </c>
      <c r="O215" s="12" t="str">
        <f>INDEX(ENSO_seasons!$U:$U,MATCH(E215,ENSO_seasons!$A:$A,0))</f>
        <v>La Niña</v>
      </c>
      <c r="P215" s="4">
        <f>SUMIFS(Daily!$D$3:$D$7756,Daily!$B$3:$B$7756,$A215)</f>
        <v>45.268</v>
      </c>
      <c r="Q215" s="3">
        <f>AVERAGEIFS(Daily!$E$3:$E$7756,Daily!$B$3:$B$7756,$A215)</f>
        <v>22.793548387096774</v>
      </c>
      <c r="R215" s="3">
        <f>AVERAGEIFS(Daily!$F$3:$F$7756,Daily!$B$3:$B$7756,$A215)</f>
        <v>30.10967741935484</v>
      </c>
      <c r="S215" s="3">
        <f>AVERAGEIFS(Daily!$G$3:$G$7756,Daily!$B$3:$B$7756,$A215)</f>
        <v>16.916129032258063</v>
      </c>
      <c r="T215" s="4">
        <f>SUMIFS(Daily!$H$3:$H$7756,Daily!$B$3:$B$7756,$A215)</f>
        <v>45.87</v>
      </c>
      <c r="U215" s="4">
        <f>SUMIFS(Daily!$I$3:$I$7756,Daily!$B$3:$B$7756,$A215)</f>
        <v>7.259</v>
      </c>
      <c r="V215" s="3">
        <f>AVERAGEIFS(Daily!$J$3:$J$7756,Daily!$B$3:$B$7756,$A215)</f>
        <v>23.065806451612904</v>
      </c>
      <c r="W215" s="3">
        <f>AVERAGEIFS(Daily!$K$3:$K$7756,Daily!$B$3:$B$7756,$A215)</f>
        <v>29.848064516129032</v>
      </c>
      <c r="X215" s="3">
        <f>AVERAGEIFS(Daily!$L$3:$L$7756,Daily!$B$3:$B$7756,$A215)</f>
        <v>17.770645161290325</v>
      </c>
      <c r="Y215" s="4">
        <f>SUMIFS(Daily!$M$3:$M$7756,Daily!$B$3:$B$7756,$A215)</f>
        <v>18.46</v>
      </c>
      <c r="Z215" s="4">
        <f>SUMIFS(Daily!$N$3:$N$7756,Daily!$B$3:$B$7756,$A215)</f>
        <v>27.712</v>
      </c>
      <c r="AA215" s="3">
        <f>AVERAGEIFS(Daily!$O$3:$O$7756,Daily!$B$3:$B$7756,$A215)</f>
        <v>22.27129032258064</v>
      </c>
      <c r="AB215" s="3">
        <f>AVERAGEIFS(Daily!$P$3:$P$7756,Daily!$B$3:$B$7756,$A215)</f>
        <v>28.02967741935484</v>
      </c>
      <c r="AC215" s="3">
        <f>AVERAGEIFS(Daily!$Q$3:$Q$7756,Daily!$B$3:$B$7756,$A215)</f>
        <v>17.950645161290325</v>
      </c>
      <c r="AD215" s="4">
        <f>SUMIFS(Daily!$R$3:$R$7756,Daily!$B$3:$B$7756,$A215)</f>
        <v>52.52</v>
      </c>
      <c r="AE215" s="4">
        <f>AVERAGE(P215,U215,Z215)</f>
        <v>26.746333333333336</v>
      </c>
      <c r="AF215" s="3">
        <f>AVERAGE(Q215,V215,AA215)</f>
        <v>22.710215053763438</v>
      </c>
      <c r="AG215" s="3">
        <f>AVERAGE(R215,W215,AB215)</f>
        <v>29.329139784946236</v>
      </c>
      <c r="AH215" s="3">
        <f>AVERAGE(S215,X215,AC215)</f>
        <v>17.545806451612904</v>
      </c>
      <c r="AI215" s="4">
        <f>AVERAGE(T215,Y215,AD215)</f>
        <v>38.949999999999996</v>
      </c>
    </row>
    <row r="216">
      <c r="A216" s="2" t="inlineStr">
        <is>
          <t xml:space="preserve">2023-04</t>
        </is>
      </c>
      <c r="B216" s="2">
        <v>2023</v>
      </c>
      <c r="C216" s="2">
        <v>4</v>
      </c>
      <c r="D216" s="2" t="inlineStr">
        <is>
          <t xml:space="preserve">Apr</t>
        </is>
      </c>
      <c r="E216" s="2" t="inlineStr">
        <is>
          <t xml:space="preserve">2022/23</t>
        </is>
      </c>
      <c r="F216" s="2">
        <v>10</v>
      </c>
      <c r="G216" s="9">
        <v>45017</v>
      </c>
      <c r="H216" s="9">
        <v>45046</v>
      </c>
      <c r="I216" s="2">
        <f>H216-G216+1</f>
        <v>30</v>
      </c>
      <c r="J216" s="2">
        <f>COUNTIF(Daily!$B$3:$B$7756,A216)</f>
        <v>30</v>
      </c>
      <c r="K216" s="2" t="str">
        <f>IF(J216=I216,"complete","partial ("&amp;J216&amp;" days)")</f>
        <v>complete</v>
      </c>
      <c r="L216" s="3">
        <f>INDEX(ENSO_monthly!$F:$F,MATCH(A216,ENSO_monthly!$A:$A,0))</f>
        <v>0.19</v>
      </c>
      <c r="M216" s="2" t="str">
        <f>INDEX(ENSO_monthly!$D:$D,MATCH(A216,ENSO_monthly!$A:$A,0))</f>
        <v>MAM</v>
      </c>
      <c r="N216" s="2" t="str">
        <f>INDEX(ENSO_monthly!$L:$L,MATCH(A216,ENSO_monthly!$A:$A,0))</f>
        <v>—</v>
      </c>
      <c r="O216" s="12" t="str">
        <f>INDEX(ENSO_seasons!$U:$U,MATCH(E216,ENSO_seasons!$A:$A,0))</f>
        <v>La Niña</v>
      </c>
      <c r="P216" s="4">
        <f>SUMIFS(Daily!$D$3:$D$7756,Daily!$B$3:$B$7756,$A216)</f>
        <v>46.054</v>
      </c>
      <c r="Q216" s="3">
        <f>AVERAGEIFS(Daily!$E$3:$E$7756,Daily!$B$3:$B$7756,$A216)</f>
        <v>24.466333333333335</v>
      </c>
      <c r="R216" s="3">
        <f>AVERAGEIFS(Daily!$F$3:$F$7756,Daily!$B$3:$B$7756,$A216)</f>
        <v>32.05233333333333</v>
      </c>
      <c r="S216" s="3">
        <f>AVERAGEIFS(Daily!$G$3:$G$7756,Daily!$B$3:$B$7756,$A216)</f>
        <v>17.96466666666667</v>
      </c>
      <c r="T216" s="4">
        <f>SUMIFS(Daily!$H$3:$H$7756,Daily!$B$3:$B$7756,$A216)</f>
        <v>35.13</v>
      </c>
      <c r="U216" s="4">
        <f>SUMIFS(Daily!$I$3:$I$7756,Daily!$B$3:$B$7756,$A216)</f>
        <v>19.734</v>
      </c>
      <c r="V216" s="3">
        <f>AVERAGEIFS(Daily!$J$3:$J$7756,Daily!$B$3:$B$7756,$A216)</f>
        <v>25.00533333333334</v>
      </c>
      <c r="W216" s="3">
        <f>AVERAGEIFS(Daily!$K$3:$K$7756,Daily!$B$3:$B$7756,$A216)</f>
        <v>32.410999999999994</v>
      </c>
      <c r="X216" s="3">
        <f>AVERAGEIFS(Daily!$L$3:$L$7756,Daily!$B$3:$B$7756,$A216)</f>
        <v>19.063666666666666</v>
      </c>
      <c r="Y216" s="4">
        <f>SUMIFS(Daily!$M$3:$M$7756,Daily!$B$3:$B$7756,$A216)</f>
        <v>18.31</v>
      </c>
      <c r="Z216" s="4">
        <f>SUMIFS(Daily!$N$3:$N$7756,Daily!$B$3:$B$7756,$A216)</f>
        <v>14.734</v>
      </c>
      <c r="AA216" s="3">
        <f>AVERAGEIFS(Daily!$O$3:$O$7756,Daily!$B$3:$B$7756,$A216)</f>
        <v>24.240666666666666</v>
      </c>
      <c r="AB216" s="3">
        <f>AVERAGEIFS(Daily!$P$3:$P$7756,Daily!$B$3:$B$7756,$A216)</f>
        <v>31.11933333333333</v>
      </c>
      <c r="AC216" s="3">
        <f>AVERAGEIFS(Daily!$Q$3:$Q$7756,Daily!$B$3:$B$7756,$A216)</f>
        <v>19.134333333333334</v>
      </c>
      <c r="AD216" s="4">
        <f>SUMIFS(Daily!$R$3:$R$7756,Daily!$B$3:$B$7756,$A216)</f>
        <v>22.28</v>
      </c>
      <c r="AE216" s="4">
        <f>AVERAGE(P216,U216,Z216)</f>
        <v>26.840666666666667</v>
      </c>
      <c r="AF216" s="3">
        <f>AVERAGE(Q216,V216,AA216)</f>
        <v>24.57077777777778</v>
      </c>
      <c r="AG216" s="3">
        <f>AVERAGE(R216,W216,AB216)</f>
        <v>31.860888888888883</v>
      </c>
      <c r="AH216" s="3">
        <f>AVERAGE(S216,X216,AC216)</f>
        <v>18.72088888888889</v>
      </c>
      <c r="AI216" s="4">
        <f>AVERAGE(T216,Y216,AD216)</f>
        <v>25.24</v>
      </c>
    </row>
    <row r="217">
      <c r="A217" s="2" t="inlineStr">
        <is>
          <t xml:space="preserve">2023-05</t>
        </is>
      </c>
      <c r="B217" s="2">
        <v>2023</v>
      </c>
      <c r="C217" s="2">
        <v>5</v>
      </c>
      <c r="D217" s="2" t="inlineStr">
        <is>
          <t xml:space="preserve">May</t>
        </is>
      </c>
      <c r="E217" s="2" t="inlineStr">
        <is>
          <t xml:space="preserve">2022/23</t>
        </is>
      </c>
      <c r="F217" s="2">
        <v>11</v>
      </c>
      <c r="G217" s="9">
        <v>45047</v>
      </c>
      <c r="H217" s="9">
        <v>45077</v>
      </c>
      <c r="I217" s="2">
        <f>H217-G217+1</f>
        <v>31</v>
      </c>
      <c r="J217" s="2">
        <f>COUNTIF(Daily!$B$3:$B$7756,A217)</f>
        <v>31</v>
      </c>
      <c r="K217" s="2" t="str">
        <f>IF(J217=I217,"complete","partial ("&amp;J217&amp;" days)")</f>
        <v>complete</v>
      </c>
      <c r="L217" s="3">
        <f>INDEX(ENSO_monthly!$F:$F,MATCH(A217,ENSO_monthly!$A:$A,0))</f>
        <v>0.46</v>
      </c>
      <c r="M217" s="2" t="str">
        <f>INDEX(ENSO_monthly!$D:$D,MATCH(A217,ENSO_monthly!$A:$A,0))</f>
        <v>AMJ</v>
      </c>
      <c r="N217" s="6" t="str">
        <f>INDEX(ENSO_monthly!$L:$L,MATCH(A217,ENSO_monthly!$A:$A,0))</f>
        <v>El Niño</v>
      </c>
      <c r="O217" s="12" t="str">
        <f>INDEX(ENSO_seasons!$U:$U,MATCH(E217,ENSO_seasons!$A:$A,0))</f>
        <v>La Niña</v>
      </c>
      <c r="P217" s="4">
        <f>SUMIFS(Daily!$D$3:$D$7756,Daily!$B$3:$B$7756,$A217)</f>
        <v>179.627</v>
      </c>
      <c r="Q217" s="3">
        <f>AVERAGEIFS(Daily!$E$3:$E$7756,Daily!$B$3:$B$7756,$A217)</f>
        <v>24.870967741935484</v>
      </c>
      <c r="R217" s="3">
        <f>AVERAGEIFS(Daily!$F$3:$F$7756,Daily!$B$3:$B$7756,$A217)</f>
        <v>31.199677419354842</v>
      </c>
      <c r="S217" s="3">
        <f>AVERAGEIFS(Daily!$G$3:$G$7756,Daily!$B$3:$B$7756,$A217)</f>
        <v>19.693870967741933</v>
      </c>
      <c r="T217" s="4">
        <f>SUMIFS(Daily!$H$3:$H$7756,Daily!$B$3:$B$7756,$A217)</f>
        <v>133.12</v>
      </c>
      <c r="U217" s="4">
        <f>SUMIFS(Daily!$I$3:$I$7756,Daily!$B$3:$B$7756,$A217)</f>
        <v>71.927</v>
      </c>
      <c r="V217" s="3">
        <f>AVERAGEIFS(Daily!$J$3:$J$7756,Daily!$B$3:$B$7756,$A217)</f>
        <v>25.86806451612903</v>
      </c>
      <c r="W217" s="3">
        <f>AVERAGEIFS(Daily!$K$3:$K$7756,Daily!$B$3:$B$7756,$A217)</f>
        <v>32.27612903225807</v>
      </c>
      <c r="X217" s="3">
        <f>AVERAGEIFS(Daily!$L$3:$L$7756,Daily!$B$3:$B$7756,$A217)</f>
        <v>20.83290322580645</v>
      </c>
      <c r="Y217" s="4">
        <f>SUMIFS(Daily!$M$3:$M$7756,Daily!$B$3:$B$7756,$A217)</f>
        <v>86.85</v>
      </c>
      <c r="Z217" s="4">
        <f>SUMIFS(Daily!$N$3:$N$7756,Daily!$B$3:$B$7756,$A217)</f>
        <v>89.98</v>
      </c>
      <c r="AA217" s="3">
        <f>AVERAGEIFS(Daily!$O$3:$O$7756,Daily!$B$3:$B$7756,$A217)</f>
        <v>25.25129032258064</v>
      </c>
      <c r="AB217" s="3">
        <f>AVERAGEIFS(Daily!$P$3:$P$7756,Daily!$B$3:$B$7756,$A217)</f>
        <v>31.359032258064516</v>
      </c>
      <c r="AC217" s="3">
        <f>AVERAGEIFS(Daily!$Q$3:$Q$7756,Daily!$B$3:$B$7756,$A217)</f>
        <v>20.74612903225806</v>
      </c>
      <c r="AD217" s="4">
        <f>SUMIFS(Daily!$R$3:$R$7756,Daily!$B$3:$B$7756,$A217)</f>
        <v>84.7</v>
      </c>
      <c r="AE217" s="4">
        <f>AVERAGE(P217,U217,Z217)</f>
        <v>113.84466666666668</v>
      </c>
      <c r="AF217" s="3">
        <f>AVERAGE(Q217,V217,AA217)</f>
        <v>25.33010752688172</v>
      </c>
      <c r="AG217" s="3">
        <f>AVERAGE(R217,W217,AB217)</f>
        <v>31.611612903225808</v>
      </c>
      <c r="AH217" s="3">
        <f>AVERAGE(S217,X217,AC217)</f>
        <v>20.424301075268815</v>
      </c>
      <c r="AI217" s="4">
        <f>AVERAGE(T217,Y217,AD217)</f>
        <v>101.55666666666667</v>
      </c>
    </row>
    <row r="218">
      <c r="A218" s="2" t="inlineStr">
        <is>
          <t xml:space="preserve">2023-06</t>
        </is>
      </c>
      <c r="B218" s="2">
        <v>2023</v>
      </c>
      <c r="C218" s="2">
        <v>6</v>
      </c>
      <c r="D218" s="2" t="inlineStr">
        <is>
          <t xml:space="preserve">Jun</t>
        </is>
      </c>
      <c r="E218" s="2" t="inlineStr">
        <is>
          <t xml:space="preserve">2022/23</t>
        </is>
      </c>
      <c r="F218" s="2">
        <v>12</v>
      </c>
      <c r="G218" s="9">
        <v>45078</v>
      </c>
      <c r="H218" s="9">
        <v>45107</v>
      </c>
      <c r="I218" s="2">
        <f>H218-G218+1</f>
        <v>30</v>
      </c>
      <c r="J218" s="2">
        <f>COUNTIF(Daily!$B$3:$B$7756,A218)</f>
        <v>30</v>
      </c>
      <c r="K218" s="2" t="str">
        <f>IF(J218=I218,"complete","partial ("&amp;J218&amp;" days)")</f>
        <v>complete</v>
      </c>
      <c r="L218" s="3">
        <f>INDEX(ENSO_monthly!$F:$F,MATCH(A218,ENSO_monthly!$A:$A,0))</f>
        <v>0.73</v>
      </c>
      <c r="M218" s="2" t="str">
        <f>INDEX(ENSO_monthly!$D:$D,MATCH(A218,ENSO_monthly!$A:$A,0))</f>
        <v>MJJ</v>
      </c>
      <c r="N218" s="6" t="str">
        <f>INDEX(ENSO_monthly!$L:$L,MATCH(A218,ENSO_monthly!$A:$A,0))</f>
        <v>El Niño</v>
      </c>
      <c r="O218" s="12" t="str">
        <f>INDEX(ENSO_seasons!$U:$U,MATCH(E218,ENSO_seasons!$A:$A,0))</f>
        <v>La Niña</v>
      </c>
      <c r="P218" s="4">
        <f>SUMIFS(Daily!$D$3:$D$7756,Daily!$B$3:$B$7756,$A218)</f>
        <v>160.229</v>
      </c>
      <c r="Q218" s="3">
        <f>AVERAGEIFS(Daily!$E$3:$E$7756,Daily!$B$3:$B$7756,$A218)</f>
        <v>23.17</v>
      </c>
      <c r="R218" s="3">
        <f>AVERAGEIFS(Daily!$F$3:$F$7756,Daily!$B$3:$B$7756,$A218)</f>
        <v>27.877666666666677</v>
      </c>
      <c r="S218" s="3">
        <f>AVERAGEIFS(Daily!$G$3:$G$7756,Daily!$B$3:$B$7756,$A218)</f>
        <v>19.40533333333333</v>
      </c>
      <c r="T218" s="4">
        <f>SUMIFS(Daily!$H$3:$H$7756,Daily!$B$3:$B$7756,$A218)</f>
        <v>250.13</v>
      </c>
      <c r="U218" s="4">
        <f>SUMIFS(Daily!$I$3:$I$7756,Daily!$B$3:$B$7756,$A218)</f>
        <v>119.624</v>
      </c>
      <c r="V218" s="3">
        <f>AVERAGEIFS(Daily!$J$3:$J$7756,Daily!$B$3:$B$7756,$A218)</f>
        <v>25.08866666666667</v>
      </c>
      <c r="W218" s="3">
        <f>AVERAGEIFS(Daily!$K$3:$K$7756,Daily!$B$3:$B$7756,$A218)</f>
        <v>30.55533333333334</v>
      </c>
      <c r="X218" s="3">
        <f>AVERAGEIFS(Daily!$L$3:$L$7756,Daily!$B$3:$B$7756,$A218)</f>
        <v>20.965999999999994</v>
      </c>
      <c r="Y218" s="4">
        <f>SUMIFS(Daily!$M$3:$M$7756,Daily!$B$3:$B$7756,$A218)</f>
        <v>138.95</v>
      </c>
      <c r="Z218" s="4">
        <f>SUMIFS(Daily!$N$3:$N$7756,Daily!$B$3:$B$7756,$A218)</f>
        <v>174.312</v>
      </c>
      <c r="AA218" s="3">
        <f>AVERAGEIFS(Daily!$O$3:$O$7756,Daily!$B$3:$B$7756,$A218)</f>
        <v>25.236333333333334</v>
      </c>
      <c r="AB218" s="3">
        <f>AVERAGEIFS(Daily!$P$3:$P$7756,Daily!$B$3:$B$7756,$A218)</f>
        <v>30.612000000000002</v>
      </c>
      <c r="AC218" s="3">
        <f>AVERAGEIFS(Daily!$Q$3:$Q$7756,Daily!$B$3:$B$7756,$A218)</f>
        <v>21.272333333333336</v>
      </c>
      <c r="AD218" s="4">
        <f>SUMIFS(Daily!$R$3:$R$7756,Daily!$B$3:$B$7756,$A218)</f>
        <v>152.83</v>
      </c>
      <c r="AE218" s="4">
        <f>AVERAGE(P218,U218,Z218)</f>
        <v>151.38833333333335</v>
      </c>
      <c r="AF218" s="3">
        <f>AVERAGE(Q218,V218,AA218)</f>
        <v>24.498333333333335</v>
      </c>
      <c r="AG218" s="3">
        <f>AVERAGE(R218,W218,AB218)</f>
        <v>29.681666666666672</v>
      </c>
      <c r="AH218" s="3">
        <f>AVERAGE(S218,X218,AC218)</f>
        <v>20.547888888888888</v>
      </c>
      <c r="AI218" s="4">
        <f>AVERAGE(T218,Y218,AD218)</f>
        <v>180.63666666666666</v>
      </c>
    </row>
    <row r="219">
      <c r="A219" s="2" t="inlineStr">
        <is>
          <t xml:space="preserve">2023-07</t>
        </is>
      </c>
      <c r="B219" s="2">
        <v>2023</v>
      </c>
      <c r="C219" s="2">
        <v>7</v>
      </c>
      <c r="D219" s="2" t="inlineStr">
        <is>
          <t xml:space="preserve">Jul</t>
        </is>
      </c>
      <c r="E219" s="2" t="inlineStr">
        <is>
          <t xml:space="preserve">2023/24</t>
        </is>
      </c>
      <c r="F219" s="2">
        <v>1</v>
      </c>
      <c r="G219" s="9">
        <v>45108</v>
      </c>
      <c r="H219" s="9">
        <v>45138</v>
      </c>
      <c r="I219" s="2">
        <f>H219-G219+1</f>
        <v>31</v>
      </c>
      <c r="J219" s="2">
        <f>COUNTIF(Daily!$B$3:$B$7756,A219)</f>
        <v>31</v>
      </c>
      <c r="K219" s="2" t="str">
        <f>IF(J219=I219,"complete","partial ("&amp;J219&amp;" days)")</f>
        <v>complete</v>
      </c>
      <c r="L219" s="3">
        <f>INDEX(ENSO_monthly!$F:$F,MATCH(A219,ENSO_monthly!$A:$A,0))</f>
        <v>1.0</v>
      </c>
      <c r="M219" s="2" t="str">
        <f>INDEX(ENSO_monthly!$D:$D,MATCH(A219,ENSO_monthly!$A:$A,0))</f>
        <v>JJA</v>
      </c>
      <c r="N219" s="6" t="str">
        <f>INDEX(ENSO_monthly!$L:$L,MATCH(A219,ENSO_monthly!$A:$A,0))</f>
        <v>El Niño</v>
      </c>
      <c r="O219" s="11" t="str">
        <f>INDEX(ENSO_seasons!$U:$U,MATCH(E219,ENSO_seasons!$A:$A,0))</f>
        <v>El Niño</v>
      </c>
      <c r="P219" s="4">
        <f>SUMIFS(Daily!$D$3:$D$7756,Daily!$B$3:$B$7756,$A219)</f>
        <v>123.986</v>
      </c>
      <c r="Q219" s="3">
        <f>AVERAGEIFS(Daily!$E$3:$E$7756,Daily!$B$3:$B$7756,$A219)</f>
        <v>22.586451612903225</v>
      </c>
      <c r="R219" s="3">
        <f>AVERAGEIFS(Daily!$F$3:$F$7756,Daily!$B$3:$B$7756,$A219)</f>
        <v>27.333548387096773</v>
      </c>
      <c r="S219" s="3">
        <f>AVERAGEIFS(Daily!$G$3:$G$7756,Daily!$B$3:$B$7756,$A219)</f>
        <v>18.678709677419352</v>
      </c>
      <c r="T219" s="4">
        <f>SUMIFS(Daily!$H$3:$H$7756,Daily!$B$3:$B$7756,$A219)</f>
        <v>116.44</v>
      </c>
      <c r="U219" s="4">
        <f>SUMIFS(Daily!$I$3:$I$7756,Daily!$B$3:$B$7756,$A219)</f>
        <v>154.881</v>
      </c>
      <c r="V219" s="3">
        <f>AVERAGEIFS(Daily!$J$3:$J$7756,Daily!$B$3:$B$7756,$A219)</f>
        <v>23.83935483870968</v>
      </c>
      <c r="W219" s="3">
        <f>AVERAGEIFS(Daily!$K$3:$K$7756,Daily!$B$3:$B$7756,$A219)</f>
        <v>28.367096774193552</v>
      </c>
      <c r="X219" s="3">
        <f>AVERAGEIFS(Daily!$L$3:$L$7756,Daily!$B$3:$B$7756,$A219)</f>
        <v>20.365483870967736</v>
      </c>
      <c r="Y219" s="4">
        <f>SUMIFS(Daily!$M$3:$M$7756,Daily!$B$3:$B$7756,$A219)</f>
        <v>190.4</v>
      </c>
      <c r="Z219" s="4">
        <f>SUMIFS(Daily!$N$3:$N$7756,Daily!$B$3:$B$7756,$A219)</f>
        <v>283.012</v>
      </c>
      <c r="AA219" s="3">
        <f>AVERAGEIFS(Daily!$O$3:$O$7756,Daily!$B$3:$B$7756,$A219)</f>
        <v>24.007096774193553</v>
      </c>
      <c r="AB219" s="3">
        <f>AVERAGEIFS(Daily!$P$3:$P$7756,Daily!$B$3:$B$7756,$A219)</f>
        <v>28.603548387096772</v>
      </c>
      <c r="AC219" s="3">
        <f>AVERAGEIFS(Daily!$Q$3:$Q$7756,Daily!$B$3:$B$7756,$A219)</f>
        <v>21.01290322580645</v>
      </c>
      <c r="AD219" s="4">
        <f>SUMIFS(Daily!$R$3:$R$7756,Daily!$B$3:$B$7756,$A219)</f>
        <v>171.8</v>
      </c>
      <c r="AE219" s="4">
        <f>AVERAGE(P219,U219,Z219)</f>
        <v>187.293</v>
      </c>
      <c r="AF219" s="3">
        <f>AVERAGE(Q219,V219,AA219)</f>
        <v>23.477634408602153</v>
      </c>
      <c r="AG219" s="3">
        <f>AVERAGE(R219,W219,AB219)</f>
        <v>28.10139784946237</v>
      </c>
      <c r="AH219" s="3">
        <f>AVERAGE(S219,X219,AC219)</f>
        <v>20.019032258064513</v>
      </c>
      <c r="AI219" s="4">
        <f>AVERAGE(T219,Y219,AD219)</f>
        <v>159.54666666666668</v>
      </c>
    </row>
    <row r="220">
      <c r="A220" s="2" t="inlineStr">
        <is>
          <t xml:space="preserve">2023-08</t>
        </is>
      </c>
      <c r="B220" s="2">
        <v>2023</v>
      </c>
      <c r="C220" s="2">
        <v>8</v>
      </c>
      <c r="D220" s="2" t="inlineStr">
        <is>
          <t xml:space="preserve">Aug</t>
        </is>
      </c>
      <c r="E220" s="2" t="inlineStr">
        <is>
          <t xml:space="preserve">2023/24</t>
        </is>
      </c>
      <c r="F220" s="2">
        <v>2</v>
      </c>
      <c r="G220" s="9">
        <v>45139</v>
      </c>
      <c r="H220" s="9">
        <v>45169</v>
      </c>
      <c r="I220" s="2">
        <f>H220-G220+1</f>
        <v>31</v>
      </c>
      <c r="J220" s="2">
        <f>COUNTIF(Daily!$B$3:$B$7756,A220)</f>
        <v>31</v>
      </c>
      <c r="K220" s="2" t="str">
        <f>IF(J220=I220,"complete","partial ("&amp;J220&amp;" days)")</f>
        <v>complete</v>
      </c>
      <c r="L220" s="3">
        <f>INDEX(ENSO_monthly!$F:$F,MATCH(A220,ENSO_monthly!$A:$A,0))</f>
        <v>1.25</v>
      </c>
      <c r="M220" s="2" t="str">
        <f>INDEX(ENSO_monthly!$D:$D,MATCH(A220,ENSO_monthly!$A:$A,0))</f>
        <v>JAS</v>
      </c>
      <c r="N220" s="6" t="str">
        <f>INDEX(ENSO_monthly!$L:$L,MATCH(A220,ENSO_monthly!$A:$A,0))</f>
        <v>El Niño</v>
      </c>
      <c r="O220" s="11" t="str">
        <f>INDEX(ENSO_seasons!$U:$U,MATCH(E220,ENSO_seasons!$A:$A,0))</f>
        <v>El Niño</v>
      </c>
      <c r="P220" s="4">
        <f>SUMIFS(Daily!$D$3:$D$7756,Daily!$B$3:$B$7756,$A220)</f>
        <v>126.224</v>
      </c>
      <c r="Q220" s="3">
        <f>AVERAGEIFS(Daily!$E$3:$E$7756,Daily!$B$3:$B$7756,$A220)</f>
        <v>23.352258064516125</v>
      </c>
      <c r="R220" s="3">
        <f>AVERAGEIFS(Daily!$F$3:$F$7756,Daily!$B$3:$B$7756,$A220)</f>
        <v>28.870322580645155</v>
      </c>
      <c r="S220" s="3">
        <f>AVERAGEIFS(Daily!$G$3:$G$7756,Daily!$B$3:$B$7756,$A220)</f>
        <v>19.08451612903226</v>
      </c>
      <c r="T220" s="4">
        <f>SUMIFS(Daily!$H$3:$H$7756,Daily!$B$3:$B$7756,$A220)</f>
        <v>112.0</v>
      </c>
      <c r="U220" s="4">
        <f>SUMIFS(Daily!$I$3:$I$7756,Daily!$B$3:$B$7756,$A220)</f>
        <v>133.29</v>
      </c>
      <c r="V220" s="3">
        <f>AVERAGEIFS(Daily!$J$3:$J$7756,Daily!$B$3:$B$7756,$A220)</f>
        <v>23.68870967741935</v>
      </c>
      <c r="W220" s="3">
        <f>AVERAGEIFS(Daily!$K$3:$K$7756,Daily!$B$3:$B$7756,$A220)</f>
        <v>28.11709677419355</v>
      </c>
      <c r="X220" s="3">
        <f>AVERAGEIFS(Daily!$L$3:$L$7756,Daily!$B$3:$B$7756,$A220)</f>
        <v>20.168387096774193</v>
      </c>
      <c r="Y220" s="4">
        <f>SUMIFS(Daily!$M$3:$M$7756,Daily!$B$3:$B$7756,$A220)</f>
        <v>130.41</v>
      </c>
      <c r="Z220" s="4">
        <f>SUMIFS(Daily!$N$3:$N$7756,Daily!$B$3:$B$7756,$A220)</f>
        <v>141.624</v>
      </c>
      <c r="AA220" s="3">
        <f>AVERAGEIFS(Daily!$O$3:$O$7756,Daily!$B$3:$B$7756,$A220)</f>
        <v>24.14741935483871</v>
      </c>
      <c r="AB220" s="3">
        <f>AVERAGEIFS(Daily!$P$3:$P$7756,Daily!$B$3:$B$7756,$A220)</f>
        <v>28.767741935483873</v>
      </c>
      <c r="AC220" s="3">
        <f>AVERAGEIFS(Daily!$Q$3:$Q$7756,Daily!$B$3:$B$7756,$A220)</f>
        <v>20.933870967741942</v>
      </c>
      <c r="AD220" s="4">
        <f>SUMIFS(Daily!$R$3:$R$7756,Daily!$B$3:$B$7756,$A220)</f>
        <v>110.41</v>
      </c>
      <c r="AE220" s="4">
        <f>AVERAGE(P220,U220,Z220)</f>
        <v>133.71266666666668</v>
      </c>
      <c r="AF220" s="3">
        <f>AVERAGE(Q220,V220,AA220)</f>
        <v>23.7294623655914</v>
      </c>
      <c r="AG220" s="3">
        <f>AVERAGE(R220,W220,AB220)</f>
        <v>28.585053763440857</v>
      </c>
      <c r="AH220" s="3">
        <f>AVERAGE(S220,X220,AC220)</f>
        <v>20.06225806451613</v>
      </c>
      <c r="AI220" s="4">
        <f>AVERAGE(T220,Y220,AD220)</f>
        <v>117.60666666666667</v>
      </c>
    </row>
    <row r="221">
      <c r="A221" s="2" t="inlineStr">
        <is>
          <t xml:space="preserve">2023-09</t>
        </is>
      </c>
      <c r="B221" s="2">
        <v>2023</v>
      </c>
      <c r="C221" s="2">
        <v>9</v>
      </c>
      <c r="D221" s="2" t="inlineStr">
        <is>
          <t xml:space="preserve">Sep</t>
        </is>
      </c>
      <c r="E221" s="2" t="inlineStr">
        <is>
          <t xml:space="preserve">2023/24</t>
        </is>
      </c>
      <c r="F221" s="2">
        <v>3</v>
      </c>
      <c r="G221" s="9">
        <v>45170</v>
      </c>
      <c r="H221" s="9">
        <v>45199</v>
      </c>
      <c r="I221" s="2">
        <f>H221-G221+1</f>
        <v>30</v>
      </c>
      <c r="J221" s="2">
        <f>COUNTIF(Daily!$B$3:$B$7756,A221)</f>
        <v>30</v>
      </c>
      <c r="K221" s="2" t="str">
        <f>IF(J221=I221,"complete","partial ("&amp;J221&amp;" days)")</f>
        <v>complete</v>
      </c>
      <c r="L221" s="3">
        <f>INDEX(ENSO_monthly!$F:$F,MATCH(A221,ENSO_monthly!$A:$A,0))</f>
        <v>1.5</v>
      </c>
      <c r="M221" s="2" t="str">
        <f>INDEX(ENSO_monthly!$D:$D,MATCH(A221,ENSO_monthly!$A:$A,0))</f>
        <v>ASO</v>
      </c>
      <c r="N221" s="6" t="str">
        <f>INDEX(ENSO_monthly!$L:$L,MATCH(A221,ENSO_monthly!$A:$A,0))</f>
        <v>El Niño</v>
      </c>
      <c r="O221" s="11" t="str">
        <f>INDEX(ENSO_seasons!$U:$U,MATCH(E221,ENSO_seasons!$A:$A,0))</f>
        <v>El Niño</v>
      </c>
      <c r="P221" s="4">
        <f>SUMIFS(Daily!$D$3:$D$7756,Daily!$B$3:$B$7756,$A221)</f>
        <v>129.244</v>
      </c>
      <c r="Q221" s="3">
        <f>AVERAGEIFS(Daily!$E$3:$E$7756,Daily!$B$3:$B$7756,$A221)</f>
        <v>23.898000000000007</v>
      </c>
      <c r="R221" s="3">
        <f>AVERAGEIFS(Daily!$F$3:$F$7756,Daily!$B$3:$B$7756,$A221)</f>
        <v>30.214000000000002</v>
      </c>
      <c r="S221" s="3">
        <f>AVERAGEIFS(Daily!$G$3:$G$7756,Daily!$B$3:$B$7756,$A221)</f>
        <v>19.116666666666674</v>
      </c>
      <c r="T221" s="4">
        <f>SUMIFS(Daily!$H$3:$H$7756,Daily!$B$3:$B$7756,$A221)</f>
        <v>118.5</v>
      </c>
      <c r="U221" s="4">
        <f>SUMIFS(Daily!$I$3:$I$7756,Daily!$B$3:$B$7756,$A221)</f>
        <v>292.996</v>
      </c>
      <c r="V221" s="3">
        <f>AVERAGEIFS(Daily!$J$3:$J$7756,Daily!$B$3:$B$7756,$A221)</f>
        <v>23.58433333333333</v>
      </c>
      <c r="W221" s="3">
        <f>AVERAGEIFS(Daily!$K$3:$K$7756,Daily!$B$3:$B$7756,$A221)</f>
        <v>27.934000000000005</v>
      </c>
      <c r="X221" s="3">
        <f>AVERAGEIFS(Daily!$L$3:$L$7756,Daily!$B$3:$B$7756,$A221)</f>
        <v>20.165999999999997</v>
      </c>
      <c r="Y221" s="4">
        <f>SUMIFS(Daily!$M$3:$M$7756,Daily!$B$3:$B$7756,$A221)</f>
        <v>210.4</v>
      </c>
      <c r="Z221" s="4">
        <f>SUMIFS(Daily!$N$3:$N$7756,Daily!$B$3:$B$7756,$A221)</f>
        <v>121.638</v>
      </c>
      <c r="AA221" s="3">
        <f>AVERAGEIFS(Daily!$O$3:$O$7756,Daily!$B$3:$B$7756,$A221)</f>
        <v>24.149999999999995</v>
      </c>
      <c r="AB221" s="3">
        <f>AVERAGEIFS(Daily!$P$3:$P$7756,Daily!$B$3:$B$7756,$A221)</f>
        <v>28.854000000000006</v>
      </c>
      <c r="AC221" s="3">
        <f>AVERAGEIFS(Daily!$Q$3:$Q$7756,Daily!$B$3:$B$7756,$A221)</f>
        <v>21.162333333333336</v>
      </c>
      <c r="AD221" s="4">
        <f>SUMIFS(Daily!$R$3:$R$7756,Daily!$B$3:$B$7756,$A221)</f>
        <v>114.02</v>
      </c>
      <c r="AE221" s="4">
        <f>AVERAGE(P221,U221,Z221)</f>
        <v>181.2926666666667</v>
      </c>
      <c r="AF221" s="3">
        <f>AVERAGE(Q221,V221,AA221)</f>
        <v>23.877444444444446</v>
      </c>
      <c r="AG221" s="3">
        <f>AVERAGE(R221,W221,AB221)</f>
        <v>29.00066666666667</v>
      </c>
      <c r="AH221" s="3">
        <f>AVERAGE(S221,X221,AC221)</f>
        <v>20.148333333333337</v>
      </c>
      <c r="AI221" s="4">
        <f>AVERAGE(T221,Y221,AD221)</f>
        <v>147.64</v>
      </c>
    </row>
    <row r="222">
      <c r="A222" s="2" t="inlineStr">
        <is>
          <t xml:space="preserve">2023-10</t>
        </is>
      </c>
      <c r="B222" s="2">
        <v>2023</v>
      </c>
      <c r="C222" s="2">
        <v>10</v>
      </c>
      <c r="D222" s="2" t="inlineStr">
        <is>
          <t xml:space="preserve">Oct</t>
        </is>
      </c>
      <c r="E222" s="2" t="inlineStr">
        <is>
          <t xml:space="preserve">2023/24</t>
        </is>
      </c>
      <c r="F222" s="2">
        <v>4</v>
      </c>
      <c r="G222" s="9">
        <v>45200</v>
      </c>
      <c r="H222" s="9">
        <v>45230</v>
      </c>
      <c r="I222" s="2">
        <f>H222-G222+1</f>
        <v>31</v>
      </c>
      <c r="J222" s="2">
        <f>COUNTIF(Daily!$B$3:$B$7756,A222)</f>
        <v>31</v>
      </c>
      <c r="K222" s="2" t="str">
        <f>IF(J222=I222,"complete","partial ("&amp;J222&amp;" days)")</f>
        <v>complete</v>
      </c>
      <c r="L222" s="3">
        <f>INDEX(ENSO_monthly!$F:$F,MATCH(A222,ENSO_monthly!$A:$A,0))</f>
        <v>1.74</v>
      </c>
      <c r="M222" s="2" t="str">
        <f>INDEX(ENSO_monthly!$D:$D,MATCH(A222,ENSO_monthly!$A:$A,0))</f>
        <v>SON</v>
      </c>
      <c r="N222" s="6" t="str">
        <f>INDEX(ENSO_monthly!$L:$L,MATCH(A222,ENSO_monthly!$A:$A,0))</f>
        <v>El Niño</v>
      </c>
      <c r="O222" s="11" t="str">
        <f>INDEX(ENSO_seasons!$U:$U,MATCH(E222,ENSO_seasons!$A:$A,0))</f>
        <v>El Niño</v>
      </c>
      <c r="P222" s="4">
        <f>SUMIFS(Daily!$D$3:$D$7756,Daily!$B$3:$B$7756,$A222)</f>
        <v>150.182</v>
      </c>
      <c r="Q222" s="3">
        <f>AVERAGEIFS(Daily!$E$3:$E$7756,Daily!$B$3:$B$7756,$A222)</f>
        <v>22.467741935483872</v>
      </c>
      <c r="R222" s="3">
        <f>AVERAGEIFS(Daily!$F$3:$F$7756,Daily!$B$3:$B$7756,$A222)</f>
        <v>26.657741935483873</v>
      </c>
      <c r="S222" s="3">
        <f>AVERAGEIFS(Daily!$G$3:$G$7756,Daily!$B$3:$B$7756,$A222)</f>
        <v>19.410322580645158</v>
      </c>
      <c r="T222" s="4">
        <f>SUMIFS(Daily!$H$3:$H$7756,Daily!$B$3:$B$7756,$A222)</f>
        <v>187.42</v>
      </c>
      <c r="U222" s="4">
        <f>SUMIFS(Daily!$I$3:$I$7756,Daily!$B$3:$B$7756,$A222)</f>
        <v>118.59</v>
      </c>
      <c r="V222" s="3">
        <f>AVERAGEIFS(Daily!$J$3:$J$7756,Daily!$B$3:$B$7756,$A222)</f>
        <v>22.430645161290318</v>
      </c>
      <c r="W222" s="3">
        <f>AVERAGEIFS(Daily!$K$3:$K$7756,Daily!$B$3:$B$7756,$A222)</f>
        <v>26.310967741935478</v>
      </c>
      <c r="X222" s="3">
        <f>AVERAGEIFS(Daily!$L$3:$L$7756,Daily!$B$3:$B$7756,$A222)</f>
        <v>19.6558064516129</v>
      </c>
      <c r="Y222" s="4">
        <f>SUMIFS(Daily!$M$3:$M$7756,Daily!$B$3:$B$7756,$A222)</f>
        <v>150.76</v>
      </c>
      <c r="Z222" s="4">
        <f>SUMIFS(Daily!$N$3:$N$7756,Daily!$B$3:$B$7756,$A222)</f>
        <v>167.643</v>
      </c>
      <c r="AA222" s="3">
        <f>AVERAGEIFS(Daily!$O$3:$O$7756,Daily!$B$3:$B$7756,$A222)</f>
        <v>23.166129032258066</v>
      </c>
      <c r="AB222" s="3">
        <f>AVERAGEIFS(Daily!$P$3:$P$7756,Daily!$B$3:$B$7756,$A222)</f>
        <v>27.261612903225807</v>
      </c>
      <c r="AC222" s="3">
        <f>AVERAGEIFS(Daily!$Q$3:$Q$7756,Daily!$B$3:$B$7756,$A222)</f>
        <v>20.48451612903226</v>
      </c>
      <c r="AD222" s="4">
        <f>SUMIFS(Daily!$R$3:$R$7756,Daily!$B$3:$B$7756,$A222)</f>
        <v>177.49</v>
      </c>
      <c r="AE222" s="4">
        <f>AVERAGE(P222,U222,Z222)</f>
        <v>145.47166666666666</v>
      </c>
      <c r="AF222" s="3">
        <f>AVERAGE(Q222,V222,AA222)</f>
        <v>22.688172043010752</v>
      </c>
      <c r="AG222" s="3">
        <f>AVERAGE(R222,W222,AB222)</f>
        <v>26.743440860215056</v>
      </c>
      <c r="AH222" s="3">
        <f>AVERAGE(S222,X222,AC222)</f>
        <v>19.85021505376344</v>
      </c>
      <c r="AI222" s="4">
        <f>AVERAGE(T222,Y222,AD222)</f>
        <v>171.89</v>
      </c>
    </row>
    <row r="223">
      <c r="A223" s="2" t="inlineStr">
        <is>
          <t xml:space="preserve">2023-11</t>
        </is>
      </c>
      <c r="B223" s="2">
        <v>2023</v>
      </c>
      <c r="C223" s="2">
        <v>11</v>
      </c>
      <c r="D223" s="2" t="inlineStr">
        <is>
          <t xml:space="preserve">Nov</t>
        </is>
      </c>
      <c r="E223" s="2" t="inlineStr">
        <is>
          <t xml:space="preserve">2023/24</t>
        </is>
      </c>
      <c r="F223" s="2">
        <v>5</v>
      </c>
      <c r="G223" s="9">
        <v>45231</v>
      </c>
      <c r="H223" s="9">
        <v>45260</v>
      </c>
      <c r="I223" s="2">
        <f>H223-G223+1</f>
        <v>30</v>
      </c>
      <c r="J223" s="2">
        <f>COUNTIF(Daily!$B$3:$B$7756,A223)</f>
        <v>30</v>
      </c>
      <c r="K223" s="2" t="str">
        <f>IF(J223=I223,"complete","partial ("&amp;J223&amp;" days)")</f>
        <v>complete</v>
      </c>
      <c r="L223" s="3">
        <f>INDEX(ENSO_monthly!$F:$F,MATCH(A223,ENSO_monthly!$A:$A,0))</f>
        <v>1.9</v>
      </c>
      <c r="M223" s="2" t="str">
        <f>INDEX(ENSO_monthly!$D:$D,MATCH(A223,ENSO_monthly!$A:$A,0))</f>
        <v>OND</v>
      </c>
      <c r="N223" s="6" t="str">
        <f>INDEX(ENSO_monthly!$L:$L,MATCH(A223,ENSO_monthly!$A:$A,0))</f>
        <v>El Niño</v>
      </c>
      <c r="O223" s="11" t="str">
        <f>INDEX(ENSO_seasons!$U:$U,MATCH(E223,ENSO_seasons!$A:$A,0))</f>
        <v>El Niño</v>
      </c>
      <c r="P223" s="4">
        <f>SUMIFS(Daily!$D$3:$D$7756,Daily!$B$3:$B$7756,$A223)</f>
        <v>46.69</v>
      </c>
      <c r="Q223" s="3">
        <f>AVERAGEIFS(Daily!$E$3:$E$7756,Daily!$B$3:$B$7756,$A223)</f>
        <v>21.122666666666664</v>
      </c>
      <c r="R223" s="3">
        <f>AVERAGEIFS(Daily!$F$3:$F$7756,Daily!$B$3:$B$7756,$A223)</f>
        <v>25.615333333333332</v>
      </c>
      <c r="S223" s="3">
        <f>AVERAGEIFS(Daily!$G$3:$G$7756,Daily!$B$3:$B$7756,$A223)</f>
        <v>17.834999999999994</v>
      </c>
      <c r="T223" s="4">
        <f>SUMIFS(Daily!$H$3:$H$7756,Daily!$B$3:$B$7756,$A223)</f>
        <v>103.94</v>
      </c>
      <c r="U223" s="4">
        <f>SUMIFS(Daily!$I$3:$I$7756,Daily!$B$3:$B$7756,$A223)</f>
        <v>70.584</v>
      </c>
      <c r="V223" s="3">
        <f>AVERAGEIFS(Daily!$J$3:$J$7756,Daily!$B$3:$B$7756,$A223)</f>
        <v>21.498666666666665</v>
      </c>
      <c r="W223" s="3">
        <f>AVERAGEIFS(Daily!$K$3:$K$7756,Daily!$B$3:$B$7756,$A223)</f>
        <v>25.915999999999997</v>
      </c>
      <c r="X223" s="3">
        <f>AVERAGEIFS(Daily!$L$3:$L$7756,Daily!$B$3:$B$7756,$A223)</f>
        <v>18.335333333333335</v>
      </c>
      <c r="Y223" s="4">
        <f>SUMIFS(Daily!$M$3:$M$7756,Daily!$B$3:$B$7756,$A223)</f>
        <v>86.44</v>
      </c>
      <c r="Z223" s="4">
        <f>SUMIFS(Daily!$N$3:$N$7756,Daily!$B$3:$B$7756,$A223)</f>
        <v>110.812</v>
      </c>
      <c r="AA223" s="3">
        <f>AVERAGEIFS(Daily!$O$3:$O$7756,Daily!$B$3:$B$7756,$A223)</f>
        <v>21.655000000000005</v>
      </c>
      <c r="AB223" s="3">
        <f>AVERAGEIFS(Daily!$P$3:$P$7756,Daily!$B$3:$B$7756,$A223)</f>
        <v>25.53933333333333</v>
      </c>
      <c r="AC223" s="3">
        <f>AVERAGEIFS(Daily!$Q$3:$Q$7756,Daily!$B$3:$B$7756,$A223)</f>
        <v>18.991000000000003</v>
      </c>
      <c r="AD223" s="4">
        <f>SUMIFS(Daily!$R$3:$R$7756,Daily!$B$3:$B$7756,$A223)</f>
        <v>157.73</v>
      </c>
      <c r="AE223" s="4">
        <f>AVERAGE(P223,U223,Z223)</f>
        <v>76.02866666666667</v>
      </c>
      <c r="AF223" s="3">
        <f>AVERAGE(Q223,V223,AA223)</f>
        <v>21.42544444444444</v>
      </c>
      <c r="AG223" s="3">
        <f>AVERAGE(R223,W223,AB223)</f>
        <v>25.690222222222218</v>
      </c>
      <c r="AH223" s="3">
        <f>AVERAGE(S223,X223,AC223)</f>
        <v>18.38711111111111</v>
      </c>
      <c r="AI223" s="4">
        <f>AVERAGE(T223,Y223,AD223)</f>
        <v>116.03666666666668</v>
      </c>
    </row>
    <row r="224">
      <c r="A224" s="2" t="inlineStr">
        <is>
          <t xml:space="preserve">2023-12</t>
        </is>
      </c>
      <c r="B224" s="2">
        <v>2023</v>
      </c>
      <c r="C224" s="2">
        <v>12</v>
      </c>
      <c r="D224" s="2" t="inlineStr">
        <is>
          <t xml:space="preserve">Dec</t>
        </is>
      </c>
      <c r="E224" s="2" t="inlineStr">
        <is>
          <t xml:space="preserve">2023/24</t>
        </is>
      </c>
      <c r="F224" s="2">
        <v>6</v>
      </c>
      <c r="G224" s="9">
        <v>45261</v>
      </c>
      <c r="H224" s="9">
        <v>45291</v>
      </c>
      <c r="I224" s="2">
        <f>H224-G224+1</f>
        <v>31</v>
      </c>
      <c r="J224" s="2">
        <f>COUNTIF(Daily!$B$3:$B$7756,A224)</f>
        <v>31</v>
      </c>
      <c r="K224" s="2" t="str">
        <f>IF(J224=I224,"complete","partial ("&amp;J224&amp;" days)")</f>
        <v>complete</v>
      </c>
      <c r="L224" s="3">
        <f>INDEX(ENSO_monthly!$F:$F,MATCH(A224,ENSO_monthly!$A:$A,0))</f>
        <v>1.99</v>
      </c>
      <c r="M224" s="2" t="str">
        <f>INDEX(ENSO_monthly!$D:$D,MATCH(A224,ENSO_monthly!$A:$A,0))</f>
        <v>NDJ</v>
      </c>
      <c r="N224" s="6" t="str">
        <f>INDEX(ENSO_monthly!$L:$L,MATCH(A224,ENSO_monthly!$A:$A,0))</f>
        <v>El Niño</v>
      </c>
      <c r="O224" s="11" t="str">
        <f>INDEX(ENSO_seasons!$U:$U,MATCH(E224,ENSO_seasons!$A:$A,0))</f>
        <v>El Niño</v>
      </c>
      <c r="P224" s="4">
        <f>SUMIFS(Daily!$D$3:$D$7756,Daily!$B$3:$B$7756,$A224)</f>
        <v>4.388</v>
      </c>
      <c r="Q224" s="3">
        <f>AVERAGEIFS(Daily!$E$3:$E$7756,Daily!$B$3:$B$7756,$A224)</f>
        <v>20.094516129032254</v>
      </c>
      <c r="R224" s="3">
        <f>AVERAGEIFS(Daily!$F$3:$F$7756,Daily!$B$3:$B$7756,$A224)</f>
        <v>25.285483870967745</v>
      </c>
      <c r="S224" s="3">
        <f>AVERAGEIFS(Daily!$G$3:$G$7756,Daily!$B$3:$B$7756,$A224)</f>
        <v>16.20064516129032</v>
      </c>
      <c r="T224" s="4">
        <f>SUMIFS(Daily!$H$3:$H$7756,Daily!$B$3:$B$7756,$A224)</f>
        <v>182.3</v>
      </c>
      <c r="U224" s="4">
        <f>SUMIFS(Daily!$I$3:$I$7756,Daily!$B$3:$B$7756,$A224)</f>
        <v>14.872</v>
      </c>
      <c r="V224" s="3">
        <f>AVERAGEIFS(Daily!$J$3:$J$7756,Daily!$B$3:$B$7756,$A224)</f>
        <v>20.395161290322577</v>
      </c>
      <c r="W224" s="3">
        <f>AVERAGEIFS(Daily!$K$3:$K$7756,Daily!$B$3:$B$7756,$A224)</f>
        <v>25.490645161290324</v>
      </c>
      <c r="X224" s="3">
        <f>AVERAGEIFS(Daily!$L$3:$L$7756,Daily!$B$3:$B$7756,$A224)</f>
        <v>16.68032258064516</v>
      </c>
      <c r="Y224" s="4">
        <f>SUMIFS(Daily!$M$3:$M$7756,Daily!$B$3:$B$7756,$A224)</f>
        <v>124.96</v>
      </c>
      <c r="Z224" s="4">
        <f>SUMIFS(Daily!$N$3:$N$7756,Daily!$B$3:$B$7756,$A224)</f>
        <v>62.826</v>
      </c>
      <c r="AA224" s="3">
        <f>AVERAGEIFS(Daily!$O$3:$O$7756,Daily!$B$3:$B$7756,$A224)</f>
        <v>20.344193548387096</v>
      </c>
      <c r="AB224" s="3">
        <f>AVERAGEIFS(Daily!$P$3:$P$7756,Daily!$B$3:$B$7756,$A224)</f>
        <v>24.56096774193548</v>
      </c>
      <c r="AC224" s="3">
        <f>AVERAGEIFS(Daily!$Q$3:$Q$7756,Daily!$B$3:$B$7756,$A224)</f>
        <v>17.334838709677417</v>
      </c>
      <c r="AD224" s="4">
        <f>SUMIFS(Daily!$R$3:$R$7756,Daily!$B$3:$B$7756,$A224)</f>
        <v>230.88</v>
      </c>
      <c r="AE224" s="4">
        <f>AVERAGE(P224,U224,Z224)</f>
        <v>27.362</v>
      </c>
      <c r="AF224" s="3">
        <f>AVERAGE(Q224,V224,AA224)</f>
        <v>20.27795698924731</v>
      </c>
      <c r="AG224" s="3">
        <f>AVERAGE(R224,W224,AB224)</f>
        <v>25.11236559139785</v>
      </c>
      <c r="AH224" s="3">
        <f>AVERAGE(S224,X224,AC224)</f>
        <v>16.73860215053763</v>
      </c>
      <c r="AI224" s="4">
        <f>AVERAGE(T224,Y224,AD224)</f>
        <v>179.38</v>
      </c>
    </row>
    <row r="225">
      <c r="A225" s="2" t="inlineStr">
        <is>
          <t xml:space="preserve">2024-01</t>
        </is>
      </c>
      <c r="B225" s="2">
        <v>2024</v>
      </c>
      <c r="C225" s="2">
        <v>1</v>
      </c>
      <c r="D225" s="2" t="inlineStr">
        <is>
          <t xml:space="preserve">Jan</t>
        </is>
      </c>
      <c r="E225" s="2" t="inlineStr">
        <is>
          <t xml:space="preserve">2023/24</t>
        </is>
      </c>
      <c r="F225" s="2">
        <v>7</v>
      </c>
      <c r="G225" s="9">
        <v>45292</v>
      </c>
      <c r="H225" s="9">
        <v>45322</v>
      </c>
      <c r="I225" s="2">
        <f>H225-G225+1</f>
        <v>31</v>
      </c>
      <c r="J225" s="2">
        <f>COUNTIF(Daily!$B$3:$B$7756,A225)</f>
        <v>31</v>
      </c>
      <c r="K225" s="2" t="str">
        <f>IF(J225=I225,"complete","partial ("&amp;J225&amp;" days)")</f>
        <v>complete</v>
      </c>
      <c r="L225" s="3">
        <f>INDEX(ENSO_monthly!$F:$F,MATCH(A225,ENSO_monthly!$A:$A,0))</f>
        <v>1.84</v>
      </c>
      <c r="M225" s="2" t="str">
        <f>INDEX(ENSO_monthly!$D:$D,MATCH(A225,ENSO_monthly!$A:$A,0))</f>
        <v>DJF</v>
      </c>
      <c r="N225" s="6" t="str">
        <f>INDEX(ENSO_monthly!$L:$L,MATCH(A225,ENSO_monthly!$A:$A,0))</f>
        <v>El Niño</v>
      </c>
      <c r="O225" s="11" t="str">
        <f>INDEX(ENSO_seasons!$U:$U,MATCH(E225,ENSO_seasons!$A:$A,0))</f>
        <v>El Niño</v>
      </c>
      <c r="P225" s="4">
        <f>SUMIFS(Daily!$D$3:$D$7756,Daily!$B$3:$B$7756,$A225)</f>
        <v>1.022</v>
      </c>
      <c r="Q225" s="3">
        <f>AVERAGEIFS(Daily!$E$3:$E$7756,Daily!$B$3:$B$7756,$A225)</f>
        <v>20.74741935483871</v>
      </c>
      <c r="R225" s="3">
        <f>AVERAGEIFS(Daily!$F$3:$F$7756,Daily!$B$3:$B$7756,$A225)</f>
        <v>27.173870967741927</v>
      </c>
      <c r="S225" s="3">
        <f>AVERAGEIFS(Daily!$G$3:$G$7756,Daily!$B$3:$B$7756,$A225)</f>
        <v>15.87709677419355</v>
      </c>
      <c r="T225" s="4">
        <f>SUMIFS(Daily!$H$3:$H$7756,Daily!$B$3:$B$7756,$A225)</f>
        <v>10.36</v>
      </c>
      <c r="U225" s="4">
        <f>SUMIFS(Daily!$I$3:$I$7756,Daily!$B$3:$B$7756,$A225)</f>
        <v>0.622</v>
      </c>
      <c r="V225" s="3">
        <f>AVERAGEIFS(Daily!$J$3:$J$7756,Daily!$B$3:$B$7756,$A225)</f>
        <v>21.31612903225807</v>
      </c>
      <c r="W225" s="3">
        <f>AVERAGEIFS(Daily!$K$3:$K$7756,Daily!$B$3:$B$7756,$A225)</f>
        <v>27.47612903225806</v>
      </c>
      <c r="X225" s="3">
        <f>AVERAGEIFS(Daily!$L$3:$L$7756,Daily!$B$3:$B$7756,$A225)</f>
        <v>16.801935483870967</v>
      </c>
      <c r="Y225" s="4">
        <f>SUMIFS(Daily!$M$3:$M$7756,Daily!$B$3:$B$7756,$A225)</f>
        <v>3.64</v>
      </c>
      <c r="Z225" s="14">
        <v>15.23732580193336</v>
      </c>
      <c r="AA225" s="3">
        <f>AVERAGEIFS(Daily!$O$3:$O$7756,Daily!$B$3:$B$7756,$A225)</f>
        <v>21.06967741935484</v>
      </c>
      <c r="AB225" s="3">
        <f>AVERAGEIFS(Daily!$P$3:$P$7756,Daily!$B$3:$B$7756,$A225)</f>
        <v>26.21129032258065</v>
      </c>
      <c r="AC225" s="3">
        <f>AVERAGEIFS(Daily!$Q$3:$Q$7756,Daily!$B$3:$B$7756,$A225)</f>
        <v>17.494516129032263</v>
      </c>
      <c r="AD225" s="4">
        <f>SUMIFS(Daily!$R$3:$R$7756,Daily!$B$3:$B$7756,$A225)</f>
        <v>17.41</v>
      </c>
      <c r="AE225" s="4">
        <f>AVERAGE(P225,U225,Z225)</f>
        <v>5.627108600644454</v>
      </c>
      <c r="AF225" s="3">
        <f>AVERAGE(Q225,V225,AA225)</f>
        <v>21.044408602150536</v>
      </c>
      <c r="AG225" s="3">
        <f>AVERAGE(R225,W225,AB225)</f>
        <v>26.953763440860214</v>
      </c>
      <c r="AH225" s="3">
        <f>AVERAGE(S225,X225,AC225)</f>
        <v>16.72451612903226</v>
      </c>
      <c r="AI225" s="4">
        <f>AVERAGE(T225,Y225,AD225)</f>
        <v>10.47</v>
      </c>
    </row>
    <row r="226">
      <c r="A226" s="2" t="inlineStr">
        <is>
          <t xml:space="preserve">2024-02</t>
        </is>
      </c>
      <c r="B226" s="2">
        <v>2024</v>
      </c>
      <c r="C226" s="2">
        <v>2</v>
      </c>
      <c r="D226" s="2" t="inlineStr">
        <is>
          <t xml:space="preserve">Feb</t>
        </is>
      </c>
      <c r="E226" s="2" t="inlineStr">
        <is>
          <t xml:space="preserve">2023/24</t>
        </is>
      </c>
      <c r="F226" s="2">
        <v>8</v>
      </c>
      <c r="G226" s="9">
        <v>45323</v>
      </c>
      <c r="H226" s="9">
        <v>45351</v>
      </c>
      <c r="I226" s="2">
        <f>H226-G226+1</f>
        <v>29</v>
      </c>
      <c r="J226" s="2">
        <f>COUNTIF(Daily!$B$3:$B$7756,A226)</f>
        <v>29</v>
      </c>
      <c r="K226" s="2" t="str">
        <f>IF(J226=I226,"complete","partial ("&amp;J226&amp;" days)")</f>
        <v>complete</v>
      </c>
      <c r="L226" s="3">
        <f>INDEX(ENSO_monthly!$F:$F,MATCH(A226,ENSO_monthly!$A:$A,0))</f>
        <v>1.53</v>
      </c>
      <c r="M226" s="2" t="str">
        <f>INDEX(ENSO_monthly!$D:$D,MATCH(A226,ENSO_monthly!$A:$A,0))</f>
        <v>JFM</v>
      </c>
      <c r="N226" s="6" t="str">
        <f>INDEX(ENSO_monthly!$L:$L,MATCH(A226,ENSO_monthly!$A:$A,0))</f>
        <v>El Niño</v>
      </c>
      <c r="O226" s="11" t="str">
        <f>INDEX(ENSO_seasons!$U:$U,MATCH(E226,ENSO_seasons!$A:$A,0))</f>
        <v>El Niño</v>
      </c>
      <c r="P226" s="4">
        <f>SUMIFS(Daily!$D$3:$D$7756,Daily!$B$3:$B$7756,$A226)</f>
        <v>7.439</v>
      </c>
      <c r="Q226" s="3">
        <f>AVERAGEIFS(Daily!$E$3:$E$7756,Daily!$B$3:$B$7756,$A226)</f>
        <v>20.962413793103455</v>
      </c>
      <c r="R226" s="3">
        <f>AVERAGEIFS(Daily!$F$3:$F$7756,Daily!$B$3:$B$7756,$A226)</f>
        <v>29.355862068965518</v>
      </c>
      <c r="S226" s="3">
        <f>AVERAGEIFS(Daily!$G$3:$G$7756,Daily!$B$3:$B$7756,$A226)</f>
        <v>14.663793103448274</v>
      </c>
      <c r="T226" s="4">
        <f>SUMIFS(Daily!$H$3:$H$7756,Daily!$B$3:$B$7756,$A226)</f>
        <v>18.87</v>
      </c>
      <c r="U226" s="4">
        <f>SUMIFS(Daily!$I$3:$I$7756,Daily!$B$3:$B$7756,$A226)</f>
        <v>0.743</v>
      </c>
      <c r="V226" s="3">
        <f>AVERAGEIFS(Daily!$J$3:$J$7756,Daily!$B$3:$B$7756,$A226)</f>
        <v>21.684827586206904</v>
      </c>
      <c r="W226" s="3">
        <f>AVERAGEIFS(Daily!$K$3:$K$7756,Daily!$B$3:$B$7756,$A226)</f>
        <v>29.956551724137928</v>
      </c>
      <c r="X226" s="3">
        <f>AVERAGEIFS(Daily!$L$3:$L$7756,Daily!$B$3:$B$7756,$A226)</f>
        <v>15.493448275862068</v>
      </c>
      <c r="Y226" s="4">
        <f>SUMIFS(Daily!$M$3:$M$7756,Daily!$B$3:$B$7756,$A226)</f>
        <v>2.17</v>
      </c>
      <c r="Z226" s="14">
        <v>8.937985826470024</v>
      </c>
      <c r="AA226" s="3">
        <f>AVERAGEIFS(Daily!$O$3:$O$7756,Daily!$B$3:$B$7756,$A226)</f>
        <v>20.753103448275862</v>
      </c>
      <c r="AB226" s="3">
        <f>AVERAGEIFS(Daily!$P$3:$P$7756,Daily!$B$3:$B$7756,$A226)</f>
        <v>27.925862068965515</v>
      </c>
      <c r="AC226" s="3">
        <f>AVERAGEIFS(Daily!$Q$3:$Q$7756,Daily!$B$3:$B$7756,$A226)</f>
        <v>15.550689655172414</v>
      </c>
      <c r="AD226" s="4">
        <f>SUMIFS(Daily!$R$3:$R$7756,Daily!$B$3:$B$7756,$A226)</f>
        <v>11.47</v>
      </c>
      <c r="AE226" s="4">
        <f>AVERAGE(P226,U226,Z226)</f>
        <v>5.706661942156675</v>
      </c>
      <c r="AF226" s="3">
        <f>AVERAGE(Q226,V226,AA226)</f>
        <v>21.133448275862076</v>
      </c>
      <c r="AG226" s="3">
        <f>AVERAGE(R226,W226,AB226)</f>
        <v>29.07942528735632</v>
      </c>
      <c r="AH226" s="3">
        <f>AVERAGE(S226,X226,AC226)</f>
        <v>15.235977011494251</v>
      </c>
      <c r="AI226" s="4">
        <f>AVERAGE(T226,Y226,AD226)</f>
        <v>10.836666666666666</v>
      </c>
    </row>
    <row r="227">
      <c r="A227" s="2" t="inlineStr">
        <is>
          <t xml:space="preserve">2024-03</t>
        </is>
      </c>
      <c r="B227" s="2">
        <v>2024</v>
      </c>
      <c r="C227" s="2">
        <v>3</v>
      </c>
      <c r="D227" s="2" t="inlineStr">
        <is>
          <t xml:space="preserve">Mar</t>
        </is>
      </c>
      <c r="E227" s="2" t="inlineStr">
        <is>
          <t xml:space="preserve">2023/24</t>
        </is>
      </c>
      <c r="F227" s="2">
        <v>9</v>
      </c>
      <c r="G227" s="9">
        <v>45352</v>
      </c>
      <c r="H227" s="9">
        <v>45382</v>
      </c>
      <c r="I227" s="2">
        <f>H227-G227+1</f>
        <v>31</v>
      </c>
      <c r="J227" s="2">
        <f>COUNTIF(Daily!$B$3:$B$7756,A227)</f>
        <v>31</v>
      </c>
      <c r="K227" s="2" t="str">
        <f>IF(J227=I227,"complete","partial ("&amp;J227&amp;" days)")</f>
        <v>complete</v>
      </c>
      <c r="L227" s="3">
        <f>INDEX(ENSO_monthly!$F:$F,MATCH(A227,ENSO_monthly!$A:$A,0))</f>
        <v>1.18</v>
      </c>
      <c r="M227" s="2" t="str">
        <f>INDEX(ENSO_monthly!$D:$D,MATCH(A227,ENSO_monthly!$A:$A,0))</f>
        <v>FMA</v>
      </c>
      <c r="N227" s="6" t="str">
        <f>INDEX(ENSO_monthly!$L:$L,MATCH(A227,ENSO_monthly!$A:$A,0))</f>
        <v>El Niño</v>
      </c>
      <c r="O227" s="11" t="str">
        <f>INDEX(ENSO_seasons!$U:$U,MATCH(E227,ENSO_seasons!$A:$A,0))</f>
        <v>El Niño</v>
      </c>
      <c r="P227" s="4">
        <f>SUMIFS(Daily!$D$3:$D$7756,Daily!$B$3:$B$7756,$A227)</f>
        <v>1.476</v>
      </c>
      <c r="Q227" s="3">
        <f>AVERAGEIFS(Daily!$E$3:$E$7756,Daily!$B$3:$B$7756,$A227)</f>
        <v>25.4841935483871</v>
      </c>
      <c r="R227" s="3">
        <f>AVERAGEIFS(Daily!$F$3:$F$7756,Daily!$B$3:$B$7756,$A227)</f>
        <v>33.685161290322576</v>
      </c>
      <c r="S227" s="3">
        <f>AVERAGEIFS(Daily!$G$3:$G$7756,Daily!$B$3:$B$7756,$A227)</f>
        <v>18.737741935483875</v>
      </c>
      <c r="T227" s="4">
        <f>SUMIFS(Daily!$H$3:$H$7756,Daily!$B$3:$B$7756,$A227)</f>
        <v>48.85</v>
      </c>
      <c r="U227" s="4">
        <f>SUMIFS(Daily!$I$3:$I$7756,Daily!$B$3:$B$7756,$A227)</f>
        <v>0.0</v>
      </c>
      <c r="V227" s="3">
        <f>AVERAGEIFS(Daily!$J$3:$J$7756,Daily!$B$3:$B$7756,$A227)</f>
        <v>25.02032258064516</v>
      </c>
      <c r="W227" s="3">
        <f>AVERAGEIFS(Daily!$K$3:$K$7756,Daily!$B$3:$B$7756,$A227)</f>
        <v>32.585483870967735</v>
      </c>
      <c r="X227" s="3">
        <f>AVERAGEIFS(Daily!$L$3:$L$7756,Daily!$B$3:$B$7756,$A227)</f>
        <v>19.080967741935485</v>
      </c>
      <c r="Y227" s="4">
        <f>SUMIFS(Daily!$M$3:$M$7756,Daily!$B$3:$B$7756,$A227)</f>
        <v>332.78</v>
      </c>
      <c r="Z227" s="14">
        <v>3.919019349845201</v>
      </c>
      <c r="AA227" s="3">
        <f>AVERAGEIFS(Daily!$O$3:$O$7756,Daily!$B$3:$B$7756,$A227)</f>
        <v>24.82806451612903</v>
      </c>
      <c r="AB227" s="3">
        <f>AVERAGEIFS(Daily!$P$3:$P$7756,Daily!$B$3:$B$7756,$A227)</f>
        <v>32.1325806451613</v>
      </c>
      <c r="AC227" s="3">
        <f>AVERAGEIFS(Daily!$Q$3:$Q$7756,Daily!$B$3:$B$7756,$A227)</f>
        <v>19.294516129032257</v>
      </c>
      <c r="AD227" s="4">
        <f>SUMIFS(Daily!$R$3:$R$7756,Daily!$B$3:$B$7756,$A227)</f>
        <v>294.76</v>
      </c>
      <c r="AE227" s="4">
        <f>AVERAGE(P227,U227,Z227)</f>
        <v>1.7983397832817338</v>
      </c>
      <c r="AF227" s="3">
        <f>AVERAGE(Q227,V227,AA227)</f>
        <v>25.110860215053762</v>
      </c>
      <c r="AG227" s="3">
        <f>AVERAGE(R227,W227,AB227)</f>
        <v>32.8010752688172</v>
      </c>
      <c r="AH227" s="3">
        <f>AVERAGE(S227,X227,AC227)</f>
        <v>19.037741935483876</v>
      </c>
      <c r="AI227" s="4">
        <f>AVERAGE(T227,Y227,AD227)</f>
        <v>225.46333333333334</v>
      </c>
    </row>
    <row r="228">
      <c r="A228" s="2" t="inlineStr">
        <is>
          <t xml:space="preserve">2024-04</t>
        </is>
      </c>
      <c r="B228" s="2">
        <v>2024</v>
      </c>
      <c r="C228" s="2">
        <v>4</v>
      </c>
      <c r="D228" s="2" t="inlineStr">
        <is>
          <t xml:space="preserve">Apr</t>
        </is>
      </c>
      <c r="E228" s="2" t="inlineStr">
        <is>
          <t xml:space="preserve">2023/24</t>
        </is>
      </c>
      <c r="F228" s="2">
        <v>10</v>
      </c>
      <c r="G228" s="9">
        <v>45383</v>
      </c>
      <c r="H228" s="9">
        <v>45412</v>
      </c>
      <c r="I228" s="2">
        <f>H228-G228+1</f>
        <v>30</v>
      </c>
      <c r="J228" s="2">
        <f>COUNTIF(Daily!$B$3:$B$7756,A228)</f>
        <v>30</v>
      </c>
      <c r="K228" s="2" t="str">
        <f>IF(J228=I228,"complete","partial ("&amp;J228&amp;" days)")</f>
        <v>complete</v>
      </c>
      <c r="L228" s="3">
        <f>INDEX(ENSO_monthly!$F:$F,MATCH(A228,ENSO_monthly!$A:$A,0))</f>
        <v>0.77</v>
      </c>
      <c r="M228" s="2" t="str">
        <f>INDEX(ENSO_monthly!$D:$D,MATCH(A228,ENSO_monthly!$A:$A,0))</f>
        <v>MAM</v>
      </c>
      <c r="N228" s="6" t="str">
        <f>INDEX(ENSO_monthly!$L:$L,MATCH(A228,ENSO_monthly!$A:$A,0))</f>
        <v>El Niño</v>
      </c>
      <c r="O228" s="11" t="str">
        <f>INDEX(ENSO_seasons!$U:$U,MATCH(E228,ENSO_seasons!$A:$A,0))</f>
        <v>El Niño</v>
      </c>
      <c r="P228" s="4">
        <f>SUMIFS(Daily!$D$3:$D$7756,Daily!$B$3:$B$7756,$A228)</f>
        <v>41.687</v>
      </c>
      <c r="Q228" s="3">
        <f>AVERAGEIFS(Daily!$E$3:$E$7756,Daily!$B$3:$B$7756,$A228)</f>
        <v>26.005666666666666</v>
      </c>
      <c r="R228" s="3">
        <f>AVERAGEIFS(Daily!$F$3:$F$7756,Daily!$B$3:$B$7756,$A228)</f>
        <v>33.48133333333333</v>
      </c>
      <c r="S228" s="3">
        <f>AVERAGEIFS(Daily!$G$3:$G$7756,Daily!$B$3:$B$7756,$A228)</f>
        <v>20.076999999999998</v>
      </c>
      <c r="T228" s="4">
        <f>SUMIFS(Daily!$H$3:$H$7756,Daily!$B$3:$B$7756,$A228)</f>
        <v>44.91</v>
      </c>
      <c r="U228" s="4">
        <f>SUMIFS(Daily!$I$3:$I$7756,Daily!$B$3:$B$7756,$A228)</f>
        <v>33.605</v>
      </c>
      <c r="V228" s="3">
        <f>AVERAGEIFS(Daily!$J$3:$J$7756,Daily!$B$3:$B$7756,$A228)</f>
        <v>25.472</v>
      </c>
      <c r="W228" s="3">
        <f>AVERAGEIFS(Daily!$K$3:$K$7756,Daily!$B$3:$B$7756,$A228)</f>
        <v>32.294666666666664</v>
      </c>
      <c r="X228" s="3">
        <f>AVERAGEIFS(Daily!$L$3:$L$7756,Daily!$B$3:$B$7756,$A228)</f>
        <v>20.31366666666667</v>
      </c>
      <c r="Y228" s="4">
        <f>SUMIFS(Daily!$M$3:$M$7756,Daily!$B$3:$B$7756,$A228)</f>
        <v>32.29</v>
      </c>
      <c r="Z228" s="14">
        <v>25.48886672571143</v>
      </c>
      <c r="AA228" s="3">
        <f>AVERAGEIFS(Daily!$O$3:$O$7756,Daily!$B$3:$B$7756,$A228)</f>
        <v>25.44599999999999</v>
      </c>
      <c r="AB228" s="3">
        <f>AVERAGEIFS(Daily!$P$3:$P$7756,Daily!$B$3:$B$7756,$A228)</f>
        <v>32.31433333333333</v>
      </c>
      <c r="AC228" s="3">
        <f>AVERAGEIFS(Daily!$Q$3:$Q$7756,Daily!$B$3:$B$7756,$A228)</f>
        <v>20.528999999999993</v>
      </c>
      <c r="AD228" s="4">
        <f>SUMIFS(Daily!$R$3:$R$7756,Daily!$B$3:$B$7756,$A228)</f>
        <v>22.31</v>
      </c>
      <c r="AE228" s="4">
        <f>AVERAGE(P228,U228,Z228)</f>
        <v>33.59362224190381</v>
      </c>
      <c r="AF228" s="3">
        <f>AVERAGE(Q228,V228,AA228)</f>
        <v>25.641222222222222</v>
      </c>
      <c r="AG228" s="3">
        <f>AVERAGE(R228,W228,AB228)</f>
        <v>32.696777777777775</v>
      </c>
      <c r="AH228" s="3">
        <f>AVERAGE(S228,X228,AC228)</f>
        <v>20.30655555555555</v>
      </c>
      <c r="AI228" s="4">
        <f>AVERAGE(T228,Y228,AD228)</f>
        <v>33.169999999999995</v>
      </c>
    </row>
    <row r="229">
      <c r="A229" s="2" t="inlineStr">
        <is>
          <t xml:space="preserve">2024-05</t>
        </is>
      </c>
      <c r="B229" s="2">
        <v>2024</v>
      </c>
      <c r="C229" s="2">
        <v>5</v>
      </c>
      <c r="D229" s="2" t="inlineStr">
        <is>
          <t xml:space="preserve">May</t>
        </is>
      </c>
      <c r="E229" s="2" t="inlineStr">
        <is>
          <t xml:space="preserve">2023/24</t>
        </is>
      </c>
      <c r="F229" s="2">
        <v>11</v>
      </c>
      <c r="G229" s="9">
        <v>45413</v>
      </c>
      <c r="H229" s="9">
        <v>45443</v>
      </c>
      <c r="I229" s="2">
        <f>H229-G229+1</f>
        <v>31</v>
      </c>
      <c r="J229" s="2">
        <f>COUNTIF(Daily!$B$3:$B$7756,A229)</f>
        <v>31</v>
      </c>
      <c r="K229" s="2" t="str">
        <f>IF(J229=I229,"complete","partial ("&amp;J229&amp;" days)")</f>
        <v>complete</v>
      </c>
      <c r="L229" s="3">
        <f>INDEX(ENSO_monthly!$F:$F,MATCH(A229,ENSO_monthly!$A:$A,0))</f>
        <v>0.43</v>
      </c>
      <c r="M229" s="2" t="str">
        <f>INDEX(ENSO_monthly!$D:$D,MATCH(A229,ENSO_monthly!$A:$A,0))</f>
        <v>AMJ</v>
      </c>
      <c r="N229" s="2" t="str">
        <f>INDEX(ENSO_monthly!$L:$L,MATCH(A229,ENSO_monthly!$A:$A,0))</f>
        <v>—</v>
      </c>
      <c r="O229" s="11" t="str">
        <f>INDEX(ENSO_seasons!$U:$U,MATCH(E229,ENSO_seasons!$A:$A,0))</f>
        <v>El Niño</v>
      </c>
      <c r="P229" s="4">
        <f>SUMIFS(Daily!$D$3:$D$7756,Daily!$B$3:$B$7756,$A229)</f>
        <v>45.13</v>
      </c>
      <c r="Q229" s="3">
        <f>AVERAGEIFS(Daily!$E$3:$E$7756,Daily!$B$3:$B$7756,$A229)</f>
        <v>27.280967741935484</v>
      </c>
      <c r="R229" s="3">
        <f>AVERAGEIFS(Daily!$F$3:$F$7756,Daily!$B$3:$B$7756,$A229)</f>
        <v>34.346774193548384</v>
      </c>
      <c r="S229" s="3">
        <f>AVERAGEIFS(Daily!$G$3:$G$7756,Daily!$B$3:$B$7756,$A229)</f>
        <v>21.499354838709678</v>
      </c>
      <c r="T229" s="4">
        <f>SUMIFS(Daily!$H$3:$H$7756,Daily!$B$3:$B$7756,$A229)</f>
        <v>51.04</v>
      </c>
      <c r="U229" s="4">
        <f>SUMIFS(Daily!$I$3:$I$7756,Daily!$B$3:$B$7756,$A229)</f>
        <v>59.426</v>
      </c>
      <c r="V229" s="3">
        <f>AVERAGEIFS(Daily!$J$3:$J$7756,Daily!$B$3:$B$7756,$A229)</f>
        <v>27.279677419354837</v>
      </c>
      <c r="W229" s="3">
        <f>AVERAGEIFS(Daily!$K$3:$K$7756,Daily!$B$3:$B$7756,$A229)</f>
        <v>34.04354838709678</v>
      </c>
      <c r="X229" s="3">
        <f>AVERAGEIFS(Daily!$L$3:$L$7756,Daily!$B$3:$B$7756,$A229)</f>
        <v>22.279999999999998</v>
      </c>
      <c r="Y229" s="4">
        <f>SUMIFS(Daily!$M$3:$M$7756,Daily!$B$3:$B$7756,$A229)</f>
        <v>58.07</v>
      </c>
      <c r="Z229" s="14">
        <v>41.54777662205984</v>
      </c>
      <c r="AA229" s="3">
        <f>AVERAGEIFS(Daily!$O$3:$O$7756,Daily!$B$3:$B$7756,$A229)</f>
        <v>28.03516129032258</v>
      </c>
      <c r="AB229" s="3">
        <f>AVERAGEIFS(Daily!$P$3:$P$7756,Daily!$B$3:$B$7756,$A229)</f>
        <v>35.20064516129033</v>
      </c>
      <c r="AC229" s="3">
        <f>AVERAGEIFS(Daily!$Q$3:$Q$7756,Daily!$B$3:$B$7756,$A229)</f>
        <v>22.68967741935484</v>
      </c>
      <c r="AD229" s="4">
        <f>SUMIFS(Daily!$R$3:$R$7756,Daily!$B$3:$B$7756,$A229)</f>
        <v>35.53</v>
      </c>
      <c r="AE229" s="4">
        <f>AVERAGE(P229,U229,Z229)</f>
        <v>48.70125887401995</v>
      </c>
      <c r="AF229" s="3">
        <f>AVERAGE(Q229,V229,AA229)</f>
        <v>27.531935483870967</v>
      </c>
      <c r="AG229" s="3">
        <f>AVERAGE(R229,W229,AB229)</f>
        <v>34.53032258064516</v>
      </c>
      <c r="AH229" s="3">
        <f>AVERAGE(S229,X229,AC229)</f>
        <v>22.156344086021505</v>
      </c>
      <c r="AI229" s="4">
        <f>AVERAGE(T229,Y229,AD229)</f>
        <v>48.21333333333333</v>
      </c>
    </row>
    <row r="230">
      <c r="A230" s="2" t="inlineStr">
        <is>
          <t xml:space="preserve">2024-06</t>
        </is>
      </c>
      <c r="B230" s="2">
        <v>2024</v>
      </c>
      <c r="C230" s="2">
        <v>6</v>
      </c>
      <c r="D230" s="2" t="inlineStr">
        <is>
          <t xml:space="preserve">Jun</t>
        </is>
      </c>
      <c r="E230" s="2" t="inlineStr">
        <is>
          <t xml:space="preserve">2023/24</t>
        </is>
      </c>
      <c r="F230" s="2">
        <v>12</v>
      </c>
      <c r="G230" s="9">
        <v>45444</v>
      </c>
      <c r="H230" s="9">
        <v>45473</v>
      </c>
      <c r="I230" s="2">
        <f>H230-G230+1</f>
        <v>30</v>
      </c>
      <c r="J230" s="2">
        <f>COUNTIF(Daily!$B$3:$B$7756,A230)</f>
        <v>30</v>
      </c>
      <c r="K230" s="2" t="str">
        <f>IF(J230=I230,"complete","partial ("&amp;J230&amp;" days)")</f>
        <v>complete</v>
      </c>
      <c r="L230" s="3">
        <f>INDEX(ENSO_monthly!$F:$F,MATCH(A230,ENSO_monthly!$A:$A,0))</f>
        <v>0.18</v>
      </c>
      <c r="M230" s="2" t="str">
        <f>INDEX(ENSO_monthly!$D:$D,MATCH(A230,ENSO_monthly!$A:$A,0))</f>
        <v>MJJ</v>
      </c>
      <c r="N230" s="2" t="str">
        <f>INDEX(ENSO_monthly!$L:$L,MATCH(A230,ENSO_monthly!$A:$A,0))</f>
        <v>—</v>
      </c>
      <c r="O230" s="11" t="str">
        <f>INDEX(ENSO_seasons!$U:$U,MATCH(E230,ENSO_seasons!$A:$A,0))</f>
        <v>El Niño</v>
      </c>
      <c r="P230" s="4">
        <f>SUMIFS(Daily!$D$3:$D$7756,Daily!$B$3:$B$7756,$A230)</f>
        <v>349.51</v>
      </c>
      <c r="Q230" s="3">
        <f>AVERAGEIFS(Daily!$E$3:$E$7756,Daily!$B$3:$B$7756,$A230)</f>
        <v>23.144000000000002</v>
      </c>
      <c r="R230" s="3">
        <f>AVERAGEIFS(Daily!$F$3:$F$7756,Daily!$B$3:$B$7756,$A230)</f>
        <v>27.176333333333336</v>
      </c>
      <c r="S230" s="3">
        <f>AVERAGEIFS(Daily!$G$3:$G$7756,Daily!$B$3:$B$7756,$A230)</f>
        <v>19.960000000000004</v>
      </c>
      <c r="T230" s="4">
        <f>SUMIFS(Daily!$H$3:$H$7756,Daily!$B$3:$B$7756,$A230)</f>
        <v>337.4</v>
      </c>
      <c r="U230" s="4">
        <f>SUMIFS(Daily!$I$3:$I$7756,Daily!$B$3:$B$7756,$A230)</f>
        <v>203.008</v>
      </c>
      <c r="V230" s="3">
        <f>AVERAGEIFS(Daily!$J$3:$J$7756,Daily!$B$3:$B$7756,$A230)</f>
        <v>24.174999999999997</v>
      </c>
      <c r="W230" s="3">
        <f>AVERAGEIFS(Daily!$K$3:$K$7756,Daily!$B$3:$B$7756,$A230)</f>
        <v>28.523666666666664</v>
      </c>
      <c r="X230" s="3">
        <f>AVERAGEIFS(Daily!$L$3:$L$7756,Daily!$B$3:$B$7756,$A230)</f>
        <v>21.080333333333332</v>
      </c>
      <c r="Y230" s="4">
        <f>SUMIFS(Daily!$M$3:$M$7756,Daily!$B$3:$B$7756,$A230)</f>
        <v>268.53</v>
      </c>
      <c r="Z230" s="14">
        <v>341.08085828125144</v>
      </c>
      <c r="AA230" s="3">
        <f>AVERAGEIFS(Daily!$O$3:$O$7756,Daily!$B$3:$B$7756,$A230)</f>
        <v>24.71566666666667</v>
      </c>
      <c r="AB230" s="3">
        <f>AVERAGEIFS(Daily!$P$3:$P$7756,Daily!$B$3:$B$7756,$A230)</f>
        <v>29.479666666666667</v>
      </c>
      <c r="AC230" s="3">
        <f>AVERAGEIFS(Daily!$Q$3:$Q$7756,Daily!$B$3:$B$7756,$A230)</f>
        <v>21.40866666666666</v>
      </c>
      <c r="AD230" s="4">
        <f>SUMIFS(Daily!$R$3:$R$7756,Daily!$B$3:$B$7756,$A230)</f>
        <v>265.49</v>
      </c>
      <c r="AE230" s="4">
        <f>AVERAGE(P230,U230,Z230)</f>
        <v>297.8662860937505</v>
      </c>
      <c r="AF230" s="3">
        <f>AVERAGE(Q230,V230,AA230)</f>
        <v>24.01155555555556</v>
      </c>
      <c r="AG230" s="3">
        <f>AVERAGE(R230,W230,AB230)</f>
        <v>28.39322222222222</v>
      </c>
      <c r="AH230" s="3">
        <f>AVERAGE(S230,X230,AC230)</f>
        <v>20.816333333333333</v>
      </c>
      <c r="AI230" s="4">
        <f>AVERAGE(T230,Y230,AD230)</f>
        <v>290.4733333333333</v>
      </c>
    </row>
    <row r="231">
      <c r="A231" s="2" t="inlineStr">
        <is>
          <t xml:space="preserve">2024-07</t>
        </is>
      </c>
      <c r="B231" s="2">
        <v>2024</v>
      </c>
      <c r="C231" s="2">
        <v>7</v>
      </c>
      <c r="D231" s="2" t="inlineStr">
        <is>
          <t xml:space="preserve">Jul</t>
        </is>
      </c>
      <c r="E231" s="2" t="inlineStr">
        <is>
          <t xml:space="preserve">2024/25</t>
        </is>
      </c>
      <c r="F231" s="2">
        <v>1</v>
      </c>
      <c r="G231" s="9">
        <v>45474</v>
      </c>
      <c r="H231" s="9">
        <v>45504</v>
      </c>
      <c r="I231" s="2">
        <f>H231-G231+1</f>
        <v>31</v>
      </c>
      <c r="J231" s="2">
        <f>COUNTIF(Daily!$B$3:$B$7756,A231)</f>
        <v>31</v>
      </c>
      <c r="K231" s="2" t="str">
        <f>IF(J231=I231,"complete","partial ("&amp;J231&amp;" days)")</f>
        <v>complete</v>
      </c>
      <c r="L231" s="3">
        <f>INDEX(ENSO_monthly!$F:$F,MATCH(A231,ENSO_monthly!$A:$A,0))</f>
        <v>0.06</v>
      </c>
      <c r="M231" s="2" t="str">
        <f>INDEX(ENSO_monthly!$D:$D,MATCH(A231,ENSO_monthly!$A:$A,0))</f>
        <v>JJA</v>
      </c>
      <c r="N231" s="2" t="str">
        <f>INDEX(ENSO_monthly!$L:$L,MATCH(A231,ENSO_monthly!$A:$A,0))</f>
        <v>—</v>
      </c>
      <c r="O231" s="8" t="str">
        <f>INDEX(ENSO_seasons!$U:$U,MATCH(E231,ENSO_seasons!$A:$A,0))</f>
        <v>Neutral</v>
      </c>
      <c r="P231" s="4">
        <f>SUMIFS(Daily!$D$3:$D$7756,Daily!$B$3:$B$7756,$A231)</f>
        <v>238.537</v>
      </c>
      <c r="Q231" s="3">
        <f>AVERAGEIFS(Daily!$E$3:$E$7756,Daily!$B$3:$B$7756,$A231)</f>
        <v>22.366451612903226</v>
      </c>
      <c r="R231" s="3">
        <f>AVERAGEIFS(Daily!$F$3:$F$7756,Daily!$B$3:$B$7756,$A231)</f>
        <v>26.722580645161294</v>
      </c>
      <c r="S231" s="3">
        <f>AVERAGEIFS(Daily!$G$3:$G$7756,Daily!$B$3:$B$7756,$A231)</f>
        <v>18.882903225806455</v>
      </c>
      <c r="T231" s="4">
        <f>SUMIFS(Daily!$H$3:$H$7756,Daily!$B$3:$B$7756,$A231)</f>
        <v>366.36</v>
      </c>
      <c r="U231" s="4">
        <f>SUMIFS(Daily!$I$3:$I$7756,Daily!$B$3:$B$7756,$A231)</f>
        <v>173.931</v>
      </c>
      <c r="V231" s="3">
        <f>AVERAGEIFS(Daily!$J$3:$J$7756,Daily!$B$3:$B$7756,$A231)</f>
        <v>23.339354838709674</v>
      </c>
      <c r="W231" s="3">
        <f>AVERAGEIFS(Daily!$K$3:$K$7756,Daily!$B$3:$B$7756,$A231)</f>
        <v>27.26741935483871</v>
      </c>
      <c r="X231" s="3">
        <f>AVERAGEIFS(Daily!$L$3:$L$7756,Daily!$B$3:$B$7756,$A231)</f>
        <v>20.31870967741936</v>
      </c>
      <c r="Y231" s="4">
        <f>SUMIFS(Daily!$M$3:$M$7756,Daily!$B$3:$B$7756,$A231)</f>
        <v>151.05</v>
      </c>
      <c r="Z231" s="14">
        <v>202.26287402579305</v>
      </c>
      <c r="AA231" s="3">
        <f>AVERAGEIFS(Daily!$O$3:$O$7756,Daily!$B$3:$B$7756,$A231)</f>
        <v>23.55677419354839</v>
      </c>
      <c r="AB231" s="3">
        <f>AVERAGEIFS(Daily!$P$3:$P$7756,Daily!$B$3:$B$7756,$A231)</f>
        <v>27.295483870967733</v>
      </c>
      <c r="AC231" s="3">
        <f>AVERAGEIFS(Daily!$Q$3:$Q$7756,Daily!$B$3:$B$7756,$A231)</f>
        <v>21.043225806451616</v>
      </c>
      <c r="AD231" s="4">
        <f>SUMIFS(Daily!$R$3:$R$7756,Daily!$B$3:$B$7756,$A231)</f>
        <v>175.81</v>
      </c>
      <c r="AE231" s="4">
        <f>AVERAGE(P231,U231,Z231)</f>
        <v>204.91029134193104</v>
      </c>
      <c r="AF231" s="3">
        <f>AVERAGE(Q231,V231,AA231)</f>
        <v>23.087526881720432</v>
      </c>
      <c r="AG231" s="3">
        <f>AVERAGE(R231,W231,AB231)</f>
        <v>27.09516129032258</v>
      </c>
      <c r="AH231" s="3">
        <f>AVERAGE(S231,X231,AC231)</f>
        <v>20.08161290322581</v>
      </c>
      <c r="AI231" s="4">
        <f>AVERAGE(T231,Y231,AD231)</f>
        <v>231.07333333333335</v>
      </c>
    </row>
    <row r="232">
      <c r="A232" s="2" t="inlineStr">
        <is>
          <t xml:space="preserve">2024-08</t>
        </is>
      </c>
      <c r="B232" s="2">
        <v>2024</v>
      </c>
      <c r="C232" s="2">
        <v>8</v>
      </c>
      <c r="D232" s="2" t="inlineStr">
        <is>
          <t xml:space="preserve">Aug</t>
        </is>
      </c>
      <c r="E232" s="2" t="inlineStr">
        <is>
          <t xml:space="preserve">2024/25</t>
        </is>
      </c>
      <c r="F232" s="2">
        <v>2</v>
      </c>
      <c r="G232" s="9">
        <v>45505</v>
      </c>
      <c r="H232" s="9">
        <v>45535</v>
      </c>
      <c r="I232" s="2">
        <f>H232-G232+1</f>
        <v>31</v>
      </c>
      <c r="J232" s="2">
        <f>COUNTIF(Daily!$B$3:$B$7756,A232)</f>
        <v>31</v>
      </c>
      <c r="K232" s="2" t="str">
        <f>IF(J232=I232,"complete","partial ("&amp;J232&amp;" days)")</f>
        <v>complete</v>
      </c>
      <c r="L232" s="3">
        <f>INDEX(ENSO_monthly!$F:$F,MATCH(A232,ENSO_monthly!$A:$A,0))</f>
        <v>-0.04</v>
      </c>
      <c r="M232" s="2" t="str">
        <f>INDEX(ENSO_monthly!$D:$D,MATCH(A232,ENSO_monthly!$A:$A,0))</f>
        <v>JAS</v>
      </c>
      <c r="N232" s="2" t="str">
        <f>INDEX(ENSO_monthly!$L:$L,MATCH(A232,ENSO_monthly!$A:$A,0))</f>
        <v>—</v>
      </c>
      <c r="O232" s="8" t="str">
        <f>INDEX(ENSO_seasons!$U:$U,MATCH(E232,ENSO_seasons!$A:$A,0))</f>
        <v>Neutral</v>
      </c>
      <c r="P232" s="4">
        <f>SUMIFS(Daily!$D$3:$D$7756,Daily!$B$3:$B$7756,$A232)</f>
        <v>203.238</v>
      </c>
      <c r="Q232" s="3">
        <f>AVERAGEIFS(Daily!$E$3:$E$7756,Daily!$B$3:$B$7756,$A232)</f>
        <v>22.525483870967744</v>
      </c>
      <c r="R232" s="3">
        <f>AVERAGEIFS(Daily!$F$3:$F$7756,Daily!$B$3:$B$7756,$A232)</f>
        <v>26.946451612903232</v>
      </c>
      <c r="S232" s="3">
        <f>AVERAGEIFS(Daily!$G$3:$G$7756,Daily!$B$3:$B$7756,$A232)</f>
        <v>19.014838709677417</v>
      </c>
      <c r="T232" s="4">
        <f>SUMIFS(Daily!$H$3:$H$7756,Daily!$B$3:$B$7756,$A232)</f>
        <v>164.25</v>
      </c>
      <c r="U232" s="4">
        <f>SUMIFS(Daily!$I$3:$I$7756,Daily!$B$3:$B$7756,$A232)</f>
        <v>179.105</v>
      </c>
      <c r="V232" s="3">
        <f>AVERAGEIFS(Daily!$J$3:$J$7756,Daily!$B$3:$B$7756,$A232)</f>
        <v>23.402903225806448</v>
      </c>
      <c r="W232" s="3">
        <f>AVERAGEIFS(Daily!$K$3:$K$7756,Daily!$B$3:$B$7756,$A232)</f>
        <v>27.736774193548385</v>
      </c>
      <c r="X232" s="3">
        <f>AVERAGEIFS(Daily!$L$3:$L$7756,Daily!$B$3:$B$7756,$A232)</f>
        <v>20.042903225806445</v>
      </c>
      <c r="Y232" s="4">
        <f>SUMIFS(Daily!$M$3:$M$7756,Daily!$B$3:$B$7756,$A232)</f>
        <v>153.97</v>
      </c>
      <c r="Z232" s="14">
        <v>153.3569251364185</v>
      </c>
      <c r="AA232" s="3">
        <f>AVERAGEIFS(Daily!$O$3:$O$7756,Daily!$B$3:$B$7756,$A232)</f>
        <v>23.67419354838709</v>
      </c>
      <c r="AB232" s="3">
        <f>AVERAGEIFS(Daily!$P$3:$P$7756,Daily!$B$3:$B$7756,$A232)</f>
        <v>27.69129032258065</v>
      </c>
      <c r="AC232" s="3">
        <f>AVERAGEIFS(Daily!$Q$3:$Q$7756,Daily!$B$3:$B$7756,$A232)</f>
        <v>21.005161290322587</v>
      </c>
      <c r="AD232" s="4">
        <f>SUMIFS(Daily!$R$3:$R$7756,Daily!$B$3:$B$7756,$A232)</f>
        <v>154.86</v>
      </c>
      <c r="AE232" s="4">
        <f>AVERAGE(P232,U232,Z232)</f>
        <v>178.56664171213947</v>
      </c>
      <c r="AF232" s="3">
        <f>AVERAGE(Q232,V232,AA232)</f>
        <v>23.200860215053762</v>
      </c>
      <c r="AG232" s="3">
        <f>AVERAGE(R232,W232,AB232)</f>
        <v>27.45817204301075</v>
      </c>
      <c r="AH232" s="3">
        <f>AVERAGE(S232,X232,AC232)</f>
        <v>20.020967741935483</v>
      </c>
      <c r="AI232" s="4">
        <f>AVERAGE(T232,Y232,AD232)</f>
        <v>157.69333333333336</v>
      </c>
    </row>
    <row r="233">
      <c r="A233" s="2" t="inlineStr">
        <is>
          <t xml:space="preserve">2024-09</t>
        </is>
      </c>
      <c r="B233" s="2">
        <v>2024</v>
      </c>
      <c r="C233" s="2">
        <v>9</v>
      </c>
      <c r="D233" s="2" t="inlineStr">
        <is>
          <t xml:space="preserve">Sep</t>
        </is>
      </c>
      <c r="E233" s="2" t="inlineStr">
        <is>
          <t xml:space="preserve">2024/25</t>
        </is>
      </c>
      <c r="F233" s="2">
        <v>3</v>
      </c>
      <c r="G233" s="9">
        <v>45536</v>
      </c>
      <c r="H233" s="9">
        <v>45565</v>
      </c>
      <c r="I233" s="2">
        <f>H233-G233+1</f>
        <v>30</v>
      </c>
      <c r="J233" s="2">
        <f>COUNTIF(Daily!$B$3:$B$7756,A233)</f>
        <v>30</v>
      </c>
      <c r="K233" s="2" t="str">
        <f>IF(J233=I233,"complete","partial ("&amp;J233&amp;" days)")</f>
        <v>complete</v>
      </c>
      <c r="L233" s="3">
        <f>INDEX(ENSO_monthly!$F:$F,MATCH(A233,ENSO_monthly!$A:$A,0))</f>
        <v>-0.12</v>
      </c>
      <c r="M233" s="2" t="str">
        <f>INDEX(ENSO_monthly!$D:$D,MATCH(A233,ENSO_monthly!$A:$A,0))</f>
        <v>ASO</v>
      </c>
      <c r="N233" s="2" t="str">
        <f>INDEX(ENSO_monthly!$L:$L,MATCH(A233,ENSO_monthly!$A:$A,0))</f>
        <v>—</v>
      </c>
      <c r="O233" s="8" t="str">
        <f>INDEX(ENSO_seasons!$U:$U,MATCH(E233,ENSO_seasons!$A:$A,0))</f>
        <v>Neutral</v>
      </c>
      <c r="P233" s="4">
        <f>SUMIFS(Daily!$D$3:$D$7756,Daily!$B$3:$B$7756,$A233)</f>
        <v>267.75</v>
      </c>
      <c r="Q233" s="3">
        <f>AVERAGEIFS(Daily!$E$3:$E$7756,Daily!$B$3:$B$7756,$A233)</f>
        <v>22.813999999999997</v>
      </c>
      <c r="R233" s="3">
        <f>AVERAGEIFS(Daily!$F$3:$F$7756,Daily!$B$3:$B$7756,$A233)</f>
        <v>27.111000000000004</v>
      </c>
      <c r="S233" s="3">
        <f>AVERAGEIFS(Daily!$G$3:$G$7756,Daily!$B$3:$B$7756,$A233)</f>
        <v>19.298</v>
      </c>
      <c r="T233" s="4">
        <f>SUMIFS(Daily!$H$3:$H$7756,Daily!$B$3:$B$7756,$A233)</f>
        <v>266.78</v>
      </c>
      <c r="U233" s="4">
        <f>SUMIFS(Daily!$I$3:$I$7756,Daily!$B$3:$B$7756,$A233)</f>
        <v>143.461</v>
      </c>
      <c r="V233" s="3">
        <f>AVERAGEIFS(Daily!$J$3:$J$7756,Daily!$B$3:$B$7756,$A233)</f>
        <v>23.704333333333338</v>
      </c>
      <c r="W233" s="3">
        <f>AVERAGEIFS(Daily!$K$3:$K$7756,Daily!$B$3:$B$7756,$A233)</f>
        <v>27.761333333333333</v>
      </c>
      <c r="X233" s="3">
        <f>AVERAGEIFS(Daily!$L$3:$L$7756,Daily!$B$3:$B$7756,$A233)</f>
        <v>20.536</v>
      </c>
      <c r="Y233" s="4">
        <f>SUMIFS(Daily!$M$3:$M$7756,Daily!$B$3:$B$7756,$A233)</f>
        <v>168.29</v>
      </c>
      <c r="Z233" s="14">
        <v>270.2506058828964</v>
      </c>
      <c r="AA233" s="3">
        <f>AVERAGEIFS(Daily!$O$3:$O$7756,Daily!$B$3:$B$7756,$A233)</f>
        <v>24.032999999999994</v>
      </c>
      <c r="AB233" s="3">
        <f>AVERAGEIFS(Daily!$P$3:$P$7756,Daily!$B$3:$B$7756,$A233)</f>
        <v>28.072666666666667</v>
      </c>
      <c r="AC233" s="3">
        <f>AVERAGEIFS(Daily!$Q$3:$Q$7756,Daily!$B$3:$B$7756,$A233)</f>
        <v>21.114666666666665</v>
      </c>
      <c r="AD233" s="4">
        <f>SUMIFS(Daily!$R$3:$R$7756,Daily!$B$3:$B$7756,$A233)</f>
        <v>166.77</v>
      </c>
      <c r="AE233" s="4">
        <f>AVERAGE(P233,U233,Z233)</f>
        <v>227.15386862763216</v>
      </c>
      <c r="AF233" s="3">
        <f>AVERAGE(Q233,V233,AA233)</f>
        <v>23.51711111111111</v>
      </c>
      <c r="AG233" s="3">
        <f>AVERAGE(R233,W233,AB233)</f>
        <v>27.648333333333337</v>
      </c>
      <c r="AH233" s="3">
        <f>AVERAGE(S233,X233,AC233)</f>
        <v>20.316222222222223</v>
      </c>
      <c r="AI233" s="4">
        <f>AVERAGE(T233,Y233,AD233)</f>
        <v>200.61333333333332</v>
      </c>
    </row>
    <row r="234">
      <c r="A234" s="2" t="inlineStr">
        <is>
          <t xml:space="preserve">2024-10</t>
        </is>
      </c>
      <c r="B234" s="2">
        <v>2024</v>
      </c>
      <c r="C234" s="2">
        <v>10</v>
      </c>
      <c r="D234" s="2" t="inlineStr">
        <is>
          <t xml:space="preserve">Oct</t>
        </is>
      </c>
      <c r="E234" s="2" t="inlineStr">
        <is>
          <t xml:space="preserve">2024/25</t>
        </is>
      </c>
      <c r="F234" s="2">
        <v>4</v>
      </c>
      <c r="G234" s="9">
        <v>45566</v>
      </c>
      <c r="H234" s="9">
        <v>45596</v>
      </c>
      <c r="I234" s="2">
        <f>H234-G234+1</f>
        <v>31</v>
      </c>
      <c r="J234" s="2">
        <f>COUNTIF(Daily!$B$3:$B$7756,A234)</f>
        <v>31</v>
      </c>
      <c r="K234" s="2" t="str">
        <f>IF(J234=I234,"complete","partial ("&amp;J234&amp;" days)")</f>
        <v>complete</v>
      </c>
      <c r="L234" s="3">
        <f>INDEX(ENSO_monthly!$F:$F,MATCH(A234,ENSO_monthly!$A:$A,0))</f>
        <v>-0.19</v>
      </c>
      <c r="M234" s="2" t="str">
        <f>INDEX(ENSO_monthly!$D:$D,MATCH(A234,ENSO_monthly!$A:$A,0))</f>
        <v>SON</v>
      </c>
      <c r="N234" s="2" t="str">
        <f>INDEX(ENSO_monthly!$L:$L,MATCH(A234,ENSO_monthly!$A:$A,0))</f>
        <v>—</v>
      </c>
      <c r="O234" s="8" t="str">
        <f>INDEX(ENSO_seasons!$U:$U,MATCH(E234,ENSO_seasons!$A:$A,0))</f>
        <v>Neutral</v>
      </c>
      <c r="P234" s="4">
        <f>SUMIFS(Daily!$D$3:$D$7756,Daily!$B$3:$B$7756,$A234)</f>
        <v>48.338</v>
      </c>
      <c r="Q234" s="3">
        <f>AVERAGEIFS(Daily!$E$3:$E$7756,Daily!$B$3:$B$7756,$A234)</f>
        <v>21.645483870967738</v>
      </c>
      <c r="R234" s="3">
        <f>AVERAGEIFS(Daily!$F$3:$F$7756,Daily!$B$3:$B$7756,$A234)</f>
        <v>25.75064516129032</v>
      </c>
      <c r="S234" s="3">
        <f>AVERAGEIFS(Daily!$G$3:$G$7756,Daily!$B$3:$B$7756,$A234)</f>
        <v>18.56064516129032</v>
      </c>
      <c r="T234" s="4">
        <f>SUMIFS(Daily!$H$3:$H$7756,Daily!$B$3:$B$7756,$A234)</f>
        <v>96.73</v>
      </c>
      <c r="U234" s="4">
        <f>SUMIFS(Daily!$I$3:$I$7756,Daily!$B$3:$B$7756,$A234)</f>
        <v>67.001</v>
      </c>
      <c r="V234" s="3">
        <f>AVERAGEIFS(Daily!$J$3:$J$7756,Daily!$B$3:$B$7756,$A234)</f>
        <v>22.146451612903224</v>
      </c>
      <c r="W234" s="3">
        <f>AVERAGEIFS(Daily!$K$3:$K$7756,Daily!$B$3:$B$7756,$A234)</f>
        <v>26.425806451612893</v>
      </c>
      <c r="X234" s="3">
        <f>AVERAGEIFS(Daily!$L$3:$L$7756,Daily!$B$3:$B$7756,$A234)</f>
        <v>19.036129032258067</v>
      </c>
      <c r="Y234" s="4">
        <f>SUMIFS(Daily!$M$3:$M$7756,Daily!$B$3:$B$7756,$A234)</f>
        <v>55.16</v>
      </c>
      <c r="Z234" s="14">
        <v>69.746438273006</v>
      </c>
      <c r="AA234" s="3">
        <f>AVERAGEIFS(Daily!$O$3:$O$7756,Daily!$B$3:$B$7756,$A234)</f>
        <v>22.353225806451622</v>
      </c>
      <c r="AB234" s="3">
        <f>AVERAGEIFS(Daily!$P$3:$P$7756,Daily!$B$3:$B$7756,$A234)</f>
        <v>26.155161290322578</v>
      </c>
      <c r="AC234" s="3">
        <f>AVERAGEIFS(Daily!$Q$3:$Q$7756,Daily!$B$3:$B$7756,$A234)</f>
        <v>19.633225806451613</v>
      </c>
      <c r="AD234" s="4">
        <f>SUMIFS(Daily!$R$3:$R$7756,Daily!$B$3:$B$7756,$A234)</f>
        <v>115.94</v>
      </c>
      <c r="AE234" s="4">
        <f>AVERAGE(P234,U234,Z234)</f>
        <v>61.695146091001995</v>
      </c>
      <c r="AF234" s="3">
        <f>AVERAGE(Q234,V234,AA234)</f>
        <v>22.048387096774192</v>
      </c>
      <c r="AG234" s="3">
        <f>AVERAGE(R234,W234,AB234)</f>
        <v>26.110537634408598</v>
      </c>
      <c r="AH234" s="3">
        <f>AVERAGE(S234,X234,AC234)</f>
        <v>19.076666666666664</v>
      </c>
      <c r="AI234" s="4">
        <f>AVERAGE(T234,Y234,AD234)</f>
        <v>89.27666666666666</v>
      </c>
    </row>
    <row r="235">
      <c r="A235" s="2" t="inlineStr">
        <is>
          <t xml:space="preserve">2024-11</t>
        </is>
      </c>
      <c r="B235" s="2">
        <v>2024</v>
      </c>
      <c r="C235" s="2">
        <v>11</v>
      </c>
      <c r="D235" s="2" t="inlineStr">
        <is>
          <t xml:space="preserve">Nov</t>
        </is>
      </c>
      <c r="E235" s="2" t="inlineStr">
        <is>
          <t xml:space="preserve">2024/25</t>
        </is>
      </c>
      <c r="F235" s="2">
        <v>5</v>
      </c>
      <c r="G235" s="9">
        <v>45597</v>
      </c>
      <c r="H235" s="9">
        <v>45626</v>
      </c>
      <c r="I235" s="2">
        <f>H235-G235+1</f>
        <v>30</v>
      </c>
      <c r="J235" s="2">
        <f>COUNTIF(Daily!$B$3:$B$7756,A235)</f>
        <v>30</v>
      </c>
      <c r="K235" s="2" t="str">
        <f>IF(J235=I235,"complete","partial ("&amp;J235&amp;" days)")</f>
        <v>complete</v>
      </c>
      <c r="L235" s="3">
        <f>INDEX(ENSO_monthly!$F:$F,MATCH(A235,ENSO_monthly!$A:$A,0))</f>
        <v>-0.29</v>
      </c>
      <c r="M235" s="2" t="str">
        <f>INDEX(ENSO_monthly!$D:$D,MATCH(A235,ENSO_monthly!$A:$A,0))</f>
        <v>OND</v>
      </c>
      <c r="N235" s="2" t="str">
        <f>INDEX(ENSO_monthly!$L:$L,MATCH(A235,ENSO_monthly!$A:$A,0))</f>
        <v>—</v>
      </c>
      <c r="O235" s="8" t="str">
        <f>INDEX(ENSO_seasons!$U:$U,MATCH(E235,ENSO_seasons!$A:$A,0))</f>
        <v>Neutral</v>
      </c>
      <c r="P235" s="4">
        <f>SUMIFS(Daily!$D$3:$D$7756,Daily!$B$3:$B$7756,$A235)</f>
        <v>98.564</v>
      </c>
      <c r="Q235" s="3">
        <f>AVERAGEIFS(Daily!$E$3:$E$7756,Daily!$B$3:$B$7756,$A235)</f>
        <v>20.538333333333338</v>
      </c>
      <c r="R235" s="3">
        <f>AVERAGEIFS(Daily!$F$3:$F$7756,Daily!$B$3:$B$7756,$A235)</f>
        <v>24.776333333333337</v>
      </c>
      <c r="S235" s="3">
        <f>AVERAGEIFS(Daily!$G$3:$G$7756,Daily!$B$3:$B$7756,$A235)</f>
        <v>17.423666666666666</v>
      </c>
      <c r="T235" s="4">
        <f>SUMIFS(Daily!$H$3:$H$7756,Daily!$B$3:$B$7756,$A235)</f>
        <v>200.98</v>
      </c>
      <c r="U235" s="4">
        <f>SUMIFS(Daily!$I$3:$I$7756,Daily!$B$3:$B$7756,$A235)</f>
        <v>87.197</v>
      </c>
      <c r="V235" s="3">
        <f>AVERAGEIFS(Daily!$J$3:$J$7756,Daily!$B$3:$B$7756,$A235)</f>
        <v>21.404999999999998</v>
      </c>
      <c r="W235" s="3">
        <f>AVERAGEIFS(Daily!$K$3:$K$7756,Daily!$B$3:$B$7756,$A235)</f>
        <v>26.160666666666653</v>
      </c>
      <c r="X235" s="3">
        <f>AVERAGEIFS(Daily!$L$3:$L$7756,Daily!$B$3:$B$7756,$A235)</f>
        <v>17.874000000000002</v>
      </c>
      <c r="Y235" s="4">
        <f>SUMIFS(Daily!$M$3:$M$7756,Daily!$B$3:$B$7756,$A235)</f>
        <v>105.89</v>
      </c>
      <c r="Z235" s="14">
        <v>156.09056808820733</v>
      </c>
      <c r="AA235" s="3">
        <f>AVERAGEIFS(Daily!$O$3:$O$7756,Daily!$B$3:$B$7756,$A235)</f>
        <v>21.31066666666667</v>
      </c>
      <c r="AB235" s="3">
        <f>AVERAGEIFS(Daily!$P$3:$P$7756,Daily!$B$3:$B$7756,$A235)</f>
        <v>25.373333333333335</v>
      </c>
      <c r="AC235" s="3">
        <f>AVERAGEIFS(Daily!$Q$3:$Q$7756,Daily!$B$3:$B$7756,$A235)</f>
        <v>18.432666666666666</v>
      </c>
      <c r="AD235" s="4">
        <f>SUMIFS(Daily!$R$3:$R$7756,Daily!$B$3:$B$7756,$A235)</f>
        <v>219.44</v>
      </c>
      <c r="AE235" s="4">
        <f>AVERAGE(P235,U235,Z235)</f>
        <v>113.95052269606911</v>
      </c>
      <c r="AF235" s="3">
        <f>AVERAGE(Q235,V235,AA235)</f>
        <v>21.084666666666667</v>
      </c>
      <c r="AG235" s="3">
        <f>AVERAGE(R235,W235,AB235)</f>
        <v>25.436777777777774</v>
      </c>
      <c r="AH235" s="3">
        <f>AVERAGE(S235,X235,AC235)</f>
        <v>17.91011111111111</v>
      </c>
      <c r="AI235" s="4">
        <f>AVERAGE(T235,Y235,AD235)</f>
        <v>175.43666666666664</v>
      </c>
    </row>
    <row r="236">
      <c r="A236" s="2" t="inlineStr">
        <is>
          <t xml:space="preserve">2024-12</t>
        </is>
      </c>
      <c r="B236" s="2">
        <v>2024</v>
      </c>
      <c r="C236" s="2">
        <v>12</v>
      </c>
      <c r="D236" s="2" t="inlineStr">
        <is>
          <t xml:space="preserve">Dec</t>
        </is>
      </c>
      <c r="E236" s="2" t="inlineStr">
        <is>
          <t xml:space="preserve">2024/25</t>
        </is>
      </c>
      <c r="F236" s="2">
        <v>6</v>
      </c>
      <c r="G236" s="9">
        <v>45627</v>
      </c>
      <c r="H236" s="9">
        <v>45657</v>
      </c>
      <c r="I236" s="2">
        <f>H236-G236+1</f>
        <v>31</v>
      </c>
      <c r="J236" s="2">
        <f>COUNTIF(Daily!$B$3:$B$7756,A236)</f>
        <v>31</v>
      </c>
      <c r="K236" s="2" t="str">
        <f>IF(J236=I236,"complete","partial ("&amp;J236&amp;" days)")</f>
        <v>complete</v>
      </c>
      <c r="L236" s="3">
        <f>INDEX(ENSO_monthly!$F:$F,MATCH(A236,ENSO_monthly!$A:$A,0))</f>
        <v>-0.43</v>
      </c>
      <c r="M236" s="2" t="str">
        <f>INDEX(ENSO_monthly!$D:$D,MATCH(A236,ENSO_monthly!$A:$A,0))</f>
        <v>NDJ</v>
      </c>
      <c r="N236" s="2" t="str">
        <f>INDEX(ENSO_monthly!$L:$L,MATCH(A236,ENSO_monthly!$A:$A,0))</f>
        <v>—</v>
      </c>
      <c r="O236" s="8" t="str">
        <f>INDEX(ENSO_seasons!$U:$U,MATCH(E236,ENSO_seasons!$A:$A,0))</f>
        <v>Neutral</v>
      </c>
      <c r="P236" s="4">
        <f>SUMIFS(Daily!$D$3:$D$7756,Daily!$B$3:$B$7756,$A236)</f>
        <v>7.195</v>
      </c>
      <c r="Q236" s="3">
        <f>AVERAGEIFS(Daily!$E$3:$E$7756,Daily!$B$3:$B$7756,$A236)</f>
        <v>19.526451612903227</v>
      </c>
      <c r="R236" s="3">
        <f>AVERAGEIFS(Daily!$F$3:$F$7756,Daily!$B$3:$B$7756,$A236)</f>
        <v>23.709354838709675</v>
      </c>
      <c r="S236" s="3">
        <f>AVERAGEIFS(Daily!$G$3:$G$7756,Daily!$B$3:$B$7756,$A236)</f>
        <v>16.558064516129033</v>
      </c>
      <c r="T236" s="4">
        <f>SUMIFS(Daily!$H$3:$H$7756,Daily!$B$3:$B$7756,$A236)</f>
        <v>254.31</v>
      </c>
      <c r="U236" s="4">
        <f>SUMIFS(Daily!$I$3:$I$7756,Daily!$B$3:$B$7756,$A236)</f>
        <v>4.462</v>
      </c>
      <c r="V236" s="3">
        <f>AVERAGEIFS(Daily!$J$3:$J$7756,Daily!$B$3:$B$7756,$A236)</f>
        <v>20.37064516129032</v>
      </c>
      <c r="W236" s="3">
        <f>AVERAGEIFS(Daily!$K$3:$K$7756,Daily!$B$3:$B$7756,$A236)</f>
        <v>25.095161290322583</v>
      </c>
      <c r="X236" s="3">
        <f>AVERAGEIFS(Daily!$L$3:$L$7756,Daily!$B$3:$B$7756,$A236)</f>
        <v>17.23032258064516</v>
      </c>
      <c r="Y236" s="4">
        <f>SUMIFS(Daily!$M$3:$M$7756,Daily!$B$3:$B$7756,$A236)</f>
        <v>124.03</v>
      </c>
      <c r="Z236" s="14">
        <v>71.72774608026265</v>
      </c>
      <c r="AA236" s="3">
        <f>AVERAGEIFS(Daily!$O$3:$O$7756,Daily!$B$3:$B$7756,$A236)</f>
        <v>20.112903225806452</v>
      </c>
      <c r="AB236" s="3">
        <f>AVERAGEIFS(Daily!$P$3:$P$7756,Daily!$B$3:$B$7756,$A236)</f>
        <v>23.74677419354839</v>
      </c>
      <c r="AC236" s="3">
        <f>AVERAGEIFS(Daily!$Q$3:$Q$7756,Daily!$B$3:$B$7756,$A236)</f>
        <v>17.666129032258066</v>
      </c>
      <c r="AD236" s="4">
        <f>SUMIFS(Daily!$R$3:$R$7756,Daily!$B$3:$B$7756,$A236)</f>
        <v>305.48</v>
      </c>
      <c r="AE236" s="4">
        <f>AVERAGE(P236,U236,Z236)</f>
        <v>27.794915360087547</v>
      </c>
      <c r="AF236" s="3">
        <f>AVERAGE(Q236,V236,AA236)</f>
        <v>20.00333333333333</v>
      </c>
      <c r="AG236" s="3">
        <f>AVERAGE(R236,W236,AB236)</f>
        <v>24.18376344086022</v>
      </c>
      <c r="AH236" s="3">
        <f>AVERAGE(S236,X236,AC236)</f>
        <v>17.151505376344087</v>
      </c>
      <c r="AI236" s="4">
        <f>AVERAGE(T236,Y236,AD236)</f>
        <v>227.94000000000003</v>
      </c>
    </row>
    <row r="237">
      <c r="A237" s="2" t="inlineStr">
        <is>
          <t xml:space="preserve">2025-01</t>
        </is>
      </c>
      <c r="B237" s="2">
        <v>2025</v>
      </c>
      <c r="C237" s="2">
        <v>1</v>
      </c>
      <c r="D237" s="2" t="inlineStr">
        <is>
          <t xml:space="preserve">Jan</t>
        </is>
      </c>
      <c r="E237" s="2" t="inlineStr">
        <is>
          <t xml:space="preserve">2024/25</t>
        </is>
      </c>
      <c r="F237" s="2">
        <v>7</v>
      </c>
      <c r="G237" s="9">
        <v>45658</v>
      </c>
      <c r="H237" s="9">
        <v>45688</v>
      </c>
      <c r="I237" s="2">
        <f>H237-G237+1</f>
        <v>31</v>
      </c>
      <c r="J237" s="2">
        <f>COUNTIF(Daily!$B$3:$B$7756,A237)</f>
        <v>31</v>
      </c>
      <c r="K237" s="2" t="str">
        <f>IF(J237=I237,"complete","partial ("&amp;J237&amp;" days)")</f>
        <v>complete</v>
      </c>
      <c r="L237" s="3">
        <f>INDEX(ENSO_monthly!$F:$F,MATCH(A237,ENSO_monthly!$A:$A,0))</f>
        <v>-0.46</v>
      </c>
      <c r="M237" s="2" t="str">
        <f>INDEX(ENSO_monthly!$D:$D,MATCH(A237,ENSO_monthly!$A:$A,0))</f>
        <v>DJF</v>
      </c>
      <c r="N237" s="2" t="str">
        <f>INDEX(ENSO_monthly!$L:$L,MATCH(A237,ENSO_monthly!$A:$A,0))</f>
        <v>—</v>
      </c>
      <c r="O237" s="8" t="str">
        <f>INDEX(ENSO_seasons!$U:$U,MATCH(E237,ENSO_seasons!$A:$A,0))</f>
        <v>Neutral</v>
      </c>
      <c r="P237" s="4">
        <f>SUMIFS(Daily!$D$3:$D$7756,Daily!$B$3:$B$7756,$A237)</f>
        <v>14.087</v>
      </c>
      <c r="Q237" s="3">
        <f>AVERAGEIFS(Daily!$E$3:$E$7756,Daily!$B$3:$B$7756,$A237)</f>
        <v>19.190322580645162</v>
      </c>
      <c r="R237" s="3">
        <f>AVERAGEIFS(Daily!$F$3:$F$7756,Daily!$B$3:$B$7756,$A237)</f>
        <v>24.019032258064517</v>
      </c>
      <c r="S237" s="3">
        <f>AVERAGEIFS(Daily!$G$3:$G$7756,Daily!$B$3:$B$7756,$A237)</f>
        <v>15.714516129032257</v>
      </c>
      <c r="T237" s="4">
        <f>SUMIFS(Daily!$H$3:$H$7756,Daily!$B$3:$B$7756,$A237)</f>
        <v>56.62</v>
      </c>
      <c r="U237" s="4">
        <f>SUMIFS(Daily!$I$3:$I$7756,Daily!$B$3:$B$7756,$A237)</f>
        <v>3.544</v>
      </c>
      <c r="V237" s="3">
        <f>AVERAGEIFS(Daily!$J$3:$J$7756,Daily!$B$3:$B$7756,$A237)</f>
        <v>20.803225806451607</v>
      </c>
      <c r="W237" s="3">
        <f>AVERAGEIFS(Daily!$K$3:$K$7756,Daily!$B$3:$B$7756,$A237)</f>
        <v>26.63290322580645</v>
      </c>
      <c r="X237" s="3">
        <f>AVERAGEIFS(Daily!$L$3:$L$7756,Daily!$B$3:$B$7756,$A237)</f>
        <v>16.57774193548387</v>
      </c>
      <c r="Y237" s="4">
        <f>SUMIFS(Daily!$M$3:$M$7756,Daily!$B$3:$B$7756,$A237)</f>
        <v>17.51</v>
      </c>
      <c r="Z237" s="14">
        <v>37.72360469334802</v>
      </c>
      <c r="AA237" s="3">
        <f>AVERAGEIFS(Daily!$O$3:$O$7756,Daily!$B$3:$B$7756,$A237)</f>
        <v>20.204516129032257</v>
      </c>
      <c r="AB237" s="3">
        <f>AVERAGEIFS(Daily!$P$3:$P$7756,Daily!$B$3:$B$7756,$A237)</f>
        <v>24.65387096774193</v>
      </c>
      <c r="AC237" s="3">
        <f>AVERAGEIFS(Daily!$Q$3:$Q$7756,Daily!$B$3:$B$7756,$A237)</f>
        <v>17.10741935483871</v>
      </c>
      <c r="AD237" s="4">
        <f>SUMIFS(Daily!$R$3:$R$7756,Daily!$B$3:$B$7756,$A237)</f>
        <v>88.88</v>
      </c>
      <c r="AE237" s="4">
        <f>AVERAGE(P237,U237,Z237)</f>
        <v>18.451534897782675</v>
      </c>
      <c r="AF237" s="3">
        <f>AVERAGE(Q237,V237,AA237)</f>
        <v>20.06602150537634</v>
      </c>
      <c r="AG237" s="3">
        <f>AVERAGE(R237,W237,AB237)</f>
        <v>25.10193548387097</v>
      </c>
      <c r="AH237" s="3">
        <f>AVERAGE(S237,X237,AC237)</f>
        <v>16.466559139784945</v>
      </c>
      <c r="AI237" s="4">
        <f>AVERAGE(T237,Y237,AD237)</f>
        <v>54.336666666666666</v>
      </c>
    </row>
    <row r="238">
      <c r="A238" s="2" t="inlineStr">
        <is>
          <t xml:space="preserve">2025-02</t>
        </is>
      </c>
      <c r="B238" s="2">
        <v>2025</v>
      </c>
      <c r="C238" s="2">
        <v>2</v>
      </c>
      <c r="D238" s="2" t="inlineStr">
        <is>
          <t xml:space="preserve">Feb</t>
        </is>
      </c>
      <c r="E238" s="2" t="inlineStr">
        <is>
          <t xml:space="preserve">2024/25</t>
        </is>
      </c>
      <c r="F238" s="2">
        <v>8</v>
      </c>
      <c r="G238" s="9">
        <v>45689</v>
      </c>
      <c r="H238" s="9">
        <v>45716</v>
      </c>
      <c r="I238" s="2">
        <f>H238-G238+1</f>
        <v>28</v>
      </c>
      <c r="J238" s="2">
        <f>COUNTIF(Daily!$B$3:$B$7756,A238)</f>
        <v>28</v>
      </c>
      <c r="K238" s="2" t="str">
        <f>IF(J238=I238,"complete","partial ("&amp;J238&amp;" days)")</f>
        <v>complete</v>
      </c>
      <c r="L238" s="3">
        <f>INDEX(ENSO_monthly!$F:$F,MATCH(A238,ENSO_monthly!$A:$A,0))</f>
        <v>-0.22</v>
      </c>
      <c r="M238" s="2" t="str">
        <f>INDEX(ENSO_monthly!$D:$D,MATCH(A238,ENSO_monthly!$A:$A,0))</f>
        <v>JFM</v>
      </c>
      <c r="N238" s="2" t="str">
        <f>INDEX(ENSO_monthly!$L:$L,MATCH(A238,ENSO_monthly!$A:$A,0))</f>
        <v>—</v>
      </c>
      <c r="O238" s="8" t="str">
        <f>INDEX(ENSO_seasons!$U:$U,MATCH(E238,ENSO_seasons!$A:$A,0))</f>
        <v>Neutral</v>
      </c>
      <c r="P238" s="4">
        <f>SUMIFS(Daily!$D$3:$D$7756,Daily!$B$3:$B$7756,$A238)</f>
        <v>5.232</v>
      </c>
      <c r="Q238" s="3">
        <f>AVERAGEIFS(Daily!$E$3:$E$7756,Daily!$B$3:$B$7756,$A238)</f>
        <v>20.02</v>
      </c>
      <c r="R238" s="3">
        <f>AVERAGEIFS(Daily!$F$3:$F$7756,Daily!$B$3:$B$7756,$A238)</f>
        <v>25.275357142857143</v>
      </c>
      <c r="S238" s="3">
        <f>AVERAGEIFS(Daily!$G$3:$G$7756,Daily!$B$3:$B$7756,$A238)</f>
        <v>15.947857142857144</v>
      </c>
      <c r="T238" s="4">
        <f>SUMIFS(Daily!$H$3:$H$7756,Daily!$B$3:$B$7756,$A238)</f>
        <v>17.3</v>
      </c>
      <c r="U238" s="4">
        <f>SUMIFS(Daily!$I$3:$I$7756,Daily!$B$3:$B$7756,$A238)</f>
        <v>6.28</v>
      </c>
      <c r="V238" s="3">
        <f>AVERAGEIFS(Daily!$J$3:$J$7756,Daily!$B$3:$B$7756,$A238)</f>
        <v>22.954642857142858</v>
      </c>
      <c r="W238" s="3">
        <f>AVERAGEIFS(Daily!$K$3:$K$7756,Daily!$B$3:$B$7756,$A238)</f>
        <v>29.549642857142864</v>
      </c>
      <c r="X238" s="3">
        <f>AVERAGEIFS(Daily!$L$3:$L$7756,Daily!$B$3:$B$7756,$A238)</f>
        <v>18.25035714285714</v>
      </c>
      <c r="Y238" s="4">
        <f>SUMIFS(Daily!$M$3:$M$7756,Daily!$B$3:$B$7756,$A238)</f>
        <v>8.49</v>
      </c>
      <c r="Z238" s="14">
        <v>19.643369980208135</v>
      </c>
      <c r="AA238" s="3">
        <f>AVERAGEIFS(Daily!$O$3:$O$7756,Daily!$B$3:$B$7756,$A238)</f>
        <v>21.38821428571429</v>
      </c>
      <c r="AB238" s="3">
        <f>AVERAGEIFS(Daily!$P$3:$P$7756,Daily!$B$3:$B$7756,$A238)</f>
        <v>26.146071428571428</v>
      </c>
      <c r="AC238" s="3">
        <f>AVERAGEIFS(Daily!$Q$3:$Q$7756,Daily!$B$3:$B$7756,$A238)</f>
        <v>18.003571428571426</v>
      </c>
      <c r="AD238" s="4">
        <f>SUMIFS(Daily!$R$3:$R$7756,Daily!$B$3:$B$7756,$A238)</f>
        <v>24.45</v>
      </c>
      <c r="AE238" s="4">
        <f>AVERAGE(P238,U238,Z238)</f>
        <v>10.385123326736045</v>
      </c>
      <c r="AF238" s="3">
        <f>AVERAGE(Q238,V238,AA238)</f>
        <v>21.454285714285714</v>
      </c>
      <c r="AG238" s="3">
        <f>AVERAGE(R238,W238,AB238)</f>
        <v>26.990357142857146</v>
      </c>
      <c r="AH238" s="3">
        <f>AVERAGE(S238,X238,AC238)</f>
        <v>17.40059523809524</v>
      </c>
      <c r="AI238" s="4">
        <f>AVERAGE(T238,Y238,AD238)</f>
        <v>16.746666666666666</v>
      </c>
    </row>
    <row r="239">
      <c r="A239" s="2" t="inlineStr">
        <is>
          <t xml:space="preserve">2025-03</t>
        </is>
      </c>
      <c r="B239" s="2">
        <v>2025</v>
      </c>
      <c r="C239" s="2">
        <v>3</v>
      </c>
      <c r="D239" s="2" t="inlineStr">
        <is>
          <t xml:space="preserve">Mar</t>
        </is>
      </c>
      <c r="E239" s="2" t="inlineStr">
        <is>
          <t xml:space="preserve">2024/25</t>
        </is>
      </c>
      <c r="F239" s="2">
        <v>9</v>
      </c>
      <c r="G239" s="9">
        <v>45717</v>
      </c>
      <c r="H239" s="9">
        <v>45747</v>
      </c>
      <c r="I239" s="2">
        <f>H239-G239+1</f>
        <v>31</v>
      </c>
      <c r="J239" s="2">
        <f>COUNTIF(Daily!$B$3:$B$7756,A239)</f>
        <v>31</v>
      </c>
      <c r="K239" s="2" t="str">
        <f>IF(J239=I239,"complete","partial ("&amp;J239&amp;" days)")</f>
        <v>complete</v>
      </c>
      <c r="L239" s="3">
        <f>INDEX(ENSO_monthly!$F:$F,MATCH(A239,ENSO_monthly!$A:$A,0))</f>
        <v>-0.08</v>
      </c>
      <c r="M239" s="2" t="str">
        <f>INDEX(ENSO_monthly!$D:$D,MATCH(A239,ENSO_monthly!$A:$A,0))</f>
        <v>FMA</v>
      </c>
      <c r="N239" s="2" t="str">
        <f>INDEX(ENSO_monthly!$L:$L,MATCH(A239,ENSO_monthly!$A:$A,0))</f>
        <v>—</v>
      </c>
      <c r="O239" s="8" t="str">
        <f>INDEX(ENSO_seasons!$U:$U,MATCH(E239,ENSO_seasons!$A:$A,0))</f>
        <v>Neutral</v>
      </c>
      <c r="P239" s="4">
        <f>SUMIFS(Daily!$D$3:$D$7756,Daily!$B$3:$B$7756,$A239)</f>
        <v>3.893</v>
      </c>
      <c r="Q239" s="3">
        <f>AVERAGEIFS(Daily!$E$3:$E$7756,Daily!$B$3:$B$7756,$A239)</f>
        <v>22.07225806451613</v>
      </c>
      <c r="R239" s="3">
        <f>AVERAGEIFS(Daily!$F$3:$F$7756,Daily!$B$3:$B$7756,$A239)</f>
        <v>28.662903225806456</v>
      </c>
      <c r="S239" s="3">
        <f>AVERAGEIFS(Daily!$G$3:$G$7756,Daily!$B$3:$B$7756,$A239)</f>
        <v>16.86225806451613</v>
      </c>
      <c r="T239" s="4">
        <f>SUMIFS(Daily!$H$3:$H$7756,Daily!$B$3:$B$7756,$A239)</f>
        <v>149.15</v>
      </c>
      <c r="U239" s="4">
        <f>SUMIFS(Daily!$I$3:$I$7756,Daily!$B$3:$B$7756,$A239)</f>
        <v>8.087</v>
      </c>
      <c r="V239" s="3">
        <f>AVERAGEIFS(Daily!$J$3:$J$7756,Daily!$B$3:$B$7756,$A239)</f>
        <v>24.67483870967742</v>
      </c>
      <c r="W239" s="3">
        <f>AVERAGEIFS(Daily!$K$3:$K$7756,Daily!$B$3:$B$7756,$A239)</f>
        <v>32.46741935483871</v>
      </c>
      <c r="X239" s="3">
        <f>AVERAGEIFS(Daily!$L$3:$L$7756,Daily!$B$3:$B$7756,$A239)</f>
        <v>18.721290322580646</v>
      </c>
      <c r="Y239" s="4">
        <f>SUMIFS(Daily!$M$3:$M$7756,Daily!$B$3:$B$7756,$A239)</f>
        <v>20.8</v>
      </c>
      <c r="Z239" s="14">
        <v>14.559485294117646</v>
      </c>
      <c r="AA239" s="3">
        <f>AVERAGEIFS(Daily!$O$3:$O$7756,Daily!$B$3:$B$7756,$A239)</f>
        <v>22.78548387096774</v>
      </c>
      <c r="AB239" s="3">
        <f>AVERAGEIFS(Daily!$P$3:$P$7756,Daily!$B$3:$B$7756,$A239)</f>
        <v>28.817096774193548</v>
      </c>
      <c r="AC239" s="3">
        <f>AVERAGEIFS(Daily!$Q$3:$Q$7756,Daily!$B$3:$B$7756,$A239)</f>
        <v>18.313548387096777</v>
      </c>
      <c r="AD239" s="4">
        <f>SUMIFS(Daily!$R$3:$R$7756,Daily!$B$3:$B$7756,$A239)</f>
        <v>40.25</v>
      </c>
      <c r="AE239" s="4">
        <f>AVERAGE(P239,U239,Z239)</f>
        <v>8.846495098039215</v>
      </c>
      <c r="AF239" s="3">
        <f>AVERAGE(Q239,V239,AA239)</f>
        <v>23.17752688172043</v>
      </c>
      <c r="AG239" s="3">
        <f>AVERAGE(R239,W239,AB239)</f>
        <v>29.98247311827957</v>
      </c>
      <c r="AH239" s="3">
        <f>AVERAGE(S239,X239,AC239)</f>
        <v>17.965698924731186</v>
      </c>
      <c r="AI239" s="4">
        <f>AVERAGE(T239,Y239,AD239)</f>
        <v>70.06666666666668</v>
      </c>
    </row>
    <row r="240">
      <c r="A240" s="2" t="inlineStr">
        <is>
          <t xml:space="preserve">2025-04</t>
        </is>
      </c>
      <c r="B240" s="2">
        <v>2025</v>
      </c>
      <c r="C240" s="2">
        <v>4</v>
      </c>
      <c r="D240" s="2" t="inlineStr">
        <is>
          <t xml:space="preserve">Apr</t>
        </is>
      </c>
      <c r="E240" s="2" t="inlineStr">
        <is>
          <t xml:space="preserve">2024/25</t>
        </is>
      </c>
      <c r="F240" s="2">
        <v>10</v>
      </c>
      <c r="G240" s="9">
        <v>45748</v>
      </c>
      <c r="H240" s="9">
        <v>45777</v>
      </c>
      <c r="I240" s="2">
        <f>H240-G240+1</f>
        <v>30</v>
      </c>
      <c r="J240" s="2">
        <f>COUNTIF(Daily!$B$3:$B$7756,A240)</f>
        <v>30</v>
      </c>
      <c r="K240" s="2" t="str">
        <f>IF(J240=I240,"complete","partial ("&amp;J240&amp;" days)")</f>
        <v>complete</v>
      </c>
      <c r="L240" s="3">
        <f>INDEX(ENSO_monthly!$F:$F,MATCH(A240,ENSO_monthly!$A:$A,0))</f>
        <v>0.02</v>
      </c>
      <c r="M240" s="2" t="str">
        <f>INDEX(ENSO_monthly!$D:$D,MATCH(A240,ENSO_monthly!$A:$A,0))</f>
        <v>MAM</v>
      </c>
      <c r="N240" s="2" t="str">
        <f>INDEX(ENSO_monthly!$L:$L,MATCH(A240,ENSO_monthly!$A:$A,0))</f>
        <v>—</v>
      </c>
      <c r="O240" s="8" t="str">
        <f>INDEX(ENSO_seasons!$U:$U,MATCH(E240,ENSO_seasons!$A:$A,0))</f>
        <v>Neutral</v>
      </c>
      <c r="P240" s="4">
        <f>SUMIFS(Daily!$D$3:$D$7756,Daily!$B$3:$B$7756,$A240)</f>
        <v>49.159</v>
      </c>
      <c r="Q240" s="3">
        <f>AVERAGEIFS(Daily!$E$3:$E$7756,Daily!$B$3:$B$7756,$A240)</f>
        <v>21.93766666666666</v>
      </c>
      <c r="R240" s="3">
        <f>AVERAGEIFS(Daily!$F$3:$F$7756,Daily!$B$3:$B$7756,$A240)</f>
        <v>28.489666666666665</v>
      </c>
      <c r="S240" s="3">
        <f>AVERAGEIFS(Daily!$G$3:$G$7756,Daily!$B$3:$B$7756,$A240)</f>
        <v>16.741999999999997</v>
      </c>
      <c r="T240" s="4">
        <f>SUMIFS(Daily!$H$3:$H$7756,Daily!$B$3:$B$7756,$A240)</f>
        <v>41.02</v>
      </c>
      <c r="U240" s="4">
        <f>SUMIFS(Daily!$I$3:$I$7756,Daily!$B$3:$B$7756,$A240)</f>
        <v>28.502</v>
      </c>
      <c r="V240" s="3">
        <f>AVERAGEIFS(Daily!$J$3:$J$7756,Daily!$B$3:$B$7756,$A240)</f>
        <v>24.782333333333327</v>
      </c>
      <c r="W240" s="3">
        <f>AVERAGEIFS(Daily!$K$3:$K$7756,Daily!$B$3:$B$7756,$A240)</f>
        <v>32.529666666666664</v>
      </c>
      <c r="X240" s="3">
        <f>AVERAGEIFS(Daily!$L$3:$L$7756,Daily!$B$3:$B$7756,$A240)</f>
        <v>18.811333333333334</v>
      </c>
      <c r="Y240" s="4">
        <f>SUMIFS(Daily!$M$3:$M$7756,Daily!$B$3:$B$7756,$A240)</f>
        <v>29.36</v>
      </c>
      <c r="Z240" s="14">
        <v>36.10011167160847</v>
      </c>
      <c r="AA240" s="3">
        <f>AVERAGEIFS(Daily!$O$3:$O$7756,Daily!$B$3:$B$7756,$A240)</f>
        <v>23.113999999999997</v>
      </c>
      <c r="AB240" s="3">
        <f>AVERAGEIFS(Daily!$P$3:$P$7756,Daily!$B$3:$B$7756,$A240)</f>
        <v>29.602666666666668</v>
      </c>
      <c r="AC240" s="3">
        <f>AVERAGEIFS(Daily!$Q$3:$Q$7756,Daily!$B$3:$B$7756,$A240)</f>
        <v>18.20966666666666</v>
      </c>
      <c r="AD240" s="4">
        <f>SUMIFS(Daily!$R$3:$R$7756,Daily!$B$3:$B$7756,$A240)</f>
        <v>42.84</v>
      </c>
      <c r="AE240" s="4">
        <f>AVERAGE(P240,U240,Z240)</f>
        <v>37.92037055720282</v>
      </c>
      <c r="AF240" s="3">
        <f>AVERAGE(Q240,V240,AA240)</f>
        <v>23.27799999999999</v>
      </c>
      <c r="AG240" s="3">
        <f>AVERAGE(R240,W240,AB240)</f>
        <v>30.207333333333334</v>
      </c>
      <c r="AH240" s="3">
        <f>AVERAGE(S240,X240,AC240)</f>
        <v>17.920999999999996</v>
      </c>
      <c r="AI240" s="4">
        <f>AVERAGE(T240,Y240,AD240)</f>
        <v>37.74</v>
      </c>
    </row>
    <row r="241">
      <c r="A241" s="2" t="inlineStr">
        <is>
          <t xml:space="preserve">2025-05</t>
        </is>
      </c>
      <c r="B241" s="2">
        <v>2025</v>
      </c>
      <c r="C241" s="2">
        <v>5</v>
      </c>
      <c r="D241" s="2" t="inlineStr">
        <is>
          <t xml:space="preserve">May</t>
        </is>
      </c>
      <c r="E241" s="2" t="inlineStr">
        <is>
          <t xml:space="preserve">2024/25</t>
        </is>
      </c>
      <c r="F241" s="2">
        <v>11</v>
      </c>
      <c r="G241" s="9">
        <v>45778</v>
      </c>
      <c r="H241" s="9">
        <v>45808</v>
      </c>
      <c r="I241" s="2">
        <f>H241-G241+1</f>
        <v>31</v>
      </c>
      <c r="J241" s="2">
        <f>COUNTIF(Daily!$B$3:$B$7756,A241)</f>
        <v>31</v>
      </c>
      <c r="K241" s="2" t="str">
        <f>IF(J241=I241,"complete","partial ("&amp;J241&amp;" days)")</f>
        <v>complete</v>
      </c>
      <c r="L241" s="3">
        <f>INDEX(ENSO_monthly!$F:$F,MATCH(A241,ENSO_monthly!$A:$A,0))</f>
        <v>-0.04</v>
      </c>
      <c r="M241" s="2" t="str">
        <f>INDEX(ENSO_monthly!$D:$D,MATCH(A241,ENSO_monthly!$A:$A,0))</f>
        <v>AMJ</v>
      </c>
      <c r="N241" s="2" t="str">
        <f>INDEX(ENSO_monthly!$L:$L,MATCH(A241,ENSO_monthly!$A:$A,0))</f>
        <v>—</v>
      </c>
      <c r="O241" s="8" t="str">
        <f>INDEX(ENSO_seasons!$U:$U,MATCH(E241,ENSO_seasons!$A:$A,0))</f>
        <v>Neutral</v>
      </c>
      <c r="P241" s="4">
        <f>SUMIFS(Daily!$D$3:$D$7756,Daily!$B$3:$B$7756,$A241)</f>
        <v>80.106</v>
      </c>
      <c r="Q241" s="3">
        <f>AVERAGEIFS(Daily!$E$3:$E$7756,Daily!$B$3:$B$7756,$A241)</f>
        <v>24.80645161290322</v>
      </c>
      <c r="R241" s="3">
        <f>AVERAGEIFS(Daily!$F$3:$F$7756,Daily!$B$3:$B$7756,$A241)</f>
        <v>31.709032258064518</v>
      </c>
      <c r="S241" s="3">
        <f>AVERAGEIFS(Daily!$G$3:$G$7756,Daily!$B$3:$B$7756,$A241)</f>
        <v>19.337741935483873</v>
      </c>
      <c r="T241" s="4">
        <f>SUMIFS(Daily!$H$3:$H$7756,Daily!$B$3:$B$7756,$A241)</f>
        <v>73.06</v>
      </c>
      <c r="U241" s="4">
        <f>SUMIFS(Daily!$I$3:$I$7756,Daily!$B$3:$B$7756,$A241)</f>
        <v>94.875</v>
      </c>
      <c r="V241" s="3">
        <f>AVERAGEIFS(Daily!$J$3:$J$7756,Daily!$B$3:$B$7756,$A241)</f>
        <v>26.63709677419354</v>
      </c>
      <c r="W241" s="3">
        <f>AVERAGEIFS(Daily!$K$3:$K$7756,Daily!$B$3:$B$7756,$A241)</f>
        <v>33.22387096774193</v>
      </c>
      <c r="X241" s="3">
        <f>AVERAGEIFS(Daily!$L$3:$L$7756,Daily!$B$3:$B$7756,$A241)</f>
        <v>21.58774193548387</v>
      </c>
      <c r="Y241" s="4">
        <f>SUMIFS(Daily!$M$3:$M$7756,Daily!$B$3:$B$7756,$A241)</f>
        <v>77.9</v>
      </c>
      <c r="Z241" s="14">
        <v>80.8816573811043</v>
      </c>
      <c r="AA241" s="3">
        <f>AVERAGEIFS(Daily!$O$3:$O$7756,Daily!$B$3:$B$7756,$A241)</f>
        <v>26.40225806451613</v>
      </c>
      <c r="AB241" s="3">
        <f>AVERAGEIFS(Daily!$P$3:$P$7756,Daily!$B$3:$B$7756,$A241)</f>
        <v>33.14129032258065</v>
      </c>
      <c r="AC241" s="3">
        <f>AVERAGEIFS(Daily!$Q$3:$Q$7756,Daily!$B$3:$B$7756,$A241)</f>
        <v>21.383870967741938</v>
      </c>
      <c r="AD241" s="4">
        <f>SUMIFS(Daily!$R$3:$R$7756,Daily!$B$3:$B$7756,$A241)</f>
        <v>47.2</v>
      </c>
      <c r="AE241" s="4">
        <f>AVERAGE(P241,U241,Z241)</f>
        <v>85.2875524603681</v>
      </c>
      <c r="AF241" s="3">
        <f>AVERAGE(Q241,V241,AA241)</f>
        <v>25.948602150537628</v>
      </c>
      <c r="AG241" s="3">
        <f>AVERAGE(R241,W241,AB241)</f>
        <v>32.69139784946237</v>
      </c>
      <c r="AH241" s="3">
        <f>AVERAGE(S241,X241,AC241)</f>
        <v>20.76978494623656</v>
      </c>
      <c r="AI241" s="4">
        <f>AVERAGE(T241,Y241,AD241)</f>
        <v>66.05333333333334</v>
      </c>
    </row>
    <row r="242">
      <c r="A242" s="2" t="inlineStr">
        <is>
          <t xml:space="preserve">2025-06</t>
        </is>
      </c>
      <c r="B242" s="2">
        <v>2025</v>
      </c>
      <c r="C242" s="2">
        <v>6</v>
      </c>
      <c r="D242" s="2" t="inlineStr">
        <is>
          <t xml:space="preserve">Jun</t>
        </is>
      </c>
      <c r="E242" s="2" t="inlineStr">
        <is>
          <t xml:space="preserve">2024/25</t>
        </is>
      </c>
      <c r="F242" s="2">
        <v>12</v>
      </c>
      <c r="G242" s="9">
        <v>45809</v>
      </c>
      <c r="H242" s="9">
        <v>45838</v>
      </c>
      <c r="I242" s="2">
        <f>H242-G242+1</f>
        <v>30</v>
      </c>
      <c r="J242" s="2">
        <f>COUNTIF(Daily!$B$3:$B$7756,A242)</f>
        <v>30</v>
      </c>
      <c r="K242" s="2" t="str">
        <f>IF(J242=I242,"complete","partial ("&amp;J242&amp;" days)")</f>
        <v>complete</v>
      </c>
      <c r="L242" s="3">
        <f>INDEX(ENSO_monthly!$F:$F,MATCH(A242,ENSO_monthly!$A:$A,0))</f>
        <v>-0.02</v>
      </c>
      <c r="M242" s="2" t="str">
        <f>INDEX(ENSO_monthly!$D:$D,MATCH(A242,ENSO_monthly!$A:$A,0))</f>
        <v>MJJ</v>
      </c>
      <c r="N242" s="2" t="str">
        <f>INDEX(ENSO_monthly!$L:$L,MATCH(A242,ENSO_monthly!$A:$A,0))</f>
        <v>—</v>
      </c>
      <c r="O242" s="8" t="str">
        <f>INDEX(ENSO_seasons!$U:$U,MATCH(E242,ENSO_seasons!$A:$A,0))</f>
        <v>Neutral</v>
      </c>
      <c r="P242" s="4">
        <f>SUMIFS(Daily!$D$3:$D$7756,Daily!$B$3:$B$7756,$A242)</f>
        <v>320.058</v>
      </c>
      <c r="Q242" s="3">
        <f>AVERAGEIFS(Daily!$E$3:$E$7756,Daily!$B$3:$B$7756,$A242)</f>
        <v>22.261999999999997</v>
      </c>
      <c r="R242" s="3">
        <f>AVERAGEIFS(Daily!$F$3:$F$7756,Daily!$B$3:$B$7756,$A242)</f>
        <v>26.990666666666662</v>
      </c>
      <c r="S242" s="3">
        <f>AVERAGEIFS(Daily!$G$3:$G$7756,Daily!$B$3:$B$7756,$A242)</f>
        <v>18.55</v>
      </c>
      <c r="T242" s="4">
        <f>SUMIFS(Daily!$H$3:$H$7756,Daily!$B$3:$B$7756,$A242)</f>
        <v>268.44</v>
      </c>
      <c r="U242" s="4">
        <f>SUMIFS(Daily!$I$3:$I$7756,Daily!$B$3:$B$7756,$A242)</f>
        <v>355.957</v>
      </c>
      <c r="V242" s="3">
        <f>AVERAGEIFS(Daily!$J$3:$J$7756,Daily!$B$3:$B$7756,$A242)</f>
        <v>23.464333333333336</v>
      </c>
      <c r="W242" s="3">
        <f>AVERAGEIFS(Daily!$K$3:$K$7756,Daily!$B$3:$B$7756,$A242)</f>
        <v>27.792333333333335</v>
      </c>
      <c r="X242" s="3">
        <f>AVERAGEIFS(Daily!$L$3:$L$7756,Daily!$B$3:$B$7756,$A242)</f>
        <v>20.232333333333337</v>
      </c>
      <c r="Y242" s="4">
        <f>SUMIFS(Daily!$M$3:$M$7756,Daily!$B$3:$B$7756,$A242)</f>
        <v>306.83</v>
      </c>
      <c r="Z242" s="14">
        <v>410.257467432984</v>
      </c>
      <c r="AA242" s="3">
        <f>AVERAGEIFS(Daily!$O$3:$O$7756,Daily!$B$3:$B$7756,$A242)</f>
        <v>23.736333333333334</v>
      </c>
      <c r="AB242" s="3">
        <f>AVERAGEIFS(Daily!$P$3:$P$7756,Daily!$B$3:$B$7756,$A242)</f>
        <v>28.362</v>
      </c>
      <c r="AC242" s="3">
        <f>AVERAGEIFS(Daily!$Q$3:$Q$7756,Daily!$B$3:$B$7756,$A242)</f>
        <v>20.647000000000002</v>
      </c>
      <c r="AD242" s="4">
        <f>SUMIFS(Daily!$R$3:$R$7756,Daily!$B$3:$B$7756,$A242)</f>
        <v>231.76</v>
      </c>
      <c r="AE242" s="4">
        <f>AVERAGE(P242,U242,Z242)</f>
        <v>362.09082247766133</v>
      </c>
      <c r="AF242" s="3">
        <f>AVERAGE(Q242,V242,AA242)</f>
        <v>23.15422222222222</v>
      </c>
      <c r="AG242" s="3">
        <f>AVERAGE(R242,W242,AB242)</f>
        <v>27.715</v>
      </c>
      <c r="AH242" s="3">
        <f>AVERAGE(S242,X242,AC242)</f>
        <v>19.809777777777782</v>
      </c>
      <c r="AI242" s="4">
        <f>AVERAGE(T242,Y242,AD242)</f>
        <v>269.01</v>
      </c>
    </row>
    <row r="243">
      <c r="A243" s="2" t="inlineStr">
        <is>
          <t xml:space="preserve">2025-07</t>
        </is>
      </c>
      <c r="B243" s="2">
        <v>2025</v>
      </c>
      <c r="C243" s="2">
        <v>7</v>
      </c>
      <c r="D243" s="2" t="inlineStr">
        <is>
          <t xml:space="preserve">Jul</t>
        </is>
      </c>
      <c r="E243" s="2" t="inlineStr">
        <is>
          <t xml:space="preserve">2025/26</t>
        </is>
      </c>
      <c r="F243" s="2">
        <v>1</v>
      </c>
      <c r="G243" s="9">
        <v>45839</v>
      </c>
      <c r="H243" s="9">
        <v>45869</v>
      </c>
      <c r="I243" s="2">
        <f>H243-G243+1</f>
        <v>31</v>
      </c>
      <c r="J243" s="2">
        <f>COUNTIF(Daily!$B$3:$B$7756,A243)</f>
        <v>31</v>
      </c>
      <c r="K243" s="2" t="str">
        <f>IF(J243=I243,"complete","partial ("&amp;J243&amp;" days)")</f>
        <v>complete</v>
      </c>
      <c r="L243" s="3">
        <f>INDEX(ENSO_monthly!$F:$F,MATCH(A243,ENSO_monthly!$A:$A,0))</f>
        <v>-0.11</v>
      </c>
      <c r="M243" s="2" t="str">
        <f>INDEX(ENSO_monthly!$D:$D,MATCH(A243,ENSO_monthly!$A:$A,0))</f>
        <v>JJA</v>
      </c>
      <c r="N243" s="2" t="str">
        <f>INDEX(ENSO_monthly!$L:$L,MATCH(A243,ENSO_monthly!$A:$A,0))</f>
        <v>—</v>
      </c>
      <c r="O243" s="8" t="str">
        <f>INDEX(ENSO_seasons!$U:$U,MATCH(E243,ENSO_seasons!$A:$A,0))</f>
        <v>Neutral</v>
      </c>
      <c r="P243" s="4">
        <f>SUMIFS(Daily!$D$3:$D$7756,Daily!$B$3:$B$7756,$A243)</f>
        <v>122.565</v>
      </c>
      <c r="Q243" s="3">
        <f>AVERAGEIFS(Daily!$E$3:$E$7756,Daily!$B$3:$B$7756,$A243)</f>
        <v>22.038709677419355</v>
      </c>
      <c r="R243" s="3">
        <f>AVERAGEIFS(Daily!$F$3:$F$7756,Daily!$B$3:$B$7756,$A243)</f>
        <v>27.10096774193548</v>
      </c>
      <c r="S243" s="3">
        <f>AVERAGEIFS(Daily!$G$3:$G$7756,Daily!$B$3:$B$7756,$A243)</f>
        <v>17.999677419354835</v>
      </c>
      <c r="T243" s="4">
        <f>SUMIFS(Daily!$H$3:$H$7756,Daily!$B$3:$B$7756,$A243)</f>
        <v>107.53</v>
      </c>
      <c r="U243" s="4">
        <f>SUMIFS(Daily!$I$3:$I$7756,Daily!$B$3:$B$7756,$A243)</f>
        <v>199.357</v>
      </c>
      <c r="V243" s="3">
        <f>AVERAGEIFS(Daily!$J$3:$J$7756,Daily!$B$3:$B$7756,$A243)</f>
        <v>23.134516129032257</v>
      </c>
      <c r="W243" s="3">
        <f>AVERAGEIFS(Daily!$K$3:$K$7756,Daily!$B$3:$B$7756,$A243)</f>
        <v>27.85709677419355</v>
      </c>
      <c r="X243" s="3">
        <f>AVERAGEIFS(Daily!$L$3:$L$7756,Daily!$B$3:$B$7756,$A243)</f>
        <v>19.42645161290322</v>
      </c>
      <c r="Y243" s="4">
        <f>SUMIFS(Daily!$M$3:$M$7756,Daily!$B$3:$B$7756,$A243)</f>
        <v>146.69</v>
      </c>
      <c r="Z243" s="14">
        <v>185.66192649449872</v>
      </c>
      <c r="AA243" s="3">
        <f>AVERAGEIFS(Daily!$O$3:$O$7756,Daily!$B$3:$B$7756,$A243)</f>
        <v>23.640967741935487</v>
      </c>
      <c r="AB243" s="3">
        <f>AVERAGEIFS(Daily!$P$3:$P$7756,Daily!$B$3:$B$7756,$A243)</f>
        <v>28.605806451612906</v>
      </c>
      <c r="AC243" s="3">
        <f>AVERAGEIFS(Daily!$Q$3:$Q$7756,Daily!$B$3:$B$7756,$A243)</f>
        <v>20.34483870967742</v>
      </c>
      <c r="AD243" s="4">
        <f>SUMIFS(Daily!$R$3:$R$7756,Daily!$B$3:$B$7756,$A243)</f>
        <v>89.53</v>
      </c>
      <c r="AE243" s="4">
        <f>AVERAGE(P243,U243,Z243)</f>
        <v>169.1946421648329</v>
      </c>
      <c r="AF243" s="3">
        <f>AVERAGE(Q243,V243,AA243)</f>
        <v>22.93806451612903</v>
      </c>
      <c r="AG243" s="3">
        <f>AVERAGE(R243,W243,AB243)</f>
        <v>27.85462365591398</v>
      </c>
      <c r="AH243" s="3">
        <f>AVERAGE(S243,X243,AC243)</f>
        <v>19.256989247311825</v>
      </c>
      <c r="AI243" s="4">
        <f>AVERAGE(T243,Y243,AD243)</f>
        <v>114.58333333333333</v>
      </c>
    </row>
    <row r="244">
      <c r="A244" s="2" t="inlineStr">
        <is>
          <t xml:space="preserve">2025-08</t>
        </is>
      </c>
      <c r="B244" s="2">
        <v>2025</v>
      </c>
      <c r="C244" s="2">
        <v>8</v>
      </c>
      <c r="D244" s="2" t="inlineStr">
        <is>
          <t xml:space="preserve">Aug</t>
        </is>
      </c>
      <c r="E244" s="2" t="inlineStr">
        <is>
          <t xml:space="preserve">2025/26</t>
        </is>
      </c>
      <c r="F244" s="2">
        <v>2</v>
      </c>
      <c r="G244" s="9">
        <v>45870</v>
      </c>
      <c r="H244" s="9">
        <v>45900</v>
      </c>
      <c r="I244" s="2">
        <f>H244-G244+1</f>
        <v>31</v>
      </c>
      <c r="J244" s="2">
        <f>COUNTIF(Daily!$B$3:$B$7756,A244)</f>
        <v>31</v>
      </c>
      <c r="K244" s="2" t="str">
        <f>IF(J244=I244,"complete","partial ("&amp;J244&amp;" days)")</f>
        <v>complete</v>
      </c>
      <c r="L244" s="3">
        <f>INDEX(ENSO_monthly!$F:$F,MATCH(A244,ENSO_monthly!$A:$A,0))</f>
        <v>-0.26</v>
      </c>
      <c r="M244" s="2" t="str">
        <f>INDEX(ENSO_monthly!$D:$D,MATCH(A244,ENSO_monthly!$A:$A,0))</f>
        <v>JAS</v>
      </c>
      <c r="N244" s="2" t="str">
        <f>INDEX(ENSO_monthly!$L:$L,MATCH(A244,ENSO_monthly!$A:$A,0))</f>
        <v>—</v>
      </c>
      <c r="O244" s="8" t="str">
        <f>INDEX(ENSO_seasons!$U:$U,MATCH(E244,ENSO_seasons!$A:$A,0))</f>
        <v>Neutral</v>
      </c>
      <c r="P244" s="4">
        <f>SUMIFS(Daily!$D$3:$D$7756,Daily!$B$3:$B$7756,$A244)</f>
        <v>190.398</v>
      </c>
      <c r="Q244" s="3">
        <f>AVERAGEIFS(Daily!$E$3:$E$7756,Daily!$B$3:$B$7756,$A244)</f>
        <v>22.72258064516129</v>
      </c>
      <c r="R244" s="3">
        <f>AVERAGEIFS(Daily!$F$3:$F$7756,Daily!$B$3:$B$7756,$A244)</f>
        <v>28.340967741935497</v>
      </c>
      <c r="S244" s="3">
        <f>AVERAGEIFS(Daily!$G$3:$G$7756,Daily!$B$3:$B$7756,$A244)</f>
        <v>18.36258064516129</v>
      </c>
      <c r="T244" s="4">
        <f>SUMIFS(Daily!$H$3:$H$7756,Daily!$B$3:$B$7756,$A244)</f>
        <v>134.43</v>
      </c>
      <c r="U244" s="4">
        <f>SUMIFS(Daily!$I$3:$I$7756,Daily!$B$3:$B$7756,$A244)</f>
        <v>158.159</v>
      </c>
      <c r="V244" s="3">
        <f>AVERAGEIFS(Daily!$J$3:$J$7756,Daily!$B$3:$B$7756,$A244)</f>
        <v>23.707096774193552</v>
      </c>
      <c r="W244" s="3">
        <f>AVERAGEIFS(Daily!$K$3:$K$7756,Daily!$B$3:$B$7756,$A244)</f>
        <v>28.713870967741943</v>
      </c>
      <c r="X244" s="3">
        <f>AVERAGEIFS(Daily!$L$3:$L$7756,Daily!$B$3:$B$7756,$A244)</f>
        <v>19.534193548387098</v>
      </c>
      <c r="Y244" s="4">
        <f>SUMIFS(Daily!$M$3:$M$7756,Daily!$B$3:$B$7756,$A244)</f>
        <v>125.94</v>
      </c>
      <c r="Z244" s="14">
        <v>155.02470636859707</v>
      </c>
      <c r="AA244" s="3">
        <f>AVERAGEIFS(Daily!$O$3:$O$7756,Daily!$B$3:$B$7756,$A244)</f>
        <v>24.345806451612912</v>
      </c>
      <c r="AB244" s="3">
        <f>AVERAGEIFS(Daily!$P$3:$P$7756,Daily!$B$3:$B$7756,$A244)</f>
        <v>30.120645161290323</v>
      </c>
      <c r="AC244" s="3">
        <f>AVERAGEIFS(Daily!$Q$3:$Q$7756,Daily!$B$3:$B$7756,$A244)</f>
        <v>20.463548387096775</v>
      </c>
      <c r="AD244" s="4">
        <f>SUMIFS(Daily!$R$3:$R$7756,Daily!$B$3:$B$7756,$A244)</f>
        <v>86.51</v>
      </c>
      <c r="AE244" s="4">
        <f>AVERAGE(P244,U244,Z244)</f>
        <v>167.86056878953238</v>
      </c>
      <c r="AF244" s="3">
        <f>AVERAGE(Q244,V244,AA244)</f>
        <v>23.591827956989253</v>
      </c>
      <c r="AG244" s="3">
        <f>AVERAGE(R244,W244,AB244)</f>
        <v>29.05849462365592</v>
      </c>
      <c r="AH244" s="3">
        <f>AVERAGE(S244,X244,AC244)</f>
        <v>19.453440860215053</v>
      </c>
      <c r="AI244" s="4">
        <f>AVERAGE(T244,Y244,AD244)</f>
        <v>115.62666666666667</v>
      </c>
    </row>
    <row r="245">
      <c r="A245" s="2" t="inlineStr">
        <is>
          <t xml:space="preserve">2025-09</t>
        </is>
      </c>
      <c r="B245" s="2">
        <v>2025</v>
      </c>
      <c r="C245" s="2">
        <v>9</v>
      </c>
      <c r="D245" s="2" t="inlineStr">
        <is>
          <t xml:space="preserve">Sep</t>
        </is>
      </c>
      <c r="E245" s="2" t="inlineStr">
        <is>
          <t xml:space="preserve">2025/26</t>
        </is>
      </c>
      <c r="F245" s="2">
        <v>3</v>
      </c>
      <c r="G245" s="9">
        <v>45901</v>
      </c>
      <c r="H245" s="9">
        <v>45930</v>
      </c>
      <c r="I245" s="2">
        <f>H245-G245+1</f>
        <v>30</v>
      </c>
      <c r="J245" s="2">
        <f>COUNTIF(Daily!$B$3:$B$7756,A245)</f>
        <v>30</v>
      </c>
      <c r="K245" s="2" t="str">
        <f>IF(J245=I245,"complete","partial ("&amp;J245&amp;" days)")</f>
        <v>complete</v>
      </c>
      <c r="L245" s="3">
        <f>INDEX(ENSO_monthly!$F:$F,MATCH(A245,ENSO_monthly!$A:$A,0))</f>
        <v>-0.43</v>
      </c>
      <c r="M245" s="2" t="str">
        <f>INDEX(ENSO_monthly!$D:$D,MATCH(A245,ENSO_monthly!$A:$A,0))</f>
        <v>ASO</v>
      </c>
      <c r="N245" s="2" t="str">
        <f>INDEX(ENSO_monthly!$L:$L,MATCH(A245,ENSO_monthly!$A:$A,0))</f>
        <v>—</v>
      </c>
      <c r="O245" s="8" t="str">
        <f>INDEX(ENSO_seasons!$U:$U,MATCH(E245,ENSO_seasons!$A:$A,0))</f>
        <v>Neutral</v>
      </c>
      <c r="P245" s="4">
        <f>SUMIFS(Daily!$D$3:$D$7756,Daily!$B$3:$B$7756,$A245)</f>
        <v>344.866</v>
      </c>
      <c r="Q245" s="3">
        <f>AVERAGEIFS(Daily!$E$3:$E$7756,Daily!$B$3:$B$7756,$A245)</f>
        <v>22.457333333333338</v>
      </c>
      <c r="R245" s="3">
        <f>AVERAGEIFS(Daily!$F$3:$F$7756,Daily!$B$3:$B$7756,$A245)</f>
        <v>27.33533333333333</v>
      </c>
      <c r="S245" s="3">
        <f>AVERAGEIFS(Daily!$G$3:$G$7756,Daily!$B$3:$B$7756,$A245)</f>
        <v>18.66333333333333</v>
      </c>
      <c r="T245" s="4">
        <f>SUMIFS(Daily!$H$3:$H$7756,Daily!$B$3:$B$7756,$A245)</f>
        <v>249.7</v>
      </c>
      <c r="U245" s="4">
        <f>SUMIFS(Daily!$I$3:$I$7756,Daily!$B$3:$B$7756,$A245)</f>
        <v>106.814</v>
      </c>
      <c r="V245" s="3">
        <f>AVERAGEIFS(Daily!$J$3:$J$7756,Daily!$B$3:$B$7756,$A245)</f>
        <v>23.582000000000008</v>
      </c>
      <c r="W245" s="3">
        <f>AVERAGEIFS(Daily!$K$3:$K$7756,Daily!$B$3:$B$7756,$A245)</f>
        <v>28.28033333333333</v>
      </c>
      <c r="X245" s="3">
        <f>AVERAGEIFS(Daily!$L$3:$L$7756,Daily!$B$3:$B$7756,$A245)</f>
        <v>20.067333333333337</v>
      </c>
      <c r="Y245" s="4">
        <f>SUMIFS(Daily!$M$3:$M$7756,Daily!$B$3:$B$7756,$A245)</f>
        <v>110.13</v>
      </c>
      <c r="Z245" s="14">
        <v>304.86830427730354</v>
      </c>
      <c r="AA245" s="3">
        <f>AVERAGEIFS(Daily!$O$3:$O$7756,Daily!$B$3:$B$7756,$A245)</f>
        <v>24.004666666666672</v>
      </c>
      <c r="AB245" s="3">
        <f>AVERAGEIFS(Daily!$P$3:$P$7756,Daily!$B$3:$B$7756,$A245)</f>
        <v>29.089999999999996</v>
      </c>
      <c r="AC245" s="3">
        <f>AVERAGEIFS(Daily!$Q$3:$Q$7756,Daily!$B$3:$B$7756,$A245)</f>
        <v>20.825666666666663</v>
      </c>
      <c r="AD245" s="4">
        <f>SUMIFS(Daily!$R$3:$R$7756,Daily!$B$3:$B$7756,$A245)</f>
        <v>142.36</v>
      </c>
      <c r="AE245" s="4">
        <f>AVERAGE(P245,U245,Z245)</f>
        <v>252.1827680924345</v>
      </c>
      <c r="AF245" s="3">
        <f>AVERAGE(Q245,V245,AA245)</f>
        <v>23.348000000000003</v>
      </c>
      <c r="AG245" s="3">
        <f>AVERAGE(R245,W245,AB245)</f>
        <v>28.23522222222222</v>
      </c>
      <c r="AH245" s="3">
        <f>AVERAGE(S245,X245,AC245)</f>
        <v>19.85211111111111</v>
      </c>
      <c r="AI245" s="4">
        <f>AVERAGE(T245,Y245,AD245)</f>
        <v>167.39666666666668</v>
      </c>
    </row>
    <row r="246">
      <c r="A246" s="2" t="inlineStr">
        <is>
          <t xml:space="preserve">2025-10</t>
        </is>
      </c>
      <c r="B246" s="2">
        <v>2025</v>
      </c>
      <c r="C246" s="2">
        <v>10</v>
      </c>
      <c r="D246" s="2" t="inlineStr">
        <is>
          <t xml:space="preserve">Oct</t>
        </is>
      </c>
      <c r="E246" s="2" t="inlineStr">
        <is>
          <t xml:space="preserve">2025/26</t>
        </is>
      </c>
      <c r="F246" s="2">
        <v>4</v>
      </c>
      <c r="G246" s="9">
        <v>45931</v>
      </c>
      <c r="H246" s="9">
        <v>45961</v>
      </c>
      <c r="I246" s="2">
        <f>H246-G246+1</f>
        <v>31</v>
      </c>
      <c r="J246" s="2">
        <f>COUNTIF(Daily!$B$3:$B$7756,A246)</f>
        <v>31</v>
      </c>
      <c r="K246" s="2" t="str">
        <f>IF(J246=I246,"complete","partial ("&amp;J246&amp;" days)")</f>
        <v>complete</v>
      </c>
      <c r="L246" s="3">
        <f>INDEX(ENSO_monthly!$F:$F,MATCH(A246,ENSO_monthly!$A:$A,0))</f>
        <v>-0.57</v>
      </c>
      <c r="M246" s="2" t="str">
        <f>INDEX(ENSO_monthly!$D:$D,MATCH(A246,ENSO_monthly!$A:$A,0))</f>
        <v>SON</v>
      </c>
      <c r="N246" s="2" t="str">
        <f>INDEX(ENSO_monthly!$L:$L,MATCH(A246,ENSO_monthly!$A:$A,0))</f>
        <v>—</v>
      </c>
      <c r="O246" s="8" t="str">
        <f>INDEX(ENSO_seasons!$U:$U,MATCH(E246,ENSO_seasons!$A:$A,0))</f>
        <v>Neutral</v>
      </c>
      <c r="P246" s="4">
        <f>SUMIFS(Daily!$D$3:$D$7756,Daily!$B$3:$B$7756,$A246)</f>
        <v>205.294</v>
      </c>
      <c r="Q246" s="3">
        <f>AVERAGEIFS(Daily!$E$3:$E$7756,Daily!$B$3:$B$7756,$A246)</f>
        <v>21.337419354838712</v>
      </c>
      <c r="R246" s="3">
        <f>AVERAGEIFS(Daily!$F$3:$F$7756,Daily!$B$3:$B$7756,$A246)</f>
        <v>25.68096774193548</v>
      </c>
      <c r="S246" s="3">
        <f>AVERAGEIFS(Daily!$G$3:$G$7756,Daily!$B$3:$B$7756,$A246)</f>
        <v>18.215806451612906</v>
      </c>
      <c r="T246" s="4">
        <f>SUMIFS(Daily!$H$3:$H$7756,Daily!$B$3:$B$7756,$A246)</f>
        <v>220.68</v>
      </c>
      <c r="U246" s="4">
        <f>SUMIFS(Daily!$I$3:$I$7756,Daily!$B$3:$B$7756,$A246)</f>
        <v>175.359</v>
      </c>
      <c r="V246" s="3">
        <f>AVERAGEIFS(Daily!$J$3:$J$7756,Daily!$B$3:$B$7756,$A246)</f>
        <v>22.255806451612905</v>
      </c>
      <c r="W246" s="3">
        <f>AVERAGEIFS(Daily!$K$3:$K$7756,Daily!$B$3:$B$7756,$A246)</f>
        <v>26.80129032258065</v>
      </c>
      <c r="X246" s="3">
        <f>AVERAGEIFS(Daily!$L$3:$L$7756,Daily!$B$3:$B$7756,$A246)</f>
        <v>18.94709677419355</v>
      </c>
      <c r="Y246" s="4">
        <f>SUMIFS(Daily!$M$3:$M$7756,Daily!$B$3:$B$7756,$A246)</f>
        <v>138.34</v>
      </c>
      <c r="Z246" s="14">
        <v>190.62378777889464</v>
      </c>
      <c r="AA246" s="3">
        <f>AVERAGEIFS(Daily!$O$3:$O$7756,Daily!$B$3:$B$7756,$A246)</f>
        <v>22.47290322580645</v>
      </c>
      <c r="AB246" s="3">
        <f>AVERAGEIFS(Daily!$P$3:$P$7756,Daily!$B$3:$B$7756,$A246)</f>
        <v>26.976774193548383</v>
      </c>
      <c r="AC246" s="3">
        <f>AVERAGEIFS(Daily!$Q$3:$Q$7756,Daily!$B$3:$B$7756,$A246)</f>
        <v>19.47548387096774</v>
      </c>
      <c r="AD246" s="4">
        <f>SUMIFS(Daily!$R$3:$R$7756,Daily!$B$3:$B$7756,$A246)</f>
        <v>132.56</v>
      </c>
      <c r="AE246" s="4">
        <f>AVERAGE(P246,U246,Z246)</f>
        <v>190.42559592629823</v>
      </c>
      <c r="AF246" s="3">
        <f>AVERAGE(Q246,V246,AA246)</f>
        <v>22.022043010752686</v>
      </c>
      <c r="AG246" s="3">
        <f>AVERAGE(R246,W246,AB246)</f>
        <v>26.486344086021504</v>
      </c>
      <c r="AH246" s="3">
        <f>AVERAGE(S246,X246,AC246)</f>
        <v>18.879462365591397</v>
      </c>
      <c r="AI246" s="4">
        <f>AVERAGE(T246,Y246,AD246)</f>
        <v>163.85999999999999</v>
      </c>
    </row>
    <row r="247">
      <c r="A247" s="2" t="inlineStr">
        <is>
          <t xml:space="preserve">2025-11</t>
        </is>
      </c>
      <c r="B247" s="2">
        <v>2025</v>
      </c>
      <c r="C247" s="2">
        <v>11</v>
      </c>
      <c r="D247" s="2" t="inlineStr">
        <is>
          <t xml:space="preserve">Nov</t>
        </is>
      </c>
      <c r="E247" s="2" t="inlineStr">
        <is>
          <t xml:space="preserve">2025/26</t>
        </is>
      </c>
      <c r="F247" s="2">
        <v>5</v>
      </c>
      <c r="G247" s="9">
        <v>45962</v>
      </c>
      <c r="H247" s="9">
        <v>45991</v>
      </c>
      <c r="I247" s="2">
        <f>H247-G247+1</f>
        <v>30</v>
      </c>
      <c r="J247" s="2">
        <f>COUNTIF(Daily!$B$3:$B$7756,A247)</f>
        <v>30</v>
      </c>
      <c r="K247" s="2" t="str">
        <f>IF(J247=I247,"complete","partial ("&amp;J247&amp;" days)")</f>
        <v>complete</v>
      </c>
      <c r="L247" s="3">
        <f>INDEX(ENSO_monthly!$F:$F,MATCH(A247,ENSO_monthly!$A:$A,0))</f>
        <v>-0.61</v>
      </c>
      <c r="M247" s="2" t="str">
        <f>INDEX(ENSO_monthly!$D:$D,MATCH(A247,ENSO_monthly!$A:$A,0))</f>
        <v>OND</v>
      </c>
      <c r="N247" s="2" t="str">
        <f>INDEX(ENSO_monthly!$L:$L,MATCH(A247,ENSO_monthly!$A:$A,0))</f>
        <v>—</v>
      </c>
      <c r="O247" s="8" t="str">
        <f>INDEX(ENSO_seasons!$U:$U,MATCH(E247,ENSO_seasons!$A:$A,0))</f>
        <v>Neutral</v>
      </c>
      <c r="P247" s="4">
        <f>SUMIFS(Daily!$D$3:$D$7756,Daily!$B$3:$B$7756,$A247)</f>
        <v>13.56</v>
      </c>
      <c r="Q247" s="3">
        <f>AVERAGEIFS(Daily!$E$3:$E$7756,Daily!$B$3:$B$7756,$A247)</f>
        <v>20.172</v>
      </c>
      <c r="R247" s="3">
        <f>AVERAGEIFS(Daily!$F$3:$F$7756,Daily!$B$3:$B$7756,$A247)</f>
        <v>24.783666666666665</v>
      </c>
      <c r="S247" s="3">
        <f>AVERAGEIFS(Daily!$G$3:$G$7756,Daily!$B$3:$B$7756,$A247)</f>
        <v>16.82633333333333</v>
      </c>
      <c r="T247" s="4">
        <f>SUMIFS(Daily!$H$3:$H$7756,Daily!$B$3:$B$7756,$A247)</f>
        <v>57.34</v>
      </c>
      <c r="U247" s="4">
        <f>SUMIFS(Daily!$I$3:$I$7756,Daily!$B$3:$B$7756,$A247)</f>
        <v>31.532</v>
      </c>
      <c r="V247" s="3">
        <f>AVERAGEIFS(Daily!$J$3:$J$7756,Daily!$B$3:$B$7756,$A247)</f>
        <v>21.381333333333334</v>
      </c>
      <c r="W247" s="3">
        <f>AVERAGEIFS(Daily!$K$3:$K$7756,Daily!$B$3:$B$7756,$A247)</f>
        <v>26.82766666666667</v>
      </c>
      <c r="X247" s="3">
        <f>AVERAGEIFS(Daily!$L$3:$L$7756,Daily!$B$3:$B$7756,$A247)</f>
        <v>17.27466666666667</v>
      </c>
      <c r="Y247" s="4">
        <f>SUMIFS(Daily!$M$3:$M$7756,Daily!$B$3:$B$7756,$A247)</f>
        <v>33.44</v>
      </c>
      <c r="Z247" s="14">
        <v>36.89326717782988</v>
      </c>
      <c r="AA247" s="3">
        <f>AVERAGEIFS(Daily!$O$3:$O$7756,Daily!$B$3:$B$7756,$A247)</f>
        <v>21.063000000000002</v>
      </c>
      <c r="AB247" s="3">
        <f>AVERAGEIFS(Daily!$P$3:$P$7756,Daily!$B$3:$B$7756,$A247)</f>
        <v>25.629</v>
      </c>
      <c r="AC247" s="3">
        <f>AVERAGEIFS(Daily!$Q$3:$Q$7756,Daily!$B$3:$B$7756,$A247)</f>
        <v>17.886999999999997</v>
      </c>
      <c r="AD247" s="4">
        <f>SUMIFS(Daily!$R$3:$R$7756,Daily!$B$3:$B$7756,$A247)</f>
        <v>84.06</v>
      </c>
      <c r="AE247" s="4">
        <f>AVERAGE(P247,U247,Z247)</f>
        <v>27.328422392609962</v>
      </c>
      <c r="AF247" s="3">
        <f>AVERAGE(Q247,V247,AA247)</f>
        <v>20.872111111111114</v>
      </c>
      <c r="AG247" s="3">
        <f>AVERAGE(R247,W247,AB247)</f>
        <v>25.74677777777778</v>
      </c>
      <c r="AH247" s="3">
        <f>AVERAGE(S247,X247,AC247)</f>
        <v>17.329333333333334</v>
      </c>
      <c r="AI247" s="4">
        <f>AVERAGE(T247,Y247,AD247)</f>
        <v>58.28</v>
      </c>
    </row>
    <row r="248">
      <c r="A248" s="2" t="inlineStr">
        <is>
          <t xml:space="preserve">2025-12</t>
        </is>
      </c>
      <c r="B248" s="2">
        <v>2025</v>
      </c>
      <c r="C248" s="2">
        <v>12</v>
      </c>
      <c r="D248" s="2" t="inlineStr">
        <is>
          <t xml:space="preserve">Dec</t>
        </is>
      </c>
      <c r="E248" s="2" t="inlineStr">
        <is>
          <t xml:space="preserve">2025/26</t>
        </is>
      </c>
      <c r="F248" s="2">
        <v>6</v>
      </c>
      <c r="G248" s="9">
        <v>45992</v>
      </c>
      <c r="H248" s="9">
        <v>46022</v>
      </c>
      <c r="I248" s="2">
        <f>H248-G248+1</f>
        <v>31</v>
      </c>
      <c r="J248" s="2">
        <f>COUNTIF(Daily!$B$3:$B$7756,A248)</f>
        <v>31</v>
      </c>
      <c r="K248" s="2" t="str">
        <f>IF(J248=I248,"complete","partial ("&amp;J248&amp;" days)")</f>
        <v>complete</v>
      </c>
      <c r="L248" s="3">
        <f>INDEX(ENSO_monthly!$F:$F,MATCH(A248,ENSO_monthly!$A:$A,0))</f>
        <v>-0.6</v>
      </c>
      <c r="M248" s="2" t="str">
        <f>INDEX(ENSO_monthly!$D:$D,MATCH(A248,ENSO_monthly!$A:$A,0))</f>
        <v>NDJ</v>
      </c>
      <c r="N248" s="2" t="str">
        <f>INDEX(ENSO_monthly!$L:$L,MATCH(A248,ENSO_monthly!$A:$A,0))</f>
        <v>—</v>
      </c>
      <c r="O248" s="8" t="str">
        <f>INDEX(ENSO_seasons!$U:$U,MATCH(E248,ENSO_seasons!$A:$A,0))</f>
        <v>Neutral</v>
      </c>
      <c r="P248" s="4">
        <f>SUMIFS(Daily!$D$3:$D$7756,Daily!$B$3:$B$7756,$A248)</f>
        <v>27.79</v>
      </c>
      <c r="Q248" s="3">
        <f>AVERAGEIFS(Daily!$E$3:$E$7756,Daily!$B$3:$B$7756,$A248)</f>
        <v>19.831612903225796</v>
      </c>
      <c r="R248" s="3">
        <f>AVERAGEIFS(Daily!$F$3:$F$7756,Daily!$B$3:$B$7756,$A248)</f>
        <v>24.632258064516126</v>
      </c>
      <c r="S248" s="3">
        <f>AVERAGEIFS(Daily!$G$3:$G$7756,Daily!$B$3:$B$7756,$A248)</f>
        <v>16.26709677419355</v>
      </c>
      <c r="T248" s="4">
        <f>SUMIFS(Daily!$H$3:$H$7756,Daily!$B$3:$B$7756,$A248)</f>
        <v>48.55</v>
      </c>
      <c r="U248" s="4">
        <f>SUMIFS(Daily!$I$3:$I$7756,Daily!$B$3:$B$7756,$A248)</f>
        <v>16.486</v>
      </c>
      <c r="V248" s="3">
        <f>AVERAGEIFS(Daily!$J$3:$J$7756,Daily!$B$3:$B$7756,$A248)</f>
        <v>21.806774193548385</v>
      </c>
      <c r="W248" s="3">
        <f>AVERAGEIFS(Daily!$K$3:$K$7756,Daily!$B$3:$B$7756,$A248)</f>
        <v>27.831935483870964</v>
      </c>
      <c r="X248" s="3">
        <f>AVERAGEIFS(Daily!$L$3:$L$7756,Daily!$B$3:$B$7756,$A248)</f>
        <v>17.591290322580644</v>
      </c>
      <c r="Y248" s="4">
        <f>SUMIFS(Daily!$M$3:$M$7756,Daily!$B$3:$B$7756,$A248)</f>
        <v>30.81</v>
      </c>
      <c r="Z248" s="14">
        <v>62.13650251882041</v>
      </c>
      <c r="AA248" s="3">
        <f>AVERAGEIFS(Daily!$O$3:$O$7756,Daily!$B$3:$B$7756,$A248)</f>
        <v>21.145483870967738</v>
      </c>
      <c r="AB248" s="3">
        <f>AVERAGEIFS(Daily!$P$3:$P$7756,Daily!$B$3:$B$7756,$A248)</f>
        <v>25.988387096774193</v>
      </c>
      <c r="AC248" s="3">
        <f>AVERAGEIFS(Daily!$Q$3:$Q$7756,Daily!$B$3:$B$7756,$A248)</f>
        <v>18.030967741935484</v>
      </c>
      <c r="AD248" s="4">
        <f>SUMIFS(Daily!$R$3:$R$7756,Daily!$B$3:$B$7756,$A248)</f>
        <v>95.16</v>
      </c>
      <c r="AE248" s="4">
        <f>AVERAGE(P248,U248,Z248)</f>
        <v>35.47083417294014</v>
      </c>
      <c r="AF248" s="3">
        <f>AVERAGE(Q248,V248,AA248)</f>
        <v>20.927956989247306</v>
      </c>
      <c r="AG248" s="3">
        <f>AVERAGE(R248,W248,AB248)</f>
        <v>26.150860215053758</v>
      </c>
      <c r="AH248" s="3">
        <f>AVERAGE(S248,X248,AC248)</f>
        <v>17.296451612903226</v>
      </c>
      <c r="AI248" s="4">
        <f>AVERAGE(T248,Y248,AD248)</f>
        <v>58.173333333333325</v>
      </c>
    </row>
    <row r="249">
      <c r="A249" s="2" t="inlineStr">
        <is>
          <t xml:space="preserve">2026-01</t>
        </is>
      </c>
      <c r="B249" s="2">
        <v>2026</v>
      </c>
      <c r="C249" s="2">
        <v>1</v>
      </c>
      <c r="D249" s="2" t="inlineStr">
        <is>
          <t xml:space="preserve">Jan</t>
        </is>
      </c>
      <c r="E249" s="2" t="inlineStr">
        <is>
          <t xml:space="preserve">2025/26</t>
        </is>
      </c>
      <c r="F249" s="2">
        <v>7</v>
      </c>
      <c r="G249" s="9">
        <v>46023</v>
      </c>
      <c r="H249" s="9">
        <v>46053</v>
      </c>
      <c r="I249" s="2">
        <f>H249-G249+1</f>
        <v>31</v>
      </c>
      <c r="J249" s="2">
        <f>COUNTIF(Daily!$B$3:$B$7756,A249)</f>
        <v>31</v>
      </c>
      <c r="K249" s="2" t="str">
        <f>IF(J249=I249,"complete","partial ("&amp;J249&amp;" days)")</f>
        <v>complete</v>
      </c>
      <c r="L249" s="3">
        <f>INDEX(ENSO_monthly!$F:$F,MATCH(A249,ENSO_monthly!$A:$A,0))</f>
        <v>-0.39</v>
      </c>
      <c r="M249" s="2" t="str">
        <f>INDEX(ENSO_monthly!$D:$D,MATCH(A249,ENSO_monthly!$A:$A,0))</f>
        <v>DJF</v>
      </c>
      <c r="N249" s="2" t="str">
        <f>INDEX(ENSO_monthly!$L:$L,MATCH(A249,ENSO_monthly!$A:$A,0))</f>
        <v>—</v>
      </c>
      <c r="O249" s="8" t="str">
        <f>INDEX(ENSO_seasons!$U:$U,MATCH(E249,ENSO_seasons!$A:$A,0))</f>
        <v>Neutral</v>
      </c>
      <c r="P249" s="4">
        <f>SUMIFS(Daily!$D$3:$D$7756,Daily!$B$3:$B$7756,$A249)</f>
        <v>2.814</v>
      </c>
      <c r="Q249" s="3">
        <f>AVERAGEIFS(Daily!$E$3:$E$7756,Daily!$B$3:$B$7756,$A249)</f>
        <v>19.039032258064513</v>
      </c>
      <c r="R249" s="3">
        <f>AVERAGEIFS(Daily!$F$3:$F$7756,Daily!$B$3:$B$7756,$A249)</f>
        <v>24.882258064516133</v>
      </c>
      <c r="S249" s="3">
        <f>AVERAGEIFS(Daily!$G$3:$G$7756,Daily!$B$3:$B$7756,$A249)</f>
        <v>15.063225806451616</v>
      </c>
      <c r="T249" s="4">
        <f>SUMIFS(Daily!$H$3:$H$7756,Daily!$B$3:$B$7756,$A249)</f>
        <v>63.88</v>
      </c>
      <c r="U249" s="4">
        <f>SUMIFS(Daily!$I$3:$I$7756,Daily!$B$3:$B$7756,$A249)</f>
        <v>0.712</v>
      </c>
      <c r="V249" s="3">
        <f>AVERAGEIFS(Daily!$J$3:$J$7756,Daily!$B$3:$B$7756,$A249)</f>
        <v>20.564838709677424</v>
      </c>
      <c r="W249" s="3">
        <f>AVERAGEIFS(Daily!$K$3:$K$7756,Daily!$B$3:$B$7756,$A249)</f>
        <v>27.459999999999994</v>
      </c>
      <c r="X249" s="3">
        <f>AVERAGEIFS(Daily!$L$3:$L$7756,Daily!$B$3:$B$7756,$A249)</f>
        <v>15.779999999999996</v>
      </c>
      <c r="Y249" s="4">
        <f>SUMIFS(Daily!$M$3:$M$7756,Daily!$B$3:$B$7756,$A249)</f>
        <v>11.05</v>
      </c>
      <c r="Z249" s="14">
        <v>66.86466019149961</v>
      </c>
      <c r="AA249" s="3">
        <f>AVERAGEIFS(Daily!$O$3:$O$7756,Daily!$B$3:$B$7756,$A249)</f>
        <v>19.326451612903227</v>
      </c>
      <c r="AB249" s="3">
        <f>AVERAGEIFS(Daily!$P$3:$P$7756,Daily!$B$3:$B$7756,$A249)</f>
        <v>24.49677419354839</v>
      </c>
      <c r="AC249" s="3">
        <f>AVERAGEIFS(Daily!$Q$3:$Q$7756,Daily!$B$3:$B$7756,$A249)</f>
        <v>15.938387096774191</v>
      </c>
      <c r="AD249" s="4">
        <f>SUMIFS(Daily!$R$3:$R$7756,Daily!$B$3:$B$7756,$A249)</f>
        <v>104.17</v>
      </c>
      <c r="AE249" s="4">
        <f>AVERAGE(P249,U249,Z249)</f>
        <v>23.463553397166535</v>
      </c>
      <c r="AF249" s="3">
        <f>AVERAGE(Q249,V249,AA249)</f>
        <v>19.643440860215055</v>
      </c>
      <c r="AG249" s="3">
        <f>AVERAGE(R249,W249,AB249)</f>
        <v>25.613010752688172</v>
      </c>
      <c r="AH249" s="3">
        <f>AVERAGE(S249,X249,AC249)</f>
        <v>15.593870967741935</v>
      </c>
      <c r="AI249" s="4">
        <f>AVERAGE(T249,Y249,AD249)</f>
        <v>59.70000000000001</v>
      </c>
    </row>
    <row r="250">
      <c r="A250" s="2" t="inlineStr">
        <is>
          <t xml:space="preserve">2026-02</t>
        </is>
      </c>
      <c r="B250" s="2">
        <v>2026</v>
      </c>
      <c r="C250" s="2">
        <v>2</v>
      </c>
      <c r="D250" s="2" t="inlineStr">
        <is>
          <t xml:space="preserve">Feb</t>
        </is>
      </c>
      <c r="E250" s="2" t="inlineStr">
        <is>
          <t xml:space="preserve">2025/26</t>
        </is>
      </c>
      <c r="F250" s="2">
        <v>8</v>
      </c>
      <c r="G250" s="9">
        <v>46054</v>
      </c>
      <c r="H250" s="9">
        <v>46081</v>
      </c>
      <c r="I250" s="2">
        <f>H250-G250+1</f>
        <v>28</v>
      </c>
      <c r="J250" s="2">
        <f>COUNTIF(Daily!$B$3:$B$7756,A250)</f>
        <v>28</v>
      </c>
      <c r="K250" s="2" t="str">
        <f>IF(J250=I250,"complete","partial ("&amp;J250&amp;" days)")</f>
        <v>complete</v>
      </c>
      <c r="L250" s="3">
        <f>INDEX(ENSO_monthly!$F:$F,MATCH(A250,ENSO_monthly!$A:$A,0))</f>
        <v>-0.21</v>
      </c>
      <c r="M250" s="2" t="str">
        <f>INDEX(ENSO_monthly!$D:$D,MATCH(A250,ENSO_monthly!$A:$A,0))</f>
        <v>JFM</v>
      </c>
      <c r="N250" s="2" t="str">
        <f>INDEX(ENSO_monthly!$L:$L,MATCH(A250,ENSO_monthly!$A:$A,0))</f>
        <v>—</v>
      </c>
      <c r="O250" s="8" t="str">
        <f>INDEX(ENSO_seasons!$U:$U,MATCH(E250,ENSO_seasons!$A:$A,0))</f>
        <v>Neutral</v>
      </c>
      <c r="P250" s="4">
        <f>SUMIFS(Daily!$D$3:$D$7756,Daily!$B$3:$B$7756,$A250)</f>
        <v>1.769</v>
      </c>
      <c r="Q250" s="3">
        <f>AVERAGEIFS(Daily!$E$3:$E$7756,Daily!$B$3:$B$7756,$A250)</f>
        <v>18.859285714285722</v>
      </c>
      <c r="R250" s="3">
        <f>AVERAGEIFS(Daily!$F$3:$F$7756,Daily!$B$3:$B$7756,$A250)</f>
        <v>25.951071428571435</v>
      </c>
      <c r="S250" s="3">
        <f>AVERAGEIFS(Daily!$G$3:$G$7756,Daily!$B$3:$B$7756,$A250)</f>
        <v>13.460714285714284</v>
      </c>
      <c r="T250" s="4">
        <f>SUMIFS(Daily!$H$3:$H$7756,Daily!$B$3:$B$7756,$A250)</f>
        <v>20.01</v>
      </c>
      <c r="U250" s="4">
        <f>SUMIFS(Daily!$I$3:$I$7756,Daily!$B$3:$B$7756,$A250)</f>
        <v>0.631</v>
      </c>
      <c r="V250" s="3">
        <f>AVERAGEIFS(Daily!$J$3:$J$7756,Daily!$B$3:$B$7756,$A250)</f>
        <v>20.347857142857144</v>
      </c>
      <c r="W250" s="3">
        <f>AVERAGEIFS(Daily!$K$3:$K$7756,Daily!$B$3:$B$7756,$A250)</f>
        <v>28.171785714285708</v>
      </c>
      <c r="X250" s="3">
        <f>AVERAGEIFS(Daily!$L$3:$L$7756,Daily!$B$3:$B$7756,$A250)</f>
        <v>14.568214285714287</v>
      </c>
      <c r="Y250" s="4">
        <f>SUMIFS(Daily!$M$3:$M$7756,Daily!$B$3:$B$7756,$A250)</f>
        <v>6.54</v>
      </c>
      <c r="Z250" s="14">
        <v>27.82389938070612</v>
      </c>
      <c r="AA250" s="3">
        <f>AVERAGEIFS(Daily!$O$3:$O$7756,Daily!$B$3:$B$7756,$A250)</f>
        <v>19.017499999999995</v>
      </c>
      <c r="AB250" s="3">
        <f>AVERAGEIFS(Daily!$P$3:$P$7756,Daily!$B$3:$B$7756,$A250)</f>
        <v>24.982142857142858</v>
      </c>
      <c r="AC250" s="3">
        <f>AVERAGEIFS(Daily!$Q$3:$Q$7756,Daily!$B$3:$B$7756,$A250)</f>
        <v>14.480714285714285</v>
      </c>
      <c r="AD250" s="4">
        <f>SUMIFS(Daily!$R$3:$R$7756,Daily!$B$3:$B$7756,$A250)</f>
        <v>46.73</v>
      </c>
      <c r="AE250" s="4">
        <f>AVERAGE(P250,U250,Z250)</f>
        <v>10.07463312690204</v>
      </c>
      <c r="AF250" s="3">
        <f>AVERAGE(Q250,V250,AA250)</f>
        <v>19.40821428571429</v>
      </c>
      <c r="AG250" s="3">
        <f>AVERAGE(R250,W250,AB250)</f>
        <v>26.368333333333336</v>
      </c>
      <c r="AH250" s="3">
        <f>AVERAGE(S250,X250,AC250)</f>
        <v>14.169880952380952</v>
      </c>
      <c r="AI250" s="4">
        <f>AVERAGE(T250,Y250,AD250)</f>
        <v>24.426666666666666</v>
      </c>
    </row>
    <row r="251">
      <c r="A251" s="2" t="inlineStr">
        <is>
          <t xml:space="preserve">2026-03</t>
        </is>
      </c>
      <c r="B251" s="2">
        <v>2026</v>
      </c>
      <c r="C251" s="2">
        <v>3</v>
      </c>
      <c r="D251" s="2" t="inlineStr">
        <is>
          <t xml:space="preserve">Mar</t>
        </is>
      </c>
      <c r="E251" s="2" t="inlineStr">
        <is>
          <t xml:space="preserve">2025/26</t>
        </is>
      </c>
      <c r="F251" s="2">
        <v>9</v>
      </c>
      <c r="G251" s="9">
        <v>46082</v>
      </c>
      <c r="H251" s="9">
        <v>46112</v>
      </c>
      <c r="I251" s="2">
        <f>H251-G251+1</f>
        <v>31</v>
      </c>
      <c r="J251" s="2">
        <f>COUNTIF(Daily!$B$3:$B$7756,A251)</f>
        <v>31</v>
      </c>
      <c r="K251" s="2" t="str">
        <f>IF(J251=I251,"complete","partial ("&amp;J251&amp;" days)")</f>
        <v>complete</v>
      </c>
      <c r="L251" s="3">
        <f>INDEX(ENSO_monthly!$F:$F,MATCH(A251,ENSO_monthly!$A:$A,0))</f>
        <v>0.11</v>
      </c>
      <c r="M251" s="2" t="str">
        <f>INDEX(ENSO_monthly!$D:$D,MATCH(A251,ENSO_monthly!$A:$A,0))</f>
        <v>FMA</v>
      </c>
      <c r="N251" s="2" t="str">
        <f>INDEX(ENSO_monthly!$L:$L,MATCH(A251,ENSO_monthly!$A:$A,0))</f>
        <v>—</v>
      </c>
      <c r="O251" s="8" t="str">
        <f>INDEX(ENSO_seasons!$U:$U,MATCH(E251,ENSO_seasons!$A:$A,0))</f>
        <v>Neutral</v>
      </c>
      <c r="P251" s="4">
        <f>SUMIFS(Daily!$D$3:$D$7756,Daily!$B$3:$B$7756,$A251)</f>
        <v>61.738</v>
      </c>
      <c r="Q251" s="3">
        <f>AVERAGEIFS(Daily!$E$3:$E$7756,Daily!$B$3:$B$7756,$A251)</f>
        <v>21.568387096774195</v>
      </c>
      <c r="R251" s="3">
        <f>AVERAGEIFS(Daily!$F$3:$F$7756,Daily!$B$3:$B$7756,$A251)</f>
        <v>28.608709677419355</v>
      </c>
      <c r="S251" s="3">
        <f>AVERAGEIFS(Daily!$G$3:$G$7756,Daily!$B$3:$B$7756,$A251)</f>
        <v>16.347741935483867</v>
      </c>
      <c r="T251" s="4">
        <f>SUMIFS(Daily!$H$3:$H$7756,Daily!$B$3:$B$7756,$A251)</f>
        <v>130.29</v>
      </c>
      <c r="U251" s="4">
        <f>SUMIFS(Daily!$I$3:$I$7756,Daily!$B$3:$B$7756,$A251)</f>
        <v>16.414</v>
      </c>
      <c r="V251" s="3">
        <f>AVERAGEIFS(Daily!$J$3:$J$7756,Daily!$B$3:$B$7756,$A251)</f>
        <v>23.274838709677418</v>
      </c>
      <c r="W251" s="3">
        <f>AVERAGEIFS(Daily!$K$3:$K$7756,Daily!$B$3:$B$7756,$A251)</f>
        <v>31.009677419354833</v>
      </c>
      <c r="X251" s="3">
        <f>AVERAGEIFS(Daily!$L$3:$L$7756,Daily!$B$3:$B$7756,$A251)</f>
        <v>17.653870967741938</v>
      </c>
      <c r="Y251" s="4">
        <f>SUMIFS(Daily!$M$3:$M$7756,Daily!$B$3:$B$7756,$A251)</f>
        <v>26.92</v>
      </c>
      <c r="Z251" s="14">
        <v>34.19836996904024</v>
      </c>
      <c r="AA251" s="3">
        <f>AVERAGEIFS(Daily!$O$3:$O$7756,Daily!$B$3:$B$7756,$A251)</f>
        <v>21.511612903225807</v>
      </c>
      <c r="AB251" s="3">
        <f>AVERAGEIFS(Daily!$P$3:$P$7756,Daily!$B$3:$B$7756,$A251)</f>
        <v>27.602903225806454</v>
      </c>
      <c r="AC251" s="3">
        <f>AVERAGEIFS(Daily!$Q$3:$Q$7756,Daily!$B$3:$B$7756,$A251)</f>
        <v>17.364516129032257</v>
      </c>
      <c r="AD251" s="4">
        <f>SUMIFS(Daily!$R$3:$R$7756,Daily!$B$3:$B$7756,$A251)</f>
        <v>110.52</v>
      </c>
      <c r="AE251" s="4">
        <f>AVERAGE(P251,U251,Z251)</f>
        <v>37.450123323013415</v>
      </c>
      <c r="AF251" s="3">
        <f>AVERAGE(Q251,V251,AA251)</f>
        <v>22.118279569892476</v>
      </c>
      <c r="AG251" s="3">
        <f>AVERAGE(R251,W251,AB251)</f>
        <v>29.073763440860215</v>
      </c>
      <c r="AH251" s="3">
        <f>AVERAGE(S251,X251,AC251)</f>
        <v>17.122043010752687</v>
      </c>
      <c r="AI251" s="4">
        <f>AVERAGE(T251,Y251,AD251)</f>
        <v>89.24333333333333</v>
      </c>
    </row>
    <row r="252">
      <c r="A252" s="2" t="inlineStr">
        <is>
          <t xml:space="preserve">2026-04</t>
        </is>
      </c>
      <c r="B252" s="2">
        <v>2026</v>
      </c>
      <c r="C252" s="2">
        <v>4</v>
      </c>
      <c r="D252" s="2" t="inlineStr">
        <is>
          <t xml:space="preserve">Apr</t>
        </is>
      </c>
      <c r="E252" s="2" t="inlineStr">
        <is>
          <t xml:space="preserve">2025/26</t>
        </is>
      </c>
      <c r="F252" s="2">
        <v>10</v>
      </c>
      <c r="G252" s="9">
        <v>46113</v>
      </c>
      <c r="H252" s="9">
        <v>46142</v>
      </c>
      <c r="I252" s="2">
        <f>H252-G252+1</f>
        <v>30</v>
      </c>
      <c r="J252" s="2">
        <f>COUNTIF(Daily!$B$3:$B$7756,A252)</f>
        <v>30</v>
      </c>
      <c r="K252" s="2" t="str">
        <f>IF(J252=I252,"complete","partial ("&amp;J252&amp;" days)")</f>
        <v>complete</v>
      </c>
      <c r="L252" s="3">
        <f>INDEX(ENSO_monthly!$F:$F,MATCH(A252,ENSO_monthly!$A:$A,0))</f>
        <v>0.46</v>
      </c>
      <c r="M252" s="2" t="str">
        <f>INDEX(ENSO_monthly!$D:$D,MATCH(A252,ENSO_monthly!$A:$A,0))</f>
        <v>MAM</v>
      </c>
      <c r="N252" s="6" t="str">
        <f>INDEX(ENSO_monthly!$L:$L,MATCH(A252,ENSO_monthly!$A:$A,0))</f>
        <v>El Niño (ongoing)</v>
      </c>
      <c r="O252" s="8" t="str">
        <f>INDEX(ENSO_seasons!$U:$U,MATCH(E252,ENSO_seasons!$A:$A,0))</f>
        <v>Neutral</v>
      </c>
      <c r="P252" s="4">
        <f>SUMIFS(Daily!$D$3:$D$7756,Daily!$B$3:$B$7756,$A252)</f>
        <v>550.337</v>
      </c>
      <c r="Q252" s="3">
        <f>AVERAGEIFS(Daily!$E$3:$E$7756,Daily!$B$3:$B$7756,$A252)</f>
        <v>21.735000000000003</v>
      </c>
      <c r="R252" s="3">
        <f>AVERAGEIFS(Daily!$F$3:$F$7756,Daily!$B$3:$B$7756,$A252)</f>
        <v>27.306333333333335</v>
      </c>
      <c r="S252" s="3">
        <f>AVERAGEIFS(Daily!$G$3:$G$7756,Daily!$B$3:$B$7756,$A252)</f>
        <v>17.445333333333338</v>
      </c>
      <c r="T252" s="4">
        <f>SUMIFS(Daily!$H$3:$H$7756,Daily!$B$3:$B$7756,$A252)</f>
        <v>362.55</v>
      </c>
      <c r="U252" s="4">
        <f>SUMIFS(Daily!$I$3:$I$7756,Daily!$B$3:$B$7756,$A252)</f>
        <v>63.316</v>
      </c>
      <c r="V252" s="3">
        <f>AVERAGEIFS(Daily!$J$3:$J$7756,Daily!$B$3:$B$7756,$A252)</f>
        <v>24.628666666666668</v>
      </c>
      <c r="W252" s="3">
        <f>AVERAGEIFS(Daily!$K$3:$K$7756,Daily!$B$3:$B$7756,$A252)</f>
        <v>32.03833333333333</v>
      </c>
      <c r="X252" s="3">
        <f>AVERAGEIFS(Daily!$L$3:$L$7756,Daily!$B$3:$B$7756,$A252)</f>
        <v>18.791</v>
      </c>
      <c r="Y252" s="4">
        <f>SUMIFS(Daily!$M$3:$M$7756,Daily!$B$3:$B$7756,$A252)</f>
        <v>58.69</v>
      </c>
      <c r="Z252" s="14">
        <v>56.78474636425483</v>
      </c>
      <c r="AA252" s="3">
        <f>AVERAGEIFS(Daily!$O$3:$O$7756,Daily!$B$3:$B$7756,$A252)</f>
        <v>23.073999999999998</v>
      </c>
      <c r="AB252" s="3">
        <f>AVERAGEIFS(Daily!$P$3:$P$7756,Daily!$B$3:$B$7756,$A252)</f>
        <v>29.221</v>
      </c>
      <c r="AC252" s="3">
        <f>AVERAGEIFS(Daily!$Q$3:$Q$7756,Daily!$B$3:$B$7756,$A252)</f>
        <v>18.54933333333333</v>
      </c>
      <c r="AD252" s="4">
        <f>SUMIFS(Daily!$R$3:$R$7756,Daily!$B$3:$B$7756,$A252)</f>
        <v>119.66</v>
      </c>
      <c r="AE252" s="4">
        <f>AVERAGE(P252,U252,Z252)</f>
        <v>223.47924878808496</v>
      </c>
      <c r="AF252" s="3">
        <f>AVERAGE(Q252,V252,AA252)</f>
        <v>23.14588888888889</v>
      </c>
      <c r="AG252" s="3">
        <f>AVERAGE(R252,W252,AB252)</f>
        <v>29.521888888888885</v>
      </c>
      <c r="AH252" s="3">
        <f>AVERAGE(S252,X252,AC252)</f>
        <v>18.261888888888887</v>
      </c>
      <c r="AI252" s="4">
        <f>AVERAGE(T252,Y252,AD252)</f>
        <v>180.29999999999998</v>
      </c>
    </row>
    <row r="253">
      <c r="A253" s="2" t="inlineStr">
        <is>
          <t xml:space="preserve">2026-05</t>
        </is>
      </c>
      <c r="B253" s="2">
        <v>2026</v>
      </c>
      <c r="C253" s="2">
        <v>5</v>
      </c>
      <c r="D253" s="2" t="inlineStr">
        <is>
          <t xml:space="preserve">May</t>
        </is>
      </c>
      <c r="E253" s="2" t="inlineStr">
        <is>
          <t xml:space="preserve">2025/26</t>
        </is>
      </c>
      <c r="F253" s="2">
        <v>11</v>
      </c>
      <c r="G253" s="9">
        <v>46143</v>
      </c>
      <c r="H253" s="9">
        <v>46173</v>
      </c>
      <c r="I253" s="2">
        <f>H253-G253+1</f>
        <v>31</v>
      </c>
      <c r="J253" s="2">
        <f>COUNTIF(Daily!$B$3:$B$7756,A253)</f>
        <v>31</v>
      </c>
      <c r="K253" s="2" t="str">
        <f>IF(J253=I253,"complete","partial ("&amp;J253&amp;" days)")</f>
        <v>complete</v>
      </c>
      <c r="L253" s="3">
        <f>INDEX(ENSO_monthly!$F:$F,MATCH(A253,ENSO_monthly!$A:$A,0))</f>
        <v>0.95</v>
      </c>
      <c r="M253" s="2" t="str">
        <f>INDEX(ENSO_monthly!$D:$D,MATCH(A253,ENSO_monthly!$A:$A,0))</f>
        <v>AMJ</v>
      </c>
      <c r="N253" s="6" t="str">
        <f>INDEX(ENSO_monthly!$L:$L,MATCH(A253,ENSO_monthly!$A:$A,0))</f>
        <v>El Niño (ongoing)</v>
      </c>
      <c r="O253" s="8" t="str">
        <f>INDEX(ENSO_seasons!$U:$U,MATCH(E253,ENSO_seasons!$A:$A,0))</f>
        <v>Neutral</v>
      </c>
      <c r="P253" s="4">
        <f>SUMIFS(Daily!$D$3:$D$7756,Daily!$B$3:$B$7756,$A253)</f>
        <v>113.955</v>
      </c>
      <c r="Q253" s="3">
        <f>AVERAGEIFS(Daily!$E$3:$E$7756,Daily!$B$3:$B$7756,$A253)</f>
        <v>24.451935483870965</v>
      </c>
      <c r="R253" s="3">
        <f>AVERAGEIFS(Daily!$F$3:$F$7756,Daily!$B$3:$B$7756,$A253)</f>
        <v>30.635806451612908</v>
      </c>
      <c r="S253" s="3">
        <f>AVERAGEIFS(Daily!$G$3:$G$7756,Daily!$B$3:$B$7756,$A253)</f>
        <v>19.251612903225812</v>
      </c>
      <c r="T253" s="4">
        <f>SUMIFS(Daily!$H$3:$H$7756,Daily!$B$3:$B$7756,$A253)</f>
        <v>82.85</v>
      </c>
      <c r="U253" s="4">
        <f>SUMIFS(Daily!$I$3:$I$7756,Daily!$B$3:$B$7756,$A253)</f>
        <v>61.715</v>
      </c>
      <c r="V253" s="3">
        <f>AVERAGEIFS(Daily!$J$3:$J$7756,Daily!$B$3:$B$7756,$A253)</f>
        <v>26.831935483870964</v>
      </c>
      <c r="W253" s="3">
        <f>AVERAGEIFS(Daily!$K$3:$K$7756,Daily!$B$3:$B$7756,$A253)</f>
        <v>33.84935483870967</v>
      </c>
      <c r="X253" s="3">
        <f>AVERAGEIFS(Daily!$L$3:$L$7756,Daily!$B$3:$B$7756,$A253)</f>
        <v>21.225806451612907</v>
      </c>
      <c r="Y253" s="4">
        <f>SUMIFS(Daily!$M$3:$M$7756,Daily!$B$3:$B$7756,$A253)</f>
        <v>64.11</v>
      </c>
      <c r="Z253" s="14">
        <v>112.48179429580358</v>
      </c>
      <c r="AA253" s="3">
        <f>AVERAGEIFS(Daily!$O$3:$O$7756,Daily!$B$3:$B$7756,$A253)</f>
        <v>25.889032258064518</v>
      </c>
      <c r="AB253" s="3">
        <f>AVERAGEIFS(Daily!$P$3:$P$7756,Daily!$B$3:$B$7756,$A253)</f>
        <v>32.623870967741944</v>
      </c>
      <c r="AC253" s="3">
        <f>AVERAGEIFS(Daily!$Q$3:$Q$7756,Daily!$B$3:$B$7756,$A253)</f>
        <v>20.943870967741937</v>
      </c>
      <c r="AD253" s="4">
        <f>SUMIFS(Daily!$R$3:$R$7756,Daily!$B$3:$B$7756,$A253)</f>
        <v>72.38</v>
      </c>
      <c r="AE253" s="4">
        <f>AVERAGE(P253,U253,Z253)</f>
        <v>96.0505980986012</v>
      </c>
      <c r="AF253" s="3">
        <f>AVERAGE(Q253,V253,AA253)</f>
        <v>25.724301075268816</v>
      </c>
      <c r="AG253" s="3">
        <f>AVERAGE(R253,W253,AB253)</f>
        <v>32.36967741935484</v>
      </c>
      <c r="AH253" s="3">
        <f>AVERAGE(S253,X253,AC253)</f>
        <v>20.473763440860218</v>
      </c>
      <c r="AI253" s="4">
        <f>AVERAGE(T253,Y253,AD253)</f>
        <v>73.11333333333333</v>
      </c>
    </row>
    <row r="254">
      <c r="A254" s="2" t="inlineStr">
        <is>
          <t xml:space="preserve">2026-06</t>
        </is>
      </c>
      <c r="B254" s="2">
        <v>2026</v>
      </c>
      <c r="C254" s="2">
        <v>6</v>
      </c>
      <c r="D254" s="2" t="inlineStr">
        <is>
          <t xml:space="preserve">Jun</t>
        </is>
      </c>
      <c r="E254" s="2" t="inlineStr">
        <is>
          <t xml:space="preserve">2025/26</t>
        </is>
      </c>
      <c r="F254" s="2">
        <v>12</v>
      </c>
      <c r="G254" s="9">
        <v>46174</v>
      </c>
      <c r="H254" s="9">
        <v>46203</v>
      </c>
      <c r="I254" s="2">
        <f>H254-G254+1</f>
        <v>30</v>
      </c>
      <c r="J254" s="2">
        <f>COUNTIF(Daily!$B$3:$B$7756,A254)</f>
        <v>30</v>
      </c>
      <c r="K254" s="2" t="str">
        <f>IF(J254=I254,"complete","partial ("&amp;J254&amp;" days)")</f>
        <v>complete</v>
      </c>
      <c r="L254" s="3">
        <f>INDEX(ENSO_monthly!$F:$F,MATCH(A254,ENSO_monthly!$A:$A,0))</f>
        <v>1.39</v>
      </c>
      <c r="M254" s="2" t="str">
        <f>INDEX(ENSO_monthly!$D:$D,MATCH(A254,ENSO_monthly!$A:$A,0))</f>
        <v>MJJ</v>
      </c>
      <c r="N254" s="6" t="str">
        <f>INDEX(ENSO_monthly!$L:$L,MATCH(A254,ENSO_monthly!$A:$A,0))</f>
        <v>El Niño (ongoing)</v>
      </c>
      <c r="O254" s="8" t="str">
        <f>INDEX(ENSO_seasons!$U:$U,MATCH(E254,ENSO_seasons!$A:$A,0))</f>
        <v>Neutral</v>
      </c>
      <c r="P254" s="4">
        <f>SUMIFS(Daily!$D$3:$D$7756,Daily!$B$3:$B$7756,$A254)</f>
        <v>181.884</v>
      </c>
      <c r="Q254" s="3">
        <f>AVERAGEIFS(Daily!$E$3:$E$7756,Daily!$B$3:$B$7756,$A254)</f>
        <v>23.448666666666664</v>
      </c>
      <c r="R254" s="3">
        <f>AVERAGEIFS(Daily!$F$3:$F$7756,Daily!$B$3:$B$7756,$A254)</f>
        <v>28.612666666666662</v>
      </c>
      <c r="S254" s="3">
        <f>AVERAGEIFS(Daily!$G$3:$G$7756,Daily!$B$3:$B$7756,$A254)</f>
        <v>19.296666666666667</v>
      </c>
      <c r="T254" s="4">
        <f>SUMIFS(Daily!$H$3:$H$7756,Daily!$B$3:$B$7756,$A254)</f>
        <v>129.7</v>
      </c>
      <c r="U254" s="4">
        <f>SUMIFS(Daily!$I$3:$I$7756,Daily!$B$3:$B$7756,$A254)</f>
        <v>72.205</v>
      </c>
      <c r="V254" s="3">
        <f>AVERAGEIFS(Daily!$J$3:$J$7756,Daily!$B$3:$B$7756,$A254)</f>
        <v>24.825666666666667</v>
      </c>
      <c r="W254" s="3">
        <f>AVERAGEIFS(Daily!$K$3:$K$7756,Daily!$B$3:$B$7756,$A254)</f>
        <v>30.132666666666672</v>
      </c>
      <c r="X254" s="3">
        <f>AVERAGEIFS(Daily!$L$3:$L$7756,Daily!$B$3:$B$7756,$A254)</f>
        <v>20.87433333333333</v>
      </c>
      <c r="Y254" s="4">
        <f>SUMIFS(Daily!$M$3:$M$7756,Daily!$B$3:$B$7756,$A254)</f>
        <v>79.23</v>
      </c>
      <c r="Z254" s="14">
        <v>192.28628245609397</v>
      </c>
      <c r="AA254" s="3">
        <f>AVERAGEIFS(Daily!$O$3:$O$7756,Daily!$B$3:$B$7756,$A254)</f>
        <v>24.60166666666667</v>
      </c>
      <c r="AB254" s="3">
        <f>AVERAGEIFS(Daily!$P$3:$P$7756,Daily!$B$3:$B$7756,$A254)</f>
        <v>29.49599999999999</v>
      </c>
      <c r="AC254" s="3">
        <f>AVERAGEIFS(Daily!$Q$3:$Q$7756,Daily!$B$3:$B$7756,$A254)</f>
        <v>21.322</v>
      </c>
      <c r="AD254" s="4">
        <f>SUMIFS(Daily!$R$3:$R$7756,Daily!$B$3:$B$7756,$A254)</f>
        <v>97.1</v>
      </c>
      <c r="AE254" s="4">
        <f>AVERAGE(P254,U254,Z254)</f>
        <v>148.79176081869798</v>
      </c>
      <c r="AF254" s="3">
        <f>AVERAGE(Q254,V254,AA254)</f>
        <v>24.292</v>
      </c>
      <c r="AG254" s="3">
        <f>AVERAGE(R254,W254,AB254)</f>
        <v>29.413777777777778</v>
      </c>
      <c r="AH254" s="3">
        <f>AVERAGE(S254,X254,AC254)</f>
        <v>20.497666666666664</v>
      </c>
      <c r="AI254" s="4">
        <f>AVERAGE(T254,Y254,AD254)</f>
        <v>102.00999999999999</v>
      </c>
    </row>
    <row r="255">
      <c r="A255" s="2" t="inlineStr">
        <is>
          <t xml:space="preserve">2026-07</t>
        </is>
      </c>
      <c r="B255" s="2">
        <v>2026</v>
      </c>
      <c r="C255" s="2">
        <v>7</v>
      </c>
      <c r="D255" s="2" t="inlineStr">
        <is>
          <t xml:space="preserve">Jul</t>
        </is>
      </c>
      <c r="E255" s="2" t="inlineStr">
        <is>
          <t xml:space="preserve">2026/27</t>
        </is>
      </c>
      <c r="F255" s="2">
        <v>1</v>
      </c>
      <c r="G255" s="9">
        <v>46204</v>
      </c>
      <c r="H255" s="9">
        <v>46234</v>
      </c>
      <c r="I255" s="2">
        <f>H255-G255+1</f>
        <v>31</v>
      </c>
      <c r="J255" s="2">
        <f>COUNTIF(Daily!$B$3:$B$7756,A255)</f>
        <v>31</v>
      </c>
      <c r="K255" s="2" t="str">
        <f>IF(J255=I255,"complete","partial ("&amp;J255&amp;" days)")</f>
        <v>complete</v>
      </c>
      <c r="L255" s="3">
        <f>INDEX(ENSO_monthly!$F:$F,MATCH(A255,ENSO_monthly!$A:$A,0))</f>
        <v>1.8</v>
      </c>
      <c r="M255" s="2" t="str">
        <f>INDEX(ENSO_monthly!$D:$D,MATCH(A255,ENSO_monthly!$A:$A,0))</f>
        <v>JJA</v>
      </c>
      <c r="N255" s="6" t="str">
        <f>INDEX(ENSO_monthly!$L:$L,MATCH(A255,ENSO_monthly!$A:$A,0))</f>
        <v>El Niño (ongoing)</v>
      </c>
      <c r="O255" s="11" t="str">
        <f>INDEX(ENSO_seasons!$U:$U,MATCH(E255,ENSO_seasons!$A:$A,0))</f>
        <v>El Niño</v>
      </c>
      <c r="P255" s="4">
        <f>SUMIFS(Daily!$D$3:$D$7756,Daily!$B$3:$B$7756,$A255)</f>
        <v>75.997</v>
      </c>
      <c r="Q255" s="3">
        <f>AVERAGEIFS(Daily!$E$3:$E$7756,Daily!$B$3:$B$7756,$A255)</f>
        <v>23.52258064516129</v>
      </c>
      <c r="R255" s="3">
        <f>AVERAGEIFS(Daily!$F$3:$F$7756,Daily!$B$3:$B$7756,$A255)</f>
        <v>29.850645161290327</v>
      </c>
      <c r="S255" s="3">
        <f>AVERAGEIFS(Daily!$G$3:$G$7756,Daily!$B$3:$B$7756,$A255)</f>
        <v>18.458709677419357</v>
      </c>
      <c r="T255" s="4">
        <f>SUMIFS(Daily!$H$3:$H$7756,Daily!$B$3:$B$7756,$A255)</f>
        <v>60.49</v>
      </c>
      <c r="U255" s="4">
        <f>SUMIFS(Daily!$I$3:$I$7756,Daily!$B$3:$B$7756,$A255)</f>
        <v>47.519</v>
      </c>
      <c r="V255" s="3">
        <f>AVERAGEIFS(Daily!$J$3:$J$7756,Daily!$B$3:$B$7756,$A255)</f>
        <v>25.486774193548385</v>
      </c>
      <c r="W255" s="3">
        <f>AVERAGEIFS(Daily!$K$3:$K$7756,Daily!$B$3:$B$7756,$A255)</f>
        <v>32.031612903225806</v>
      </c>
      <c r="X255" s="3">
        <f>AVERAGEIFS(Daily!$L$3:$L$7756,Daily!$B$3:$B$7756,$A255)</f>
        <v>20.56387096774194</v>
      </c>
      <c r="Y255" s="4">
        <f>SUMIFS(Daily!$M$3:$M$7756,Daily!$B$3:$B$7756,$A255)</f>
        <v>45.45</v>
      </c>
      <c r="Z255" s="14">
        <v>123.82579592128445</v>
      </c>
      <c r="AA255" s="3">
        <f>AVERAGEIFS(Daily!$O$3:$O$7756,Daily!$B$3:$B$7756,$A255)</f>
        <v>24.821935483870966</v>
      </c>
      <c r="AB255" s="3">
        <f>AVERAGEIFS(Daily!$P$3:$P$7756,Daily!$B$3:$B$7756,$A255)</f>
        <v>30.810322580645153</v>
      </c>
      <c r="AC255" s="3">
        <f>AVERAGEIFS(Daily!$Q$3:$Q$7756,Daily!$B$3:$B$7756,$A255)</f>
        <v>20.867096774193552</v>
      </c>
      <c r="AD255" s="4">
        <f>SUMIFS(Daily!$R$3:$R$7756,Daily!$B$3:$B$7756,$A255)</f>
        <v>43.13</v>
      </c>
      <c r="AE255" s="4">
        <f>AVERAGE(P255,U255,Z255)</f>
        <v>82.44726530709481</v>
      </c>
      <c r="AF255" s="3">
        <f>AVERAGE(Q255,V255,AA255)</f>
        <v>24.61043010752688</v>
      </c>
      <c r="AG255" s="3">
        <f>AVERAGE(R255,W255,AB255)</f>
        <v>30.897526881720427</v>
      </c>
      <c r="AH255" s="3">
        <f>AVERAGE(S255,X255,AC255)</f>
        <v>19.963225806451618</v>
      </c>
      <c r="AI255" s="4">
        <f>AVERAGE(T255,Y255,AD255)</f>
        <v>49.69</v>
      </c>
    </row>
    <row r="256">
      <c r="A256" s="2" t="inlineStr">
        <is>
          <t xml:space="preserve">2026-08</t>
        </is>
      </c>
      <c r="B256" s="2">
        <v>2026</v>
      </c>
      <c r="C256" s="2">
        <v>8</v>
      </c>
      <c r="D256" s="2" t="inlineStr">
        <is>
          <t xml:space="preserve">Aug</t>
        </is>
      </c>
      <c r="E256" s="2" t="inlineStr">
        <is>
          <t xml:space="preserve">2026/27</t>
        </is>
      </c>
      <c r="F256" s="2">
        <v>2</v>
      </c>
      <c r="G256" s="9">
        <v>46235</v>
      </c>
      <c r="H256" s="9">
        <v>46265</v>
      </c>
      <c r="I256" s="2">
        <f>H256-G256+1</f>
        <v>31</v>
      </c>
      <c r="J256" s="2">
        <f>COUNTIF(Daily!$B$3:$B$7756,A256)</f>
        <v>31</v>
      </c>
      <c r="K256" s="2" t="str">
        <f>IF(J256=I256,"complete","partial ("&amp;J256&amp;" days)")</f>
        <v>complete</v>
      </c>
      <c r="L256" s="2" t="inlineStr">
        <is>
          <t xml:space="preserve">not published yet</t>
        </is>
      </c>
      <c r="M256" s="2" t="inlineStr">
        <is>
          <t xml:space="preserve"/>
        </is>
      </c>
      <c r="N256" s="2" t="inlineStr">
        <is>
          <t xml:space="preserve">not published yet</t>
        </is>
      </c>
      <c r="O256" s="11" t="str">
        <f>INDEX(ENSO_seasons!$U:$U,MATCH(E256,ENSO_seasons!$A:$A,0))</f>
        <v>El Niño</v>
      </c>
      <c r="P256" s="4">
        <f>SUMIFS(Daily!$D$3:$D$7756,Daily!$B$3:$B$7756,$A256)</f>
        <v>23.422</v>
      </c>
      <c r="Q256" s="3">
        <f>AVERAGEIFS(Daily!$E$3:$E$7756,Daily!$B$3:$B$7756,$A256)</f>
        <v>23.580967741935485</v>
      </c>
      <c r="R256" s="3">
        <f>AVERAGEIFS(Daily!$F$3:$F$7756,Daily!$B$3:$B$7756,$A256)</f>
        <v>29.804193548387097</v>
      </c>
      <c r="S256" s="3">
        <f>AVERAGEIFS(Daily!$G$3:$G$7756,Daily!$B$3:$B$7756,$A256)</f>
        <v>18.81677419354839</v>
      </c>
      <c r="T256" s="4">
        <f>SUMIFS(Daily!$H$3:$H$7756,Daily!$B$3:$B$7756,$A256)</f>
        <v>118.78</v>
      </c>
      <c r="U256" s="4">
        <f>SUMIFS(Daily!$I$3:$I$7756,Daily!$B$3:$B$7756,$A256)</f>
        <v>12.148</v>
      </c>
      <c r="V256" s="3">
        <f>AVERAGEIFS(Daily!$J$3:$J$7756,Daily!$B$3:$B$7756,$A256)</f>
        <v>26.167741935483868</v>
      </c>
      <c r="W256" s="3">
        <f>AVERAGEIFS(Daily!$K$3:$K$7756,Daily!$B$3:$B$7756,$A256)</f>
        <v>33.54645161290323</v>
      </c>
      <c r="X256" s="3">
        <f>AVERAGEIFS(Daily!$L$3:$L$7756,Daily!$B$3:$B$7756,$A256)</f>
        <v>20.900967741935485</v>
      </c>
      <c r="Y256" s="4">
        <f>SUMIFS(Daily!$M$3:$M$7756,Daily!$B$3:$B$7756,$A256)</f>
        <v>18.45</v>
      </c>
      <c r="Z256" s="14">
        <v>69.3362777354232</v>
      </c>
      <c r="AA256" s="3">
        <f>AVERAGEIFS(Daily!$O$3:$O$7756,Daily!$B$3:$B$7756,$A256)</f>
        <v>24.86</v>
      </c>
      <c r="AB256" s="3">
        <f>AVERAGEIFS(Daily!$P$3:$P$7756,Daily!$B$3:$B$7756,$A256)</f>
        <v>30.90419354838709</v>
      </c>
      <c r="AC256" s="3">
        <f>AVERAGEIFS(Daily!$Q$3:$Q$7756,Daily!$B$3:$B$7756,$A256)</f>
        <v>20.924838709677417</v>
      </c>
      <c r="AD256" s="4">
        <f>SUMIFS(Daily!$R$3:$R$7756,Daily!$B$3:$B$7756,$A256)</f>
        <v>80.54</v>
      </c>
      <c r="AE256" s="4">
        <f>AVERAGE(P256,U256,Z256)</f>
        <v>34.968759245141065</v>
      </c>
      <c r="AF256" s="3">
        <f>AVERAGE(Q256,V256,AA256)</f>
        <v>24.86956989247312</v>
      </c>
      <c r="AG256" s="3">
        <f>AVERAGE(R256,W256,AB256)</f>
        <v>31.418279569892473</v>
      </c>
      <c r="AH256" s="3">
        <f>AVERAGE(S256,X256,AC256)</f>
        <v>20.214193548387097</v>
      </c>
      <c r="AI256" s="4">
        <f>AVERAGE(T256,Y256,AD256)</f>
        <v>72.58999999999999</v>
      </c>
    </row>
    <row r="257">
      <c r="A257" s="2" t="inlineStr">
        <is>
          <t xml:space="preserve">2026-09</t>
        </is>
      </c>
      <c r="B257" s="2">
        <v>2026</v>
      </c>
      <c r="C257" s="2">
        <v>9</v>
      </c>
      <c r="D257" s="2" t="inlineStr">
        <is>
          <t xml:space="preserve">Sep</t>
        </is>
      </c>
      <c r="E257" s="2" t="inlineStr">
        <is>
          <t xml:space="preserve">2026/27</t>
        </is>
      </c>
      <c r="F257" s="2">
        <v>3</v>
      </c>
      <c r="G257" s="9">
        <v>46266</v>
      </c>
      <c r="H257" s="9">
        <v>46295</v>
      </c>
      <c r="I257" s="2">
        <f>H257-G257+1</f>
        <v>30</v>
      </c>
      <c r="J257" s="2">
        <f>COUNTIF(Daily!$B$3:$B$7756,A257)</f>
        <v>22</v>
      </c>
      <c r="K257" s="15" t="str">
        <f>IF(J257=I257,"complete","partial ("&amp;J257&amp;" days)")</f>
        <v>partial (22 days)</v>
      </c>
      <c r="L257" s="2" t="inlineStr">
        <is>
          <t xml:space="preserve">not published yet</t>
        </is>
      </c>
      <c r="M257" s="2" t="inlineStr">
        <is>
          <t xml:space="preserve"/>
        </is>
      </c>
      <c r="N257" s="2" t="inlineStr">
        <is>
          <t xml:space="preserve">not published yet</t>
        </is>
      </c>
      <c r="O257" s="11" t="str">
        <f>INDEX(ENSO_seasons!$U:$U,MATCH(E257,ENSO_seasons!$A:$A,0))</f>
        <v>El Niño</v>
      </c>
      <c r="P257" s="4">
        <f>SUMIFS(Daily!$D$3:$D$7756,Daily!$B$3:$B$7756,$A257)</f>
        <v>91.597</v>
      </c>
      <c r="Q257" s="3">
        <f>AVERAGEIFS(Daily!$E$3:$E$7756,Daily!$B$3:$B$7756,$A257)</f>
        <v>22.809545454545454</v>
      </c>
      <c r="R257" s="3">
        <f>AVERAGEIFS(Daily!$F$3:$F$7756,Daily!$B$3:$B$7756,$A257)</f>
        <v>28.013636363636362</v>
      </c>
      <c r="S257" s="3">
        <f>AVERAGEIFS(Daily!$G$3:$G$7756,Daily!$B$3:$B$7756,$A257)</f>
        <v>19.641363636363636</v>
      </c>
      <c r="T257" s="4">
        <f>SUMIFS(Daily!$H$3:$H$7756,Daily!$B$3:$B$7756,$A257)</f>
        <v>137.79</v>
      </c>
      <c r="U257" s="4">
        <f>SUMIFS(Daily!$I$3:$I$7756,Daily!$B$3:$B$7756,$A257)</f>
        <v>49.059</v>
      </c>
      <c r="V257" s="3">
        <f>AVERAGEIFS(Daily!$J$3:$J$7756,Daily!$B$3:$B$7756,$A257)</f>
        <v>22.763636363636365</v>
      </c>
      <c r="W257" s="3">
        <f>AVERAGEIFS(Daily!$K$3:$K$7756,Daily!$B$3:$B$7756,$A257)</f>
        <v>27.343181818181815</v>
      </c>
      <c r="X257" s="3">
        <f>AVERAGEIFS(Daily!$L$3:$L$7756,Daily!$B$3:$B$7756,$A257)</f>
        <v>19.897727272727273</v>
      </c>
      <c r="Y257" s="4">
        <f>SUMIFS(Daily!$M$3:$M$7756,Daily!$B$3:$B$7756,$A257)</f>
        <v>184.75</v>
      </c>
      <c r="Z257" s="4">
        <f>SUMIFS(Daily!$N$3:$N$7756,Daily!$B$3:$B$7756,$A257)</f>
        <v>33.18</v>
      </c>
      <c r="AA257" s="3">
        <f>AVERAGEIFS(Daily!$O$3:$O$7756,Daily!$B$3:$B$7756,$A257)</f>
        <v>23.296818181818182</v>
      </c>
      <c r="AB257" s="3">
        <f>AVERAGEIFS(Daily!$P$3:$P$7756,Daily!$B$3:$B$7756,$A257)</f>
        <v>26.70863636363636</v>
      </c>
      <c r="AC257" s="3">
        <f>AVERAGEIFS(Daily!$Q$3:$Q$7756,Daily!$B$3:$B$7756,$A257)</f>
        <v>21.44727272727273</v>
      </c>
      <c r="AD257" s="4">
        <f>SUMIFS(Daily!$R$3:$R$7756,Daily!$B$3:$B$7756,$A257)</f>
        <v>181.96</v>
      </c>
      <c r="AE257" s="4">
        <f>AVERAGE(P257,U257,Z257)</f>
        <v>57.94533333333334</v>
      </c>
      <c r="AF257" s="3">
        <f>AVERAGE(Q257,V257,AA257)</f>
        <v>22.956666666666667</v>
      </c>
      <c r="AG257" s="3">
        <f>AVERAGE(R257,W257,AB257)</f>
        <v>27.355151515151515</v>
      </c>
      <c r="AH257" s="3">
        <f>AVERAGE(S257,X257,AC257)</f>
        <v>20.328787878787878</v>
      </c>
      <c r="AI257" s="4">
        <f>AVERAGE(T257,Y257,AD257)</f>
        <v>168.16666666666666</v>
      </c>
    </row>
    <row r="259">
      <c r="A259" s="7" t="inlineStr">
        <is>
          <t xml:space="preserve">Rain = sum of daily CPC gauge rainfall (mm); NASA rain shown for reference only. Temperatures = mean of daily NASA T2M, T2M_MAX, T2M_MIN (°C). Mean of 3 towns = simple average. Partial month(s) 2026-09 (data end 2026-09-22) are left out of the chart sheets.</t>
        </is>
      </c>
    </row>
  </sheetData>
  <mergeCells count="4">
    <mergeCell ref="P1:T1"/>
    <mergeCell ref="U1:Y1"/>
    <mergeCell ref="Z1:AD1"/>
    <mergeCell ref="AE1:AI1"/>
  </mergeCells>
</worksheet>
</file>

<file path=xl/worksheets/sheet9.xml><?xml version="1.0" encoding="utf-8"?>
<worksheet xmlns="http://schemas.openxmlformats.org/spreadsheetml/2006/main" xmlns:r="http://schemas.openxmlformats.org/officeDocument/2006/relationships">
  <sheetViews>
    <sheetView workbookViewId="0">
      <pane xSplit="1" ySplit="2" topLeftCell="B3" activePane="bottomRight" state="frozen"/>
    </sheetView>
  </sheetViews>
  <sheetFormatPr defaultRowHeight="13.2"/>
  <cols>
    <col min="1" max="1" width="11" customWidth="1"/>
    <col min="2" max="2" width="9" customWidth="1"/>
    <col min="3" max="3" width="9" customWidth="1"/>
    <col min="4" max="4" width="9.5" customWidth="1"/>
    <col min="5" max="5" width="9.5" customWidth="1"/>
    <col min="6" max="6" width="9.5" customWidth="1"/>
    <col min="7" max="7" width="9.5" customWidth="1"/>
    <col min="8" max="8" width="9.5" customWidth="1"/>
    <col min="9" max="9" width="9.5" customWidth="1"/>
    <col min="10" max="10" width="9.5" customWidth="1"/>
    <col min="11" max="11" width="9.5" customWidth="1"/>
    <col min="12" max="12" width="9.5" customWidth="1"/>
    <col min="13" max="13" width="9.5" customWidth="1"/>
    <col min="14" max="14" width="9.5" customWidth="1"/>
    <col min="15" max="15" width="9.5" customWidth="1"/>
    <col min="16" max="16" width="9.5" customWidth="1"/>
    <col min="17" max="17" width="9.5" customWidth="1"/>
    <col min="18" max="18" width="9.5" customWidth="1"/>
  </cols>
  <sheetData>
    <row r="1">
      <c r="A1" s="1" t="inlineStr">
        <is>
          <t xml:space="preserve">Date</t>
        </is>
      </c>
      <c r="B1" s="1" t="inlineStr">
        <is>
          <t xml:space="preserve">Month key</t>
        </is>
      </c>
      <c r="C1" s="1" t="inlineStr">
        <is>
          <t xml:space="preserve">Coffee season</t>
        </is>
      </c>
      <c r="D1" s="1" t="inlineStr">
        <is>
          <t xml:space="preserve">Comayagua</t>
        </is>
      </c>
      <c r="E1" s="1" t="inlineStr">
        <is>
          <t xml:space="preserve">Comayagua</t>
        </is>
      </c>
      <c r="F1" s="1" t="inlineStr">
        <is>
          <t xml:space="preserve">Comayagua</t>
        </is>
      </c>
      <c r="G1" s="1" t="inlineStr">
        <is>
          <t xml:space="preserve">Comayagua</t>
        </is>
      </c>
      <c r="H1" s="1" t="inlineStr">
        <is>
          <t xml:space="preserve">Comayagua</t>
        </is>
      </c>
      <c r="I1" s="1" t="inlineStr">
        <is>
          <t xml:space="preserve">Ocotepeque</t>
        </is>
      </c>
      <c r="J1" s="1" t="inlineStr">
        <is>
          <t xml:space="preserve">Ocotepeque</t>
        </is>
      </c>
      <c r="K1" s="1" t="inlineStr">
        <is>
          <t xml:space="preserve">Ocotepeque</t>
        </is>
      </c>
      <c r="L1" s="1" t="inlineStr">
        <is>
          <t xml:space="preserve">Ocotepeque</t>
        </is>
      </c>
      <c r="M1" s="1" t="inlineStr">
        <is>
          <t xml:space="preserve">Ocotepeque</t>
        </is>
      </c>
      <c r="N1" s="1" t="inlineStr">
        <is>
          <t xml:space="preserve">Copán</t>
        </is>
      </c>
      <c r="O1" s="1" t="inlineStr">
        <is>
          <t xml:space="preserve">Copán</t>
        </is>
      </c>
      <c r="P1" s="1" t="inlineStr">
        <is>
          <t xml:space="preserve">Copán</t>
        </is>
      </c>
      <c r="Q1" s="1" t="inlineStr">
        <is>
          <t xml:space="preserve">Copán</t>
        </is>
      </c>
      <c r="R1" s="1" t="inlineStr">
        <is>
          <t xml:space="preserve">Copán</t>
        </is>
      </c>
    </row>
    <row r="2">
      <c r="A2" s="7" t="inlineStr">
        <is>
          <t xml:space="preserve">(local solar time)</t>
        </is>
      </c>
      <c r="D2" s="1" t="inlineStr">
        <is>
          <t xml:space="preserve">Rain, CPC gauges (mm)</t>
        </is>
      </c>
      <c r="E2" s="1" t="inlineStr">
        <is>
          <t xml:space="preserve">Mean temp (°C)</t>
        </is>
      </c>
      <c r="F2" s="1" t="inlineStr">
        <is>
          <t xml:space="preserve">Max temp (°C)</t>
        </is>
      </c>
      <c r="G2" s="1" t="inlineStr">
        <is>
          <t xml:space="preserve">Min temp (°C)</t>
        </is>
      </c>
      <c r="H2" s="1" t="inlineStr">
        <is>
          <t xml:space="preserve">NASA rain, not used (mm)</t>
        </is>
      </c>
      <c r="I2" s="1" t="inlineStr">
        <is>
          <t xml:space="preserve">Rain, CPC gauges (mm)</t>
        </is>
      </c>
      <c r="J2" s="1" t="inlineStr">
        <is>
          <t xml:space="preserve">Mean temp (°C)</t>
        </is>
      </c>
      <c r="K2" s="1" t="inlineStr">
        <is>
          <t xml:space="preserve">Max temp (°C)</t>
        </is>
      </c>
      <c r="L2" s="1" t="inlineStr">
        <is>
          <t xml:space="preserve">Min temp (°C)</t>
        </is>
      </c>
      <c r="M2" s="1" t="inlineStr">
        <is>
          <t xml:space="preserve">NASA rain, not used (mm)</t>
        </is>
      </c>
      <c r="N2" s="1" t="inlineStr">
        <is>
          <t xml:space="preserve">Rain, CPC gauges (mm)</t>
        </is>
      </c>
      <c r="O2" s="1" t="inlineStr">
        <is>
          <t xml:space="preserve">Mean temp (°C)</t>
        </is>
      </c>
      <c r="P2" s="1" t="inlineStr">
        <is>
          <t xml:space="preserve">Max temp (°C)</t>
        </is>
      </c>
      <c r="Q2" s="1" t="inlineStr">
        <is>
          <t xml:space="preserve">Min temp (°C)</t>
        </is>
      </c>
      <c r="R2" s="1" t="inlineStr">
        <is>
          <t xml:space="preserve">NASA rain, not used (mm)</t>
        </is>
      </c>
    </row>
    <row r="3">
      <c r="A3" s="9">
        <v>38534</v>
      </c>
      <c r="B3" s="2" t="inlineStr">
        <is>
          <t xml:space="preserve">2005-07</t>
        </is>
      </c>
      <c r="C3" s="2" t="inlineStr">
        <is>
          <t xml:space="preserve">2005/06</t>
        </is>
      </c>
      <c r="D3">
        <v>14.131</v>
      </c>
      <c r="E3">
        <v>21.99</v>
      </c>
      <c r="F3">
        <v>26.39</v>
      </c>
      <c r="G3">
        <v>18.68</v>
      </c>
      <c r="H3">
        <v>9.14</v>
      </c>
      <c r="I3">
        <v>6.624</v>
      </c>
      <c r="J3">
        <v>22.96</v>
      </c>
      <c r="K3">
        <v>26.33</v>
      </c>
      <c r="L3">
        <v>20.42</v>
      </c>
      <c r="M3">
        <v>13.1</v>
      </c>
      <c r="N3">
        <v>4.105</v>
      </c>
      <c r="O3">
        <v>23.83</v>
      </c>
      <c r="P3">
        <v>28.09</v>
      </c>
      <c r="Q3">
        <v>20.71</v>
      </c>
      <c r="R3">
        <v>14.6</v>
      </c>
    </row>
    <row r="4">
      <c r="A4" s="9">
        <v>38535</v>
      </c>
      <c r="B4" s="2" t="inlineStr">
        <is>
          <t xml:space="preserve">2005-07</t>
        </is>
      </c>
      <c r="C4" s="2" t="inlineStr">
        <is>
          <t xml:space="preserve">2005/06</t>
        </is>
      </c>
      <c r="D4">
        <v>4.152</v>
      </c>
      <c r="E4">
        <v>21.79</v>
      </c>
      <c r="F4">
        <v>26.62</v>
      </c>
      <c r="G4">
        <v>18.08</v>
      </c>
      <c r="H4">
        <v>4.92</v>
      </c>
      <c r="I4">
        <v>5.516</v>
      </c>
      <c r="J4">
        <v>22.68</v>
      </c>
      <c r="K4">
        <v>25.68</v>
      </c>
      <c r="L4">
        <v>20.45</v>
      </c>
      <c r="M4">
        <v>13.96</v>
      </c>
      <c r="N4">
        <v>39.146</v>
      </c>
      <c r="O4">
        <v>23.55</v>
      </c>
      <c r="P4">
        <v>27.26</v>
      </c>
      <c r="Q4">
        <v>21.36</v>
      </c>
      <c r="R4">
        <v>25.08</v>
      </c>
    </row>
    <row r="5">
      <c r="A5" s="9">
        <v>38536</v>
      </c>
      <c r="B5" s="2" t="inlineStr">
        <is>
          <t xml:space="preserve">2005-07</t>
        </is>
      </c>
      <c r="C5" s="2" t="inlineStr">
        <is>
          <t xml:space="preserve">2005/06</t>
        </is>
      </c>
      <c r="D5">
        <v>1.619</v>
      </c>
      <c r="E5">
        <v>21.38</v>
      </c>
      <c r="F5">
        <v>24.67</v>
      </c>
      <c r="G5">
        <v>19.37</v>
      </c>
      <c r="H5">
        <v>1.58</v>
      </c>
      <c r="I5">
        <v>2.889</v>
      </c>
      <c r="J5">
        <v>22.78</v>
      </c>
      <c r="K5">
        <v>26.56</v>
      </c>
      <c r="L5">
        <v>19.69</v>
      </c>
      <c r="M5">
        <v>3.84</v>
      </c>
      <c r="N5">
        <v>12.694</v>
      </c>
      <c r="O5">
        <v>23.55</v>
      </c>
      <c r="P5">
        <v>27.45</v>
      </c>
      <c r="Q5">
        <v>20.21</v>
      </c>
      <c r="R5">
        <v>5.55</v>
      </c>
    </row>
    <row r="6">
      <c r="A6" s="9">
        <v>38537</v>
      </c>
      <c r="B6" s="2" t="inlineStr">
        <is>
          <t xml:space="preserve">2005-07</t>
        </is>
      </c>
      <c r="C6" s="2" t="inlineStr">
        <is>
          <t xml:space="preserve">2005/06</t>
        </is>
      </c>
      <c r="D6">
        <v>0.555</v>
      </c>
      <c r="E6">
        <v>21.49</v>
      </c>
      <c r="F6">
        <v>24.22</v>
      </c>
      <c r="G6">
        <v>18.74</v>
      </c>
      <c r="H6">
        <v>0.79</v>
      </c>
      <c r="I6">
        <v>0.191</v>
      </c>
      <c r="J6">
        <v>22.01</v>
      </c>
      <c r="K6">
        <v>24.17</v>
      </c>
      <c r="L6">
        <v>19.98</v>
      </c>
      <c r="M6">
        <v>0.88</v>
      </c>
      <c r="N6">
        <v>0.071</v>
      </c>
      <c r="O6">
        <v>23.08</v>
      </c>
      <c r="P6">
        <v>27.69</v>
      </c>
      <c r="Q6">
        <v>20.12</v>
      </c>
      <c r="R6">
        <v>0.23</v>
      </c>
    </row>
    <row r="7">
      <c r="A7" s="9">
        <v>38538</v>
      </c>
      <c r="B7" s="2" t="inlineStr">
        <is>
          <t xml:space="preserve">2005-07</t>
        </is>
      </c>
      <c r="C7" s="2" t="inlineStr">
        <is>
          <t xml:space="preserve">2005/06</t>
        </is>
      </c>
      <c r="D7">
        <v>0.824</v>
      </c>
      <c r="E7">
        <v>22.86</v>
      </c>
      <c r="F7">
        <v>28.67</v>
      </c>
      <c r="G7">
        <v>17.93</v>
      </c>
      <c r="H7">
        <v>2.4</v>
      </c>
      <c r="I7">
        <v>0.0</v>
      </c>
      <c r="J7">
        <v>23.77</v>
      </c>
      <c r="K7">
        <v>28.11</v>
      </c>
      <c r="L7">
        <v>19.52</v>
      </c>
      <c r="M7">
        <v>0.19</v>
      </c>
      <c r="N7">
        <v>0.0</v>
      </c>
      <c r="O7">
        <v>24.34</v>
      </c>
      <c r="P7">
        <v>29.7</v>
      </c>
      <c r="Q7">
        <v>20.05</v>
      </c>
      <c r="R7">
        <v>0.23</v>
      </c>
    </row>
    <row r="8">
      <c r="A8" s="9">
        <v>38539</v>
      </c>
      <c r="B8" s="2" t="inlineStr">
        <is>
          <t xml:space="preserve">2005-07</t>
        </is>
      </c>
      <c r="C8" s="2" t="inlineStr">
        <is>
          <t xml:space="preserve">2005/06</t>
        </is>
      </c>
      <c r="D8">
        <v>14.382</v>
      </c>
      <c r="E8">
        <v>22.61</v>
      </c>
      <c r="F8">
        <v>27.38</v>
      </c>
      <c r="G8">
        <v>17.93</v>
      </c>
      <c r="H8">
        <v>7.61</v>
      </c>
      <c r="I8">
        <v>0.038</v>
      </c>
      <c r="J8">
        <v>23.36</v>
      </c>
      <c r="K8">
        <v>27.99</v>
      </c>
      <c r="L8">
        <v>19.47</v>
      </c>
      <c r="M8">
        <v>0.75</v>
      </c>
      <c r="N8">
        <v>0.637</v>
      </c>
      <c r="O8">
        <v>23.9</v>
      </c>
      <c r="P8">
        <v>28.72</v>
      </c>
      <c r="Q8">
        <v>20.89</v>
      </c>
      <c r="R8">
        <v>0.86</v>
      </c>
    </row>
    <row r="9">
      <c r="A9" s="9">
        <v>38540</v>
      </c>
      <c r="B9" s="2" t="inlineStr">
        <is>
          <t xml:space="preserve">2005-07</t>
        </is>
      </c>
      <c r="C9" s="2" t="inlineStr">
        <is>
          <t xml:space="preserve">2005/06</t>
        </is>
      </c>
      <c r="D9">
        <v>1.146</v>
      </c>
      <c r="E9">
        <v>22.9</v>
      </c>
      <c r="F9">
        <v>27.82</v>
      </c>
      <c r="G9">
        <v>19.01</v>
      </c>
      <c r="H9">
        <v>2.25</v>
      </c>
      <c r="I9">
        <v>0.159</v>
      </c>
      <c r="J9">
        <v>23.59</v>
      </c>
      <c r="K9">
        <v>27.54</v>
      </c>
      <c r="L9">
        <v>20.1</v>
      </c>
      <c r="M9">
        <v>0.51</v>
      </c>
      <c r="N9">
        <v>0.099</v>
      </c>
      <c r="O9">
        <v>23.77</v>
      </c>
      <c r="P9">
        <v>28.35</v>
      </c>
      <c r="Q9">
        <v>20.52</v>
      </c>
      <c r="R9">
        <v>0.34</v>
      </c>
    </row>
    <row r="10">
      <c r="A10" s="9">
        <v>38541</v>
      </c>
      <c r="B10" s="2" t="inlineStr">
        <is>
          <t xml:space="preserve">2005-07</t>
        </is>
      </c>
      <c r="C10" s="2" t="inlineStr">
        <is>
          <t xml:space="preserve">2005/06</t>
        </is>
      </c>
      <c r="D10">
        <v>4.17</v>
      </c>
      <c r="E10">
        <v>22.75</v>
      </c>
      <c r="F10">
        <v>26.89</v>
      </c>
      <c r="G10">
        <v>18.88</v>
      </c>
      <c r="H10">
        <v>2.73</v>
      </c>
      <c r="I10">
        <v>1.092</v>
      </c>
      <c r="J10">
        <v>23.27</v>
      </c>
      <c r="K10">
        <v>27.69</v>
      </c>
      <c r="L10">
        <v>19.14</v>
      </c>
      <c r="M10">
        <v>1.27</v>
      </c>
      <c r="N10">
        <v>0.136</v>
      </c>
      <c r="O10">
        <v>23.84</v>
      </c>
      <c r="P10">
        <v>29.05</v>
      </c>
      <c r="Q10">
        <v>19.46</v>
      </c>
      <c r="R10">
        <v>0.65</v>
      </c>
    </row>
    <row r="11">
      <c r="A11" s="9">
        <v>38542</v>
      </c>
      <c r="B11" s="2" t="inlineStr">
        <is>
          <t xml:space="preserve">2005-07</t>
        </is>
      </c>
      <c r="C11" s="2" t="inlineStr">
        <is>
          <t xml:space="preserve">2005/06</t>
        </is>
      </c>
      <c r="D11">
        <v>1.407</v>
      </c>
      <c r="E11">
        <v>22.7</v>
      </c>
      <c r="F11">
        <v>26.97</v>
      </c>
      <c r="G11">
        <v>19.17</v>
      </c>
      <c r="H11">
        <v>4.14</v>
      </c>
      <c r="I11">
        <v>6.849</v>
      </c>
      <c r="J11">
        <v>23.25</v>
      </c>
      <c r="K11">
        <v>27.45</v>
      </c>
      <c r="L11">
        <v>19.69</v>
      </c>
      <c r="M11">
        <v>4.18</v>
      </c>
      <c r="N11">
        <v>0.768</v>
      </c>
      <c r="O11">
        <v>24.5</v>
      </c>
      <c r="P11">
        <v>29.42</v>
      </c>
      <c r="Q11">
        <v>20.0</v>
      </c>
      <c r="R11">
        <v>4.25</v>
      </c>
    </row>
    <row r="12">
      <c r="A12" s="9">
        <v>38543</v>
      </c>
      <c r="B12" s="2" t="inlineStr">
        <is>
          <t xml:space="preserve">2005-07</t>
        </is>
      </c>
      <c r="C12" s="2" t="inlineStr">
        <is>
          <t xml:space="preserve">2005/06</t>
        </is>
      </c>
      <c r="D12">
        <v>1.653</v>
      </c>
      <c r="E12">
        <v>22.8</v>
      </c>
      <c r="F12">
        <v>27.62</v>
      </c>
      <c r="G12">
        <v>18.66</v>
      </c>
      <c r="H12">
        <v>6.07</v>
      </c>
      <c r="I12">
        <v>0.55</v>
      </c>
      <c r="J12">
        <v>23.81</v>
      </c>
      <c r="K12">
        <v>27.92</v>
      </c>
      <c r="L12">
        <v>20.05</v>
      </c>
      <c r="M12">
        <v>3.03</v>
      </c>
      <c r="N12">
        <v>2.793</v>
      </c>
      <c r="O12">
        <v>23.68</v>
      </c>
      <c r="P12">
        <v>27.72</v>
      </c>
      <c r="Q12">
        <v>21.05</v>
      </c>
      <c r="R12">
        <v>4.33</v>
      </c>
    </row>
    <row r="13">
      <c r="A13" s="9">
        <v>38544</v>
      </c>
      <c r="B13" s="2" t="inlineStr">
        <is>
          <t xml:space="preserve">2005-07</t>
        </is>
      </c>
      <c r="C13" s="2" t="inlineStr">
        <is>
          <t xml:space="preserve">2005/06</t>
        </is>
      </c>
      <c r="D13">
        <v>16.834</v>
      </c>
      <c r="E13">
        <v>22.1</v>
      </c>
      <c r="F13">
        <v>26.97</v>
      </c>
      <c r="G13">
        <v>18.37</v>
      </c>
      <c r="H13">
        <v>10.81</v>
      </c>
      <c r="I13">
        <v>0.193</v>
      </c>
      <c r="J13">
        <v>22.57</v>
      </c>
      <c r="K13">
        <v>26.39</v>
      </c>
      <c r="L13">
        <v>19.93</v>
      </c>
      <c r="M13">
        <v>8.59</v>
      </c>
      <c r="N13">
        <v>10.359</v>
      </c>
      <c r="O13">
        <v>22.79</v>
      </c>
      <c r="P13">
        <v>26.19</v>
      </c>
      <c r="Q13">
        <v>20.76</v>
      </c>
      <c r="R13">
        <v>9.31</v>
      </c>
    </row>
    <row r="14">
      <c r="A14" s="9">
        <v>38545</v>
      </c>
      <c r="B14" s="2" t="inlineStr">
        <is>
          <t xml:space="preserve">2005-07</t>
        </is>
      </c>
      <c r="C14" s="2" t="inlineStr">
        <is>
          <t xml:space="preserve">2005/06</t>
        </is>
      </c>
      <c r="D14">
        <v>11.442</v>
      </c>
      <c r="E14">
        <v>20.7</v>
      </c>
      <c r="F14">
        <v>25.09</v>
      </c>
      <c r="G14">
        <v>16.88</v>
      </c>
      <c r="H14">
        <v>8.83</v>
      </c>
      <c r="I14">
        <v>17.919</v>
      </c>
      <c r="J14">
        <v>22.7</v>
      </c>
      <c r="K14">
        <v>27.13</v>
      </c>
      <c r="L14">
        <v>19.66</v>
      </c>
      <c r="M14">
        <v>12.93</v>
      </c>
      <c r="N14">
        <v>8.832</v>
      </c>
      <c r="O14">
        <v>22.75</v>
      </c>
      <c r="P14">
        <v>26.43</v>
      </c>
      <c r="Q14">
        <v>19.66</v>
      </c>
      <c r="R14">
        <v>10.16</v>
      </c>
    </row>
    <row r="15">
      <c r="A15" s="9">
        <v>38546</v>
      </c>
      <c r="B15" s="2" t="inlineStr">
        <is>
          <t xml:space="preserve">2005-07</t>
        </is>
      </c>
      <c r="C15" s="2" t="inlineStr">
        <is>
          <t xml:space="preserve">2005/06</t>
        </is>
      </c>
      <c r="D15">
        <v>11.439</v>
      </c>
      <c r="E15">
        <v>21.32</v>
      </c>
      <c r="F15">
        <v>25.19</v>
      </c>
      <c r="G15">
        <v>18.05</v>
      </c>
      <c r="H15">
        <v>6.58</v>
      </c>
      <c r="I15">
        <v>14.969</v>
      </c>
      <c r="J15">
        <v>21.96</v>
      </c>
      <c r="K15">
        <v>25.36</v>
      </c>
      <c r="L15">
        <v>19.19</v>
      </c>
      <c r="M15">
        <v>8.84</v>
      </c>
      <c r="N15">
        <v>11.49</v>
      </c>
      <c r="O15">
        <v>22.81</v>
      </c>
      <c r="P15">
        <v>27.16</v>
      </c>
      <c r="Q15">
        <v>19.63</v>
      </c>
      <c r="R15">
        <v>9.26</v>
      </c>
    </row>
    <row r="16">
      <c r="A16" s="9">
        <v>38547</v>
      </c>
      <c r="B16" s="2" t="inlineStr">
        <is>
          <t xml:space="preserve">2005-07</t>
        </is>
      </c>
      <c r="C16" s="2" t="inlineStr">
        <is>
          <t xml:space="preserve">2005/06</t>
        </is>
      </c>
      <c r="D16">
        <v>1.984</v>
      </c>
      <c r="E16">
        <v>21.12</v>
      </c>
      <c r="F16">
        <v>24.12</v>
      </c>
      <c r="G16">
        <v>18.84</v>
      </c>
      <c r="H16">
        <v>3.81</v>
      </c>
      <c r="I16">
        <v>6.914</v>
      </c>
      <c r="J16">
        <v>22.31</v>
      </c>
      <c r="K16">
        <v>26.24</v>
      </c>
      <c r="L16">
        <v>19.03</v>
      </c>
      <c r="M16">
        <v>7.59</v>
      </c>
      <c r="N16">
        <v>1.189</v>
      </c>
      <c r="O16">
        <v>22.96</v>
      </c>
      <c r="P16">
        <v>26.09</v>
      </c>
      <c r="Q16">
        <v>20.47</v>
      </c>
      <c r="R16">
        <v>10.39</v>
      </c>
    </row>
    <row r="17">
      <c r="A17" s="9">
        <v>38548</v>
      </c>
      <c r="B17" s="2" t="inlineStr">
        <is>
          <t xml:space="preserve">2005-07</t>
        </is>
      </c>
      <c r="C17" s="2" t="inlineStr">
        <is>
          <t xml:space="preserve">2005/06</t>
        </is>
      </c>
      <c r="D17">
        <v>0.793</v>
      </c>
      <c r="E17">
        <v>21.27</v>
      </c>
      <c r="F17">
        <v>25.5</v>
      </c>
      <c r="G17">
        <v>17.57</v>
      </c>
      <c r="H17">
        <v>4.94</v>
      </c>
      <c r="I17">
        <v>8.013</v>
      </c>
      <c r="J17">
        <v>21.44</v>
      </c>
      <c r="K17">
        <v>23.56</v>
      </c>
      <c r="L17">
        <v>19.57</v>
      </c>
      <c r="M17">
        <v>6.95</v>
      </c>
      <c r="N17">
        <v>17.542</v>
      </c>
      <c r="O17">
        <v>22.74</v>
      </c>
      <c r="P17">
        <v>25.99</v>
      </c>
      <c r="Q17">
        <v>20.63</v>
      </c>
      <c r="R17">
        <v>8.76</v>
      </c>
    </row>
    <row r="18">
      <c r="A18" s="9">
        <v>38549</v>
      </c>
      <c r="B18" s="2" t="inlineStr">
        <is>
          <t xml:space="preserve">2005-07</t>
        </is>
      </c>
      <c r="C18" s="2" t="inlineStr">
        <is>
          <t xml:space="preserve">2005/06</t>
        </is>
      </c>
      <c r="D18">
        <v>14.375</v>
      </c>
      <c r="E18">
        <v>21.52</v>
      </c>
      <c r="F18">
        <v>26.15</v>
      </c>
      <c r="G18">
        <v>17.66</v>
      </c>
      <c r="H18">
        <v>6.14</v>
      </c>
      <c r="I18">
        <v>0.892</v>
      </c>
      <c r="J18">
        <v>22.55</v>
      </c>
      <c r="K18">
        <v>26.19</v>
      </c>
      <c r="L18">
        <v>19.89</v>
      </c>
      <c r="M18">
        <v>3.12</v>
      </c>
      <c r="N18">
        <v>3.026</v>
      </c>
      <c r="O18">
        <v>22.54</v>
      </c>
      <c r="P18">
        <v>26.13</v>
      </c>
      <c r="Q18">
        <v>19.89</v>
      </c>
      <c r="R18">
        <v>3.38</v>
      </c>
    </row>
    <row r="19">
      <c r="A19" s="9">
        <v>38550</v>
      </c>
      <c r="B19" s="2" t="inlineStr">
        <is>
          <t xml:space="preserve">2005-07</t>
        </is>
      </c>
      <c r="C19" s="2" t="inlineStr">
        <is>
          <t xml:space="preserve">2005/06</t>
        </is>
      </c>
      <c r="D19">
        <v>1.668</v>
      </c>
      <c r="E19">
        <v>21.84</v>
      </c>
      <c r="F19">
        <v>25.89</v>
      </c>
      <c r="G19">
        <v>18.53</v>
      </c>
      <c r="H19">
        <v>2.07</v>
      </c>
      <c r="I19">
        <v>2.71</v>
      </c>
      <c r="J19">
        <v>21.95</v>
      </c>
      <c r="K19">
        <v>25.04</v>
      </c>
      <c r="L19">
        <v>19.6</v>
      </c>
      <c r="M19">
        <v>2.66</v>
      </c>
      <c r="N19">
        <v>6.495</v>
      </c>
      <c r="O19">
        <v>22.73</v>
      </c>
      <c r="P19">
        <v>25.57</v>
      </c>
      <c r="Q19">
        <v>21.17</v>
      </c>
      <c r="R19">
        <v>4.02</v>
      </c>
    </row>
    <row r="20">
      <c r="A20" s="9">
        <v>38551</v>
      </c>
      <c r="B20" s="2" t="inlineStr">
        <is>
          <t xml:space="preserve">2005-07</t>
        </is>
      </c>
      <c r="C20" s="2" t="inlineStr">
        <is>
          <t xml:space="preserve">2005/06</t>
        </is>
      </c>
      <c r="D20">
        <v>0.166</v>
      </c>
      <c r="E20">
        <v>22.97</v>
      </c>
      <c r="F20">
        <v>27.35</v>
      </c>
      <c r="G20">
        <v>19.57</v>
      </c>
      <c r="H20">
        <v>1.87</v>
      </c>
      <c r="I20">
        <v>0.034</v>
      </c>
      <c r="J20">
        <v>23.51</v>
      </c>
      <c r="K20">
        <v>27.5</v>
      </c>
      <c r="L20">
        <v>20.4</v>
      </c>
      <c r="M20">
        <v>1.59</v>
      </c>
      <c r="N20">
        <v>0.16</v>
      </c>
      <c r="O20">
        <v>23.68</v>
      </c>
      <c r="P20">
        <v>28.16</v>
      </c>
      <c r="Q20">
        <v>20.57</v>
      </c>
      <c r="R20">
        <v>3.39</v>
      </c>
    </row>
    <row r="21">
      <c r="A21" s="9">
        <v>38552</v>
      </c>
      <c r="B21" s="2" t="inlineStr">
        <is>
          <t xml:space="preserve">2005-07</t>
        </is>
      </c>
      <c r="C21" s="2" t="inlineStr">
        <is>
          <t xml:space="preserve">2005/06</t>
        </is>
      </c>
      <c r="D21">
        <v>0.718</v>
      </c>
      <c r="E21">
        <v>22.92</v>
      </c>
      <c r="F21">
        <v>27.86</v>
      </c>
      <c r="G21">
        <v>19.25</v>
      </c>
      <c r="H21">
        <v>1.41</v>
      </c>
      <c r="I21">
        <v>1.312</v>
      </c>
      <c r="J21">
        <v>23.0</v>
      </c>
      <c r="K21">
        <v>26.41</v>
      </c>
      <c r="L21">
        <v>20.58</v>
      </c>
      <c r="M21">
        <v>4.17</v>
      </c>
      <c r="N21">
        <v>7.062</v>
      </c>
      <c r="O21">
        <v>23.14</v>
      </c>
      <c r="P21">
        <v>26.41</v>
      </c>
      <c r="Q21">
        <v>21.29</v>
      </c>
      <c r="R21">
        <v>5.99</v>
      </c>
    </row>
    <row r="22">
      <c r="A22" s="9">
        <v>38553</v>
      </c>
      <c r="B22" s="2" t="inlineStr">
        <is>
          <t xml:space="preserve">2005-07</t>
        </is>
      </c>
      <c r="C22" s="2" t="inlineStr">
        <is>
          <t xml:space="preserve">2005/06</t>
        </is>
      </c>
      <c r="D22">
        <v>0.971</v>
      </c>
      <c r="E22">
        <v>20.84</v>
      </c>
      <c r="F22">
        <v>25.24</v>
      </c>
      <c r="G22">
        <v>16.75</v>
      </c>
      <c r="H22">
        <v>2.46</v>
      </c>
      <c r="I22">
        <v>11.363</v>
      </c>
      <c r="J22">
        <v>22.56</v>
      </c>
      <c r="K22">
        <v>25.66</v>
      </c>
      <c r="L22">
        <v>20.21</v>
      </c>
      <c r="M22">
        <v>9.35</v>
      </c>
      <c r="N22">
        <v>9.676</v>
      </c>
      <c r="O22">
        <v>22.57</v>
      </c>
      <c r="P22">
        <v>25.6</v>
      </c>
      <c r="Q22">
        <v>19.7</v>
      </c>
      <c r="R22">
        <v>6.35</v>
      </c>
    </row>
    <row r="23">
      <c r="A23" s="9">
        <v>38554</v>
      </c>
      <c r="B23" s="2" t="inlineStr">
        <is>
          <t xml:space="preserve">2005-07</t>
        </is>
      </c>
      <c r="C23" s="2" t="inlineStr">
        <is>
          <t xml:space="preserve">2005/06</t>
        </is>
      </c>
      <c r="D23">
        <v>0.0</v>
      </c>
      <c r="E23">
        <v>20.65</v>
      </c>
      <c r="F23">
        <v>25.3</v>
      </c>
      <c r="G23">
        <v>16.28</v>
      </c>
      <c r="H23">
        <v>6.56</v>
      </c>
      <c r="I23">
        <v>0.04</v>
      </c>
      <c r="J23">
        <v>21.47</v>
      </c>
      <c r="K23">
        <v>24.82</v>
      </c>
      <c r="L23">
        <v>18.31</v>
      </c>
      <c r="M23">
        <v>2.07</v>
      </c>
      <c r="N23">
        <v>0.0</v>
      </c>
      <c r="O23">
        <v>21.7</v>
      </c>
      <c r="P23">
        <v>25.8</v>
      </c>
      <c r="Q23">
        <v>17.21</v>
      </c>
      <c r="R23">
        <v>3.52</v>
      </c>
    </row>
    <row r="24">
      <c r="A24" s="9">
        <v>38555</v>
      </c>
      <c r="B24" s="2" t="inlineStr">
        <is>
          <t xml:space="preserve">2005-07</t>
        </is>
      </c>
      <c r="C24" s="2" t="inlineStr">
        <is>
          <t xml:space="preserve">2005/06</t>
        </is>
      </c>
      <c r="D24">
        <v>22.159</v>
      </c>
      <c r="E24">
        <v>21.66</v>
      </c>
      <c r="F24">
        <v>25.72</v>
      </c>
      <c r="G24">
        <v>18.93</v>
      </c>
      <c r="H24">
        <v>12.2</v>
      </c>
      <c r="I24">
        <v>4.758</v>
      </c>
      <c r="J24">
        <v>21.6</v>
      </c>
      <c r="K24">
        <v>23.88</v>
      </c>
      <c r="L24">
        <v>19.79</v>
      </c>
      <c r="M24">
        <v>5.98</v>
      </c>
      <c r="N24">
        <v>1.048</v>
      </c>
      <c r="O24">
        <v>22.14</v>
      </c>
      <c r="P24">
        <v>24.92</v>
      </c>
      <c r="Q24">
        <v>19.76</v>
      </c>
      <c r="R24">
        <v>9.08</v>
      </c>
    </row>
    <row r="25">
      <c r="A25" s="9">
        <v>38556</v>
      </c>
      <c r="B25" s="2" t="inlineStr">
        <is>
          <t xml:space="preserve">2005-07</t>
        </is>
      </c>
      <c r="C25" s="2" t="inlineStr">
        <is>
          <t xml:space="preserve">2005/06</t>
        </is>
      </c>
      <c r="D25">
        <v>9.193</v>
      </c>
      <c r="E25">
        <v>21.82</v>
      </c>
      <c r="F25">
        <v>25.69</v>
      </c>
      <c r="G25">
        <v>18.64</v>
      </c>
      <c r="H25">
        <v>4.55</v>
      </c>
      <c r="I25">
        <v>2.334</v>
      </c>
      <c r="J25">
        <v>22.69</v>
      </c>
      <c r="K25">
        <v>26.42</v>
      </c>
      <c r="L25">
        <v>20.39</v>
      </c>
      <c r="M25">
        <v>5.45</v>
      </c>
      <c r="N25">
        <v>12.276</v>
      </c>
      <c r="O25">
        <v>22.63</v>
      </c>
      <c r="P25">
        <v>26.05</v>
      </c>
      <c r="Q25">
        <v>20.78</v>
      </c>
      <c r="R25">
        <v>7.78</v>
      </c>
    </row>
    <row r="26">
      <c r="A26" s="9">
        <v>38557</v>
      </c>
      <c r="B26" s="2" t="inlineStr">
        <is>
          <t xml:space="preserve">2005-07</t>
        </is>
      </c>
      <c r="C26" s="2" t="inlineStr">
        <is>
          <t xml:space="preserve">2005/06</t>
        </is>
      </c>
      <c r="D26">
        <v>7.184</v>
      </c>
      <c r="E26">
        <v>22.01</v>
      </c>
      <c r="F26">
        <v>26.74</v>
      </c>
      <c r="G26">
        <v>17.72</v>
      </c>
      <c r="H26">
        <v>6.61</v>
      </c>
      <c r="I26">
        <v>2.675</v>
      </c>
      <c r="J26">
        <v>23.43</v>
      </c>
      <c r="K26">
        <v>28.22</v>
      </c>
      <c r="L26">
        <v>19.53</v>
      </c>
      <c r="M26">
        <v>3.11</v>
      </c>
      <c r="N26">
        <v>2.313</v>
      </c>
      <c r="O26">
        <v>23.4</v>
      </c>
      <c r="P26">
        <v>28.07</v>
      </c>
      <c r="Q26">
        <v>20.24</v>
      </c>
      <c r="R26">
        <v>1.76</v>
      </c>
    </row>
    <row r="27">
      <c r="A27" s="9">
        <v>38558</v>
      </c>
      <c r="B27" s="2" t="inlineStr">
        <is>
          <t xml:space="preserve">2005-07</t>
        </is>
      </c>
      <c r="C27" s="2" t="inlineStr">
        <is>
          <t xml:space="preserve">2005/06</t>
        </is>
      </c>
      <c r="D27">
        <v>6.949</v>
      </c>
      <c r="E27">
        <v>22.26</v>
      </c>
      <c r="F27">
        <v>26.42</v>
      </c>
      <c r="G27">
        <v>19.03</v>
      </c>
      <c r="H27">
        <v>5.83</v>
      </c>
      <c r="I27">
        <v>6.896</v>
      </c>
      <c r="J27">
        <v>23.64</v>
      </c>
      <c r="K27">
        <v>28.55</v>
      </c>
      <c r="L27">
        <v>19.79</v>
      </c>
      <c r="M27">
        <v>3.78</v>
      </c>
      <c r="N27">
        <v>0.733</v>
      </c>
      <c r="O27">
        <v>23.53</v>
      </c>
      <c r="P27">
        <v>27.86</v>
      </c>
      <c r="Q27">
        <v>20.66</v>
      </c>
      <c r="R27">
        <v>1.47</v>
      </c>
    </row>
    <row r="28">
      <c r="A28" s="9">
        <v>38559</v>
      </c>
      <c r="B28" s="2" t="inlineStr">
        <is>
          <t xml:space="preserve">2005-07</t>
        </is>
      </c>
      <c r="C28" s="2" t="inlineStr">
        <is>
          <t xml:space="preserve">2005/06</t>
        </is>
      </c>
      <c r="D28">
        <v>1.0</v>
      </c>
      <c r="E28">
        <v>22.65</v>
      </c>
      <c r="F28">
        <v>27.51</v>
      </c>
      <c r="G28">
        <v>18.99</v>
      </c>
      <c r="H28">
        <v>0.44</v>
      </c>
      <c r="I28">
        <v>1.336</v>
      </c>
      <c r="J28">
        <v>23.16</v>
      </c>
      <c r="K28">
        <v>27.37</v>
      </c>
      <c r="L28">
        <v>20.24</v>
      </c>
      <c r="M28">
        <v>0.87</v>
      </c>
      <c r="N28">
        <v>0.178</v>
      </c>
      <c r="O28">
        <v>23.63</v>
      </c>
      <c r="P28">
        <v>28.03</v>
      </c>
      <c r="Q28">
        <v>21.05</v>
      </c>
      <c r="R28">
        <v>0.65</v>
      </c>
    </row>
    <row r="29">
      <c r="A29" s="9">
        <v>38560</v>
      </c>
      <c r="B29" s="2" t="inlineStr">
        <is>
          <t xml:space="preserve">2005-07</t>
        </is>
      </c>
      <c r="C29" s="2" t="inlineStr">
        <is>
          <t xml:space="preserve">2005/06</t>
        </is>
      </c>
      <c r="D29">
        <v>0.297</v>
      </c>
      <c r="E29">
        <v>22.54</v>
      </c>
      <c r="F29">
        <v>27.58</v>
      </c>
      <c r="G29">
        <v>18.5</v>
      </c>
      <c r="H29">
        <v>1.1</v>
      </c>
      <c r="I29">
        <v>0.216</v>
      </c>
      <c r="J29">
        <v>22.98</v>
      </c>
      <c r="K29">
        <v>27.35</v>
      </c>
      <c r="L29">
        <v>19.48</v>
      </c>
      <c r="M29">
        <v>1.02</v>
      </c>
      <c r="N29">
        <v>1.222</v>
      </c>
      <c r="O29">
        <v>23.23</v>
      </c>
      <c r="P29">
        <v>27.83</v>
      </c>
      <c r="Q29">
        <v>20.3</v>
      </c>
      <c r="R29">
        <v>1.53</v>
      </c>
    </row>
    <row r="30">
      <c r="A30" s="9">
        <v>38561</v>
      </c>
      <c r="B30" s="2" t="inlineStr">
        <is>
          <t xml:space="preserve">2005-07</t>
        </is>
      </c>
      <c r="C30" s="2" t="inlineStr">
        <is>
          <t xml:space="preserve">2005/06</t>
        </is>
      </c>
      <c r="D30">
        <v>0.118</v>
      </c>
      <c r="E30">
        <v>22.09</v>
      </c>
      <c r="F30">
        <v>26.58</v>
      </c>
      <c r="G30">
        <v>18.54</v>
      </c>
      <c r="H30">
        <v>0.5</v>
      </c>
      <c r="I30">
        <v>1.554</v>
      </c>
      <c r="J30">
        <v>22.76</v>
      </c>
      <c r="K30">
        <v>26.91</v>
      </c>
      <c r="L30">
        <v>19.63</v>
      </c>
      <c r="M30">
        <v>1.03</v>
      </c>
      <c r="N30">
        <v>0.207</v>
      </c>
      <c r="O30">
        <v>23.29</v>
      </c>
      <c r="P30">
        <v>27.55</v>
      </c>
      <c r="Q30">
        <v>20.22</v>
      </c>
      <c r="R30">
        <v>0.51</v>
      </c>
    </row>
    <row r="31">
      <c r="A31" s="9">
        <v>38562</v>
      </c>
      <c r="B31" s="2" t="inlineStr">
        <is>
          <t xml:space="preserve">2005-07</t>
        </is>
      </c>
      <c r="C31" s="2" t="inlineStr">
        <is>
          <t xml:space="preserve">2005/06</t>
        </is>
      </c>
      <c r="D31">
        <v>0.438</v>
      </c>
      <c r="E31">
        <v>22.05</v>
      </c>
      <c r="F31">
        <v>26.26</v>
      </c>
      <c r="G31">
        <v>18.75</v>
      </c>
      <c r="H31">
        <v>0.89</v>
      </c>
      <c r="I31">
        <v>1.78</v>
      </c>
      <c r="J31">
        <v>22.56</v>
      </c>
      <c r="K31">
        <v>26.44</v>
      </c>
      <c r="L31">
        <v>19.84</v>
      </c>
      <c r="M31">
        <v>1.05</v>
      </c>
      <c r="N31">
        <v>0.193</v>
      </c>
      <c r="O31">
        <v>22.92</v>
      </c>
      <c r="P31">
        <v>26.47</v>
      </c>
      <c r="Q31">
        <v>20.31</v>
      </c>
      <c r="R31">
        <v>0.98</v>
      </c>
    </row>
    <row r="32">
      <c r="A32" s="9">
        <v>38563</v>
      </c>
      <c r="B32" s="2" t="inlineStr">
        <is>
          <t xml:space="preserve">2005-07</t>
        </is>
      </c>
      <c r="C32" s="2" t="inlineStr">
        <is>
          <t xml:space="preserve">2005/06</t>
        </is>
      </c>
      <c r="D32">
        <v>0.102</v>
      </c>
      <c r="E32">
        <v>22.2</v>
      </c>
      <c r="F32">
        <v>27.51</v>
      </c>
      <c r="G32">
        <v>17.75</v>
      </c>
      <c r="H32">
        <v>0.28</v>
      </c>
      <c r="I32">
        <v>0.113</v>
      </c>
      <c r="J32">
        <v>22.99</v>
      </c>
      <c r="K32">
        <v>27.2</v>
      </c>
      <c r="L32">
        <v>19.74</v>
      </c>
      <c r="M32">
        <v>0.25</v>
      </c>
      <c r="N32">
        <v>0.501</v>
      </c>
      <c r="O32">
        <v>23.42</v>
      </c>
      <c r="P32">
        <v>27.76</v>
      </c>
      <c r="Q32">
        <v>20.57</v>
      </c>
      <c r="R32">
        <v>0.53</v>
      </c>
    </row>
    <row r="33">
      <c r="A33" s="9">
        <v>38564</v>
      </c>
      <c r="B33" s="2" t="inlineStr">
        <is>
          <t xml:space="preserve">2005-07</t>
        </is>
      </c>
      <c r="C33" s="2" t="inlineStr">
        <is>
          <t xml:space="preserve">2005/06</t>
        </is>
      </c>
      <c r="D33">
        <v>0.0</v>
      </c>
      <c r="E33">
        <v>22.27</v>
      </c>
      <c r="F33">
        <v>26.89</v>
      </c>
      <c r="G33">
        <v>18.79</v>
      </c>
      <c r="H33">
        <v>0.23</v>
      </c>
      <c r="I33">
        <v>0.253</v>
      </c>
      <c r="J33">
        <v>22.7</v>
      </c>
      <c r="K33">
        <v>27.08</v>
      </c>
      <c r="L33">
        <v>19.49</v>
      </c>
      <c r="M33">
        <v>0.17</v>
      </c>
      <c r="N33">
        <v>0.05</v>
      </c>
      <c r="O33">
        <v>22.98</v>
      </c>
      <c r="P33">
        <v>27.31</v>
      </c>
      <c r="Q33">
        <v>19.98</v>
      </c>
      <c r="R33">
        <v>0.2</v>
      </c>
    </row>
    <row r="34">
      <c r="A34" s="9">
        <v>38565</v>
      </c>
      <c r="B34" s="2" t="inlineStr">
        <is>
          <t xml:space="preserve">2005-08</t>
        </is>
      </c>
      <c r="C34" s="2" t="inlineStr">
        <is>
          <t xml:space="preserve">2005/06</t>
        </is>
      </c>
      <c r="D34">
        <v>0.141</v>
      </c>
      <c r="E34">
        <v>22.44</v>
      </c>
      <c r="F34">
        <v>26.63</v>
      </c>
      <c r="G34">
        <v>18.53</v>
      </c>
      <c r="H34">
        <v>1.28</v>
      </c>
      <c r="I34">
        <v>0.587</v>
      </c>
      <c r="J34">
        <v>23.0</v>
      </c>
      <c r="K34">
        <v>27.19</v>
      </c>
      <c r="L34">
        <v>19.04</v>
      </c>
      <c r="M34">
        <v>1.28</v>
      </c>
      <c r="N34">
        <v>0.08</v>
      </c>
      <c r="O34">
        <v>23.33</v>
      </c>
      <c r="P34">
        <v>27.96</v>
      </c>
      <c r="Q34">
        <v>19.63</v>
      </c>
      <c r="R34">
        <v>0.62</v>
      </c>
    </row>
    <row r="35">
      <c r="A35" s="9">
        <v>38566</v>
      </c>
      <c r="B35" s="2" t="inlineStr">
        <is>
          <t xml:space="preserve">2005-08</t>
        </is>
      </c>
      <c r="C35" s="2" t="inlineStr">
        <is>
          <t xml:space="preserve">2005/06</t>
        </is>
      </c>
      <c r="D35">
        <v>4.655</v>
      </c>
      <c r="E35">
        <v>22.54</v>
      </c>
      <c r="F35">
        <v>26.09</v>
      </c>
      <c r="G35">
        <v>19.61</v>
      </c>
      <c r="H35">
        <v>6.29</v>
      </c>
      <c r="I35">
        <v>2.937</v>
      </c>
      <c r="J35">
        <v>22.72</v>
      </c>
      <c r="K35">
        <v>25.94</v>
      </c>
      <c r="L35">
        <v>19.95</v>
      </c>
      <c r="M35">
        <v>5.06</v>
      </c>
      <c r="N35">
        <v>0.696</v>
      </c>
      <c r="O35">
        <v>23.13</v>
      </c>
      <c r="P35">
        <v>26.11</v>
      </c>
      <c r="Q35">
        <v>21.04</v>
      </c>
      <c r="R35">
        <v>3.05</v>
      </c>
    </row>
    <row r="36">
      <c r="A36" s="9">
        <v>38567</v>
      </c>
      <c r="B36" s="2" t="inlineStr">
        <is>
          <t xml:space="preserve">2005-08</t>
        </is>
      </c>
      <c r="C36" s="2" t="inlineStr">
        <is>
          <t xml:space="preserve">2005/06</t>
        </is>
      </c>
      <c r="D36">
        <v>10.258</v>
      </c>
      <c r="E36">
        <v>22.47</v>
      </c>
      <c r="F36">
        <v>26.48</v>
      </c>
      <c r="G36">
        <v>19.42</v>
      </c>
      <c r="H36">
        <v>4.77</v>
      </c>
      <c r="I36">
        <v>1.258</v>
      </c>
      <c r="J36">
        <v>22.35</v>
      </c>
      <c r="K36">
        <v>26.48</v>
      </c>
      <c r="L36">
        <v>19.08</v>
      </c>
      <c r="M36">
        <v>3.09</v>
      </c>
      <c r="N36">
        <v>0.98</v>
      </c>
      <c r="O36">
        <v>22.5</v>
      </c>
      <c r="P36">
        <v>25.98</v>
      </c>
      <c r="Q36">
        <v>20.23</v>
      </c>
      <c r="R36">
        <v>2.29</v>
      </c>
    </row>
    <row r="37">
      <c r="A37" s="9">
        <v>38568</v>
      </c>
      <c r="B37" s="2" t="inlineStr">
        <is>
          <t xml:space="preserve">2005-08</t>
        </is>
      </c>
      <c r="C37" s="2" t="inlineStr">
        <is>
          <t xml:space="preserve">2005/06</t>
        </is>
      </c>
      <c r="D37">
        <v>0.353</v>
      </c>
      <c r="E37">
        <v>22.53</v>
      </c>
      <c r="F37">
        <v>26.84</v>
      </c>
      <c r="G37">
        <v>18.93</v>
      </c>
      <c r="H37">
        <v>1.66</v>
      </c>
      <c r="I37">
        <v>13.498</v>
      </c>
      <c r="J37">
        <v>22.78</v>
      </c>
      <c r="K37">
        <v>26.81</v>
      </c>
      <c r="L37">
        <v>19.97</v>
      </c>
      <c r="M37">
        <v>9.65</v>
      </c>
      <c r="N37">
        <v>5.357</v>
      </c>
      <c r="O37">
        <v>23.24</v>
      </c>
      <c r="P37">
        <v>26.97</v>
      </c>
      <c r="Q37">
        <v>20.97</v>
      </c>
      <c r="R37">
        <v>4.64</v>
      </c>
    </row>
    <row r="38">
      <c r="A38" s="9">
        <v>38569</v>
      </c>
      <c r="B38" s="2" t="inlineStr">
        <is>
          <t xml:space="preserve">2005-08</t>
        </is>
      </c>
      <c r="C38" s="2" t="inlineStr">
        <is>
          <t xml:space="preserve">2005/06</t>
        </is>
      </c>
      <c r="D38">
        <v>0.106</v>
      </c>
      <c r="E38">
        <v>22.54</v>
      </c>
      <c r="F38">
        <v>27.44</v>
      </c>
      <c r="G38">
        <v>18.75</v>
      </c>
      <c r="H38">
        <v>0.17</v>
      </c>
      <c r="I38">
        <v>3.837</v>
      </c>
      <c r="J38">
        <v>22.97</v>
      </c>
      <c r="K38">
        <v>26.89</v>
      </c>
      <c r="L38">
        <v>20.42</v>
      </c>
      <c r="M38">
        <v>1.21</v>
      </c>
      <c r="N38">
        <v>0.399</v>
      </c>
      <c r="O38">
        <v>23.4</v>
      </c>
      <c r="P38">
        <v>27.26</v>
      </c>
      <c r="Q38">
        <v>21.37</v>
      </c>
      <c r="R38">
        <v>0.71</v>
      </c>
    </row>
    <row r="39">
      <c r="A39" s="9">
        <v>38570</v>
      </c>
      <c r="B39" s="2" t="inlineStr">
        <is>
          <t xml:space="preserve">2005-08</t>
        </is>
      </c>
      <c r="C39" s="2" t="inlineStr">
        <is>
          <t xml:space="preserve">2005/06</t>
        </is>
      </c>
      <c r="D39">
        <v>0.074</v>
      </c>
      <c r="E39">
        <v>22.0</v>
      </c>
      <c r="F39">
        <v>26.12</v>
      </c>
      <c r="G39">
        <v>18.16</v>
      </c>
      <c r="H39">
        <v>0.35</v>
      </c>
      <c r="I39">
        <v>0.043</v>
      </c>
      <c r="J39">
        <v>23.0</v>
      </c>
      <c r="K39">
        <v>26.91</v>
      </c>
      <c r="L39">
        <v>19.74</v>
      </c>
      <c r="M39">
        <v>5.89</v>
      </c>
      <c r="N39">
        <v>0.037</v>
      </c>
      <c r="O39">
        <v>23.29</v>
      </c>
      <c r="P39">
        <v>26.97</v>
      </c>
      <c r="Q39">
        <v>20.44</v>
      </c>
      <c r="R39">
        <v>4.12</v>
      </c>
    </row>
    <row r="40">
      <c r="A40" s="9">
        <v>38571</v>
      </c>
      <c r="B40" s="2" t="inlineStr">
        <is>
          <t xml:space="preserve">2005-08</t>
        </is>
      </c>
      <c r="C40" s="2" t="inlineStr">
        <is>
          <t xml:space="preserve">2005/06</t>
        </is>
      </c>
      <c r="D40">
        <v>0.07</v>
      </c>
      <c r="E40">
        <v>22.09</v>
      </c>
      <c r="F40">
        <v>27.17</v>
      </c>
      <c r="G40">
        <v>18.43</v>
      </c>
      <c r="H40">
        <v>0.21</v>
      </c>
      <c r="I40">
        <v>10.796</v>
      </c>
      <c r="J40">
        <v>23.24</v>
      </c>
      <c r="K40">
        <v>27.75</v>
      </c>
      <c r="L40">
        <v>20.29</v>
      </c>
      <c r="M40">
        <v>5.91</v>
      </c>
      <c r="N40">
        <v>7.536</v>
      </c>
      <c r="O40">
        <v>23.4</v>
      </c>
      <c r="P40">
        <v>28.23</v>
      </c>
      <c r="Q40">
        <v>20.92</v>
      </c>
      <c r="R40">
        <v>5.64</v>
      </c>
    </row>
    <row r="41">
      <c r="A41" s="9">
        <v>38572</v>
      </c>
      <c r="B41" s="2" t="inlineStr">
        <is>
          <t xml:space="preserve">2005-08</t>
        </is>
      </c>
      <c r="C41" s="2" t="inlineStr">
        <is>
          <t xml:space="preserve">2005/06</t>
        </is>
      </c>
      <c r="D41">
        <v>0.0</v>
      </c>
      <c r="E41">
        <v>22.23</v>
      </c>
      <c r="F41">
        <v>27.94</v>
      </c>
      <c r="G41">
        <v>16.75</v>
      </c>
      <c r="H41">
        <v>0.23</v>
      </c>
      <c r="I41">
        <v>0.0</v>
      </c>
      <c r="J41">
        <v>22.74</v>
      </c>
      <c r="K41">
        <v>27.42</v>
      </c>
      <c r="L41">
        <v>19.07</v>
      </c>
      <c r="M41">
        <v>0.22</v>
      </c>
      <c r="N41">
        <v>0.0</v>
      </c>
      <c r="O41">
        <v>23.38</v>
      </c>
      <c r="P41">
        <v>27.59</v>
      </c>
      <c r="Q41">
        <v>20.35</v>
      </c>
      <c r="R41">
        <v>0.58</v>
      </c>
    </row>
    <row r="42">
      <c r="A42" s="9">
        <v>38573</v>
      </c>
      <c r="B42" s="2" t="inlineStr">
        <is>
          <t xml:space="preserve">2005-08</t>
        </is>
      </c>
      <c r="C42" s="2" t="inlineStr">
        <is>
          <t xml:space="preserve">2005/06</t>
        </is>
      </c>
      <c r="D42">
        <v>0.277</v>
      </c>
      <c r="E42">
        <v>22.56</v>
      </c>
      <c r="F42">
        <v>27.08</v>
      </c>
      <c r="G42">
        <v>18.98</v>
      </c>
      <c r="H42">
        <v>2.28</v>
      </c>
      <c r="I42">
        <v>0.068</v>
      </c>
      <c r="J42">
        <v>22.37</v>
      </c>
      <c r="K42">
        <v>25.37</v>
      </c>
      <c r="L42">
        <v>20.1</v>
      </c>
      <c r="M42">
        <v>1.45</v>
      </c>
      <c r="N42">
        <v>1.041</v>
      </c>
      <c r="O42">
        <v>22.9</v>
      </c>
      <c r="P42">
        <v>26.37</v>
      </c>
      <c r="Q42">
        <v>21.26</v>
      </c>
      <c r="R42">
        <v>3.42</v>
      </c>
    </row>
    <row r="43">
      <c r="A43" s="9">
        <v>38574</v>
      </c>
      <c r="B43" s="2" t="inlineStr">
        <is>
          <t xml:space="preserve">2005-08</t>
        </is>
      </c>
      <c r="C43" s="2" t="inlineStr">
        <is>
          <t xml:space="preserve">2005/06</t>
        </is>
      </c>
      <c r="D43">
        <v>0.362</v>
      </c>
      <c r="E43">
        <v>22.53</v>
      </c>
      <c r="F43">
        <v>27.78</v>
      </c>
      <c r="G43">
        <v>18.37</v>
      </c>
      <c r="H43">
        <v>0.87</v>
      </c>
      <c r="I43">
        <v>0.287</v>
      </c>
      <c r="J43">
        <v>22.82</v>
      </c>
      <c r="K43">
        <v>26.84</v>
      </c>
      <c r="L43">
        <v>19.5</v>
      </c>
      <c r="M43">
        <v>0.34</v>
      </c>
      <c r="N43">
        <v>0.222</v>
      </c>
      <c r="O43">
        <v>23.46</v>
      </c>
      <c r="P43">
        <v>27.75</v>
      </c>
      <c r="Q43">
        <v>20.67</v>
      </c>
      <c r="R43">
        <v>0.64</v>
      </c>
    </row>
    <row r="44">
      <c r="A44" s="9">
        <v>38575</v>
      </c>
      <c r="B44" s="2" t="inlineStr">
        <is>
          <t xml:space="preserve">2005-08</t>
        </is>
      </c>
      <c r="C44" s="2" t="inlineStr">
        <is>
          <t xml:space="preserve">2005/06</t>
        </is>
      </c>
      <c r="D44">
        <v>3.752</v>
      </c>
      <c r="E44">
        <v>22.45</v>
      </c>
      <c r="F44">
        <v>27.18</v>
      </c>
      <c r="G44">
        <v>18.29</v>
      </c>
      <c r="H44">
        <v>14.25</v>
      </c>
      <c r="I44">
        <v>0.424</v>
      </c>
      <c r="J44">
        <v>22.71</v>
      </c>
      <c r="K44">
        <v>26.33</v>
      </c>
      <c r="L44">
        <v>20.13</v>
      </c>
      <c r="M44">
        <v>15.71</v>
      </c>
      <c r="N44">
        <v>1.846</v>
      </c>
      <c r="O44">
        <v>23.37</v>
      </c>
      <c r="P44">
        <v>27.66</v>
      </c>
      <c r="Q44">
        <v>20.73</v>
      </c>
      <c r="R44">
        <v>19.86</v>
      </c>
    </row>
    <row r="45">
      <c r="A45" s="9">
        <v>38576</v>
      </c>
      <c r="B45" s="2" t="inlineStr">
        <is>
          <t xml:space="preserve">2005-08</t>
        </is>
      </c>
      <c r="C45" s="2" t="inlineStr">
        <is>
          <t xml:space="preserve">2005/06</t>
        </is>
      </c>
      <c r="D45">
        <v>29.701</v>
      </c>
      <c r="E45">
        <v>22.44</v>
      </c>
      <c r="F45">
        <v>26.97</v>
      </c>
      <c r="G45">
        <v>19.21</v>
      </c>
      <c r="H45">
        <v>8.47</v>
      </c>
      <c r="I45">
        <v>35.335</v>
      </c>
      <c r="J45">
        <v>23.38</v>
      </c>
      <c r="K45">
        <v>27.63</v>
      </c>
      <c r="L45">
        <v>20.52</v>
      </c>
      <c r="M45">
        <v>13.57</v>
      </c>
      <c r="N45">
        <v>26.63</v>
      </c>
      <c r="O45">
        <v>23.48</v>
      </c>
      <c r="P45">
        <v>27.73</v>
      </c>
      <c r="Q45">
        <v>20.98</v>
      </c>
      <c r="R45">
        <v>12.28</v>
      </c>
    </row>
    <row r="46">
      <c r="A46" s="9">
        <v>38577</v>
      </c>
      <c r="B46" s="2" t="inlineStr">
        <is>
          <t xml:space="preserve">2005-08</t>
        </is>
      </c>
      <c r="C46" s="2" t="inlineStr">
        <is>
          <t xml:space="preserve">2005/06</t>
        </is>
      </c>
      <c r="D46">
        <v>1.355</v>
      </c>
      <c r="E46">
        <v>22.67</v>
      </c>
      <c r="F46">
        <v>28.21</v>
      </c>
      <c r="G46">
        <v>17.79</v>
      </c>
      <c r="H46">
        <v>2.0</v>
      </c>
      <c r="I46">
        <v>0.778</v>
      </c>
      <c r="J46">
        <v>23.43</v>
      </c>
      <c r="K46">
        <v>28.16</v>
      </c>
      <c r="L46">
        <v>19.51</v>
      </c>
      <c r="M46">
        <v>5.57</v>
      </c>
      <c r="N46">
        <v>0.051</v>
      </c>
      <c r="O46">
        <v>23.36</v>
      </c>
      <c r="P46">
        <v>27.96</v>
      </c>
      <c r="Q46">
        <v>20.04</v>
      </c>
      <c r="R46">
        <v>5.59</v>
      </c>
    </row>
    <row r="47">
      <c r="A47" s="9">
        <v>38578</v>
      </c>
      <c r="B47" s="2" t="inlineStr">
        <is>
          <t xml:space="preserve">2005-08</t>
        </is>
      </c>
      <c r="C47" s="2" t="inlineStr">
        <is>
          <t xml:space="preserve">2005/06</t>
        </is>
      </c>
      <c r="D47">
        <v>5.697</v>
      </c>
      <c r="E47">
        <v>22.52</v>
      </c>
      <c r="F47">
        <v>27.41</v>
      </c>
      <c r="G47">
        <v>18.63</v>
      </c>
      <c r="H47">
        <v>6.1</v>
      </c>
      <c r="I47">
        <v>17.032</v>
      </c>
      <c r="J47">
        <v>22.78</v>
      </c>
      <c r="K47">
        <v>25.63</v>
      </c>
      <c r="L47">
        <v>20.36</v>
      </c>
      <c r="M47">
        <v>14.51</v>
      </c>
      <c r="N47">
        <v>22.415</v>
      </c>
      <c r="O47">
        <v>23.44</v>
      </c>
      <c r="P47">
        <v>27.66</v>
      </c>
      <c r="Q47">
        <v>20.42</v>
      </c>
      <c r="R47">
        <v>14.72</v>
      </c>
    </row>
    <row r="48">
      <c r="A48" s="9">
        <v>38579</v>
      </c>
      <c r="B48" s="2" t="inlineStr">
        <is>
          <t xml:space="preserve">2005-08</t>
        </is>
      </c>
      <c r="C48" s="2" t="inlineStr">
        <is>
          <t xml:space="preserve">2005/06</t>
        </is>
      </c>
      <c r="D48">
        <v>2.155</v>
      </c>
      <c r="E48">
        <v>22.43</v>
      </c>
      <c r="F48">
        <v>27.42</v>
      </c>
      <c r="G48">
        <v>18.7</v>
      </c>
      <c r="H48">
        <v>4.82</v>
      </c>
      <c r="I48">
        <v>3.78</v>
      </c>
      <c r="J48">
        <v>21.9</v>
      </c>
      <c r="K48">
        <v>24.26</v>
      </c>
      <c r="L48">
        <v>19.7</v>
      </c>
      <c r="M48">
        <v>4.66</v>
      </c>
      <c r="N48">
        <v>1.364</v>
      </c>
      <c r="O48">
        <v>22.85</v>
      </c>
      <c r="P48">
        <v>26.73</v>
      </c>
      <c r="Q48">
        <v>20.65</v>
      </c>
      <c r="R48">
        <v>2.49</v>
      </c>
    </row>
    <row r="49">
      <c r="A49" s="9">
        <v>38580</v>
      </c>
      <c r="B49" s="2" t="inlineStr">
        <is>
          <t xml:space="preserve">2005-08</t>
        </is>
      </c>
      <c r="C49" s="2" t="inlineStr">
        <is>
          <t xml:space="preserve">2005/06</t>
        </is>
      </c>
      <c r="D49">
        <v>6.725</v>
      </c>
      <c r="E49">
        <v>21.27</v>
      </c>
      <c r="F49">
        <v>25.18</v>
      </c>
      <c r="G49">
        <v>18.32</v>
      </c>
      <c r="H49">
        <v>6.69</v>
      </c>
      <c r="I49">
        <v>0.639</v>
      </c>
      <c r="J49">
        <v>22.05</v>
      </c>
      <c r="K49">
        <v>26.26</v>
      </c>
      <c r="L49">
        <v>18.9</v>
      </c>
      <c r="M49">
        <v>11.1</v>
      </c>
      <c r="N49">
        <v>1.812</v>
      </c>
      <c r="O49">
        <v>22.61</v>
      </c>
      <c r="P49">
        <v>26.37</v>
      </c>
      <c r="Q49">
        <v>20.05</v>
      </c>
      <c r="R49">
        <v>8.45</v>
      </c>
    </row>
    <row r="50">
      <c r="A50" s="9">
        <v>38581</v>
      </c>
      <c r="B50" s="2" t="inlineStr">
        <is>
          <t xml:space="preserve">2005-08</t>
        </is>
      </c>
      <c r="C50" s="2" t="inlineStr">
        <is>
          <t xml:space="preserve">2005/06</t>
        </is>
      </c>
      <c r="D50">
        <v>9.418</v>
      </c>
      <c r="E50">
        <v>21.29</v>
      </c>
      <c r="F50">
        <v>26.53</v>
      </c>
      <c r="G50">
        <v>16.91</v>
      </c>
      <c r="H50">
        <v>6.33</v>
      </c>
      <c r="I50">
        <v>25.856</v>
      </c>
      <c r="J50">
        <v>22.43</v>
      </c>
      <c r="K50">
        <v>26.39</v>
      </c>
      <c r="L50">
        <v>20.04</v>
      </c>
      <c r="M50">
        <v>12.07</v>
      </c>
      <c r="N50">
        <v>11.101</v>
      </c>
      <c r="O50">
        <v>22.6</v>
      </c>
      <c r="P50">
        <v>26.33</v>
      </c>
      <c r="Q50">
        <v>19.89</v>
      </c>
      <c r="R50">
        <v>9.69</v>
      </c>
    </row>
    <row r="51">
      <c r="A51" s="9">
        <v>38582</v>
      </c>
      <c r="B51" s="2" t="inlineStr">
        <is>
          <t xml:space="preserve">2005-08</t>
        </is>
      </c>
      <c r="C51" s="2" t="inlineStr">
        <is>
          <t xml:space="preserve">2005/06</t>
        </is>
      </c>
      <c r="D51">
        <v>7.09</v>
      </c>
      <c r="E51">
        <v>21.39</v>
      </c>
      <c r="F51">
        <v>26.18</v>
      </c>
      <c r="G51">
        <v>17.48</v>
      </c>
      <c r="H51">
        <v>8.25</v>
      </c>
      <c r="I51">
        <v>10.16</v>
      </c>
      <c r="J51">
        <v>22.31</v>
      </c>
      <c r="K51">
        <v>26.24</v>
      </c>
      <c r="L51">
        <v>19.49</v>
      </c>
      <c r="M51">
        <v>9.82</v>
      </c>
      <c r="N51">
        <v>0.907</v>
      </c>
      <c r="O51">
        <v>22.76</v>
      </c>
      <c r="P51">
        <v>27.22</v>
      </c>
      <c r="Q51">
        <v>19.85</v>
      </c>
      <c r="R51">
        <v>6.22</v>
      </c>
    </row>
    <row r="52">
      <c r="A52" s="9">
        <v>38583</v>
      </c>
      <c r="B52" s="2" t="inlineStr">
        <is>
          <t xml:space="preserve">2005-08</t>
        </is>
      </c>
      <c r="C52" s="2" t="inlineStr">
        <is>
          <t xml:space="preserve">2005/06</t>
        </is>
      </c>
      <c r="D52">
        <v>17.288</v>
      </c>
      <c r="E52">
        <v>21.89</v>
      </c>
      <c r="F52">
        <v>26.31</v>
      </c>
      <c r="G52">
        <v>18.67</v>
      </c>
      <c r="H52">
        <v>10.58</v>
      </c>
      <c r="I52">
        <v>12.385</v>
      </c>
      <c r="J52">
        <v>21.82</v>
      </c>
      <c r="K52">
        <v>24.6</v>
      </c>
      <c r="L52">
        <v>19.75</v>
      </c>
      <c r="M52">
        <v>6.96</v>
      </c>
      <c r="N52">
        <v>8.714</v>
      </c>
      <c r="O52">
        <v>22.56</v>
      </c>
      <c r="P52">
        <v>25.77</v>
      </c>
      <c r="Q52">
        <v>20.0</v>
      </c>
      <c r="R52">
        <v>8.65</v>
      </c>
    </row>
    <row r="53">
      <c r="A53" s="9">
        <v>38584</v>
      </c>
      <c r="B53" s="2" t="inlineStr">
        <is>
          <t xml:space="preserve">2005-08</t>
        </is>
      </c>
      <c r="C53" s="2" t="inlineStr">
        <is>
          <t xml:space="preserve">2005/06</t>
        </is>
      </c>
      <c r="D53">
        <v>12.522</v>
      </c>
      <c r="E53">
        <v>21.87</v>
      </c>
      <c r="F53">
        <v>25.81</v>
      </c>
      <c r="G53">
        <v>19.45</v>
      </c>
      <c r="H53">
        <v>9.37</v>
      </c>
      <c r="I53">
        <v>1.095</v>
      </c>
      <c r="J53">
        <v>22.25</v>
      </c>
      <c r="K53">
        <v>26.27</v>
      </c>
      <c r="L53">
        <v>19.51</v>
      </c>
      <c r="M53">
        <v>3.14</v>
      </c>
      <c r="N53">
        <v>3.405</v>
      </c>
      <c r="O53">
        <v>22.81</v>
      </c>
      <c r="P53">
        <v>26.94</v>
      </c>
      <c r="Q53">
        <v>20.31</v>
      </c>
      <c r="R53">
        <v>5.0</v>
      </c>
    </row>
    <row r="54">
      <c r="A54" s="9">
        <v>38585</v>
      </c>
      <c r="B54" s="2" t="inlineStr">
        <is>
          <t xml:space="preserve">2005-08</t>
        </is>
      </c>
      <c r="C54" s="2" t="inlineStr">
        <is>
          <t xml:space="preserve">2005/06</t>
        </is>
      </c>
      <c r="D54">
        <v>2.093</v>
      </c>
      <c r="E54">
        <v>22.05</v>
      </c>
      <c r="F54">
        <v>26.75</v>
      </c>
      <c r="G54">
        <v>17.74</v>
      </c>
      <c r="H54">
        <v>3.47</v>
      </c>
      <c r="I54">
        <v>0.029</v>
      </c>
      <c r="J54">
        <v>22.85</v>
      </c>
      <c r="K54">
        <v>26.35</v>
      </c>
      <c r="L54">
        <v>20.14</v>
      </c>
      <c r="M54">
        <v>5.54</v>
      </c>
      <c r="N54">
        <v>0.12</v>
      </c>
      <c r="O54">
        <v>23.09</v>
      </c>
      <c r="P54">
        <v>27.51</v>
      </c>
      <c r="Q54">
        <v>20.28</v>
      </c>
      <c r="R54">
        <v>7.78</v>
      </c>
    </row>
    <row r="55">
      <c r="A55" s="9">
        <v>38586</v>
      </c>
      <c r="B55" s="2" t="inlineStr">
        <is>
          <t xml:space="preserve">2005-08</t>
        </is>
      </c>
      <c r="C55" s="2" t="inlineStr">
        <is>
          <t xml:space="preserve">2005/06</t>
        </is>
      </c>
      <c r="D55">
        <v>5.496</v>
      </c>
      <c r="E55">
        <v>22.29</v>
      </c>
      <c r="F55">
        <v>26.57</v>
      </c>
      <c r="G55">
        <v>18.33</v>
      </c>
      <c r="H55">
        <v>4.89</v>
      </c>
      <c r="I55">
        <v>11.123</v>
      </c>
      <c r="J55">
        <v>22.96</v>
      </c>
      <c r="K55">
        <v>26.59</v>
      </c>
      <c r="L55">
        <v>20.53</v>
      </c>
      <c r="M55">
        <v>12.55</v>
      </c>
      <c r="N55">
        <v>27.783</v>
      </c>
      <c r="O55">
        <v>22.96</v>
      </c>
      <c r="P55">
        <v>26.03</v>
      </c>
      <c r="Q55">
        <v>20.36</v>
      </c>
      <c r="R55">
        <v>17.19</v>
      </c>
    </row>
    <row r="56">
      <c r="A56" s="9">
        <v>38587</v>
      </c>
      <c r="B56" s="2" t="inlineStr">
        <is>
          <t xml:space="preserve">2005-08</t>
        </is>
      </c>
      <c r="C56" s="2" t="inlineStr">
        <is>
          <t xml:space="preserve">2005/06</t>
        </is>
      </c>
      <c r="D56">
        <v>4.541</v>
      </c>
      <c r="E56">
        <v>22.56</v>
      </c>
      <c r="F56">
        <v>26.57</v>
      </c>
      <c r="G56">
        <v>19.03</v>
      </c>
      <c r="H56">
        <v>3.75</v>
      </c>
      <c r="I56">
        <v>0.236</v>
      </c>
      <c r="J56">
        <v>22.22</v>
      </c>
      <c r="K56">
        <v>26.09</v>
      </c>
      <c r="L56">
        <v>19.93</v>
      </c>
      <c r="M56">
        <v>1.75</v>
      </c>
      <c r="N56">
        <v>1.114</v>
      </c>
      <c r="O56">
        <v>23.4</v>
      </c>
      <c r="P56">
        <v>27.42</v>
      </c>
      <c r="Q56">
        <v>20.79</v>
      </c>
      <c r="R56">
        <v>3.41</v>
      </c>
    </row>
    <row r="57">
      <c r="A57" s="9">
        <v>38588</v>
      </c>
      <c r="B57" s="2" t="inlineStr">
        <is>
          <t xml:space="preserve">2005-08</t>
        </is>
      </c>
      <c r="C57" s="2" t="inlineStr">
        <is>
          <t xml:space="preserve">2005/06</t>
        </is>
      </c>
      <c r="D57">
        <v>3.851</v>
      </c>
      <c r="E57">
        <v>22.78</v>
      </c>
      <c r="F57">
        <v>27.33</v>
      </c>
      <c r="G57">
        <v>18.78</v>
      </c>
      <c r="H57">
        <v>10.12</v>
      </c>
      <c r="I57">
        <v>0.69</v>
      </c>
      <c r="J57">
        <v>22.54</v>
      </c>
      <c r="K57">
        <v>26.61</v>
      </c>
      <c r="L57">
        <v>19.48</v>
      </c>
      <c r="M57">
        <v>3.82</v>
      </c>
      <c r="N57">
        <v>0.113</v>
      </c>
      <c r="O57">
        <v>23.28</v>
      </c>
      <c r="P57">
        <v>26.97</v>
      </c>
      <c r="Q57">
        <v>20.53</v>
      </c>
      <c r="R57">
        <v>2.92</v>
      </c>
    </row>
    <row r="58">
      <c r="A58" s="9">
        <v>38589</v>
      </c>
      <c r="B58" s="2" t="inlineStr">
        <is>
          <t xml:space="preserve">2005-08</t>
        </is>
      </c>
      <c r="C58" s="2" t="inlineStr">
        <is>
          <t xml:space="preserve">2005/06</t>
        </is>
      </c>
      <c r="D58">
        <v>24.423</v>
      </c>
      <c r="E58">
        <v>22.84</v>
      </c>
      <c r="F58">
        <v>28.59</v>
      </c>
      <c r="G58">
        <v>18.18</v>
      </c>
      <c r="H58">
        <v>6.08</v>
      </c>
      <c r="I58">
        <v>7.314</v>
      </c>
      <c r="J58">
        <v>23.17</v>
      </c>
      <c r="K58">
        <v>27.42</v>
      </c>
      <c r="L58">
        <v>19.69</v>
      </c>
      <c r="M58">
        <v>4.08</v>
      </c>
      <c r="N58">
        <v>1.375</v>
      </c>
      <c r="O58">
        <v>24.14</v>
      </c>
      <c r="P58">
        <v>29.05</v>
      </c>
      <c r="Q58">
        <v>20.16</v>
      </c>
      <c r="R58">
        <v>2.8</v>
      </c>
    </row>
    <row r="59">
      <c r="A59" s="9">
        <v>38590</v>
      </c>
      <c r="B59" s="2" t="inlineStr">
        <is>
          <t xml:space="preserve">2005-08</t>
        </is>
      </c>
      <c r="C59" s="2" t="inlineStr">
        <is>
          <t xml:space="preserve">2005/06</t>
        </is>
      </c>
      <c r="D59">
        <v>1.497</v>
      </c>
      <c r="E59">
        <v>22.69</v>
      </c>
      <c r="F59">
        <v>27.9</v>
      </c>
      <c r="G59">
        <v>17.8</v>
      </c>
      <c r="H59">
        <v>3.57</v>
      </c>
      <c r="I59">
        <v>5.207</v>
      </c>
      <c r="J59">
        <v>22.38</v>
      </c>
      <c r="K59">
        <v>25.34</v>
      </c>
      <c r="L59">
        <v>20.16</v>
      </c>
      <c r="M59">
        <v>2.83</v>
      </c>
      <c r="N59">
        <v>0.238</v>
      </c>
      <c r="O59">
        <v>24.0</v>
      </c>
      <c r="P59">
        <v>28.86</v>
      </c>
      <c r="Q59">
        <v>20.67</v>
      </c>
      <c r="R59">
        <v>1.66</v>
      </c>
    </row>
    <row r="60">
      <c r="A60" s="9">
        <v>38591</v>
      </c>
      <c r="B60" s="2" t="inlineStr">
        <is>
          <t xml:space="preserve">2005-08</t>
        </is>
      </c>
      <c r="C60" s="2" t="inlineStr">
        <is>
          <t xml:space="preserve">2005/06</t>
        </is>
      </c>
      <c r="D60">
        <v>6.475</v>
      </c>
      <c r="E60">
        <v>23.16</v>
      </c>
      <c r="F60">
        <v>28.08</v>
      </c>
      <c r="G60">
        <v>18.41</v>
      </c>
      <c r="H60">
        <v>6.0</v>
      </c>
      <c r="I60">
        <v>0.585</v>
      </c>
      <c r="J60">
        <v>23.73</v>
      </c>
      <c r="K60">
        <v>28.73</v>
      </c>
      <c r="L60">
        <v>19.6</v>
      </c>
      <c r="M60">
        <v>1.61</v>
      </c>
      <c r="N60">
        <v>1.626</v>
      </c>
      <c r="O60">
        <v>24.76</v>
      </c>
      <c r="P60">
        <v>29.87</v>
      </c>
      <c r="Q60">
        <v>19.96</v>
      </c>
      <c r="R60">
        <v>1.78</v>
      </c>
    </row>
    <row r="61">
      <c r="A61" s="9">
        <v>38592</v>
      </c>
      <c r="B61" s="2" t="inlineStr">
        <is>
          <t xml:space="preserve">2005-08</t>
        </is>
      </c>
      <c r="C61" s="2" t="inlineStr">
        <is>
          <t xml:space="preserve">2005/06</t>
        </is>
      </c>
      <c r="D61">
        <v>2.478</v>
      </c>
      <c r="E61">
        <v>22.13</v>
      </c>
      <c r="F61">
        <v>25.79</v>
      </c>
      <c r="G61">
        <v>19.52</v>
      </c>
      <c r="H61">
        <v>5.37</v>
      </c>
      <c r="I61">
        <v>0.376</v>
      </c>
      <c r="J61">
        <v>22.12</v>
      </c>
      <c r="K61">
        <v>25.23</v>
      </c>
      <c r="L61">
        <v>20.29</v>
      </c>
      <c r="M61">
        <v>1.26</v>
      </c>
      <c r="N61">
        <v>0.659</v>
      </c>
      <c r="O61">
        <v>22.94</v>
      </c>
      <c r="P61">
        <v>25.86</v>
      </c>
      <c r="Q61">
        <v>20.79</v>
      </c>
      <c r="R61">
        <v>2.09</v>
      </c>
    </row>
    <row r="62">
      <c r="A62" s="9">
        <v>38593</v>
      </c>
      <c r="B62" s="2" t="inlineStr">
        <is>
          <t xml:space="preserve">2005-08</t>
        </is>
      </c>
      <c r="C62" s="2" t="inlineStr">
        <is>
          <t xml:space="preserve">2005/06</t>
        </is>
      </c>
      <c r="D62">
        <v>7.564</v>
      </c>
      <c r="E62">
        <v>22.1</v>
      </c>
      <c r="F62">
        <v>26.35</v>
      </c>
      <c r="G62">
        <v>18.89</v>
      </c>
      <c r="H62">
        <v>4.11</v>
      </c>
      <c r="I62">
        <v>1.411</v>
      </c>
      <c r="J62">
        <v>22.32</v>
      </c>
      <c r="K62">
        <v>26.48</v>
      </c>
      <c r="L62">
        <v>19.36</v>
      </c>
      <c r="M62">
        <v>1.54</v>
      </c>
      <c r="N62">
        <v>0.829</v>
      </c>
      <c r="O62">
        <v>23.48</v>
      </c>
      <c r="P62">
        <v>28.6</v>
      </c>
      <c r="Q62">
        <v>19.18</v>
      </c>
      <c r="R62">
        <v>2.28</v>
      </c>
    </row>
    <row r="63">
      <c r="A63" s="9">
        <v>38594</v>
      </c>
      <c r="B63" s="2" t="inlineStr">
        <is>
          <t xml:space="preserve">2005-08</t>
        </is>
      </c>
      <c r="C63" s="2" t="inlineStr">
        <is>
          <t xml:space="preserve">2005/06</t>
        </is>
      </c>
      <c r="D63">
        <v>0.342</v>
      </c>
      <c r="E63">
        <v>22.89</v>
      </c>
      <c r="F63">
        <v>27.74</v>
      </c>
      <c r="G63">
        <v>18.61</v>
      </c>
      <c r="H63">
        <v>1.14</v>
      </c>
      <c r="I63">
        <v>0.057</v>
      </c>
      <c r="J63">
        <v>22.78</v>
      </c>
      <c r="K63">
        <v>27.69</v>
      </c>
      <c r="L63">
        <v>19.24</v>
      </c>
      <c r="M63">
        <v>0.59</v>
      </c>
      <c r="N63">
        <v>0.654</v>
      </c>
      <c r="O63">
        <v>23.97</v>
      </c>
      <c r="P63">
        <v>28.48</v>
      </c>
      <c r="Q63">
        <v>20.06</v>
      </c>
      <c r="R63">
        <v>1.44</v>
      </c>
    </row>
    <row r="64">
      <c r="A64" s="9">
        <v>38595</v>
      </c>
      <c r="B64" s="2" t="inlineStr">
        <is>
          <t xml:space="preserve">2005-08</t>
        </is>
      </c>
      <c r="C64" s="2" t="inlineStr">
        <is>
          <t xml:space="preserve">2005/06</t>
        </is>
      </c>
      <c r="D64">
        <v>0.03</v>
      </c>
      <c r="E64">
        <v>23.33</v>
      </c>
      <c r="F64">
        <v>27.38</v>
      </c>
      <c r="G64">
        <v>19.13</v>
      </c>
      <c r="H64">
        <v>0.61</v>
      </c>
      <c r="I64">
        <v>0.0</v>
      </c>
      <c r="J64">
        <v>24.03</v>
      </c>
      <c r="K64">
        <v>29.58</v>
      </c>
      <c r="L64">
        <v>18.71</v>
      </c>
      <c r="M64">
        <v>0.27</v>
      </c>
      <c r="N64">
        <v>0.0</v>
      </c>
      <c r="O64">
        <v>23.94</v>
      </c>
      <c r="P64">
        <v>29.02</v>
      </c>
      <c r="Q64">
        <v>19.6</v>
      </c>
      <c r="R64">
        <v>1.12</v>
      </c>
    </row>
    <row r="65">
      <c r="A65" s="9">
        <v>38596</v>
      </c>
      <c r="B65" s="2" t="inlineStr">
        <is>
          <t xml:space="preserve">2005-09</t>
        </is>
      </c>
      <c r="C65" s="2" t="inlineStr">
        <is>
          <t xml:space="preserve">2005/06</t>
        </is>
      </c>
      <c r="D65">
        <v>0.227</v>
      </c>
      <c r="E65">
        <v>22.67</v>
      </c>
      <c r="F65">
        <v>26.83</v>
      </c>
      <c r="G65">
        <v>19.43</v>
      </c>
      <c r="H65">
        <v>2.0</v>
      </c>
      <c r="I65">
        <v>1.38</v>
      </c>
      <c r="J65">
        <v>22.88</v>
      </c>
      <c r="K65">
        <v>26.11</v>
      </c>
      <c r="L65">
        <v>20.53</v>
      </c>
      <c r="M65">
        <v>4.53</v>
      </c>
      <c r="N65">
        <v>0.104</v>
      </c>
      <c r="O65">
        <v>23.37</v>
      </c>
      <c r="P65">
        <v>26.23</v>
      </c>
      <c r="Q65">
        <v>21.11</v>
      </c>
      <c r="R65">
        <v>4.69</v>
      </c>
    </row>
    <row r="66">
      <c r="A66" s="9">
        <v>38597</v>
      </c>
      <c r="B66" s="2" t="inlineStr">
        <is>
          <t xml:space="preserve">2005-09</t>
        </is>
      </c>
      <c r="C66" s="2" t="inlineStr">
        <is>
          <t xml:space="preserve">2005/06</t>
        </is>
      </c>
      <c r="D66">
        <v>11.903</v>
      </c>
      <c r="E66">
        <v>22.37</v>
      </c>
      <c r="F66">
        <v>26.79</v>
      </c>
      <c r="G66">
        <v>18.33</v>
      </c>
      <c r="H66">
        <v>6.04</v>
      </c>
      <c r="I66">
        <v>15.794</v>
      </c>
      <c r="J66">
        <v>22.92</v>
      </c>
      <c r="K66">
        <v>26.58</v>
      </c>
      <c r="L66">
        <v>19.44</v>
      </c>
      <c r="M66">
        <v>7.98</v>
      </c>
      <c r="N66">
        <v>12.07</v>
      </c>
      <c r="O66">
        <v>22.99</v>
      </c>
      <c r="P66">
        <v>26.44</v>
      </c>
      <c r="Q66">
        <v>20.19</v>
      </c>
      <c r="R66">
        <v>7.35</v>
      </c>
    </row>
    <row r="67">
      <c r="A67" s="9">
        <v>38598</v>
      </c>
      <c r="B67" s="2" t="inlineStr">
        <is>
          <t xml:space="preserve">2005-09</t>
        </is>
      </c>
      <c r="C67" s="2" t="inlineStr">
        <is>
          <t xml:space="preserve">2005/06</t>
        </is>
      </c>
      <c r="D67">
        <v>1.329</v>
      </c>
      <c r="E67">
        <v>22.63</v>
      </c>
      <c r="F67">
        <v>27.28</v>
      </c>
      <c r="G67">
        <v>18.64</v>
      </c>
      <c r="H67">
        <v>1.57</v>
      </c>
      <c r="I67">
        <v>0.071</v>
      </c>
      <c r="J67">
        <v>22.69</v>
      </c>
      <c r="K67">
        <v>26.51</v>
      </c>
      <c r="L67">
        <v>19.24</v>
      </c>
      <c r="M67">
        <v>4.72</v>
      </c>
      <c r="N67">
        <v>0.163</v>
      </c>
      <c r="O67">
        <v>22.84</v>
      </c>
      <c r="P67">
        <v>26.19</v>
      </c>
      <c r="Q67">
        <v>20.04</v>
      </c>
      <c r="R67">
        <v>2.72</v>
      </c>
    </row>
    <row r="68">
      <c r="A68" s="9">
        <v>38599</v>
      </c>
      <c r="B68" s="2" t="inlineStr">
        <is>
          <t xml:space="preserve">2005-09</t>
        </is>
      </c>
      <c r="C68" s="2" t="inlineStr">
        <is>
          <t xml:space="preserve">2005/06</t>
        </is>
      </c>
      <c r="D68">
        <v>2.295</v>
      </c>
      <c r="E68">
        <v>21.64</v>
      </c>
      <c r="F68">
        <v>25.58</v>
      </c>
      <c r="G68">
        <v>18.55</v>
      </c>
      <c r="H68">
        <v>4.46</v>
      </c>
      <c r="I68">
        <v>7.602</v>
      </c>
      <c r="J68">
        <v>22.3</v>
      </c>
      <c r="K68">
        <v>26.05</v>
      </c>
      <c r="L68">
        <v>19.64</v>
      </c>
      <c r="M68">
        <v>2.57</v>
      </c>
      <c r="N68">
        <v>2.527</v>
      </c>
      <c r="O68">
        <v>22.68</v>
      </c>
      <c r="P68">
        <v>25.72</v>
      </c>
      <c r="Q68">
        <v>20.57</v>
      </c>
      <c r="R68">
        <v>3.96</v>
      </c>
    </row>
    <row r="69">
      <c r="A69" s="9">
        <v>38600</v>
      </c>
      <c r="B69" s="2" t="inlineStr">
        <is>
          <t xml:space="preserve">2005-09</t>
        </is>
      </c>
      <c r="C69" s="2" t="inlineStr">
        <is>
          <t xml:space="preserve">2005/06</t>
        </is>
      </c>
      <c r="D69">
        <v>15.525</v>
      </c>
      <c r="E69">
        <v>21.68</v>
      </c>
      <c r="F69">
        <v>26.21</v>
      </c>
      <c r="G69">
        <v>18.01</v>
      </c>
      <c r="H69">
        <v>12.78</v>
      </c>
      <c r="I69">
        <v>6.437</v>
      </c>
      <c r="J69">
        <v>22.45</v>
      </c>
      <c r="K69">
        <v>25.64</v>
      </c>
      <c r="L69">
        <v>20.04</v>
      </c>
      <c r="M69">
        <v>18.27</v>
      </c>
      <c r="N69">
        <v>13.376</v>
      </c>
      <c r="O69">
        <v>22.58</v>
      </c>
      <c r="P69">
        <v>25.56</v>
      </c>
      <c r="Q69">
        <v>20.67</v>
      </c>
      <c r="R69">
        <v>16.39</v>
      </c>
    </row>
    <row r="70">
      <c r="A70" s="9">
        <v>38601</v>
      </c>
      <c r="B70" s="2" t="inlineStr">
        <is>
          <t xml:space="preserve">2005-09</t>
        </is>
      </c>
      <c r="C70" s="2" t="inlineStr">
        <is>
          <t xml:space="preserve">2005/06</t>
        </is>
      </c>
      <c r="D70">
        <v>1.081</v>
      </c>
      <c r="E70">
        <v>22.08</v>
      </c>
      <c r="F70">
        <v>27.51</v>
      </c>
      <c r="G70">
        <v>18.04</v>
      </c>
      <c r="H70">
        <v>1.64</v>
      </c>
      <c r="I70">
        <v>29.593</v>
      </c>
      <c r="J70">
        <v>22.9</v>
      </c>
      <c r="K70">
        <v>27.93</v>
      </c>
      <c r="L70">
        <v>19.34</v>
      </c>
      <c r="M70">
        <v>9.97</v>
      </c>
      <c r="N70">
        <v>12.236</v>
      </c>
      <c r="O70">
        <v>23.09</v>
      </c>
      <c r="P70">
        <v>27.79</v>
      </c>
      <c r="Q70">
        <v>20.82</v>
      </c>
      <c r="R70">
        <v>8.09</v>
      </c>
    </row>
    <row r="71">
      <c r="A71" s="9">
        <v>38602</v>
      </c>
      <c r="B71" s="2" t="inlineStr">
        <is>
          <t xml:space="preserve">2005-09</t>
        </is>
      </c>
      <c r="C71" s="2" t="inlineStr">
        <is>
          <t xml:space="preserve">2005/06</t>
        </is>
      </c>
      <c r="D71">
        <v>0.066</v>
      </c>
      <c r="E71">
        <v>22.63</v>
      </c>
      <c r="F71">
        <v>27.67</v>
      </c>
      <c r="G71">
        <v>17.94</v>
      </c>
      <c r="H71">
        <v>0.24</v>
      </c>
      <c r="I71">
        <v>1.485</v>
      </c>
      <c r="J71">
        <v>23.48</v>
      </c>
      <c r="K71">
        <v>27.5</v>
      </c>
      <c r="L71">
        <v>20.16</v>
      </c>
      <c r="M71">
        <v>0.72</v>
      </c>
      <c r="N71">
        <v>0.103</v>
      </c>
      <c r="O71">
        <v>23.45</v>
      </c>
      <c r="P71">
        <v>27.82</v>
      </c>
      <c r="Q71">
        <v>20.49</v>
      </c>
      <c r="R71">
        <v>1.69</v>
      </c>
    </row>
    <row r="72">
      <c r="A72" s="9">
        <v>38603</v>
      </c>
      <c r="B72" s="2" t="inlineStr">
        <is>
          <t xml:space="preserve">2005-09</t>
        </is>
      </c>
      <c r="C72" s="2" t="inlineStr">
        <is>
          <t xml:space="preserve">2005/06</t>
        </is>
      </c>
      <c r="D72">
        <v>0.031</v>
      </c>
      <c r="E72">
        <v>22.82</v>
      </c>
      <c r="F72">
        <v>27.93</v>
      </c>
      <c r="G72">
        <v>18.53</v>
      </c>
      <c r="H72">
        <v>0.45</v>
      </c>
      <c r="I72">
        <v>0.05</v>
      </c>
      <c r="J72">
        <v>23.69</v>
      </c>
      <c r="K72">
        <v>27.71</v>
      </c>
      <c r="L72">
        <v>20.74</v>
      </c>
      <c r="M72">
        <v>0.46</v>
      </c>
      <c r="N72">
        <v>0.086</v>
      </c>
      <c r="O72">
        <v>23.71</v>
      </c>
      <c r="P72">
        <v>27.9</v>
      </c>
      <c r="Q72">
        <v>21.29</v>
      </c>
      <c r="R72">
        <v>2.46</v>
      </c>
    </row>
    <row r="73">
      <c r="A73" s="9">
        <v>38604</v>
      </c>
      <c r="B73" s="2" t="inlineStr">
        <is>
          <t xml:space="preserve">2005-09</t>
        </is>
      </c>
      <c r="C73" s="2" t="inlineStr">
        <is>
          <t xml:space="preserve">2005/06</t>
        </is>
      </c>
      <c r="D73">
        <v>0.137</v>
      </c>
      <c r="E73">
        <v>22.95</v>
      </c>
      <c r="F73">
        <v>28.51</v>
      </c>
      <c r="G73">
        <v>18.03</v>
      </c>
      <c r="H73">
        <v>1.05</v>
      </c>
      <c r="I73">
        <v>0.0</v>
      </c>
      <c r="J73">
        <v>23.35</v>
      </c>
      <c r="K73">
        <v>27.5</v>
      </c>
      <c r="L73">
        <v>19.86</v>
      </c>
      <c r="M73">
        <v>0.47</v>
      </c>
      <c r="N73">
        <v>0.056</v>
      </c>
      <c r="O73">
        <v>23.63</v>
      </c>
      <c r="P73">
        <v>27.76</v>
      </c>
      <c r="Q73">
        <v>20.48</v>
      </c>
      <c r="R73">
        <v>0.63</v>
      </c>
    </row>
    <row r="74">
      <c r="A74" s="9">
        <v>38605</v>
      </c>
      <c r="B74" s="2" t="inlineStr">
        <is>
          <t xml:space="preserve">2005-09</t>
        </is>
      </c>
      <c r="C74" s="2" t="inlineStr">
        <is>
          <t xml:space="preserve">2005/06</t>
        </is>
      </c>
      <c r="D74">
        <v>2.344</v>
      </c>
      <c r="E74">
        <v>22.43</v>
      </c>
      <c r="F74">
        <v>26.83</v>
      </c>
      <c r="G74">
        <v>19.34</v>
      </c>
      <c r="H74">
        <v>1.54</v>
      </c>
      <c r="I74">
        <v>0.968</v>
      </c>
      <c r="J74">
        <v>23.09</v>
      </c>
      <c r="K74">
        <v>27.22</v>
      </c>
      <c r="L74">
        <v>19.92</v>
      </c>
      <c r="M74">
        <v>3.92</v>
      </c>
      <c r="N74">
        <v>1.745</v>
      </c>
      <c r="O74">
        <v>23.15</v>
      </c>
      <c r="P74">
        <v>26.96</v>
      </c>
      <c r="Q74">
        <v>20.6</v>
      </c>
      <c r="R74">
        <v>2.23</v>
      </c>
    </row>
    <row r="75">
      <c r="A75" s="9">
        <v>38606</v>
      </c>
      <c r="B75" s="2" t="inlineStr">
        <is>
          <t xml:space="preserve">2005-09</t>
        </is>
      </c>
      <c r="C75" s="2" t="inlineStr">
        <is>
          <t xml:space="preserve">2005/06</t>
        </is>
      </c>
      <c r="D75">
        <v>0.577</v>
      </c>
      <c r="E75">
        <v>21.08</v>
      </c>
      <c r="F75">
        <v>25.92</v>
      </c>
      <c r="G75">
        <v>17.91</v>
      </c>
      <c r="H75">
        <v>2.42</v>
      </c>
      <c r="I75">
        <v>12.997</v>
      </c>
      <c r="J75">
        <v>22.02</v>
      </c>
      <c r="K75">
        <v>25.43</v>
      </c>
      <c r="L75">
        <v>19.35</v>
      </c>
      <c r="M75">
        <v>5.28</v>
      </c>
      <c r="N75">
        <v>1.257</v>
      </c>
      <c r="O75">
        <v>22.44</v>
      </c>
      <c r="P75">
        <v>26.01</v>
      </c>
      <c r="Q75">
        <v>20.25</v>
      </c>
      <c r="R75">
        <v>2.22</v>
      </c>
    </row>
    <row r="76">
      <c r="A76" s="9">
        <v>38607</v>
      </c>
      <c r="B76" s="2" t="inlineStr">
        <is>
          <t xml:space="preserve">2005-09</t>
        </is>
      </c>
      <c r="C76" s="2" t="inlineStr">
        <is>
          <t xml:space="preserve">2005/06</t>
        </is>
      </c>
      <c r="D76">
        <v>9.933</v>
      </c>
      <c r="E76">
        <v>21.84</v>
      </c>
      <c r="F76">
        <v>27.58</v>
      </c>
      <c r="G76">
        <v>16.35</v>
      </c>
      <c r="H76">
        <v>5.96</v>
      </c>
      <c r="I76">
        <v>0.824</v>
      </c>
      <c r="J76">
        <v>23.31</v>
      </c>
      <c r="K76">
        <v>28.1</v>
      </c>
      <c r="L76">
        <v>19.49</v>
      </c>
      <c r="M76">
        <v>2.95</v>
      </c>
      <c r="N76">
        <v>3.913</v>
      </c>
      <c r="O76">
        <v>23.38</v>
      </c>
      <c r="P76">
        <v>28.29</v>
      </c>
      <c r="Q76">
        <v>19.81</v>
      </c>
      <c r="R76">
        <v>3.5</v>
      </c>
    </row>
    <row r="77">
      <c r="A77" s="9">
        <v>38608</v>
      </c>
      <c r="B77" s="2" t="inlineStr">
        <is>
          <t xml:space="preserve">2005-09</t>
        </is>
      </c>
      <c r="C77" s="2" t="inlineStr">
        <is>
          <t xml:space="preserve">2005/06</t>
        </is>
      </c>
      <c r="D77">
        <v>0.16</v>
      </c>
      <c r="E77">
        <v>21.69</v>
      </c>
      <c r="F77">
        <v>26.75</v>
      </c>
      <c r="G77">
        <v>18.15</v>
      </c>
      <c r="H77">
        <v>2.85</v>
      </c>
      <c r="I77">
        <v>6.332</v>
      </c>
      <c r="J77">
        <v>22.59</v>
      </c>
      <c r="K77">
        <v>26.24</v>
      </c>
      <c r="L77">
        <v>19.76</v>
      </c>
      <c r="M77">
        <v>4.36</v>
      </c>
      <c r="N77">
        <v>0.777</v>
      </c>
      <c r="O77">
        <v>23.04</v>
      </c>
      <c r="P77">
        <v>27.14</v>
      </c>
      <c r="Q77">
        <v>20.79</v>
      </c>
      <c r="R77">
        <v>1.71</v>
      </c>
    </row>
    <row r="78">
      <c r="A78" s="9">
        <v>38609</v>
      </c>
      <c r="B78" s="2" t="inlineStr">
        <is>
          <t xml:space="preserve">2005-09</t>
        </is>
      </c>
      <c r="C78" s="2" t="inlineStr">
        <is>
          <t xml:space="preserve">2005/06</t>
        </is>
      </c>
      <c r="D78">
        <v>28.024</v>
      </c>
      <c r="E78">
        <v>21.1</v>
      </c>
      <c r="F78">
        <v>26.15</v>
      </c>
      <c r="G78">
        <v>16.86</v>
      </c>
      <c r="H78">
        <v>15.15</v>
      </c>
      <c r="I78">
        <v>0.69</v>
      </c>
      <c r="J78">
        <v>22.67</v>
      </c>
      <c r="K78">
        <v>27.01</v>
      </c>
      <c r="L78">
        <v>19.39</v>
      </c>
      <c r="M78">
        <v>5.89</v>
      </c>
      <c r="N78">
        <v>0.656</v>
      </c>
      <c r="O78">
        <v>22.74</v>
      </c>
      <c r="P78">
        <v>27.01</v>
      </c>
      <c r="Q78">
        <v>20.17</v>
      </c>
      <c r="R78">
        <v>5.21</v>
      </c>
    </row>
    <row r="79">
      <c r="A79" s="9">
        <v>38610</v>
      </c>
      <c r="B79" s="2" t="inlineStr">
        <is>
          <t xml:space="preserve">2005-09</t>
        </is>
      </c>
      <c r="C79" s="2" t="inlineStr">
        <is>
          <t xml:space="preserve">2005/06</t>
        </is>
      </c>
      <c r="D79">
        <v>5.681</v>
      </c>
      <c r="E79">
        <v>21.49</v>
      </c>
      <c r="F79">
        <v>26.57</v>
      </c>
      <c r="G79">
        <v>17.38</v>
      </c>
      <c r="H79">
        <v>3.46</v>
      </c>
      <c r="I79">
        <v>9.441</v>
      </c>
      <c r="J79">
        <v>22.52</v>
      </c>
      <c r="K79">
        <v>26.29</v>
      </c>
      <c r="L79">
        <v>19.25</v>
      </c>
      <c r="M79">
        <v>8.55</v>
      </c>
      <c r="N79">
        <v>9.469</v>
      </c>
      <c r="O79">
        <v>22.72</v>
      </c>
      <c r="P79">
        <v>27.18</v>
      </c>
      <c r="Q79">
        <v>19.98</v>
      </c>
      <c r="R79">
        <v>6.2</v>
      </c>
    </row>
    <row r="80">
      <c r="A80" s="9">
        <v>38611</v>
      </c>
      <c r="B80" s="2" t="inlineStr">
        <is>
          <t xml:space="preserve">2005-09</t>
        </is>
      </c>
      <c r="C80" s="2" t="inlineStr">
        <is>
          <t xml:space="preserve">2005/06</t>
        </is>
      </c>
      <c r="D80">
        <v>1.987</v>
      </c>
      <c r="E80">
        <v>21.79</v>
      </c>
      <c r="F80">
        <v>27.25</v>
      </c>
      <c r="G80">
        <v>17.41</v>
      </c>
      <c r="H80">
        <v>1.51</v>
      </c>
      <c r="I80">
        <v>6.286</v>
      </c>
      <c r="J80">
        <v>22.62</v>
      </c>
      <c r="K80">
        <v>26.89</v>
      </c>
      <c r="L80">
        <v>19.55</v>
      </c>
      <c r="M80">
        <v>7.84</v>
      </c>
      <c r="N80">
        <v>0.837</v>
      </c>
      <c r="O80">
        <v>22.74</v>
      </c>
      <c r="P80">
        <v>26.38</v>
      </c>
      <c r="Q80">
        <v>20.36</v>
      </c>
      <c r="R80">
        <v>5.08</v>
      </c>
    </row>
    <row r="81">
      <c r="A81" s="9">
        <v>38612</v>
      </c>
      <c r="B81" s="2" t="inlineStr">
        <is>
          <t xml:space="preserve">2005-09</t>
        </is>
      </c>
      <c r="C81" s="2" t="inlineStr">
        <is>
          <t xml:space="preserve">2005/06</t>
        </is>
      </c>
      <c r="D81">
        <v>0.159</v>
      </c>
      <c r="E81">
        <v>21.89</v>
      </c>
      <c r="F81">
        <v>27.13</v>
      </c>
      <c r="G81">
        <v>17.9</v>
      </c>
      <c r="H81">
        <v>1.78</v>
      </c>
      <c r="I81">
        <v>1.177</v>
      </c>
      <c r="J81">
        <v>21.57</v>
      </c>
      <c r="K81">
        <v>25.02</v>
      </c>
      <c r="L81">
        <v>19.35</v>
      </c>
      <c r="M81">
        <v>10.17</v>
      </c>
      <c r="N81">
        <v>10.992</v>
      </c>
      <c r="O81">
        <v>22.08</v>
      </c>
      <c r="P81">
        <v>24.57</v>
      </c>
      <c r="Q81">
        <v>20.55</v>
      </c>
      <c r="R81">
        <v>12.06</v>
      </c>
    </row>
    <row r="82">
      <c r="A82" s="9">
        <v>38613</v>
      </c>
      <c r="B82" s="2" t="inlineStr">
        <is>
          <t xml:space="preserve">2005-09</t>
        </is>
      </c>
      <c r="C82" s="2" t="inlineStr">
        <is>
          <t xml:space="preserve">2005/06</t>
        </is>
      </c>
      <c r="D82">
        <v>0.453</v>
      </c>
      <c r="E82">
        <v>21.86</v>
      </c>
      <c r="F82">
        <v>26.77</v>
      </c>
      <c r="G82">
        <v>18.48</v>
      </c>
      <c r="H82">
        <v>2.21</v>
      </c>
      <c r="I82">
        <v>20.14</v>
      </c>
      <c r="J82">
        <v>21.59</v>
      </c>
      <c r="K82">
        <v>25.21</v>
      </c>
      <c r="L82">
        <v>18.86</v>
      </c>
      <c r="M82">
        <v>13.07</v>
      </c>
      <c r="N82">
        <v>18.455</v>
      </c>
      <c r="O82">
        <v>21.79</v>
      </c>
      <c r="P82">
        <v>24.8</v>
      </c>
      <c r="Q82">
        <v>19.76</v>
      </c>
      <c r="R82">
        <v>10.11</v>
      </c>
    </row>
    <row r="83">
      <c r="A83" s="9">
        <v>38614</v>
      </c>
      <c r="B83" s="2" t="inlineStr">
        <is>
          <t xml:space="preserve">2005-09</t>
        </is>
      </c>
      <c r="C83" s="2" t="inlineStr">
        <is>
          <t xml:space="preserve">2005/06</t>
        </is>
      </c>
      <c r="D83">
        <v>0.077</v>
      </c>
      <c r="E83">
        <v>22.66</v>
      </c>
      <c r="F83">
        <v>28.51</v>
      </c>
      <c r="G83">
        <v>17.83</v>
      </c>
      <c r="H83">
        <v>1.31</v>
      </c>
      <c r="I83">
        <v>3.671</v>
      </c>
      <c r="J83">
        <v>22.38</v>
      </c>
      <c r="K83">
        <v>26.79</v>
      </c>
      <c r="L83">
        <v>18.55</v>
      </c>
      <c r="M83">
        <v>4.6</v>
      </c>
      <c r="N83">
        <v>0.523</v>
      </c>
      <c r="O83">
        <v>22.55</v>
      </c>
      <c r="P83">
        <v>26.79</v>
      </c>
      <c r="Q83">
        <v>19.46</v>
      </c>
      <c r="R83">
        <v>3.36</v>
      </c>
    </row>
    <row r="84">
      <c r="A84" s="9">
        <v>38615</v>
      </c>
      <c r="B84" s="2" t="inlineStr">
        <is>
          <t xml:space="preserve">2005-09</t>
        </is>
      </c>
      <c r="C84" s="2" t="inlineStr">
        <is>
          <t xml:space="preserve">2005/06</t>
        </is>
      </c>
      <c r="D84">
        <v>3.701</v>
      </c>
      <c r="E84">
        <v>22.02</v>
      </c>
      <c r="F84">
        <v>26.84</v>
      </c>
      <c r="G84">
        <v>18.43</v>
      </c>
      <c r="H84">
        <v>7.78</v>
      </c>
      <c r="I84">
        <v>6.703</v>
      </c>
      <c r="J84">
        <v>21.88</v>
      </c>
      <c r="K84">
        <v>26.56</v>
      </c>
      <c r="L84">
        <v>18.34</v>
      </c>
      <c r="M84">
        <v>9.48</v>
      </c>
      <c r="N84">
        <v>1.067</v>
      </c>
      <c r="O84">
        <v>22.22</v>
      </c>
      <c r="P84">
        <v>26.59</v>
      </c>
      <c r="Q84">
        <v>19.09</v>
      </c>
      <c r="R84">
        <v>6.25</v>
      </c>
    </row>
    <row r="85">
      <c r="A85" s="9">
        <v>38616</v>
      </c>
      <c r="B85" s="2" t="inlineStr">
        <is>
          <t xml:space="preserve">2005-09</t>
        </is>
      </c>
      <c r="C85" s="2" t="inlineStr">
        <is>
          <t xml:space="preserve">2005/06</t>
        </is>
      </c>
      <c r="D85">
        <v>12.429</v>
      </c>
      <c r="E85">
        <v>21.1</v>
      </c>
      <c r="F85">
        <v>25.58</v>
      </c>
      <c r="G85">
        <v>18.06</v>
      </c>
      <c r="H85">
        <v>14.09</v>
      </c>
      <c r="I85">
        <v>33.413</v>
      </c>
      <c r="J85">
        <v>21.55</v>
      </c>
      <c r="K85">
        <v>25.28</v>
      </c>
      <c r="L85">
        <v>18.38</v>
      </c>
      <c r="M85">
        <v>30.05</v>
      </c>
      <c r="N85">
        <v>8.072</v>
      </c>
      <c r="O85">
        <v>21.99</v>
      </c>
      <c r="P85">
        <v>24.65</v>
      </c>
      <c r="Q85">
        <v>19.23</v>
      </c>
      <c r="R85">
        <v>30.15</v>
      </c>
    </row>
    <row r="86">
      <c r="A86" s="9">
        <v>38617</v>
      </c>
      <c r="B86" s="2" t="inlineStr">
        <is>
          <t xml:space="preserve">2005-09</t>
        </is>
      </c>
      <c r="C86" s="2" t="inlineStr">
        <is>
          <t xml:space="preserve">2005/06</t>
        </is>
      </c>
      <c r="D86">
        <v>11.134</v>
      </c>
      <c r="E86">
        <v>22.11</v>
      </c>
      <c r="F86">
        <v>26.98</v>
      </c>
      <c r="G86">
        <v>18.31</v>
      </c>
      <c r="H86">
        <v>9.34</v>
      </c>
      <c r="I86">
        <v>17.168</v>
      </c>
      <c r="J86">
        <v>22.74</v>
      </c>
      <c r="K86">
        <v>26.96</v>
      </c>
      <c r="L86">
        <v>19.86</v>
      </c>
      <c r="M86">
        <v>22.85</v>
      </c>
      <c r="N86">
        <v>58.662</v>
      </c>
      <c r="O86">
        <v>23.46</v>
      </c>
      <c r="P86">
        <v>27.74</v>
      </c>
      <c r="Q86">
        <v>20.12</v>
      </c>
      <c r="R86">
        <v>27.68</v>
      </c>
    </row>
    <row r="87">
      <c r="A87" s="9">
        <v>38618</v>
      </c>
      <c r="B87" s="2" t="inlineStr">
        <is>
          <t xml:space="preserve">2005-09</t>
        </is>
      </c>
      <c r="C87" s="2" t="inlineStr">
        <is>
          <t xml:space="preserve">2005/06</t>
        </is>
      </c>
      <c r="D87">
        <v>1.138</v>
      </c>
      <c r="E87">
        <v>21.52</v>
      </c>
      <c r="F87">
        <v>25.72</v>
      </c>
      <c r="G87">
        <v>17.98</v>
      </c>
      <c r="H87">
        <v>2.45</v>
      </c>
      <c r="I87">
        <v>29.568</v>
      </c>
      <c r="J87">
        <v>21.72</v>
      </c>
      <c r="K87">
        <v>25.25</v>
      </c>
      <c r="L87">
        <v>19.38</v>
      </c>
      <c r="M87">
        <v>12.88</v>
      </c>
      <c r="N87">
        <v>1.612</v>
      </c>
      <c r="O87">
        <v>22.78</v>
      </c>
      <c r="P87">
        <v>27.57</v>
      </c>
      <c r="Q87">
        <v>19.1</v>
      </c>
      <c r="R87">
        <v>4.05</v>
      </c>
    </row>
    <row r="88">
      <c r="A88" s="9">
        <v>38619</v>
      </c>
      <c r="B88" s="2" t="inlineStr">
        <is>
          <t xml:space="preserve">2005-09</t>
        </is>
      </c>
      <c r="C88" s="2" t="inlineStr">
        <is>
          <t xml:space="preserve">2005/06</t>
        </is>
      </c>
      <c r="D88">
        <v>3.551</v>
      </c>
      <c r="E88">
        <v>21.56</v>
      </c>
      <c r="F88">
        <v>26.43</v>
      </c>
      <c r="G88">
        <v>18.01</v>
      </c>
      <c r="H88">
        <v>3.91</v>
      </c>
      <c r="I88">
        <v>0.613</v>
      </c>
      <c r="J88">
        <v>21.4</v>
      </c>
      <c r="K88">
        <v>25.26</v>
      </c>
      <c r="L88">
        <v>19.19</v>
      </c>
      <c r="M88">
        <v>2.73</v>
      </c>
      <c r="N88">
        <v>0.243</v>
      </c>
      <c r="O88">
        <v>22.26</v>
      </c>
      <c r="P88">
        <v>26.65</v>
      </c>
      <c r="Q88">
        <v>19.3</v>
      </c>
      <c r="R88">
        <v>2.51</v>
      </c>
    </row>
    <row r="89">
      <c r="A89" s="9">
        <v>38620</v>
      </c>
      <c r="B89" s="2" t="inlineStr">
        <is>
          <t xml:space="preserve">2005-09</t>
        </is>
      </c>
      <c r="C89" s="2" t="inlineStr">
        <is>
          <t xml:space="preserve">2005/06</t>
        </is>
      </c>
      <c r="D89">
        <v>0.235</v>
      </c>
      <c r="E89">
        <v>21.76</v>
      </c>
      <c r="F89">
        <v>26.26</v>
      </c>
      <c r="G89">
        <v>18.04</v>
      </c>
      <c r="H89">
        <v>2.56</v>
      </c>
      <c r="I89">
        <v>0.026</v>
      </c>
      <c r="J89">
        <v>21.48</v>
      </c>
      <c r="K89">
        <v>25.14</v>
      </c>
      <c r="L89">
        <v>18.85</v>
      </c>
      <c r="M89">
        <v>6.26</v>
      </c>
      <c r="N89">
        <v>0.631</v>
      </c>
      <c r="O89">
        <v>22.14</v>
      </c>
      <c r="P89">
        <v>26.71</v>
      </c>
      <c r="Q89">
        <v>18.59</v>
      </c>
      <c r="R89">
        <v>10.29</v>
      </c>
    </row>
    <row r="90">
      <c r="A90" s="9">
        <v>38621</v>
      </c>
      <c r="B90" s="2" t="inlineStr">
        <is>
          <t xml:space="preserve">2005-09</t>
        </is>
      </c>
      <c r="C90" s="2" t="inlineStr">
        <is>
          <t xml:space="preserve">2005/06</t>
        </is>
      </c>
      <c r="D90">
        <v>2.37</v>
      </c>
      <c r="E90">
        <v>22.64</v>
      </c>
      <c r="F90">
        <v>27.75</v>
      </c>
      <c r="G90">
        <v>18.26</v>
      </c>
      <c r="H90">
        <v>8.45</v>
      </c>
      <c r="I90">
        <v>6.657</v>
      </c>
      <c r="J90">
        <v>22.79</v>
      </c>
      <c r="K90">
        <v>27.31</v>
      </c>
      <c r="L90">
        <v>19.01</v>
      </c>
      <c r="M90">
        <v>11.83</v>
      </c>
      <c r="N90">
        <v>31.971</v>
      </c>
      <c r="O90">
        <v>22.94</v>
      </c>
      <c r="P90">
        <v>27.67</v>
      </c>
      <c r="Q90">
        <v>19.17</v>
      </c>
      <c r="R90">
        <v>18.47</v>
      </c>
    </row>
    <row r="91">
      <c r="A91" s="9">
        <v>38622</v>
      </c>
      <c r="B91" s="2" t="inlineStr">
        <is>
          <t xml:space="preserve">2005-09</t>
        </is>
      </c>
      <c r="C91" s="2" t="inlineStr">
        <is>
          <t xml:space="preserve">2005/06</t>
        </is>
      </c>
      <c r="D91">
        <v>7.772</v>
      </c>
      <c r="E91">
        <v>22.27</v>
      </c>
      <c r="F91">
        <v>26.38</v>
      </c>
      <c r="G91">
        <v>19.52</v>
      </c>
      <c r="H91">
        <v>13.54</v>
      </c>
      <c r="I91">
        <v>0.807</v>
      </c>
      <c r="J91">
        <v>22.31</v>
      </c>
      <c r="K91">
        <v>24.97</v>
      </c>
      <c r="L91">
        <v>20.79</v>
      </c>
      <c r="M91">
        <v>6.54</v>
      </c>
      <c r="N91">
        <v>5.354</v>
      </c>
      <c r="O91">
        <v>22.83</v>
      </c>
      <c r="P91">
        <v>25.23</v>
      </c>
      <c r="Q91">
        <v>21.05</v>
      </c>
      <c r="R91">
        <v>8.49</v>
      </c>
    </row>
    <row r="92">
      <c r="A92" s="9">
        <v>38623</v>
      </c>
      <c r="B92" s="2" t="inlineStr">
        <is>
          <t xml:space="preserve">2005-09</t>
        </is>
      </c>
      <c r="C92" s="2" t="inlineStr">
        <is>
          <t xml:space="preserve">2005/06</t>
        </is>
      </c>
      <c r="D92">
        <v>37.223</v>
      </c>
      <c r="E92">
        <v>21.57</v>
      </c>
      <c r="F92">
        <v>25.56</v>
      </c>
      <c r="G92">
        <v>19.27</v>
      </c>
      <c r="H92">
        <v>19.27</v>
      </c>
      <c r="I92">
        <v>2.76</v>
      </c>
      <c r="J92">
        <v>21.25</v>
      </c>
      <c r="K92">
        <v>23.9</v>
      </c>
      <c r="L92">
        <v>18.93</v>
      </c>
      <c r="M92">
        <v>7.14</v>
      </c>
      <c r="N92">
        <v>10.858</v>
      </c>
      <c r="O92">
        <v>22.49</v>
      </c>
      <c r="P92">
        <v>25.42</v>
      </c>
      <c r="Q92">
        <v>20.39</v>
      </c>
      <c r="R92">
        <v>9.09</v>
      </c>
    </row>
    <row r="93">
      <c r="A93" s="9">
        <v>38624</v>
      </c>
      <c r="B93" s="2" t="inlineStr">
        <is>
          <t xml:space="preserve">2005-09</t>
        </is>
      </c>
      <c r="C93" s="2" t="inlineStr">
        <is>
          <t xml:space="preserve">2005/06</t>
        </is>
      </c>
      <c r="D93">
        <v>1.204</v>
      </c>
      <c r="E93">
        <v>22.32</v>
      </c>
      <c r="F93">
        <v>27.78</v>
      </c>
      <c r="G93">
        <v>18.19</v>
      </c>
      <c r="H93">
        <v>2.74</v>
      </c>
      <c r="I93">
        <v>0.417</v>
      </c>
      <c r="J93">
        <v>22.3</v>
      </c>
      <c r="K93">
        <v>26.88</v>
      </c>
      <c r="L93">
        <v>18.31</v>
      </c>
      <c r="M93">
        <v>3.62</v>
      </c>
      <c r="N93">
        <v>2.421</v>
      </c>
      <c r="O93">
        <v>22.68</v>
      </c>
      <c r="P93">
        <v>26.53</v>
      </c>
      <c r="Q93">
        <v>19.64</v>
      </c>
      <c r="R93">
        <v>2.98</v>
      </c>
    </row>
    <row r="94">
      <c r="A94" s="9">
        <v>38625</v>
      </c>
      <c r="B94" s="2" t="inlineStr">
        <is>
          <t xml:space="preserve">2005-09</t>
        </is>
      </c>
      <c r="C94" s="2" t="inlineStr">
        <is>
          <t xml:space="preserve">2005/06</t>
        </is>
      </c>
      <c r="D94">
        <v>2.286</v>
      </c>
      <c r="E94">
        <v>21.83</v>
      </c>
      <c r="F94">
        <v>25.32</v>
      </c>
      <c r="G94">
        <v>19.4</v>
      </c>
      <c r="H94">
        <v>5.73</v>
      </c>
      <c r="I94">
        <v>0.663</v>
      </c>
      <c r="J94">
        <v>21.67</v>
      </c>
      <c r="K94">
        <v>25.06</v>
      </c>
      <c r="L94">
        <v>19.82</v>
      </c>
      <c r="M94">
        <v>3.83</v>
      </c>
      <c r="N94">
        <v>0.979</v>
      </c>
      <c r="O94">
        <v>22.06</v>
      </c>
      <c r="P94">
        <v>24.75</v>
      </c>
      <c r="Q94">
        <v>19.82</v>
      </c>
      <c r="R94">
        <v>1.33</v>
      </c>
    </row>
    <row r="95">
      <c r="A95" s="9">
        <v>38626</v>
      </c>
      <c r="B95" s="2" t="inlineStr">
        <is>
          <t xml:space="preserve">2005-10</t>
        </is>
      </c>
      <c r="C95" s="2" t="inlineStr">
        <is>
          <t xml:space="preserve">2005/06</t>
        </is>
      </c>
      <c r="D95">
        <v>11.898</v>
      </c>
      <c r="E95">
        <v>21.39</v>
      </c>
      <c r="F95">
        <v>24.64</v>
      </c>
      <c r="G95">
        <v>18.84</v>
      </c>
      <c r="H95">
        <v>11.77</v>
      </c>
      <c r="I95">
        <v>0.175</v>
      </c>
      <c r="J95">
        <v>21.99</v>
      </c>
      <c r="K95">
        <v>25.74</v>
      </c>
      <c r="L95">
        <v>19.18</v>
      </c>
      <c r="M95">
        <v>1.25</v>
      </c>
      <c r="N95">
        <v>0.062</v>
      </c>
      <c r="O95">
        <v>21.86</v>
      </c>
      <c r="P95">
        <v>25.25</v>
      </c>
      <c r="Q95">
        <v>19.16</v>
      </c>
      <c r="R95">
        <v>1.11</v>
      </c>
    </row>
    <row r="96">
      <c r="A96" s="9">
        <v>38627</v>
      </c>
      <c r="B96" s="2" t="inlineStr">
        <is>
          <t xml:space="preserve">2005-10</t>
        </is>
      </c>
      <c r="C96" s="2" t="inlineStr">
        <is>
          <t xml:space="preserve">2005/06</t>
        </is>
      </c>
      <c r="D96">
        <v>10.298</v>
      </c>
      <c r="E96">
        <v>21.72</v>
      </c>
      <c r="F96">
        <v>25.54</v>
      </c>
      <c r="G96">
        <v>19.44</v>
      </c>
      <c r="H96">
        <v>12.18</v>
      </c>
      <c r="I96">
        <v>0.955</v>
      </c>
      <c r="J96">
        <v>21.66</v>
      </c>
      <c r="K96">
        <v>24.78</v>
      </c>
      <c r="L96">
        <v>19.53</v>
      </c>
      <c r="M96">
        <v>12.9</v>
      </c>
      <c r="N96">
        <v>0.102</v>
      </c>
      <c r="O96">
        <v>22.53</v>
      </c>
      <c r="P96">
        <v>26.53</v>
      </c>
      <c r="Q96">
        <v>19.64</v>
      </c>
      <c r="R96">
        <v>3.94</v>
      </c>
    </row>
    <row r="97">
      <c r="A97" s="9">
        <v>38628</v>
      </c>
      <c r="B97" s="2" t="inlineStr">
        <is>
          <t xml:space="preserve">2005-10</t>
        </is>
      </c>
      <c r="C97" s="2" t="inlineStr">
        <is>
          <t xml:space="preserve">2005/06</t>
        </is>
      </c>
      <c r="D97">
        <v>7.218</v>
      </c>
      <c r="E97">
        <v>21.58</v>
      </c>
      <c r="F97">
        <v>25.7</v>
      </c>
      <c r="G97">
        <v>18.7</v>
      </c>
      <c r="H97">
        <v>8.46</v>
      </c>
      <c r="I97">
        <v>11.342</v>
      </c>
      <c r="J97">
        <v>21.52</v>
      </c>
      <c r="K97">
        <v>24.12</v>
      </c>
      <c r="L97">
        <v>19.78</v>
      </c>
      <c r="M97">
        <v>17.05</v>
      </c>
      <c r="N97">
        <v>4.041</v>
      </c>
      <c r="O97">
        <v>22.0</v>
      </c>
      <c r="P97">
        <v>25.62</v>
      </c>
      <c r="Q97">
        <v>19.77</v>
      </c>
      <c r="R97">
        <v>5.08</v>
      </c>
    </row>
    <row r="98">
      <c r="A98" s="9">
        <v>38629</v>
      </c>
      <c r="B98" s="2" t="inlineStr">
        <is>
          <t xml:space="preserve">2005-10</t>
        </is>
      </c>
      <c r="C98" s="2" t="inlineStr">
        <is>
          <t xml:space="preserve">2005/06</t>
        </is>
      </c>
      <c r="D98">
        <v>9.65</v>
      </c>
      <c r="E98">
        <v>21.37</v>
      </c>
      <c r="F98">
        <v>25.43</v>
      </c>
      <c r="G98">
        <v>18.51</v>
      </c>
      <c r="H98">
        <v>7.13</v>
      </c>
      <c r="I98">
        <v>19.454</v>
      </c>
      <c r="J98">
        <v>21.45</v>
      </c>
      <c r="K98">
        <v>24.2</v>
      </c>
      <c r="L98">
        <v>20.07</v>
      </c>
      <c r="M98">
        <v>19.52</v>
      </c>
      <c r="N98">
        <v>3.288</v>
      </c>
      <c r="O98">
        <v>22.2</v>
      </c>
      <c r="P98">
        <v>26.04</v>
      </c>
      <c r="Q98">
        <v>19.86</v>
      </c>
      <c r="R98">
        <v>7.46</v>
      </c>
    </row>
    <row r="99">
      <c r="A99" s="9">
        <v>38630</v>
      </c>
      <c r="B99" s="2" t="inlineStr">
        <is>
          <t xml:space="preserve">2005-10</t>
        </is>
      </c>
      <c r="C99" s="2" t="inlineStr">
        <is>
          <t xml:space="preserve">2005/06</t>
        </is>
      </c>
      <c r="D99">
        <v>9.54</v>
      </c>
      <c r="E99">
        <v>21.24</v>
      </c>
      <c r="F99">
        <v>25.21</v>
      </c>
      <c r="G99">
        <v>18.73</v>
      </c>
      <c r="H99">
        <v>5.91</v>
      </c>
      <c r="I99">
        <v>4.362</v>
      </c>
      <c r="J99">
        <v>21.5</v>
      </c>
      <c r="K99">
        <v>24.12</v>
      </c>
      <c r="L99">
        <v>19.93</v>
      </c>
      <c r="M99">
        <v>12.73</v>
      </c>
      <c r="N99">
        <v>1.709</v>
      </c>
      <c r="O99">
        <v>22.17</v>
      </c>
      <c r="P99">
        <v>25.62</v>
      </c>
      <c r="Q99">
        <v>20.39</v>
      </c>
      <c r="R99">
        <v>2.98</v>
      </c>
    </row>
    <row r="100">
      <c r="A100" s="9">
        <v>38631</v>
      </c>
      <c r="B100" s="2" t="inlineStr">
        <is>
          <t xml:space="preserve">2005-10</t>
        </is>
      </c>
      <c r="C100" s="2" t="inlineStr">
        <is>
          <t xml:space="preserve">2005/06</t>
        </is>
      </c>
      <c r="D100">
        <v>1.097</v>
      </c>
      <c r="E100">
        <v>21.29</v>
      </c>
      <c r="F100">
        <v>25.74</v>
      </c>
      <c r="G100">
        <v>18.12</v>
      </c>
      <c r="H100">
        <v>0.61</v>
      </c>
      <c r="I100">
        <v>0.238</v>
      </c>
      <c r="J100">
        <v>21.38</v>
      </c>
      <c r="K100">
        <v>24.8</v>
      </c>
      <c r="L100">
        <v>19.16</v>
      </c>
      <c r="M100">
        <v>2.39</v>
      </c>
      <c r="N100">
        <v>0.231</v>
      </c>
      <c r="O100">
        <v>22.22</v>
      </c>
      <c r="P100">
        <v>25.88</v>
      </c>
      <c r="Q100">
        <v>19.65</v>
      </c>
      <c r="R100">
        <v>0.54</v>
      </c>
    </row>
    <row r="101">
      <c r="A101" s="9">
        <v>38632</v>
      </c>
      <c r="B101" s="2" t="inlineStr">
        <is>
          <t xml:space="preserve">2005-10</t>
        </is>
      </c>
      <c r="C101" s="2" t="inlineStr">
        <is>
          <t xml:space="preserve">2005/06</t>
        </is>
      </c>
      <c r="D101">
        <v>0.099</v>
      </c>
      <c r="E101">
        <v>21.94</v>
      </c>
      <c r="F101">
        <v>26.27</v>
      </c>
      <c r="G101">
        <v>18.28</v>
      </c>
      <c r="H101">
        <v>8.48</v>
      </c>
      <c r="I101">
        <v>0.44</v>
      </c>
      <c r="J101">
        <v>22.0</v>
      </c>
      <c r="K101">
        <v>25.95</v>
      </c>
      <c r="L101">
        <v>19.33</v>
      </c>
      <c r="M101">
        <v>9.48</v>
      </c>
      <c r="N101">
        <v>0.14</v>
      </c>
      <c r="O101">
        <v>22.87</v>
      </c>
      <c r="P101">
        <v>27.18</v>
      </c>
      <c r="Q101">
        <v>19.99</v>
      </c>
      <c r="R101">
        <v>14.35</v>
      </c>
    </row>
    <row r="102">
      <c r="A102" s="9">
        <v>38633</v>
      </c>
      <c r="B102" s="2" t="inlineStr">
        <is>
          <t xml:space="preserve">2005-10</t>
        </is>
      </c>
      <c r="C102" s="2" t="inlineStr">
        <is>
          <t xml:space="preserve">2005/06</t>
        </is>
      </c>
      <c r="D102">
        <v>35.107</v>
      </c>
      <c r="E102">
        <v>21.44</v>
      </c>
      <c r="F102">
        <v>24.59</v>
      </c>
      <c r="G102">
        <v>19.31</v>
      </c>
      <c r="H102">
        <v>23.02</v>
      </c>
      <c r="I102">
        <v>7.67</v>
      </c>
      <c r="J102">
        <v>21.33</v>
      </c>
      <c r="K102">
        <v>23.04</v>
      </c>
      <c r="L102">
        <v>20.11</v>
      </c>
      <c r="M102">
        <v>31.04</v>
      </c>
      <c r="N102">
        <v>68.696</v>
      </c>
      <c r="O102">
        <v>22.11</v>
      </c>
      <c r="P102">
        <v>24.52</v>
      </c>
      <c r="Q102">
        <v>20.48</v>
      </c>
      <c r="R102">
        <v>40.05</v>
      </c>
    </row>
    <row r="103">
      <c r="A103" s="9">
        <v>38634</v>
      </c>
      <c r="B103" s="2" t="inlineStr">
        <is>
          <t xml:space="preserve">2005-10</t>
        </is>
      </c>
      <c r="C103" s="2" t="inlineStr">
        <is>
          <t xml:space="preserve">2005/06</t>
        </is>
      </c>
      <c r="D103">
        <v>2.029</v>
      </c>
      <c r="E103">
        <v>21.19</v>
      </c>
      <c r="F103">
        <v>24.96</v>
      </c>
      <c r="G103">
        <v>18.25</v>
      </c>
      <c r="H103">
        <v>1.21</v>
      </c>
      <c r="I103">
        <v>6.547</v>
      </c>
      <c r="J103">
        <v>21.67</v>
      </c>
      <c r="K103">
        <v>25.02</v>
      </c>
      <c r="L103">
        <v>19.53</v>
      </c>
      <c r="M103">
        <v>4.05</v>
      </c>
      <c r="N103">
        <v>0.947</v>
      </c>
      <c r="O103">
        <v>21.57</v>
      </c>
      <c r="P103">
        <v>23.44</v>
      </c>
      <c r="Q103">
        <v>20.21</v>
      </c>
      <c r="R103">
        <v>2.25</v>
      </c>
    </row>
    <row r="104">
      <c r="A104" s="9">
        <v>38635</v>
      </c>
      <c r="B104" s="2" t="inlineStr">
        <is>
          <t xml:space="preserve">2005-10</t>
        </is>
      </c>
      <c r="C104" s="2" t="inlineStr">
        <is>
          <t xml:space="preserve">2005/06</t>
        </is>
      </c>
      <c r="D104">
        <v>0.835</v>
      </c>
      <c r="E104">
        <v>21.03</v>
      </c>
      <c r="F104">
        <v>25.12</v>
      </c>
      <c r="G104">
        <v>17.57</v>
      </c>
      <c r="H104">
        <v>1.06</v>
      </c>
      <c r="I104">
        <v>0.234</v>
      </c>
      <c r="J104">
        <v>21.73</v>
      </c>
      <c r="K104">
        <v>25.48</v>
      </c>
      <c r="L104">
        <v>18.96</v>
      </c>
      <c r="M104">
        <v>1.35</v>
      </c>
      <c r="N104">
        <v>3.042</v>
      </c>
      <c r="O104">
        <v>22.89</v>
      </c>
      <c r="P104">
        <v>27.44</v>
      </c>
      <c r="Q104">
        <v>19.2</v>
      </c>
      <c r="R104">
        <v>1.54</v>
      </c>
    </row>
    <row r="105">
      <c r="A105" s="9">
        <v>38636</v>
      </c>
      <c r="B105" s="2" t="inlineStr">
        <is>
          <t xml:space="preserve">2005-10</t>
        </is>
      </c>
      <c r="C105" s="2" t="inlineStr">
        <is>
          <t xml:space="preserve">2005/06</t>
        </is>
      </c>
      <c r="D105">
        <v>0.038</v>
      </c>
      <c r="E105">
        <v>21.79</v>
      </c>
      <c r="F105">
        <v>25.89</v>
      </c>
      <c r="G105">
        <v>18.83</v>
      </c>
      <c r="H105">
        <v>0.17</v>
      </c>
      <c r="I105">
        <v>0.047</v>
      </c>
      <c r="J105">
        <v>22.25</v>
      </c>
      <c r="K105">
        <v>25.74</v>
      </c>
      <c r="L105">
        <v>19.77</v>
      </c>
      <c r="M105">
        <v>1.26</v>
      </c>
      <c r="N105">
        <v>0.068</v>
      </c>
      <c r="O105">
        <v>22.84</v>
      </c>
      <c r="P105">
        <v>27.29</v>
      </c>
      <c r="Q105">
        <v>19.34</v>
      </c>
      <c r="R105">
        <v>1.12</v>
      </c>
    </row>
    <row r="106">
      <c r="A106" s="9">
        <v>38637</v>
      </c>
      <c r="B106" s="2" t="inlineStr">
        <is>
          <t xml:space="preserve">2005-10</t>
        </is>
      </c>
      <c r="C106" s="2" t="inlineStr">
        <is>
          <t xml:space="preserve">2005/06</t>
        </is>
      </c>
      <c r="D106">
        <v>0.057</v>
      </c>
      <c r="E106">
        <v>21.33</v>
      </c>
      <c r="F106">
        <v>25.18</v>
      </c>
      <c r="G106">
        <v>18.38</v>
      </c>
      <c r="H106">
        <v>0.67</v>
      </c>
      <c r="I106">
        <v>1.348</v>
      </c>
      <c r="J106">
        <v>22.47</v>
      </c>
      <c r="K106">
        <v>26.09</v>
      </c>
      <c r="L106">
        <v>19.76</v>
      </c>
      <c r="M106">
        <v>1.31</v>
      </c>
      <c r="N106">
        <v>3.474</v>
      </c>
      <c r="O106">
        <v>22.14</v>
      </c>
      <c r="P106">
        <v>26.51</v>
      </c>
      <c r="Q106">
        <v>18.59</v>
      </c>
      <c r="R106">
        <v>1.97</v>
      </c>
    </row>
    <row r="107">
      <c r="A107" s="9">
        <v>38638</v>
      </c>
      <c r="B107" s="2" t="inlineStr">
        <is>
          <t xml:space="preserve">2005-10</t>
        </is>
      </c>
      <c r="C107" s="2" t="inlineStr">
        <is>
          <t xml:space="preserve">2005/06</t>
        </is>
      </c>
      <c r="D107">
        <v>1.28</v>
      </c>
      <c r="E107">
        <v>21.01</v>
      </c>
      <c r="F107">
        <v>25.9</v>
      </c>
      <c r="G107">
        <v>17.5</v>
      </c>
      <c r="H107">
        <v>1.28</v>
      </c>
      <c r="I107">
        <v>0.656</v>
      </c>
      <c r="J107">
        <v>21.62</v>
      </c>
      <c r="K107">
        <v>25.61</v>
      </c>
      <c r="L107">
        <v>18.35</v>
      </c>
      <c r="M107">
        <v>1.23</v>
      </c>
      <c r="N107">
        <v>0.082</v>
      </c>
      <c r="O107">
        <v>22.14</v>
      </c>
      <c r="P107">
        <v>26.12</v>
      </c>
      <c r="Q107">
        <v>19.55</v>
      </c>
      <c r="R107">
        <v>1.17</v>
      </c>
    </row>
    <row r="108">
      <c r="A108" s="9">
        <v>38639</v>
      </c>
      <c r="B108" s="2" t="inlineStr">
        <is>
          <t xml:space="preserve">2005-10</t>
        </is>
      </c>
      <c r="C108" s="2" t="inlineStr">
        <is>
          <t xml:space="preserve">2005/06</t>
        </is>
      </c>
      <c r="D108">
        <v>2.718</v>
      </c>
      <c r="E108">
        <v>20.88</v>
      </c>
      <c r="F108">
        <v>25.28</v>
      </c>
      <c r="G108">
        <v>17.98</v>
      </c>
      <c r="H108">
        <v>3.59</v>
      </c>
      <c r="I108">
        <v>5.388</v>
      </c>
      <c r="J108">
        <v>21.6</v>
      </c>
      <c r="K108">
        <v>25.85</v>
      </c>
      <c r="L108">
        <v>17.95</v>
      </c>
      <c r="M108">
        <v>5.12</v>
      </c>
      <c r="N108">
        <v>4.249</v>
      </c>
      <c r="O108">
        <v>21.87</v>
      </c>
      <c r="P108">
        <v>25.86</v>
      </c>
      <c r="Q108">
        <v>19.12</v>
      </c>
      <c r="R108">
        <v>4.14</v>
      </c>
    </row>
    <row r="109">
      <c r="A109" s="9">
        <v>38640</v>
      </c>
      <c r="B109" s="2" t="inlineStr">
        <is>
          <t xml:space="preserve">2005-10</t>
        </is>
      </c>
      <c r="C109" s="2" t="inlineStr">
        <is>
          <t xml:space="preserve">2005/06</t>
        </is>
      </c>
      <c r="D109">
        <v>2.794</v>
      </c>
      <c r="E109">
        <v>20.78</v>
      </c>
      <c r="F109">
        <v>24.78</v>
      </c>
      <c r="G109">
        <v>18.25</v>
      </c>
      <c r="H109">
        <v>2.1</v>
      </c>
      <c r="I109">
        <v>1.035</v>
      </c>
      <c r="J109">
        <v>21.64</v>
      </c>
      <c r="K109">
        <v>25.44</v>
      </c>
      <c r="L109">
        <v>18.52</v>
      </c>
      <c r="M109">
        <v>2.18</v>
      </c>
      <c r="N109">
        <v>5.116</v>
      </c>
      <c r="O109">
        <v>21.37</v>
      </c>
      <c r="P109">
        <v>25.1</v>
      </c>
      <c r="Q109">
        <v>19.08</v>
      </c>
      <c r="R109">
        <v>3.24</v>
      </c>
    </row>
    <row r="110">
      <c r="A110" s="9">
        <v>38641</v>
      </c>
      <c r="B110" s="2" t="inlineStr">
        <is>
          <t xml:space="preserve">2005-10</t>
        </is>
      </c>
      <c r="C110" s="2" t="inlineStr">
        <is>
          <t xml:space="preserve">2005/06</t>
        </is>
      </c>
      <c r="D110">
        <v>0.418</v>
      </c>
      <c r="E110">
        <v>21.22</v>
      </c>
      <c r="F110">
        <v>26.94</v>
      </c>
      <c r="G110">
        <v>17.16</v>
      </c>
      <c r="H110">
        <v>1.6</v>
      </c>
      <c r="I110">
        <v>0.714</v>
      </c>
      <c r="J110">
        <v>21.42</v>
      </c>
      <c r="K110">
        <v>25.9</v>
      </c>
      <c r="L110">
        <v>17.65</v>
      </c>
      <c r="M110">
        <v>1.69</v>
      </c>
      <c r="N110">
        <v>3.512</v>
      </c>
      <c r="O110">
        <v>21.6</v>
      </c>
      <c r="P110">
        <v>26.02</v>
      </c>
      <c r="Q110">
        <v>18.56</v>
      </c>
      <c r="R110">
        <v>2.7</v>
      </c>
    </row>
    <row r="111">
      <c r="A111" s="9">
        <v>38642</v>
      </c>
      <c r="B111" s="2" t="inlineStr">
        <is>
          <t xml:space="preserve">2005-10</t>
        </is>
      </c>
      <c r="C111" s="2" t="inlineStr">
        <is>
          <t xml:space="preserve">2005/06</t>
        </is>
      </c>
      <c r="D111">
        <v>0.72</v>
      </c>
      <c r="E111">
        <v>20.31</v>
      </c>
      <c r="F111">
        <v>25.12</v>
      </c>
      <c r="G111">
        <v>16.62</v>
      </c>
      <c r="H111">
        <v>0.87</v>
      </c>
      <c r="I111">
        <v>0.193</v>
      </c>
      <c r="J111">
        <v>20.7</v>
      </c>
      <c r="K111">
        <v>24.76</v>
      </c>
      <c r="L111">
        <v>17.51</v>
      </c>
      <c r="M111">
        <v>0.13</v>
      </c>
      <c r="N111">
        <v>0.364</v>
      </c>
      <c r="O111">
        <v>21.21</v>
      </c>
      <c r="P111">
        <v>24.49</v>
      </c>
      <c r="Q111">
        <v>18.45</v>
      </c>
      <c r="R111">
        <v>0.21</v>
      </c>
    </row>
    <row r="112">
      <c r="A112" s="9">
        <v>38643</v>
      </c>
      <c r="B112" s="2" t="inlineStr">
        <is>
          <t xml:space="preserve">2005-10</t>
        </is>
      </c>
      <c r="C112" s="2" t="inlineStr">
        <is>
          <t xml:space="preserve">2005/06</t>
        </is>
      </c>
      <c r="D112">
        <v>0.037</v>
      </c>
      <c r="E112">
        <v>20.47</v>
      </c>
      <c r="F112">
        <v>25.54</v>
      </c>
      <c r="G112">
        <v>17.31</v>
      </c>
      <c r="H112">
        <v>0.61</v>
      </c>
      <c r="I112">
        <v>0.0</v>
      </c>
      <c r="J112">
        <v>20.93</v>
      </c>
      <c r="K112">
        <v>25.14</v>
      </c>
      <c r="L112">
        <v>18.06</v>
      </c>
      <c r="M112">
        <v>0.04</v>
      </c>
      <c r="N112">
        <v>0.0</v>
      </c>
      <c r="O112">
        <v>21.34</v>
      </c>
      <c r="P112">
        <v>24.77</v>
      </c>
      <c r="Q112">
        <v>18.94</v>
      </c>
      <c r="R112">
        <v>0.1</v>
      </c>
    </row>
    <row r="113">
      <c r="A113" s="9">
        <v>38644</v>
      </c>
      <c r="B113" s="2" t="inlineStr">
        <is>
          <t xml:space="preserve">2005-10</t>
        </is>
      </c>
      <c r="C113" s="2" t="inlineStr">
        <is>
          <t xml:space="preserve">2005/06</t>
        </is>
      </c>
      <c r="D113">
        <v>0.068</v>
      </c>
      <c r="E113">
        <v>20.48</v>
      </c>
      <c r="F113">
        <v>24.74</v>
      </c>
      <c r="G113">
        <v>17.62</v>
      </c>
      <c r="H113">
        <v>1.2</v>
      </c>
      <c r="I113">
        <v>0.04</v>
      </c>
      <c r="J113">
        <v>21.21</v>
      </c>
      <c r="K113">
        <v>25.98</v>
      </c>
      <c r="L113">
        <v>17.3</v>
      </c>
      <c r="M113">
        <v>0.1</v>
      </c>
      <c r="N113">
        <v>0.126</v>
      </c>
      <c r="O113">
        <v>21.36</v>
      </c>
      <c r="P113">
        <v>25.55</v>
      </c>
      <c r="Q113">
        <v>18.03</v>
      </c>
      <c r="R113">
        <v>0.09</v>
      </c>
    </row>
    <row r="114">
      <c r="A114" s="9">
        <v>38645</v>
      </c>
      <c r="B114" s="2" t="inlineStr">
        <is>
          <t xml:space="preserve">2005-10</t>
        </is>
      </c>
      <c r="C114" s="2" t="inlineStr">
        <is>
          <t xml:space="preserve">2005/06</t>
        </is>
      </c>
      <c r="D114">
        <v>0.085</v>
      </c>
      <c r="E114">
        <v>20.94</v>
      </c>
      <c r="F114">
        <v>25.72</v>
      </c>
      <c r="G114">
        <v>17.51</v>
      </c>
      <c r="H114">
        <v>0.61</v>
      </c>
      <c r="I114">
        <v>0.133</v>
      </c>
      <c r="J114">
        <v>21.58</v>
      </c>
      <c r="K114">
        <v>26.62</v>
      </c>
      <c r="L114">
        <v>17.47</v>
      </c>
      <c r="M114">
        <v>0.92</v>
      </c>
      <c r="N114">
        <v>0.0</v>
      </c>
      <c r="O114">
        <v>21.74</v>
      </c>
      <c r="P114">
        <v>26.14</v>
      </c>
      <c r="Q114">
        <v>18.8</v>
      </c>
      <c r="R114">
        <v>0.26</v>
      </c>
    </row>
    <row r="115">
      <c r="A115" s="9">
        <v>38646</v>
      </c>
      <c r="B115" s="2" t="inlineStr">
        <is>
          <t xml:space="preserve">2005-10</t>
        </is>
      </c>
      <c r="C115" s="2" t="inlineStr">
        <is>
          <t xml:space="preserve">2005/06</t>
        </is>
      </c>
      <c r="D115">
        <v>0.48</v>
      </c>
      <c r="E115">
        <v>22.19</v>
      </c>
      <c r="F115">
        <v>27.34</v>
      </c>
      <c r="G115">
        <v>17.58</v>
      </c>
      <c r="H115">
        <v>0.75</v>
      </c>
      <c r="I115">
        <v>3.793</v>
      </c>
      <c r="J115">
        <v>22.74</v>
      </c>
      <c r="K115">
        <v>27.66</v>
      </c>
      <c r="L115">
        <v>18.82</v>
      </c>
      <c r="M115">
        <v>1.77</v>
      </c>
      <c r="N115">
        <v>0.453</v>
      </c>
      <c r="O115">
        <v>22.64</v>
      </c>
      <c r="P115">
        <v>27.62</v>
      </c>
      <c r="Q115">
        <v>18.38</v>
      </c>
      <c r="R115">
        <v>0.61</v>
      </c>
    </row>
    <row r="116">
      <c r="A116" s="9">
        <v>38647</v>
      </c>
      <c r="B116" s="2" t="inlineStr">
        <is>
          <t xml:space="preserve">2005-10</t>
        </is>
      </c>
      <c r="C116" s="2" t="inlineStr">
        <is>
          <t xml:space="preserve">2005/06</t>
        </is>
      </c>
      <c r="D116">
        <v>1.41</v>
      </c>
      <c r="E116">
        <v>21.75</v>
      </c>
      <c r="F116">
        <v>26.3</v>
      </c>
      <c r="G116">
        <v>18.36</v>
      </c>
      <c r="H116">
        <v>3.95</v>
      </c>
      <c r="I116">
        <v>0.021</v>
      </c>
      <c r="J116">
        <v>22.48</v>
      </c>
      <c r="K116">
        <v>26.64</v>
      </c>
      <c r="L116">
        <v>19.33</v>
      </c>
      <c r="M116">
        <v>0.43</v>
      </c>
      <c r="N116">
        <v>0.0</v>
      </c>
      <c r="O116">
        <v>22.57</v>
      </c>
      <c r="P116">
        <v>26.97</v>
      </c>
      <c r="Q116">
        <v>19.16</v>
      </c>
      <c r="R116">
        <v>0.15</v>
      </c>
    </row>
    <row r="117">
      <c r="A117" s="9">
        <v>38648</v>
      </c>
      <c r="B117" s="2" t="inlineStr">
        <is>
          <t xml:space="preserve">2005-10</t>
        </is>
      </c>
      <c r="C117" s="2" t="inlineStr">
        <is>
          <t xml:space="preserve">2005/06</t>
        </is>
      </c>
      <c r="D117">
        <v>7.923</v>
      </c>
      <c r="E117">
        <v>21.33</v>
      </c>
      <c r="F117">
        <v>25.24</v>
      </c>
      <c r="G117">
        <v>18.48</v>
      </c>
      <c r="H117">
        <v>4.4</v>
      </c>
      <c r="I117">
        <v>0.195</v>
      </c>
      <c r="J117">
        <v>21.32</v>
      </c>
      <c r="K117">
        <v>24.16</v>
      </c>
      <c r="L117">
        <v>19.64</v>
      </c>
      <c r="M117">
        <v>4.54</v>
      </c>
      <c r="N117">
        <v>0.549</v>
      </c>
      <c r="O117">
        <v>22.11</v>
      </c>
      <c r="P117">
        <v>26.11</v>
      </c>
      <c r="Q117">
        <v>18.81</v>
      </c>
      <c r="R117">
        <v>5.5</v>
      </c>
    </row>
    <row r="118">
      <c r="A118" s="9">
        <v>38649</v>
      </c>
      <c r="B118" s="2" t="inlineStr">
        <is>
          <t xml:space="preserve">2005-10</t>
        </is>
      </c>
      <c r="C118" s="2" t="inlineStr">
        <is>
          <t xml:space="preserve">2005/06</t>
        </is>
      </c>
      <c r="D118">
        <v>0.172</v>
      </c>
      <c r="E118">
        <v>19.74</v>
      </c>
      <c r="F118">
        <v>24.09</v>
      </c>
      <c r="G118">
        <v>15.65</v>
      </c>
      <c r="H118">
        <v>0.69</v>
      </c>
      <c r="I118">
        <v>25.473</v>
      </c>
      <c r="J118">
        <v>19.89</v>
      </c>
      <c r="K118">
        <v>23.4</v>
      </c>
      <c r="L118">
        <v>17.08</v>
      </c>
      <c r="M118">
        <v>12.2</v>
      </c>
      <c r="N118">
        <v>12.081</v>
      </c>
      <c r="O118">
        <v>20.01</v>
      </c>
      <c r="P118">
        <v>23.72</v>
      </c>
      <c r="Q118">
        <v>17.25</v>
      </c>
      <c r="R118">
        <v>8.79</v>
      </c>
    </row>
    <row r="119">
      <c r="A119" s="9">
        <v>38650</v>
      </c>
      <c r="B119" s="2" t="inlineStr">
        <is>
          <t xml:space="preserve">2005-10</t>
        </is>
      </c>
      <c r="C119" s="2" t="inlineStr">
        <is>
          <t xml:space="preserve">2005/06</t>
        </is>
      </c>
      <c r="D119">
        <v>0.29</v>
      </c>
      <c r="E119">
        <v>18.5</v>
      </c>
      <c r="F119">
        <v>23.1</v>
      </c>
      <c r="G119">
        <v>15.11</v>
      </c>
      <c r="H119">
        <v>0.86</v>
      </c>
      <c r="I119">
        <v>0.0</v>
      </c>
      <c r="J119">
        <v>18.56</v>
      </c>
      <c r="K119">
        <v>22.92</v>
      </c>
      <c r="L119">
        <v>14.94</v>
      </c>
      <c r="M119">
        <v>0.12</v>
      </c>
      <c r="N119">
        <v>0.103</v>
      </c>
      <c r="O119">
        <v>19.11</v>
      </c>
      <c r="P119">
        <v>22.86</v>
      </c>
      <c r="Q119">
        <v>16.18</v>
      </c>
      <c r="R119">
        <v>0.23</v>
      </c>
    </row>
    <row r="120">
      <c r="A120" s="9">
        <v>38651</v>
      </c>
      <c r="B120" s="2" t="inlineStr">
        <is>
          <t xml:space="preserve">2005-10</t>
        </is>
      </c>
      <c r="C120" s="2" t="inlineStr">
        <is>
          <t xml:space="preserve">2005/06</t>
        </is>
      </c>
      <c r="D120">
        <v>0.0</v>
      </c>
      <c r="E120">
        <v>18.5</v>
      </c>
      <c r="F120">
        <v>24.13</v>
      </c>
      <c r="G120">
        <v>14.76</v>
      </c>
      <c r="H120">
        <v>0.09</v>
      </c>
      <c r="I120">
        <v>0.039</v>
      </c>
      <c r="J120">
        <v>18.71</v>
      </c>
      <c r="K120">
        <v>24.2</v>
      </c>
      <c r="L120">
        <v>14.81</v>
      </c>
      <c r="M120">
        <v>0.1</v>
      </c>
      <c r="N120">
        <v>0.169</v>
      </c>
      <c r="O120">
        <v>18.88</v>
      </c>
      <c r="P120">
        <v>23.74</v>
      </c>
      <c r="Q120">
        <v>15.26</v>
      </c>
      <c r="R120">
        <v>0.18</v>
      </c>
    </row>
    <row r="121">
      <c r="A121" s="9">
        <v>38652</v>
      </c>
      <c r="B121" s="2" t="inlineStr">
        <is>
          <t xml:space="preserve">2005-10</t>
        </is>
      </c>
      <c r="C121" s="2" t="inlineStr">
        <is>
          <t xml:space="preserve">2005/06</t>
        </is>
      </c>
      <c r="D121">
        <v>0.072</v>
      </c>
      <c r="E121">
        <v>19.03</v>
      </c>
      <c r="F121">
        <v>25.42</v>
      </c>
      <c r="G121">
        <v>14.31</v>
      </c>
      <c r="H121">
        <v>0.13</v>
      </c>
      <c r="I121">
        <v>0.0</v>
      </c>
      <c r="J121">
        <v>19.32</v>
      </c>
      <c r="K121">
        <v>25.23</v>
      </c>
      <c r="L121">
        <v>14.79</v>
      </c>
      <c r="M121">
        <v>0.06</v>
      </c>
      <c r="N121">
        <v>0.071</v>
      </c>
      <c r="O121">
        <v>19.42</v>
      </c>
      <c r="P121">
        <v>24.64</v>
      </c>
      <c r="Q121">
        <v>15.72</v>
      </c>
      <c r="R121">
        <v>0.11</v>
      </c>
    </row>
    <row r="122">
      <c r="A122" s="9">
        <v>38653</v>
      </c>
      <c r="B122" s="2" t="inlineStr">
        <is>
          <t xml:space="preserve">2005-10</t>
        </is>
      </c>
      <c r="C122" s="2" t="inlineStr">
        <is>
          <t xml:space="preserve">2005/06</t>
        </is>
      </c>
      <c r="D122">
        <v>0.0</v>
      </c>
      <c r="E122">
        <v>18.97</v>
      </c>
      <c r="F122">
        <v>24.53</v>
      </c>
      <c r="G122">
        <v>15.05</v>
      </c>
      <c r="H122">
        <v>0.3</v>
      </c>
      <c r="I122">
        <v>0.0</v>
      </c>
      <c r="J122">
        <v>18.78</v>
      </c>
      <c r="K122">
        <v>24.11</v>
      </c>
      <c r="L122">
        <v>14.75</v>
      </c>
      <c r="M122">
        <v>0.07</v>
      </c>
      <c r="N122">
        <v>0.0</v>
      </c>
      <c r="O122">
        <v>19.15</v>
      </c>
      <c r="P122">
        <v>23.8</v>
      </c>
      <c r="Q122">
        <v>15.46</v>
      </c>
      <c r="R122">
        <v>0.26</v>
      </c>
    </row>
    <row r="123">
      <c r="A123" s="9">
        <v>38654</v>
      </c>
      <c r="B123" s="2" t="inlineStr">
        <is>
          <t xml:space="preserve">2005-10</t>
        </is>
      </c>
      <c r="C123" s="2" t="inlineStr">
        <is>
          <t xml:space="preserve">2005/06</t>
        </is>
      </c>
      <c r="D123">
        <v>0.036</v>
      </c>
      <c r="E123">
        <v>19.27</v>
      </c>
      <c r="F123">
        <v>23.85</v>
      </c>
      <c r="G123">
        <v>16.85</v>
      </c>
      <c r="H123">
        <v>1.18</v>
      </c>
      <c r="I123">
        <v>0.075</v>
      </c>
      <c r="J123">
        <v>18.95</v>
      </c>
      <c r="K123">
        <v>22.86</v>
      </c>
      <c r="L123">
        <v>16.31</v>
      </c>
      <c r="M123">
        <v>0.25</v>
      </c>
      <c r="N123">
        <v>0.401</v>
      </c>
      <c r="O123">
        <v>19.43</v>
      </c>
      <c r="P123">
        <v>23.1</v>
      </c>
      <c r="Q123">
        <v>16.89</v>
      </c>
      <c r="R123">
        <v>0.46</v>
      </c>
    </row>
    <row r="124">
      <c r="A124" s="9">
        <v>38655</v>
      </c>
      <c r="B124" s="2" t="inlineStr">
        <is>
          <t xml:space="preserve">2005-10</t>
        </is>
      </c>
      <c r="C124" s="2" t="inlineStr">
        <is>
          <t xml:space="preserve">2005/06</t>
        </is>
      </c>
      <c r="D124">
        <v>0.14</v>
      </c>
      <c r="E124">
        <v>19.34</v>
      </c>
      <c r="F124">
        <v>23.09</v>
      </c>
      <c r="G124">
        <v>16.99</v>
      </c>
      <c r="H124">
        <v>3.56</v>
      </c>
      <c r="I124">
        <v>0.025</v>
      </c>
      <c r="J124">
        <v>18.56</v>
      </c>
      <c r="K124">
        <v>22.23</v>
      </c>
      <c r="L124">
        <v>15.84</v>
      </c>
      <c r="M124">
        <v>0.57</v>
      </c>
      <c r="N124">
        <v>0.47</v>
      </c>
      <c r="O124">
        <v>18.92</v>
      </c>
      <c r="P124">
        <v>21.98</v>
      </c>
      <c r="Q124">
        <v>16.17</v>
      </c>
      <c r="R124">
        <v>1.38</v>
      </c>
    </row>
    <row r="125">
      <c r="A125" s="9">
        <v>38656</v>
      </c>
      <c r="B125" s="2" t="inlineStr">
        <is>
          <t xml:space="preserve">2005-10</t>
        </is>
      </c>
      <c r="C125" s="2" t="inlineStr">
        <is>
          <t xml:space="preserve">2005/06</t>
        </is>
      </c>
      <c r="D125">
        <v>0.455</v>
      </c>
      <c r="E125">
        <v>20.57</v>
      </c>
      <c r="F125">
        <v>24.28</v>
      </c>
      <c r="G125">
        <v>18.21</v>
      </c>
      <c r="H125">
        <v>2.8</v>
      </c>
      <c r="I125">
        <v>0.553</v>
      </c>
      <c r="J125">
        <v>19.48</v>
      </c>
      <c r="K125">
        <v>22.88</v>
      </c>
      <c r="L125">
        <v>16.85</v>
      </c>
      <c r="M125">
        <v>2.1</v>
      </c>
      <c r="N125">
        <v>3.103</v>
      </c>
      <c r="O125">
        <v>19.41</v>
      </c>
      <c r="P125">
        <v>22.03</v>
      </c>
      <c r="Q125">
        <v>17.24</v>
      </c>
      <c r="R125">
        <v>3.9</v>
      </c>
    </row>
    <row r="126">
      <c r="A126" s="9">
        <v>38657</v>
      </c>
      <c r="B126" s="2" t="inlineStr">
        <is>
          <t xml:space="preserve">2005-11</t>
        </is>
      </c>
      <c r="C126" s="2" t="inlineStr">
        <is>
          <t xml:space="preserve">2005/06</t>
        </is>
      </c>
      <c r="D126">
        <v>0.61</v>
      </c>
      <c r="E126">
        <v>20.61</v>
      </c>
      <c r="F126">
        <v>25.36</v>
      </c>
      <c r="G126">
        <v>18.05</v>
      </c>
      <c r="H126">
        <v>1.1</v>
      </c>
      <c r="I126">
        <v>1.023</v>
      </c>
      <c r="J126">
        <v>19.92</v>
      </c>
      <c r="K126">
        <v>23.38</v>
      </c>
      <c r="L126">
        <v>18.03</v>
      </c>
      <c r="M126">
        <v>1.58</v>
      </c>
      <c r="N126">
        <v>4.066</v>
      </c>
      <c r="O126">
        <v>20.63</v>
      </c>
      <c r="P126">
        <v>23.66</v>
      </c>
      <c r="Q126">
        <v>19.02</v>
      </c>
      <c r="R126">
        <v>2.25</v>
      </c>
    </row>
    <row r="127">
      <c r="A127" s="9">
        <v>38658</v>
      </c>
      <c r="B127" s="2" t="inlineStr">
        <is>
          <t xml:space="preserve">2005-11</t>
        </is>
      </c>
      <c r="C127" s="2" t="inlineStr">
        <is>
          <t xml:space="preserve">2005/06</t>
        </is>
      </c>
      <c r="D127">
        <v>0.078</v>
      </c>
      <c r="E127">
        <v>18.32</v>
      </c>
      <c r="F127">
        <v>21.47</v>
      </c>
      <c r="G127">
        <v>15.87</v>
      </c>
      <c r="H127">
        <v>1.52</v>
      </c>
      <c r="I127">
        <v>0.08</v>
      </c>
      <c r="J127">
        <v>18.45</v>
      </c>
      <c r="K127">
        <v>21.99</v>
      </c>
      <c r="L127">
        <v>16.05</v>
      </c>
      <c r="M127">
        <v>0.11</v>
      </c>
      <c r="N127">
        <v>0.297</v>
      </c>
      <c r="O127">
        <v>18.57</v>
      </c>
      <c r="P127">
        <v>21.1</v>
      </c>
      <c r="Q127">
        <v>17.03</v>
      </c>
      <c r="R127">
        <v>0.17</v>
      </c>
    </row>
    <row r="128">
      <c r="A128" s="9">
        <v>38659</v>
      </c>
      <c r="B128" s="2" t="inlineStr">
        <is>
          <t xml:space="preserve">2005-11</t>
        </is>
      </c>
      <c r="C128" s="2" t="inlineStr">
        <is>
          <t xml:space="preserve">2005/06</t>
        </is>
      </c>
      <c r="D128">
        <v>0.093</v>
      </c>
      <c r="E128">
        <v>18.49</v>
      </c>
      <c r="F128">
        <v>22.39</v>
      </c>
      <c r="G128">
        <v>16.21</v>
      </c>
      <c r="H128">
        <v>0.93</v>
      </c>
      <c r="I128">
        <v>0.0</v>
      </c>
      <c r="J128">
        <v>18.73</v>
      </c>
      <c r="K128">
        <v>22.18</v>
      </c>
      <c r="L128">
        <v>16.61</v>
      </c>
      <c r="M128">
        <v>0.1</v>
      </c>
      <c r="N128">
        <v>0.078</v>
      </c>
      <c r="O128">
        <v>18.51</v>
      </c>
      <c r="P128">
        <v>21.35</v>
      </c>
      <c r="Q128">
        <v>16.98</v>
      </c>
      <c r="R128">
        <v>0.17</v>
      </c>
    </row>
    <row r="129">
      <c r="A129" s="9">
        <v>38660</v>
      </c>
      <c r="B129" s="2" t="inlineStr">
        <is>
          <t xml:space="preserve">2005-11</t>
        </is>
      </c>
      <c r="C129" s="2" t="inlineStr">
        <is>
          <t xml:space="preserve">2005/06</t>
        </is>
      </c>
      <c r="D129">
        <v>0.067</v>
      </c>
      <c r="E129">
        <v>20.03</v>
      </c>
      <c r="F129">
        <v>25.63</v>
      </c>
      <c r="G129">
        <v>15.93</v>
      </c>
      <c r="H129">
        <v>0.41</v>
      </c>
      <c r="I129">
        <v>0.042</v>
      </c>
      <c r="J129">
        <v>19.36</v>
      </c>
      <c r="K129">
        <v>23.83</v>
      </c>
      <c r="L129">
        <v>15.97</v>
      </c>
      <c r="M129">
        <v>0.07</v>
      </c>
      <c r="N129">
        <v>0.2</v>
      </c>
      <c r="O129">
        <v>19.42</v>
      </c>
      <c r="P129">
        <v>23.1</v>
      </c>
      <c r="Q129">
        <v>16.57</v>
      </c>
      <c r="R129">
        <v>0.12</v>
      </c>
    </row>
    <row r="130">
      <c r="A130" s="9">
        <v>38661</v>
      </c>
      <c r="B130" s="2" t="inlineStr">
        <is>
          <t xml:space="preserve">2005-11</t>
        </is>
      </c>
      <c r="C130" s="2" t="inlineStr">
        <is>
          <t xml:space="preserve">2005/06</t>
        </is>
      </c>
      <c r="D130">
        <v>0.313</v>
      </c>
      <c r="E130">
        <v>20.06</v>
      </c>
      <c r="F130">
        <v>24.31</v>
      </c>
      <c r="G130">
        <v>17.29</v>
      </c>
      <c r="H130">
        <v>2.42</v>
      </c>
      <c r="I130">
        <v>0.0</v>
      </c>
      <c r="J130">
        <v>21.03</v>
      </c>
      <c r="K130">
        <v>25.68</v>
      </c>
      <c r="L130">
        <v>17.24</v>
      </c>
      <c r="M130">
        <v>0.73</v>
      </c>
      <c r="N130">
        <v>0.024</v>
      </c>
      <c r="O130">
        <v>21.0</v>
      </c>
      <c r="P130">
        <v>25.4</v>
      </c>
      <c r="Q130">
        <v>17.83</v>
      </c>
      <c r="R130">
        <v>0.65</v>
      </c>
    </row>
    <row r="131">
      <c r="A131" s="9">
        <v>38662</v>
      </c>
      <c r="B131" s="2" t="inlineStr">
        <is>
          <t xml:space="preserve">2005-11</t>
        </is>
      </c>
      <c r="C131" s="2" t="inlineStr">
        <is>
          <t xml:space="preserve">2005/06</t>
        </is>
      </c>
      <c r="D131">
        <v>0.437</v>
      </c>
      <c r="E131">
        <v>19.65</v>
      </c>
      <c r="F131">
        <v>24.62</v>
      </c>
      <c r="G131">
        <v>16.38</v>
      </c>
      <c r="H131">
        <v>0.56</v>
      </c>
      <c r="I131">
        <v>1.153</v>
      </c>
      <c r="J131">
        <v>21.13</v>
      </c>
      <c r="K131">
        <v>25.26</v>
      </c>
      <c r="L131">
        <v>18.06</v>
      </c>
      <c r="M131">
        <v>2.08</v>
      </c>
      <c r="N131">
        <v>3.02</v>
      </c>
      <c r="O131">
        <v>21.16</v>
      </c>
      <c r="P131">
        <v>25.22</v>
      </c>
      <c r="Q131">
        <v>18.86</v>
      </c>
      <c r="R131">
        <v>2.56</v>
      </c>
    </row>
    <row r="132">
      <c r="A132" s="9">
        <v>38663</v>
      </c>
      <c r="B132" s="2" t="inlineStr">
        <is>
          <t xml:space="preserve">2005-11</t>
        </is>
      </c>
      <c r="C132" s="2" t="inlineStr">
        <is>
          <t xml:space="preserve">2005/06</t>
        </is>
      </c>
      <c r="D132">
        <v>4.299</v>
      </c>
      <c r="E132">
        <v>20.56</v>
      </c>
      <c r="F132">
        <v>26.71</v>
      </c>
      <c r="G132">
        <v>15.9</v>
      </c>
      <c r="H132">
        <v>3.8</v>
      </c>
      <c r="I132">
        <v>1.033</v>
      </c>
      <c r="J132">
        <v>21.44</v>
      </c>
      <c r="K132">
        <v>25.9</v>
      </c>
      <c r="L132">
        <v>17.68</v>
      </c>
      <c r="M132">
        <v>3.2</v>
      </c>
      <c r="N132">
        <v>5.089</v>
      </c>
      <c r="O132">
        <v>21.68</v>
      </c>
      <c r="P132">
        <v>26.13</v>
      </c>
      <c r="Q132">
        <v>18.29</v>
      </c>
      <c r="R132">
        <v>5.24</v>
      </c>
    </row>
    <row r="133">
      <c r="A133" s="9">
        <v>38664</v>
      </c>
      <c r="B133" s="2" t="inlineStr">
        <is>
          <t xml:space="preserve">2005-11</t>
        </is>
      </c>
      <c r="C133" s="2" t="inlineStr">
        <is>
          <t xml:space="preserve">2005/06</t>
        </is>
      </c>
      <c r="D133">
        <v>0.04</v>
      </c>
      <c r="E133">
        <v>20.68</v>
      </c>
      <c r="F133">
        <v>25.86</v>
      </c>
      <c r="G133">
        <v>16.69</v>
      </c>
      <c r="H133">
        <v>0.3</v>
      </c>
      <c r="I133">
        <v>0.606</v>
      </c>
      <c r="J133">
        <v>21.31</v>
      </c>
      <c r="K133">
        <v>25.73</v>
      </c>
      <c r="L133">
        <v>18.42</v>
      </c>
      <c r="M133">
        <v>1.05</v>
      </c>
      <c r="N133">
        <v>3.055</v>
      </c>
      <c r="O133">
        <v>21.54</v>
      </c>
      <c r="P133">
        <v>25.44</v>
      </c>
      <c r="Q133">
        <v>19.03</v>
      </c>
      <c r="R133">
        <v>2.84</v>
      </c>
    </row>
    <row r="134">
      <c r="A134" s="9">
        <v>38665</v>
      </c>
      <c r="B134" s="2" t="inlineStr">
        <is>
          <t xml:space="preserve">2005-11</t>
        </is>
      </c>
      <c r="C134" s="2" t="inlineStr">
        <is>
          <t xml:space="preserve">2005/06</t>
        </is>
      </c>
      <c r="D134">
        <v>0.071</v>
      </c>
      <c r="E134">
        <v>21.41</v>
      </c>
      <c r="F134">
        <v>26.93</v>
      </c>
      <c r="G134">
        <v>17.67</v>
      </c>
      <c r="H134">
        <v>0.77</v>
      </c>
      <c r="I134">
        <v>0.164</v>
      </c>
      <c r="J134">
        <v>21.44</v>
      </c>
      <c r="K134">
        <v>26.2</v>
      </c>
      <c r="L134">
        <v>17.78</v>
      </c>
      <c r="M134">
        <v>0.56</v>
      </c>
      <c r="N134">
        <v>0.903</v>
      </c>
      <c r="O134">
        <v>21.72</v>
      </c>
      <c r="P134">
        <v>26.18</v>
      </c>
      <c r="Q134">
        <v>18.95</v>
      </c>
      <c r="R134">
        <v>1.28</v>
      </c>
    </row>
    <row r="135">
      <c r="A135" s="9">
        <v>38666</v>
      </c>
      <c r="B135" s="2" t="inlineStr">
        <is>
          <t xml:space="preserve">2005-11</t>
        </is>
      </c>
      <c r="C135" s="2" t="inlineStr">
        <is>
          <t xml:space="preserve">2005/06</t>
        </is>
      </c>
      <c r="D135">
        <v>0.272</v>
      </c>
      <c r="E135">
        <v>20.67</v>
      </c>
      <c r="F135">
        <v>26.2</v>
      </c>
      <c r="G135">
        <v>17.28</v>
      </c>
      <c r="H135">
        <v>1.67</v>
      </c>
      <c r="I135">
        <v>0.0</v>
      </c>
      <c r="J135">
        <v>20.8</v>
      </c>
      <c r="K135">
        <v>25.46</v>
      </c>
      <c r="L135">
        <v>17.56</v>
      </c>
      <c r="M135">
        <v>0.49</v>
      </c>
      <c r="N135">
        <v>0.391</v>
      </c>
      <c r="O135">
        <v>20.93</v>
      </c>
      <c r="P135">
        <v>25.25</v>
      </c>
      <c r="Q135">
        <v>18.35</v>
      </c>
      <c r="R135">
        <v>1.6</v>
      </c>
    </row>
    <row r="136">
      <c r="A136" s="9">
        <v>38667</v>
      </c>
      <c r="B136" s="2" t="inlineStr">
        <is>
          <t xml:space="preserve">2005-11</t>
        </is>
      </c>
      <c r="C136" s="2" t="inlineStr">
        <is>
          <t xml:space="preserve">2005/06</t>
        </is>
      </c>
      <c r="D136">
        <v>0.081</v>
      </c>
      <c r="E136">
        <v>19.14</v>
      </c>
      <c r="F136">
        <v>24.11</v>
      </c>
      <c r="G136">
        <v>15.87</v>
      </c>
      <c r="H136">
        <v>0.16</v>
      </c>
      <c r="I136">
        <v>0.0</v>
      </c>
      <c r="J136">
        <v>19.46</v>
      </c>
      <c r="K136">
        <v>24.53</v>
      </c>
      <c r="L136">
        <v>15.41</v>
      </c>
      <c r="M136">
        <v>0.17</v>
      </c>
      <c r="N136">
        <v>0.0</v>
      </c>
      <c r="O136">
        <v>19.43</v>
      </c>
      <c r="P136">
        <v>23.39</v>
      </c>
      <c r="Q136">
        <v>16.24</v>
      </c>
      <c r="R136">
        <v>1.36</v>
      </c>
    </row>
    <row r="137">
      <c r="A137" s="9">
        <v>38668</v>
      </c>
      <c r="B137" s="2" t="inlineStr">
        <is>
          <t xml:space="preserve">2005-11</t>
        </is>
      </c>
      <c r="C137" s="2" t="inlineStr">
        <is>
          <t xml:space="preserve">2005/06</t>
        </is>
      </c>
      <c r="D137">
        <v>0.0</v>
      </c>
      <c r="E137">
        <v>20.21</v>
      </c>
      <c r="F137">
        <v>26.22</v>
      </c>
      <c r="G137">
        <v>15.73</v>
      </c>
      <c r="H137">
        <v>0.08</v>
      </c>
      <c r="I137">
        <v>0.037</v>
      </c>
      <c r="J137">
        <v>19.13</v>
      </c>
      <c r="K137">
        <v>24.7</v>
      </c>
      <c r="L137">
        <v>14.69</v>
      </c>
      <c r="M137">
        <v>0.08</v>
      </c>
      <c r="N137">
        <v>0.167</v>
      </c>
      <c r="O137">
        <v>19.58</v>
      </c>
      <c r="P137">
        <v>24.38</v>
      </c>
      <c r="Q137">
        <v>15.68</v>
      </c>
      <c r="R137">
        <v>0.13</v>
      </c>
    </row>
    <row r="138">
      <c r="A138" s="9">
        <v>38669</v>
      </c>
      <c r="B138" s="2" t="inlineStr">
        <is>
          <t xml:space="preserve">2005-11</t>
        </is>
      </c>
      <c r="C138" s="2" t="inlineStr">
        <is>
          <t xml:space="preserve">2005/06</t>
        </is>
      </c>
      <c r="D138">
        <v>0.0</v>
      </c>
      <c r="E138">
        <v>20.31</v>
      </c>
      <c r="F138">
        <v>25.14</v>
      </c>
      <c r="G138">
        <v>16.55</v>
      </c>
      <c r="H138">
        <v>0.46</v>
      </c>
      <c r="I138">
        <v>0.0</v>
      </c>
      <c r="J138">
        <v>20.44</v>
      </c>
      <c r="K138">
        <v>24.99</v>
      </c>
      <c r="L138">
        <v>16.72</v>
      </c>
      <c r="M138">
        <v>0.15</v>
      </c>
      <c r="N138">
        <v>0.0</v>
      </c>
      <c r="O138">
        <v>20.84</v>
      </c>
      <c r="P138">
        <v>25.14</v>
      </c>
      <c r="Q138">
        <v>17.25</v>
      </c>
      <c r="R138">
        <v>0.21</v>
      </c>
    </row>
    <row r="139">
      <c r="A139" s="9">
        <v>38670</v>
      </c>
      <c r="B139" s="2" t="inlineStr">
        <is>
          <t xml:space="preserve">2005-11</t>
        </is>
      </c>
      <c r="C139" s="2" t="inlineStr">
        <is>
          <t xml:space="preserve">2005/06</t>
        </is>
      </c>
      <c r="D139">
        <v>0.384</v>
      </c>
      <c r="E139">
        <v>20.48</v>
      </c>
      <c r="F139">
        <v>25.93</v>
      </c>
      <c r="G139">
        <v>17.0</v>
      </c>
      <c r="H139">
        <v>0.31</v>
      </c>
      <c r="I139">
        <v>0.122</v>
      </c>
      <c r="J139">
        <v>20.6</v>
      </c>
      <c r="K139">
        <v>25.4</v>
      </c>
      <c r="L139">
        <v>17.37</v>
      </c>
      <c r="M139">
        <v>0.21</v>
      </c>
      <c r="N139">
        <v>0.523</v>
      </c>
      <c r="O139">
        <v>20.99</v>
      </c>
      <c r="P139">
        <v>25.35</v>
      </c>
      <c r="Q139">
        <v>18.35</v>
      </c>
      <c r="R139">
        <v>0.71</v>
      </c>
    </row>
    <row r="140">
      <c r="A140" s="9">
        <v>38671</v>
      </c>
      <c r="B140" s="2" t="inlineStr">
        <is>
          <t xml:space="preserve">2005-11</t>
        </is>
      </c>
      <c r="C140" s="2" t="inlineStr">
        <is>
          <t xml:space="preserve">2005/06</t>
        </is>
      </c>
      <c r="D140">
        <v>0.0</v>
      </c>
      <c r="E140">
        <v>20.26</v>
      </c>
      <c r="F140">
        <v>25.08</v>
      </c>
      <c r="G140">
        <v>16.48</v>
      </c>
      <c r="H140">
        <v>0.17</v>
      </c>
      <c r="I140">
        <v>0.039</v>
      </c>
      <c r="J140">
        <v>20.74</v>
      </c>
      <c r="K140">
        <v>25.84</v>
      </c>
      <c r="L140">
        <v>16.54</v>
      </c>
      <c r="M140">
        <v>0.19</v>
      </c>
      <c r="N140">
        <v>0.176</v>
      </c>
      <c r="O140">
        <v>20.81</v>
      </c>
      <c r="P140">
        <v>25.43</v>
      </c>
      <c r="Q140">
        <v>17.64</v>
      </c>
      <c r="R140">
        <v>0.88</v>
      </c>
    </row>
    <row r="141">
      <c r="A141" s="9">
        <v>38672</v>
      </c>
      <c r="B141" s="2" t="inlineStr">
        <is>
          <t xml:space="preserve">2005-11</t>
        </is>
      </c>
      <c r="C141" s="2" t="inlineStr">
        <is>
          <t xml:space="preserve">2005/06</t>
        </is>
      </c>
      <c r="D141">
        <v>0.197</v>
      </c>
      <c r="E141">
        <v>20.34</v>
      </c>
      <c r="F141">
        <v>25.15</v>
      </c>
      <c r="G141">
        <v>17.41</v>
      </c>
      <c r="H141">
        <v>2.17</v>
      </c>
      <c r="I141">
        <v>0.024</v>
      </c>
      <c r="J141">
        <v>21.01</v>
      </c>
      <c r="K141">
        <v>25.38</v>
      </c>
      <c r="L141">
        <v>17.46</v>
      </c>
      <c r="M141">
        <v>0.95</v>
      </c>
      <c r="N141">
        <v>0.114</v>
      </c>
      <c r="O141">
        <v>21.17</v>
      </c>
      <c r="P141">
        <v>25.69</v>
      </c>
      <c r="Q141">
        <v>17.73</v>
      </c>
      <c r="R141">
        <v>2.18</v>
      </c>
    </row>
    <row r="142">
      <c r="A142" s="9">
        <v>38673</v>
      </c>
      <c r="B142" s="2" t="inlineStr">
        <is>
          <t xml:space="preserve">2005-11</t>
        </is>
      </c>
      <c r="C142" s="2" t="inlineStr">
        <is>
          <t xml:space="preserve">2005/06</t>
        </is>
      </c>
      <c r="D142">
        <v>1.221</v>
      </c>
      <c r="E142">
        <v>19.88</v>
      </c>
      <c r="F142">
        <v>23.62</v>
      </c>
      <c r="G142">
        <v>17.17</v>
      </c>
      <c r="H142">
        <v>7.32</v>
      </c>
      <c r="I142">
        <v>0.871</v>
      </c>
      <c r="J142">
        <v>20.19</v>
      </c>
      <c r="K142">
        <v>23.18</v>
      </c>
      <c r="L142">
        <v>18.38</v>
      </c>
      <c r="M142">
        <v>2.8</v>
      </c>
      <c r="N142">
        <v>4.949</v>
      </c>
      <c r="O142">
        <v>20.41</v>
      </c>
      <c r="P142">
        <v>22.64</v>
      </c>
      <c r="Q142">
        <v>19.15</v>
      </c>
      <c r="R142">
        <v>5.92</v>
      </c>
    </row>
    <row r="143">
      <c r="A143" s="9">
        <v>38674</v>
      </c>
      <c r="B143" s="2" t="inlineStr">
        <is>
          <t xml:space="preserve">2005-11</t>
        </is>
      </c>
      <c r="C143" s="2" t="inlineStr">
        <is>
          <t xml:space="preserve">2005/06</t>
        </is>
      </c>
      <c r="D143">
        <v>1.634</v>
      </c>
      <c r="E143">
        <v>20.04</v>
      </c>
      <c r="F143">
        <v>24.14</v>
      </c>
      <c r="G143">
        <v>17.54</v>
      </c>
      <c r="H143">
        <v>11.43</v>
      </c>
      <c r="I143">
        <v>0.169</v>
      </c>
      <c r="J143">
        <v>18.85</v>
      </c>
      <c r="K143">
        <v>20.99</v>
      </c>
      <c r="L143">
        <v>17.21</v>
      </c>
      <c r="M143">
        <v>2.82</v>
      </c>
      <c r="N143">
        <v>2.58</v>
      </c>
      <c r="O143">
        <v>19.3</v>
      </c>
      <c r="P143">
        <v>20.55</v>
      </c>
      <c r="Q143">
        <v>18.13</v>
      </c>
      <c r="R143">
        <v>6.34</v>
      </c>
    </row>
    <row r="144">
      <c r="A144" s="9">
        <v>38675</v>
      </c>
      <c r="B144" s="2" t="inlineStr">
        <is>
          <t xml:space="preserve">2005-11</t>
        </is>
      </c>
      <c r="C144" s="2" t="inlineStr">
        <is>
          <t xml:space="preserve">2005/06</t>
        </is>
      </c>
      <c r="D144">
        <v>0.658</v>
      </c>
      <c r="E144">
        <v>19.66</v>
      </c>
      <c r="F144">
        <v>24.21</v>
      </c>
      <c r="G144">
        <v>16.93</v>
      </c>
      <c r="H144">
        <v>2.5</v>
      </c>
      <c r="I144">
        <v>0.319</v>
      </c>
      <c r="J144">
        <v>19.64</v>
      </c>
      <c r="K144">
        <v>23.82</v>
      </c>
      <c r="L144">
        <v>17.48</v>
      </c>
      <c r="M144">
        <v>1.3</v>
      </c>
      <c r="N144">
        <v>2.684</v>
      </c>
      <c r="O144">
        <v>19.72</v>
      </c>
      <c r="P144">
        <v>23.09</v>
      </c>
      <c r="Q144">
        <v>17.68</v>
      </c>
      <c r="R144">
        <v>2.25</v>
      </c>
    </row>
    <row r="145">
      <c r="A145" s="9">
        <v>38676</v>
      </c>
      <c r="B145" s="2" t="inlineStr">
        <is>
          <t xml:space="preserve">2005-11</t>
        </is>
      </c>
      <c r="C145" s="2" t="inlineStr">
        <is>
          <t xml:space="preserve">2005/06</t>
        </is>
      </c>
      <c r="D145">
        <v>0.053</v>
      </c>
      <c r="E145">
        <v>19.74</v>
      </c>
      <c r="F145">
        <v>24.36</v>
      </c>
      <c r="G145">
        <v>17.1</v>
      </c>
      <c r="H145">
        <v>0.42</v>
      </c>
      <c r="I145">
        <v>0.164</v>
      </c>
      <c r="J145">
        <v>19.99</v>
      </c>
      <c r="K145">
        <v>24.9</v>
      </c>
      <c r="L145">
        <v>17.01</v>
      </c>
      <c r="M145">
        <v>0.35</v>
      </c>
      <c r="N145">
        <v>0.758</v>
      </c>
      <c r="O145">
        <v>20.29</v>
      </c>
      <c r="P145">
        <v>24.43</v>
      </c>
      <c r="Q145">
        <v>18.08</v>
      </c>
      <c r="R145">
        <v>0.51</v>
      </c>
    </row>
    <row r="146">
      <c r="A146" s="9">
        <v>38677</v>
      </c>
      <c r="B146" s="2" t="inlineStr">
        <is>
          <t xml:space="preserve">2005-11</t>
        </is>
      </c>
      <c r="C146" s="2" t="inlineStr">
        <is>
          <t xml:space="preserve">2005/06</t>
        </is>
      </c>
      <c r="D146">
        <v>0.093</v>
      </c>
      <c r="E146">
        <v>19.43</v>
      </c>
      <c r="F146">
        <v>24.36</v>
      </c>
      <c r="G146">
        <v>16.68</v>
      </c>
      <c r="H146">
        <v>0.95</v>
      </c>
      <c r="I146">
        <v>0.203</v>
      </c>
      <c r="J146">
        <v>20.42</v>
      </c>
      <c r="K146">
        <v>24.7</v>
      </c>
      <c r="L146">
        <v>17.8</v>
      </c>
      <c r="M146">
        <v>0.45</v>
      </c>
      <c r="N146">
        <v>0.96</v>
      </c>
      <c r="O146">
        <v>20.67</v>
      </c>
      <c r="P146">
        <v>24.18</v>
      </c>
      <c r="Q146">
        <v>18.13</v>
      </c>
      <c r="R146">
        <v>0.84</v>
      </c>
    </row>
    <row r="147">
      <c r="A147" s="9">
        <v>38678</v>
      </c>
      <c r="B147" s="2" t="inlineStr">
        <is>
          <t xml:space="preserve">2005-11</t>
        </is>
      </c>
      <c r="C147" s="2" t="inlineStr">
        <is>
          <t xml:space="preserve">2005/06</t>
        </is>
      </c>
      <c r="D147">
        <v>0.025</v>
      </c>
      <c r="E147">
        <v>17.48</v>
      </c>
      <c r="F147">
        <v>22.67</v>
      </c>
      <c r="G147">
        <v>12.86</v>
      </c>
      <c r="H147">
        <v>0.43</v>
      </c>
      <c r="I147">
        <v>0.0</v>
      </c>
      <c r="J147">
        <v>17.73</v>
      </c>
      <c r="K147">
        <v>20.63</v>
      </c>
      <c r="L147">
        <v>14.85</v>
      </c>
      <c r="M147">
        <v>0.08</v>
      </c>
      <c r="N147">
        <v>0.066</v>
      </c>
      <c r="O147">
        <v>18.06</v>
      </c>
      <c r="P147">
        <v>20.48</v>
      </c>
      <c r="Q147">
        <v>15.65</v>
      </c>
      <c r="R147">
        <v>0.21</v>
      </c>
    </row>
    <row r="148">
      <c r="A148" s="9">
        <v>38679</v>
      </c>
      <c r="B148" s="2" t="inlineStr">
        <is>
          <t xml:space="preserve">2005-11</t>
        </is>
      </c>
      <c r="C148" s="2" t="inlineStr">
        <is>
          <t xml:space="preserve">2005/06</t>
        </is>
      </c>
      <c r="D148">
        <v>0.022</v>
      </c>
      <c r="E148">
        <v>15.87</v>
      </c>
      <c r="F148">
        <v>20.89</v>
      </c>
      <c r="G148">
        <v>12.07</v>
      </c>
      <c r="H148">
        <v>0.19</v>
      </c>
      <c r="I148">
        <v>0.0</v>
      </c>
      <c r="J148">
        <v>15.63</v>
      </c>
      <c r="K148">
        <v>19.87</v>
      </c>
      <c r="L148">
        <v>11.79</v>
      </c>
      <c r="M148">
        <v>0.1</v>
      </c>
      <c r="N148">
        <v>0.083</v>
      </c>
      <c r="O148">
        <v>16.02</v>
      </c>
      <c r="P148">
        <v>19.55</v>
      </c>
      <c r="Q148">
        <v>12.54</v>
      </c>
      <c r="R148">
        <v>0.38</v>
      </c>
    </row>
    <row r="149">
      <c r="A149" s="9">
        <v>38680</v>
      </c>
      <c r="B149" s="2" t="inlineStr">
        <is>
          <t xml:space="preserve">2005-11</t>
        </is>
      </c>
      <c r="C149" s="2" t="inlineStr">
        <is>
          <t xml:space="preserve">2005/06</t>
        </is>
      </c>
      <c r="D149">
        <v>0.0</v>
      </c>
      <c r="E149">
        <v>15.68</v>
      </c>
      <c r="F149">
        <v>23.43</v>
      </c>
      <c r="G149">
        <v>9.72</v>
      </c>
      <c r="H149">
        <v>0.02</v>
      </c>
      <c r="I149">
        <v>0.0</v>
      </c>
      <c r="J149">
        <v>15.05</v>
      </c>
      <c r="K149">
        <v>22.45</v>
      </c>
      <c r="L149">
        <v>9.61</v>
      </c>
      <c r="M149">
        <v>0.04</v>
      </c>
      <c r="N149">
        <v>0.0</v>
      </c>
      <c r="O149">
        <v>15.51</v>
      </c>
      <c r="P149">
        <v>21.78</v>
      </c>
      <c r="Q149">
        <v>10.83</v>
      </c>
      <c r="R149">
        <v>0.02</v>
      </c>
    </row>
    <row r="150">
      <c r="A150" s="9">
        <v>38681</v>
      </c>
      <c r="B150" s="2" t="inlineStr">
        <is>
          <t xml:space="preserve">2005-11</t>
        </is>
      </c>
      <c r="C150" s="2" t="inlineStr">
        <is>
          <t xml:space="preserve">2005/06</t>
        </is>
      </c>
      <c r="D150">
        <v>0.0</v>
      </c>
      <c r="E150">
        <v>17.92</v>
      </c>
      <c r="F150">
        <v>25.6</v>
      </c>
      <c r="G150">
        <v>12.21</v>
      </c>
      <c r="H150">
        <v>0.0</v>
      </c>
      <c r="I150">
        <v>0.0</v>
      </c>
      <c r="J150">
        <v>17.76</v>
      </c>
      <c r="K150">
        <v>25.72</v>
      </c>
      <c r="L150">
        <v>11.24</v>
      </c>
      <c r="M150">
        <v>0.0</v>
      </c>
      <c r="N150">
        <v>0.0</v>
      </c>
      <c r="O150">
        <v>17.58</v>
      </c>
      <c r="P150">
        <v>24.61</v>
      </c>
      <c r="Q150">
        <v>11.79</v>
      </c>
      <c r="R150">
        <v>0.0</v>
      </c>
    </row>
    <row r="151">
      <c r="A151" s="9">
        <v>38682</v>
      </c>
      <c r="B151" s="2" t="inlineStr">
        <is>
          <t xml:space="preserve">2005-11</t>
        </is>
      </c>
      <c r="C151" s="2" t="inlineStr">
        <is>
          <t xml:space="preserve">2005/06</t>
        </is>
      </c>
      <c r="D151">
        <v>0.0</v>
      </c>
      <c r="E151">
        <v>19.3</v>
      </c>
      <c r="F151">
        <v>26.69</v>
      </c>
      <c r="G151">
        <v>13.92</v>
      </c>
      <c r="H151">
        <v>0.0</v>
      </c>
      <c r="I151">
        <v>0.0</v>
      </c>
      <c r="J151">
        <v>19.05</v>
      </c>
      <c r="K151">
        <v>25.92</v>
      </c>
      <c r="L151">
        <v>13.72</v>
      </c>
      <c r="M151">
        <v>0.0</v>
      </c>
      <c r="N151">
        <v>0.0</v>
      </c>
      <c r="O151">
        <v>19.23</v>
      </c>
      <c r="P151">
        <v>25.4</v>
      </c>
      <c r="Q151">
        <v>15.67</v>
      </c>
      <c r="R151">
        <v>0.0</v>
      </c>
    </row>
    <row r="152">
      <c r="A152" s="9">
        <v>38683</v>
      </c>
      <c r="B152" s="2" t="inlineStr">
        <is>
          <t xml:space="preserve">2005-11</t>
        </is>
      </c>
      <c r="C152" s="2" t="inlineStr">
        <is>
          <t xml:space="preserve">2005/06</t>
        </is>
      </c>
      <c r="D152">
        <v>0.0</v>
      </c>
      <c r="E152">
        <v>20.93</v>
      </c>
      <c r="F152">
        <v>28.53</v>
      </c>
      <c r="G152">
        <v>14.07</v>
      </c>
      <c r="H152">
        <v>0.0</v>
      </c>
      <c r="I152">
        <v>0.0</v>
      </c>
      <c r="J152">
        <v>19.48</v>
      </c>
      <c r="K152">
        <v>26.52</v>
      </c>
      <c r="L152">
        <v>13.62</v>
      </c>
      <c r="M152">
        <v>0.0</v>
      </c>
      <c r="N152">
        <v>0.0</v>
      </c>
      <c r="O152">
        <v>20.63</v>
      </c>
      <c r="P152">
        <v>27.49</v>
      </c>
      <c r="Q152">
        <v>14.48</v>
      </c>
      <c r="R152">
        <v>0.0</v>
      </c>
    </row>
    <row r="153">
      <c r="A153" s="9">
        <v>38684</v>
      </c>
      <c r="B153" s="2" t="inlineStr">
        <is>
          <t xml:space="preserve">2005-11</t>
        </is>
      </c>
      <c r="C153" s="2" t="inlineStr">
        <is>
          <t xml:space="preserve">2005/06</t>
        </is>
      </c>
      <c r="D153">
        <v>0.0</v>
      </c>
      <c r="E153">
        <v>22.17</v>
      </c>
      <c r="F153">
        <v>29.04</v>
      </c>
      <c r="G153">
        <v>16.37</v>
      </c>
      <c r="H153">
        <v>0.0</v>
      </c>
      <c r="I153">
        <v>0.0</v>
      </c>
      <c r="J153">
        <v>20.6</v>
      </c>
      <c r="K153">
        <v>27.0</v>
      </c>
      <c r="L153">
        <v>15.28</v>
      </c>
      <c r="M153">
        <v>0.0</v>
      </c>
      <c r="N153">
        <v>0.0</v>
      </c>
      <c r="O153">
        <v>22.01</v>
      </c>
      <c r="P153">
        <v>28.84</v>
      </c>
      <c r="Q153">
        <v>15.93</v>
      </c>
      <c r="R153">
        <v>0.02</v>
      </c>
    </row>
    <row r="154">
      <c r="A154" s="9">
        <v>38685</v>
      </c>
      <c r="B154" s="2" t="inlineStr">
        <is>
          <t xml:space="preserve">2005-11</t>
        </is>
      </c>
      <c r="C154" s="2" t="inlineStr">
        <is>
          <t xml:space="preserve">2005/06</t>
        </is>
      </c>
      <c r="D154">
        <v>0.0</v>
      </c>
      <c r="E154">
        <v>22.05</v>
      </c>
      <c r="F154">
        <v>27.68</v>
      </c>
      <c r="G154">
        <v>17.92</v>
      </c>
      <c r="H154">
        <v>0.15</v>
      </c>
      <c r="I154">
        <v>0.0</v>
      </c>
      <c r="J154">
        <v>21.33</v>
      </c>
      <c r="K154">
        <v>26.86</v>
      </c>
      <c r="L154">
        <v>16.87</v>
      </c>
      <c r="M154">
        <v>0.52</v>
      </c>
      <c r="N154">
        <v>0.0</v>
      </c>
      <c r="O154">
        <v>21.95</v>
      </c>
      <c r="P154">
        <v>26.48</v>
      </c>
      <c r="Q154">
        <v>18.43</v>
      </c>
      <c r="R154">
        <v>0.83</v>
      </c>
    </row>
    <row r="155">
      <c r="A155" s="9">
        <v>38686</v>
      </c>
      <c r="B155" s="2" t="inlineStr">
        <is>
          <t xml:space="preserve">2005-11</t>
        </is>
      </c>
      <c r="C155" s="2" t="inlineStr">
        <is>
          <t xml:space="preserve">2005/06</t>
        </is>
      </c>
      <c r="D155">
        <v>0.098</v>
      </c>
      <c r="E155">
        <v>21.17</v>
      </c>
      <c r="F155">
        <v>27.11</v>
      </c>
      <c r="G155">
        <v>17.33</v>
      </c>
      <c r="H155">
        <v>0.12</v>
      </c>
      <c r="I155">
        <v>0.348</v>
      </c>
      <c r="J155">
        <v>20.98</v>
      </c>
      <c r="K155">
        <v>25.7</v>
      </c>
      <c r="L155">
        <v>17.57</v>
      </c>
      <c r="M155">
        <v>0.39</v>
      </c>
      <c r="N155">
        <v>1.923</v>
      </c>
      <c r="O155">
        <v>21.15</v>
      </c>
      <c r="P155">
        <v>25.46</v>
      </c>
      <c r="Q155">
        <v>18.27</v>
      </c>
      <c r="R155">
        <v>0.77</v>
      </c>
    </row>
    <row r="156">
      <c r="A156" s="9">
        <v>38687</v>
      </c>
      <c r="B156" s="2" t="inlineStr">
        <is>
          <t xml:space="preserve">2005-12</t>
        </is>
      </c>
      <c r="C156" s="2" t="inlineStr">
        <is>
          <t xml:space="preserve">2005/06</t>
        </is>
      </c>
      <c r="D156">
        <v>0.0</v>
      </c>
      <c r="E156">
        <v>20.43</v>
      </c>
      <c r="F156">
        <v>26.78</v>
      </c>
      <c r="G156">
        <v>15.87</v>
      </c>
      <c r="H156">
        <v>0.0</v>
      </c>
      <c r="I156">
        <v>0.0</v>
      </c>
      <c r="J156">
        <v>19.91</v>
      </c>
      <c r="K156">
        <v>25.22</v>
      </c>
      <c r="L156">
        <v>16.11</v>
      </c>
      <c r="M156">
        <v>0.0</v>
      </c>
      <c r="N156">
        <v>0.0</v>
      </c>
      <c r="O156">
        <v>20.39</v>
      </c>
      <c r="P156">
        <v>25.3</v>
      </c>
      <c r="Q156">
        <v>16.98</v>
      </c>
      <c r="R156">
        <v>0.15</v>
      </c>
    </row>
    <row r="157">
      <c r="A157" s="9">
        <v>38688</v>
      </c>
      <c r="B157" s="2" t="inlineStr">
        <is>
          <t xml:space="preserve">2005-12</t>
        </is>
      </c>
      <c r="C157" s="2" t="inlineStr">
        <is>
          <t xml:space="preserve">2005/06</t>
        </is>
      </c>
      <c r="D157">
        <v>0.0</v>
      </c>
      <c r="E157">
        <v>20.28</v>
      </c>
      <c r="F157">
        <v>26.26</v>
      </c>
      <c r="G157">
        <v>15.8</v>
      </c>
      <c r="H157">
        <v>0.24</v>
      </c>
      <c r="I157">
        <v>0.0</v>
      </c>
      <c r="J157">
        <v>20.02</v>
      </c>
      <c r="K157">
        <v>25.26</v>
      </c>
      <c r="L157">
        <v>16.46</v>
      </c>
      <c r="M157">
        <v>0.01</v>
      </c>
      <c r="N157">
        <v>0.0</v>
      </c>
      <c r="O157">
        <v>20.4</v>
      </c>
      <c r="P157">
        <v>25.07</v>
      </c>
      <c r="Q157">
        <v>17.22</v>
      </c>
      <c r="R157">
        <v>0.35</v>
      </c>
    </row>
    <row r="158">
      <c r="A158" s="9">
        <v>38689</v>
      </c>
      <c r="B158" s="2" t="inlineStr">
        <is>
          <t xml:space="preserve">2005-12</t>
        </is>
      </c>
      <c r="C158" s="2" t="inlineStr">
        <is>
          <t xml:space="preserve">2005/06</t>
        </is>
      </c>
      <c r="D158">
        <v>0.325</v>
      </c>
      <c r="E158">
        <v>20.1</v>
      </c>
      <c r="F158">
        <v>26.77</v>
      </c>
      <c r="G158">
        <v>15.54</v>
      </c>
      <c r="H158">
        <v>0.32</v>
      </c>
      <c r="I158">
        <v>0.0</v>
      </c>
      <c r="J158">
        <v>20.25</v>
      </c>
      <c r="K158">
        <v>25.74</v>
      </c>
      <c r="L158">
        <v>16.28</v>
      </c>
      <c r="M158">
        <v>0.0</v>
      </c>
      <c r="N158">
        <v>0.0</v>
      </c>
      <c r="O158">
        <v>20.42</v>
      </c>
      <c r="P158">
        <v>25.62</v>
      </c>
      <c r="Q158">
        <v>16.72</v>
      </c>
      <c r="R158">
        <v>0.03</v>
      </c>
    </row>
    <row r="159">
      <c r="A159" s="9">
        <v>38690</v>
      </c>
      <c r="B159" s="2" t="inlineStr">
        <is>
          <t xml:space="preserve">2005-12</t>
        </is>
      </c>
      <c r="C159" s="2" t="inlineStr">
        <is>
          <t xml:space="preserve">2005/06</t>
        </is>
      </c>
      <c r="D159">
        <v>0.0</v>
      </c>
      <c r="E159">
        <v>20.44</v>
      </c>
      <c r="F159">
        <v>27.57</v>
      </c>
      <c r="G159">
        <v>15.59</v>
      </c>
      <c r="H159">
        <v>0.08</v>
      </c>
      <c r="I159">
        <v>0.0</v>
      </c>
      <c r="J159">
        <v>20.7</v>
      </c>
      <c r="K159">
        <v>26.5</v>
      </c>
      <c r="L159">
        <v>16.44</v>
      </c>
      <c r="M159">
        <v>0.0</v>
      </c>
      <c r="N159">
        <v>0.0</v>
      </c>
      <c r="O159">
        <v>20.58</v>
      </c>
      <c r="P159">
        <v>26.08</v>
      </c>
      <c r="Q159">
        <v>17.11</v>
      </c>
      <c r="R159">
        <v>0.0</v>
      </c>
    </row>
    <row r="160">
      <c r="A160" s="9">
        <v>38691</v>
      </c>
      <c r="B160" s="2" t="inlineStr">
        <is>
          <t xml:space="preserve">2005-12</t>
        </is>
      </c>
      <c r="C160" s="2" t="inlineStr">
        <is>
          <t xml:space="preserve">2005/06</t>
        </is>
      </c>
      <c r="D160">
        <v>0.0</v>
      </c>
      <c r="E160">
        <v>21.59</v>
      </c>
      <c r="F160">
        <v>28.43</v>
      </c>
      <c r="G160">
        <v>16.28</v>
      </c>
      <c r="H160">
        <v>0.05</v>
      </c>
      <c r="I160">
        <v>0.0</v>
      </c>
      <c r="J160">
        <v>21.2</v>
      </c>
      <c r="K160">
        <v>27.79</v>
      </c>
      <c r="L160">
        <v>15.56</v>
      </c>
      <c r="M160">
        <v>0.0</v>
      </c>
      <c r="N160">
        <v>0.0</v>
      </c>
      <c r="O160">
        <v>21.41</v>
      </c>
      <c r="P160">
        <v>27.82</v>
      </c>
      <c r="Q160">
        <v>16.05</v>
      </c>
      <c r="R160">
        <v>0.0</v>
      </c>
    </row>
    <row r="161">
      <c r="A161" s="9">
        <v>38692</v>
      </c>
      <c r="B161" s="2" t="inlineStr">
        <is>
          <t xml:space="preserve">2005-12</t>
        </is>
      </c>
      <c r="C161" s="2" t="inlineStr">
        <is>
          <t xml:space="preserve">2005/06</t>
        </is>
      </c>
      <c r="D161">
        <v>0.0</v>
      </c>
      <c r="E161">
        <v>21.3</v>
      </c>
      <c r="F161">
        <v>27.44</v>
      </c>
      <c r="G161">
        <v>17.43</v>
      </c>
      <c r="H161">
        <v>0.0</v>
      </c>
      <c r="I161">
        <v>0.0</v>
      </c>
      <c r="J161">
        <v>20.48</v>
      </c>
      <c r="K161">
        <v>25.58</v>
      </c>
      <c r="L161">
        <v>16.95</v>
      </c>
      <c r="M161">
        <v>0.01</v>
      </c>
      <c r="N161">
        <v>0.0</v>
      </c>
      <c r="O161">
        <v>21.07</v>
      </c>
      <c r="P161">
        <v>26.0</v>
      </c>
      <c r="Q161">
        <v>17.67</v>
      </c>
      <c r="R161">
        <v>0.08</v>
      </c>
    </row>
    <row r="162">
      <c r="A162" s="9">
        <v>38693</v>
      </c>
      <c r="B162" s="2" t="inlineStr">
        <is>
          <t xml:space="preserve">2005-12</t>
        </is>
      </c>
      <c r="C162" s="2" t="inlineStr">
        <is>
          <t xml:space="preserve">2005/06</t>
        </is>
      </c>
      <c r="D162">
        <v>0.0</v>
      </c>
      <c r="E162">
        <v>20.61</v>
      </c>
      <c r="F162">
        <v>27.0</v>
      </c>
      <c r="G162">
        <v>15.99</v>
      </c>
      <c r="H162">
        <v>0.04</v>
      </c>
      <c r="I162">
        <v>0.0</v>
      </c>
      <c r="J162">
        <v>20.1</v>
      </c>
      <c r="K162">
        <v>25.31</v>
      </c>
      <c r="L162">
        <v>16.55</v>
      </c>
      <c r="M162">
        <v>0.02</v>
      </c>
      <c r="N162">
        <v>0.0</v>
      </c>
      <c r="O162">
        <v>20.49</v>
      </c>
      <c r="P162">
        <v>25.39</v>
      </c>
      <c r="Q162">
        <v>17.0</v>
      </c>
      <c r="R162">
        <v>0.19</v>
      </c>
    </row>
    <row r="163">
      <c r="A163" s="9">
        <v>38694</v>
      </c>
      <c r="B163" s="2" t="inlineStr">
        <is>
          <t xml:space="preserve">2005-12</t>
        </is>
      </c>
      <c r="C163" s="2" t="inlineStr">
        <is>
          <t xml:space="preserve">2005/06</t>
        </is>
      </c>
      <c r="D163">
        <v>0.0</v>
      </c>
      <c r="E163">
        <v>20.47</v>
      </c>
      <c r="F163">
        <v>26.79</v>
      </c>
      <c r="G163">
        <v>15.71</v>
      </c>
      <c r="H163">
        <v>0.03</v>
      </c>
      <c r="I163">
        <v>0.0</v>
      </c>
      <c r="J163">
        <v>19.83</v>
      </c>
      <c r="K163">
        <v>24.85</v>
      </c>
      <c r="L163">
        <v>16.58</v>
      </c>
      <c r="M163">
        <v>0.0</v>
      </c>
      <c r="N163">
        <v>0.0</v>
      </c>
      <c r="O163">
        <v>20.48</v>
      </c>
      <c r="P163">
        <v>24.87</v>
      </c>
      <c r="Q163">
        <v>17.42</v>
      </c>
      <c r="R163">
        <v>0.02</v>
      </c>
    </row>
    <row r="164">
      <c r="A164" s="9">
        <v>38695</v>
      </c>
      <c r="B164" s="2" t="inlineStr">
        <is>
          <t xml:space="preserve">2005-12</t>
        </is>
      </c>
      <c r="C164" s="2" t="inlineStr">
        <is>
          <t xml:space="preserve">2005/06</t>
        </is>
      </c>
      <c r="D164">
        <v>0.0</v>
      </c>
      <c r="E164">
        <v>20.93</v>
      </c>
      <c r="F164">
        <v>26.87</v>
      </c>
      <c r="G164">
        <v>16.58</v>
      </c>
      <c r="H164">
        <v>0.23</v>
      </c>
      <c r="I164">
        <v>0.0</v>
      </c>
      <c r="J164">
        <v>20.54</v>
      </c>
      <c r="K164">
        <v>25.77</v>
      </c>
      <c r="L164">
        <v>16.97</v>
      </c>
      <c r="M164">
        <v>1.16</v>
      </c>
      <c r="N164">
        <v>0.0</v>
      </c>
      <c r="O164">
        <v>21.09</v>
      </c>
      <c r="P164">
        <v>25.61</v>
      </c>
      <c r="Q164">
        <v>18.37</v>
      </c>
      <c r="R164">
        <v>5.06</v>
      </c>
    </row>
    <row r="165">
      <c r="A165" s="9">
        <v>38696</v>
      </c>
      <c r="B165" s="2" t="inlineStr">
        <is>
          <t xml:space="preserve">2005-12</t>
        </is>
      </c>
      <c r="C165" s="2" t="inlineStr">
        <is>
          <t xml:space="preserve">2005/06</t>
        </is>
      </c>
      <c r="D165">
        <v>0.115</v>
      </c>
      <c r="E165">
        <v>20.87</v>
      </c>
      <c r="F165">
        <v>26.84</v>
      </c>
      <c r="G165">
        <v>17.27</v>
      </c>
      <c r="H165">
        <v>1.31</v>
      </c>
      <c r="I165">
        <v>0.306</v>
      </c>
      <c r="J165">
        <v>20.65</v>
      </c>
      <c r="K165">
        <v>25.52</v>
      </c>
      <c r="L165">
        <v>18.05</v>
      </c>
      <c r="M165">
        <v>3.35</v>
      </c>
      <c r="N165">
        <v>4.117</v>
      </c>
      <c r="O165">
        <v>20.57</v>
      </c>
      <c r="P165">
        <v>24.85</v>
      </c>
      <c r="Q165">
        <v>18.61</v>
      </c>
      <c r="R165">
        <v>11.0</v>
      </c>
    </row>
    <row r="166">
      <c r="A166" s="9">
        <v>38697</v>
      </c>
      <c r="B166" s="2" t="inlineStr">
        <is>
          <t xml:space="preserve">2005-12</t>
        </is>
      </c>
      <c r="C166" s="2" t="inlineStr">
        <is>
          <t xml:space="preserve">2005/06</t>
        </is>
      </c>
      <c r="D166">
        <v>0.177</v>
      </c>
      <c r="E166">
        <v>21.14</v>
      </c>
      <c r="F166">
        <v>27.26</v>
      </c>
      <c r="G166">
        <v>17.8</v>
      </c>
      <c r="H166">
        <v>1.01</v>
      </c>
      <c r="I166">
        <v>0.576</v>
      </c>
      <c r="J166">
        <v>20.85</v>
      </c>
      <c r="K166">
        <v>25.36</v>
      </c>
      <c r="L166">
        <v>18.05</v>
      </c>
      <c r="M166">
        <v>1.97</v>
      </c>
      <c r="N166">
        <v>3.306</v>
      </c>
      <c r="O166">
        <v>20.87</v>
      </c>
      <c r="P166">
        <v>24.77</v>
      </c>
      <c r="Q166">
        <v>18.64</v>
      </c>
      <c r="R166">
        <v>4.06</v>
      </c>
    </row>
    <row r="167">
      <c r="A167" s="9">
        <v>38698</v>
      </c>
      <c r="B167" s="2" t="inlineStr">
        <is>
          <t xml:space="preserve">2005-12</t>
        </is>
      </c>
      <c r="C167" s="2" t="inlineStr">
        <is>
          <t xml:space="preserve">2005/06</t>
        </is>
      </c>
      <c r="D167">
        <v>0.079</v>
      </c>
      <c r="E167">
        <v>20.26</v>
      </c>
      <c r="F167">
        <v>26.4</v>
      </c>
      <c r="G167">
        <v>16.58</v>
      </c>
      <c r="H167">
        <v>0.92</v>
      </c>
      <c r="I167">
        <v>0.726</v>
      </c>
      <c r="J167">
        <v>19.89</v>
      </c>
      <c r="K167">
        <v>24.71</v>
      </c>
      <c r="L167">
        <v>17.02</v>
      </c>
      <c r="M167">
        <v>1.82</v>
      </c>
      <c r="N167">
        <v>3.938</v>
      </c>
      <c r="O167">
        <v>19.72</v>
      </c>
      <c r="P167">
        <v>23.8</v>
      </c>
      <c r="Q167">
        <v>17.28</v>
      </c>
      <c r="R167">
        <v>3.18</v>
      </c>
    </row>
    <row r="168">
      <c r="A168" s="9">
        <v>38699</v>
      </c>
      <c r="B168" s="2" t="inlineStr">
        <is>
          <t xml:space="preserve">2005-12</t>
        </is>
      </c>
      <c r="C168" s="2" t="inlineStr">
        <is>
          <t xml:space="preserve">2005/06</t>
        </is>
      </c>
      <c r="D168">
        <v>0.1</v>
      </c>
      <c r="E168">
        <v>19.32</v>
      </c>
      <c r="F168">
        <v>25.12</v>
      </c>
      <c r="G168">
        <v>15.87</v>
      </c>
      <c r="H168">
        <v>0.66</v>
      </c>
      <c r="I168">
        <v>0.494</v>
      </c>
      <c r="J168">
        <v>19.03</v>
      </c>
      <c r="K168">
        <v>24.12</v>
      </c>
      <c r="L168">
        <v>16.03</v>
      </c>
      <c r="M168">
        <v>1.04</v>
      </c>
      <c r="N168">
        <v>2.883</v>
      </c>
      <c r="O168">
        <v>18.91</v>
      </c>
      <c r="P168">
        <v>23.41</v>
      </c>
      <c r="Q168">
        <v>16.38</v>
      </c>
      <c r="R168">
        <v>1.62</v>
      </c>
    </row>
    <row r="169">
      <c r="A169" s="9">
        <v>38700</v>
      </c>
      <c r="B169" s="2" t="inlineStr">
        <is>
          <t xml:space="preserve">2005-12</t>
        </is>
      </c>
      <c r="C169" s="2" t="inlineStr">
        <is>
          <t xml:space="preserve">2005/06</t>
        </is>
      </c>
      <c r="D169">
        <v>0.0</v>
      </c>
      <c r="E169">
        <v>20.7</v>
      </c>
      <c r="F169">
        <v>28.0</v>
      </c>
      <c r="G169">
        <v>15.24</v>
      </c>
      <c r="H169">
        <v>0.05</v>
      </c>
      <c r="I169">
        <v>0.0</v>
      </c>
      <c r="J169">
        <v>20.13</v>
      </c>
      <c r="K169">
        <v>26.44</v>
      </c>
      <c r="L169">
        <v>14.46</v>
      </c>
      <c r="M169">
        <v>0.01</v>
      </c>
      <c r="N169">
        <v>0.0</v>
      </c>
      <c r="O169">
        <v>20.02</v>
      </c>
      <c r="P169">
        <v>26.0</v>
      </c>
      <c r="Q169">
        <v>15.74</v>
      </c>
      <c r="R169">
        <v>0.11</v>
      </c>
    </row>
    <row r="170">
      <c r="A170" s="9">
        <v>38701</v>
      </c>
      <c r="B170" s="2" t="inlineStr">
        <is>
          <t xml:space="preserve">2005-12</t>
        </is>
      </c>
      <c r="C170" s="2" t="inlineStr">
        <is>
          <t xml:space="preserve">2005/06</t>
        </is>
      </c>
      <c r="D170">
        <v>0.0</v>
      </c>
      <c r="E170">
        <v>22.18</v>
      </c>
      <c r="F170">
        <v>29.81</v>
      </c>
      <c r="G170">
        <v>16.02</v>
      </c>
      <c r="H170">
        <v>0.03</v>
      </c>
      <c r="I170">
        <v>0.0</v>
      </c>
      <c r="J170">
        <v>21.82</v>
      </c>
      <c r="K170">
        <v>28.26</v>
      </c>
      <c r="L170">
        <v>16.22</v>
      </c>
      <c r="M170">
        <v>0.0</v>
      </c>
      <c r="N170">
        <v>0.0</v>
      </c>
      <c r="O170">
        <v>21.89</v>
      </c>
      <c r="P170">
        <v>28.29</v>
      </c>
      <c r="Q170">
        <v>17.82</v>
      </c>
      <c r="R170">
        <v>0.0</v>
      </c>
    </row>
    <row r="171">
      <c r="A171" s="9">
        <v>38702</v>
      </c>
      <c r="B171" s="2" t="inlineStr">
        <is>
          <t xml:space="preserve">2005-12</t>
        </is>
      </c>
      <c r="C171" s="2" t="inlineStr">
        <is>
          <t xml:space="preserve">2005/06</t>
        </is>
      </c>
      <c r="D171">
        <v>0.0</v>
      </c>
      <c r="E171">
        <v>21.47</v>
      </c>
      <c r="F171">
        <v>27.73</v>
      </c>
      <c r="G171">
        <v>16.98</v>
      </c>
      <c r="H171">
        <v>0.36</v>
      </c>
      <c r="I171">
        <v>0.0</v>
      </c>
      <c r="J171">
        <v>21.1</v>
      </c>
      <c r="K171">
        <v>26.18</v>
      </c>
      <c r="L171">
        <v>17.03</v>
      </c>
      <c r="M171">
        <v>5.41</v>
      </c>
      <c r="N171">
        <v>0.0</v>
      </c>
      <c r="O171">
        <v>21.09</v>
      </c>
      <c r="P171">
        <v>26.01</v>
      </c>
      <c r="Q171">
        <v>17.69</v>
      </c>
      <c r="R171">
        <v>2.95</v>
      </c>
    </row>
    <row r="172">
      <c r="A172" s="9">
        <v>38703</v>
      </c>
      <c r="B172" s="2" t="inlineStr">
        <is>
          <t xml:space="preserve">2005-12</t>
        </is>
      </c>
      <c r="C172" s="2" t="inlineStr">
        <is>
          <t xml:space="preserve">2005/06</t>
        </is>
      </c>
      <c r="D172">
        <v>0.028</v>
      </c>
      <c r="E172">
        <v>21.44</v>
      </c>
      <c r="F172">
        <v>29.17</v>
      </c>
      <c r="G172">
        <v>16.32</v>
      </c>
      <c r="H172">
        <v>0.09</v>
      </c>
      <c r="I172">
        <v>17.774</v>
      </c>
      <c r="J172">
        <v>22.29</v>
      </c>
      <c r="K172">
        <v>27.89</v>
      </c>
      <c r="L172">
        <v>18.72</v>
      </c>
      <c r="M172">
        <v>2.05</v>
      </c>
      <c r="N172">
        <v>0.951</v>
      </c>
      <c r="O172">
        <v>22.09</v>
      </c>
      <c r="P172">
        <v>27.67</v>
      </c>
      <c r="Q172">
        <v>18.63</v>
      </c>
      <c r="R172">
        <v>1.26</v>
      </c>
    </row>
    <row r="173">
      <c r="A173" s="9">
        <v>38704</v>
      </c>
      <c r="B173" s="2" t="inlineStr">
        <is>
          <t xml:space="preserve">2005-12</t>
        </is>
      </c>
      <c r="C173" s="2" t="inlineStr">
        <is>
          <t xml:space="preserve">2005/06</t>
        </is>
      </c>
      <c r="D173">
        <v>0.06</v>
      </c>
      <c r="E173">
        <v>20.87</v>
      </c>
      <c r="F173">
        <v>28.09</v>
      </c>
      <c r="G173">
        <v>15.59</v>
      </c>
      <c r="H173">
        <v>0.3</v>
      </c>
      <c r="I173">
        <v>0.0</v>
      </c>
      <c r="J173">
        <v>20.8</v>
      </c>
      <c r="K173">
        <v>26.27</v>
      </c>
      <c r="L173">
        <v>16.67</v>
      </c>
      <c r="M173">
        <v>0.49</v>
      </c>
      <c r="N173">
        <v>0.024</v>
      </c>
      <c r="O173">
        <v>20.9</v>
      </c>
      <c r="P173">
        <v>25.87</v>
      </c>
      <c r="Q173">
        <v>17.52</v>
      </c>
      <c r="R173">
        <v>0.64</v>
      </c>
    </row>
    <row r="174">
      <c r="A174" s="9">
        <v>38705</v>
      </c>
      <c r="B174" s="2" t="inlineStr">
        <is>
          <t xml:space="preserve">2005-12</t>
        </is>
      </c>
      <c r="C174" s="2" t="inlineStr">
        <is>
          <t xml:space="preserve">2005/06</t>
        </is>
      </c>
      <c r="D174">
        <v>0.307</v>
      </c>
      <c r="E174">
        <v>20.23</v>
      </c>
      <c r="F174">
        <v>26.58</v>
      </c>
      <c r="G174">
        <v>16.16</v>
      </c>
      <c r="H174">
        <v>1.86</v>
      </c>
      <c r="I174">
        <v>0.779</v>
      </c>
      <c r="J174">
        <v>20.37</v>
      </c>
      <c r="K174">
        <v>25.48</v>
      </c>
      <c r="L174">
        <v>17.2</v>
      </c>
      <c r="M174">
        <v>1.77</v>
      </c>
      <c r="N174">
        <v>4.481</v>
      </c>
      <c r="O174">
        <v>20.49</v>
      </c>
      <c r="P174">
        <v>25.04</v>
      </c>
      <c r="Q174">
        <v>18.17</v>
      </c>
      <c r="R174">
        <v>3.38</v>
      </c>
    </row>
    <row r="175">
      <c r="A175" s="9">
        <v>38706</v>
      </c>
      <c r="B175" s="2" t="inlineStr">
        <is>
          <t xml:space="preserve">2005-12</t>
        </is>
      </c>
      <c r="C175" s="2" t="inlineStr">
        <is>
          <t xml:space="preserve">2005/06</t>
        </is>
      </c>
      <c r="D175">
        <v>0.7</v>
      </c>
      <c r="E175">
        <v>20.1</v>
      </c>
      <c r="F175">
        <v>26.02</v>
      </c>
      <c r="G175">
        <v>16.23</v>
      </c>
      <c r="H175">
        <v>1.63</v>
      </c>
      <c r="I175">
        <v>0.029</v>
      </c>
      <c r="J175">
        <v>19.87</v>
      </c>
      <c r="K175">
        <v>24.82</v>
      </c>
      <c r="L175">
        <v>16.72</v>
      </c>
      <c r="M175">
        <v>0.33</v>
      </c>
      <c r="N175">
        <v>0.068</v>
      </c>
      <c r="O175">
        <v>19.7</v>
      </c>
      <c r="P175">
        <v>24.09</v>
      </c>
      <c r="Q175">
        <v>17.27</v>
      </c>
      <c r="R175">
        <v>1.94</v>
      </c>
    </row>
    <row r="176">
      <c r="A176" s="9">
        <v>38707</v>
      </c>
      <c r="B176" s="2" t="inlineStr">
        <is>
          <t xml:space="preserve">2005-12</t>
        </is>
      </c>
      <c r="C176" s="2" t="inlineStr">
        <is>
          <t xml:space="preserve">2005/06</t>
        </is>
      </c>
      <c r="D176">
        <v>0.086</v>
      </c>
      <c r="E176">
        <v>20.04</v>
      </c>
      <c r="F176">
        <v>26.32</v>
      </c>
      <c r="G176">
        <v>16.28</v>
      </c>
      <c r="H176">
        <v>1.12</v>
      </c>
      <c r="I176">
        <v>0.193</v>
      </c>
      <c r="J176">
        <v>19.86</v>
      </c>
      <c r="K176">
        <v>24.65</v>
      </c>
      <c r="L176">
        <v>16.35</v>
      </c>
      <c r="M176">
        <v>1.69</v>
      </c>
      <c r="N176">
        <v>0.912</v>
      </c>
      <c r="O176">
        <v>20.13</v>
      </c>
      <c r="P176">
        <v>24.82</v>
      </c>
      <c r="Q176">
        <v>17.12</v>
      </c>
      <c r="R176">
        <v>4.45</v>
      </c>
    </row>
    <row r="177">
      <c r="A177" s="9">
        <v>38708</v>
      </c>
      <c r="B177" s="2" t="inlineStr">
        <is>
          <t xml:space="preserve">2005-12</t>
        </is>
      </c>
      <c r="C177" s="2" t="inlineStr">
        <is>
          <t xml:space="preserve">2005/06</t>
        </is>
      </c>
      <c r="D177">
        <v>0.378</v>
      </c>
      <c r="E177">
        <v>19.13</v>
      </c>
      <c r="F177">
        <v>24.39</v>
      </c>
      <c r="G177">
        <v>16.58</v>
      </c>
      <c r="H177">
        <v>1.49</v>
      </c>
      <c r="I177">
        <v>1.51</v>
      </c>
      <c r="J177">
        <v>18.19</v>
      </c>
      <c r="K177">
        <v>22.0</v>
      </c>
      <c r="L177">
        <v>15.55</v>
      </c>
      <c r="M177">
        <v>3.52</v>
      </c>
      <c r="N177">
        <v>8.315</v>
      </c>
      <c r="O177">
        <v>18.36</v>
      </c>
      <c r="P177">
        <v>21.72</v>
      </c>
      <c r="Q177">
        <v>16.49</v>
      </c>
      <c r="R177">
        <v>5.16</v>
      </c>
    </row>
    <row r="178">
      <c r="A178" s="9">
        <v>38709</v>
      </c>
      <c r="B178" s="2" t="inlineStr">
        <is>
          <t xml:space="preserve">2005-12</t>
        </is>
      </c>
      <c r="C178" s="2" t="inlineStr">
        <is>
          <t xml:space="preserve">2005/06</t>
        </is>
      </c>
      <c r="D178">
        <v>0.133</v>
      </c>
      <c r="E178">
        <v>19.1</v>
      </c>
      <c r="F178">
        <v>25.3</v>
      </c>
      <c r="G178">
        <v>15.56</v>
      </c>
      <c r="H178">
        <v>1.09</v>
      </c>
      <c r="I178">
        <v>1.062</v>
      </c>
      <c r="J178">
        <v>18.01</v>
      </c>
      <c r="K178">
        <v>23.42</v>
      </c>
      <c r="L178">
        <v>14.89</v>
      </c>
      <c r="M178">
        <v>2.36</v>
      </c>
      <c r="N178">
        <v>5.873</v>
      </c>
      <c r="O178">
        <v>17.88</v>
      </c>
      <c r="P178">
        <v>22.31</v>
      </c>
      <c r="Q178">
        <v>15.69</v>
      </c>
      <c r="R178">
        <v>4.07</v>
      </c>
    </row>
    <row r="179">
      <c r="A179" s="9">
        <v>38710</v>
      </c>
      <c r="B179" s="2" t="inlineStr">
        <is>
          <t xml:space="preserve">2005-12</t>
        </is>
      </c>
      <c r="C179" s="2" t="inlineStr">
        <is>
          <t xml:space="preserve">2005/06</t>
        </is>
      </c>
      <c r="D179">
        <v>0.0</v>
      </c>
      <c r="E179">
        <v>20.73</v>
      </c>
      <c r="F179">
        <v>27.73</v>
      </c>
      <c r="G179">
        <v>15.36</v>
      </c>
      <c r="H179">
        <v>0.07</v>
      </c>
      <c r="I179">
        <v>0.133</v>
      </c>
      <c r="J179">
        <v>20.03</v>
      </c>
      <c r="K179">
        <v>26.21</v>
      </c>
      <c r="L179">
        <v>15.22</v>
      </c>
      <c r="M179">
        <v>0.23</v>
      </c>
      <c r="N179">
        <v>0.623</v>
      </c>
      <c r="O179">
        <v>19.58</v>
      </c>
      <c r="P179">
        <v>25.56</v>
      </c>
      <c r="Q179">
        <v>15.46</v>
      </c>
      <c r="R179">
        <v>0.32</v>
      </c>
    </row>
    <row r="180">
      <c r="A180" s="9">
        <v>38711</v>
      </c>
      <c r="B180" s="2" t="inlineStr">
        <is>
          <t xml:space="preserve">2005-12</t>
        </is>
      </c>
      <c r="C180" s="2" t="inlineStr">
        <is>
          <t xml:space="preserve">2005/06</t>
        </is>
      </c>
      <c r="D180">
        <v>0.0</v>
      </c>
      <c r="E180">
        <v>20.53</v>
      </c>
      <c r="F180">
        <v>26.19</v>
      </c>
      <c r="G180">
        <v>16.69</v>
      </c>
      <c r="H180">
        <v>0.18</v>
      </c>
      <c r="I180">
        <v>0.0</v>
      </c>
      <c r="J180">
        <v>19.59</v>
      </c>
      <c r="K180">
        <v>24.71</v>
      </c>
      <c r="L180">
        <v>16.19</v>
      </c>
      <c r="M180">
        <v>0.02</v>
      </c>
      <c r="N180">
        <v>0.0</v>
      </c>
      <c r="O180">
        <v>19.94</v>
      </c>
      <c r="P180">
        <v>24.45</v>
      </c>
      <c r="Q180">
        <v>16.84</v>
      </c>
      <c r="R180">
        <v>0.02</v>
      </c>
    </row>
    <row r="181">
      <c r="A181" s="9">
        <v>38712</v>
      </c>
      <c r="B181" s="2" t="inlineStr">
        <is>
          <t xml:space="preserve">2005-12</t>
        </is>
      </c>
      <c r="C181" s="2" t="inlineStr">
        <is>
          <t xml:space="preserve">2005/06</t>
        </is>
      </c>
      <c r="D181">
        <v>0.088</v>
      </c>
      <c r="E181">
        <v>18.92</v>
      </c>
      <c r="F181">
        <v>24.74</v>
      </c>
      <c r="G181">
        <v>15.86</v>
      </c>
      <c r="H181">
        <v>1.05</v>
      </c>
      <c r="I181">
        <v>0.0</v>
      </c>
      <c r="J181">
        <v>18.47</v>
      </c>
      <c r="K181">
        <v>23.14</v>
      </c>
      <c r="L181">
        <v>16.05</v>
      </c>
      <c r="M181">
        <v>0.13</v>
      </c>
      <c r="N181">
        <v>0.123</v>
      </c>
      <c r="O181">
        <v>18.41</v>
      </c>
      <c r="P181">
        <v>22.86</v>
      </c>
      <c r="Q181">
        <v>15.89</v>
      </c>
      <c r="R181">
        <v>0.28</v>
      </c>
    </row>
    <row r="182">
      <c r="A182" s="9">
        <v>38713</v>
      </c>
      <c r="B182" s="2" t="inlineStr">
        <is>
          <t xml:space="preserve">2005-12</t>
        </is>
      </c>
      <c r="C182" s="2" t="inlineStr">
        <is>
          <t xml:space="preserve">2005/06</t>
        </is>
      </c>
      <c r="D182">
        <v>0.0</v>
      </c>
      <c r="E182">
        <v>19.49</v>
      </c>
      <c r="F182">
        <v>27.09</v>
      </c>
      <c r="G182">
        <v>14.7</v>
      </c>
      <c r="H182">
        <v>0.02</v>
      </c>
      <c r="I182">
        <v>0.0</v>
      </c>
      <c r="J182">
        <v>18.76</v>
      </c>
      <c r="K182">
        <v>25.77</v>
      </c>
      <c r="L182">
        <v>14.51</v>
      </c>
      <c r="M182">
        <v>0.0</v>
      </c>
      <c r="N182">
        <v>0.0</v>
      </c>
      <c r="O182">
        <v>18.1</v>
      </c>
      <c r="P182">
        <v>24.17</v>
      </c>
      <c r="Q182">
        <v>14.55</v>
      </c>
      <c r="R182">
        <v>0.0</v>
      </c>
    </row>
    <row r="183">
      <c r="A183" s="9">
        <v>38714</v>
      </c>
      <c r="B183" s="2" t="inlineStr">
        <is>
          <t xml:space="preserve">2005-12</t>
        </is>
      </c>
      <c r="C183" s="2" t="inlineStr">
        <is>
          <t xml:space="preserve">2005/06</t>
        </is>
      </c>
      <c r="D183">
        <v>0.0</v>
      </c>
      <c r="E183">
        <v>21.26</v>
      </c>
      <c r="F183">
        <v>28.96</v>
      </c>
      <c r="G183">
        <v>14.72</v>
      </c>
      <c r="H183">
        <v>0.0</v>
      </c>
      <c r="I183">
        <v>0.0</v>
      </c>
      <c r="J183">
        <v>20.58</v>
      </c>
      <c r="K183">
        <v>28.69</v>
      </c>
      <c r="L183">
        <v>13.67</v>
      </c>
      <c r="M183">
        <v>0.0</v>
      </c>
      <c r="N183">
        <v>0.0</v>
      </c>
      <c r="O183">
        <v>19.81</v>
      </c>
      <c r="P183">
        <v>27.42</v>
      </c>
      <c r="Q183">
        <v>13.88</v>
      </c>
      <c r="R183">
        <v>0.0</v>
      </c>
    </row>
    <row r="184">
      <c r="A184" s="9">
        <v>38715</v>
      </c>
      <c r="B184" s="2" t="inlineStr">
        <is>
          <t xml:space="preserve">2005-12</t>
        </is>
      </c>
      <c r="C184" s="2" t="inlineStr">
        <is>
          <t xml:space="preserve">2005/06</t>
        </is>
      </c>
      <c r="D184">
        <v>0.029</v>
      </c>
      <c r="E184">
        <v>21.85</v>
      </c>
      <c r="F184">
        <v>27.07</v>
      </c>
      <c r="G184">
        <v>17.22</v>
      </c>
      <c r="H184">
        <v>0.01</v>
      </c>
      <c r="I184">
        <v>0.0</v>
      </c>
      <c r="J184">
        <v>21.14</v>
      </c>
      <c r="K184">
        <v>27.44</v>
      </c>
      <c r="L184">
        <v>15.89</v>
      </c>
      <c r="M184">
        <v>0.0</v>
      </c>
      <c r="N184">
        <v>0.0</v>
      </c>
      <c r="O184">
        <v>21.12</v>
      </c>
      <c r="P184">
        <v>26.66</v>
      </c>
      <c r="Q184">
        <v>16.86</v>
      </c>
      <c r="R184">
        <v>0.0</v>
      </c>
    </row>
    <row r="185">
      <c r="A185" s="9">
        <v>38716</v>
      </c>
      <c r="B185" s="2" t="inlineStr">
        <is>
          <t xml:space="preserve">2005-12</t>
        </is>
      </c>
      <c r="C185" s="2" t="inlineStr">
        <is>
          <t xml:space="preserve">2005/06</t>
        </is>
      </c>
      <c r="D185">
        <v>0.0</v>
      </c>
      <c r="E185">
        <v>21.32</v>
      </c>
      <c r="F185">
        <v>26.27</v>
      </c>
      <c r="G185">
        <v>17.32</v>
      </c>
      <c r="H185">
        <v>0.15</v>
      </c>
      <c r="I185">
        <v>0.0</v>
      </c>
      <c r="J185">
        <v>21.2</v>
      </c>
      <c r="K185">
        <v>25.2</v>
      </c>
      <c r="L185">
        <v>17.39</v>
      </c>
      <c r="M185">
        <v>0.03</v>
      </c>
      <c r="N185">
        <v>0.0</v>
      </c>
      <c r="O185">
        <v>21.22</v>
      </c>
      <c r="P185">
        <v>25.47</v>
      </c>
      <c r="Q185">
        <v>17.78</v>
      </c>
      <c r="R185">
        <v>0.04</v>
      </c>
    </row>
    <row r="186">
      <c r="A186" s="9">
        <v>38717</v>
      </c>
      <c r="B186" s="2" t="inlineStr">
        <is>
          <t xml:space="preserve">2005-12</t>
        </is>
      </c>
      <c r="C186" s="2" t="inlineStr">
        <is>
          <t xml:space="preserve">2005/06</t>
        </is>
      </c>
      <c r="D186">
        <v>2.611</v>
      </c>
      <c r="E186">
        <v>21.91</v>
      </c>
      <c r="F186">
        <v>29.92</v>
      </c>
      <c r="G186">
        <v>16.56</v>
      </c>
      <c r="H186">
        <v>1.83</v>
      </c>
      <c r="I186">
        <v>0.0</v>
      </c>
      <c r="J186">
        <v>22.68</v>
      </c>
      <c r="K186">
        <v>28.42</v>
      </c>
      <c r="L186">
        <v>17.7</v>
      </c>
      <c r="M186">
        <v>0.1</v>
      </c>
      <c r="N186">
        <v>0.102</v>
      </c>
      <c r="O186">
        <v>22.55</v>
      </c>
      <c r="P186">
        <v>28.85</v>
      </c>
      <c r="Q186">
        <v>17.84</v>
      </c>
      <c r="R186">
        <v>0.1</v>
      </c>
    </row>
    <row r="187">
      <c r="A187" s="9">
        <v>38718</v>
      </c>
      <c r="B187" s="2" t="inlineStr">
        <is>
          <t xml:space="preserve">2006-01</t>
        </is>
      </c>
      <c r="C187" s="2" t="inlineStr">
        <is>
          <t xml:space="preserve">2005/06</t>
        </is>
      </c>
      <c r="D187">
        <v>0.0</v>
      </c>
      <c r="E187">
        <v>21.83</v>
      </c>
      <c r="F187">
        <v>29.7</v>
      </c>
      <c r="G187">
        <v>16.11</v>
      </c>
      <c r="H187">
        <v>0.0</v>
      </c>
      <c r="I187">
        <v>0.0</v>
      </c>
      <c r="J187">
        <v>22.56</v>
      </c>
      <c r="K187">
        <v>27.77</v>
      </c>
      <c r="L187">
        <v>18.27</v>
      </c>
      <c r="M187">
        <v>0.0</v>
      </c>
      <c r="N187">
        <v>0.0</v>
      </c>
      <c r="O187">
        <v>22.37</v>
      </c>
      <c r="P187">
        <v>28.8</v>
      </c>
      <c r="Q187">
        <v>16.96</v>
      </c>
      <c r="R187">
        <v>0.0</v>
      </c>
    </row>
    <row r="188">
      <c r="A188" s="9">
        <v>38719</v>
      </c>
      <c r="B188" s="2" t="inlineStr">
        <is>
          <t xml:space="preserve">2006-01</t>
        </is>
      </c>
      <c r="C188" s="2" t="inlineStr">
        <is>
          <t xml:space="preserve">2005/06</t>
        </is>
      </c>
      <c r="D188">
        <v>0.0</v>
      </c>
      <c r="E188">
        <v>22.05</v>
      </c>
      <c r="F188">
        <v>29.44</v>
      </c>
      <c r="G188">
        <v>15.91</v>
      </c>
      <c r="H188">
        <v>0.03</v>
      </c>
      <c r="I188">
        <v>0.0</v>
      </c>
      <c r="J188">
        <v>22.6</v>
      </c>
      <c r="K188">
        <v>28.39</v>
      </c>
      <c r="L188">
        <v>18.09</v>
      </c>
      <c r="M188">
        <v>0.01</v>
      </c>
      <c r="N188">
        <v>0.0</v>
      </c>
      <c r="O188">
        <v>22.34</v>
      </c>
      <c r="P188">
        <v>28.91</v>
      </c>
      <c r="Q188">
        <v>18.15</v>
      </c>
      <c r="R188">
        <v>0.0</v>
      </c>
    </row>
    <row r="189">
      <c r="A189" s="9">
        <v>38720</v>
      </c>
      <c r="B189" s="2" t="inlineStr">
        <is>
          <t xml:space="preserve">2006-01</t>
        </is>
      </c>
      <c r="C189" s="2" t="inlineStr">
        <is>
          <t xml:space="preserve">2005/06</t>
        </is>
      </c>
      <c r="D189">
        <v>0.0</v>
      </c>
      <c r="E189">
        <v>21.89</v>
      </c>
      <c r="F189">
        <v>28.5</v>
      </c>
      <c r="G189">
        <v>16.92</v>
      </c>
      <c r="H189">
        <v>0.02</v>
      </c>
      <c r="I189">
        <v>0.094</v>
      </c>
      <c r="J189">
        <v>21.93</v>
      </c>
      <c r="K189">
        <v>27.47</v>
      </c>
      <c r="L189">
        <v>17.28</v>
      </c>
      <c r="M189">
        <v>0.06</v>
      </c>
      <c r="N189">
        <v>0.0</v>
      </c>
      <c r="O189">
        <v>21.68</v>
      </c>
      <c r="P189">
        <v>27.19</v>
      </c>
      <c r="Q189">
        <v>17.98</v>
      </c>
      <c r="R189">
        <v>0.05</v>
      </c>
    </row>
    <row r="190">
      <c r="A190" s="9">
        <v>38721</v>
      </c>
      <c r="B190" s="2" t="inlineStr">
        <is>
          <t xml:space="preserve">2006-01</t>
        </is>
      </c>
      <c r="C190" s="2" t="inlineStr">
        <is>
          <t xml:space="preserve">2005/06</t>
        </is>
      </c>
      <c r="D190">
        <v>0.17</v>
      </c>
      <c r="E190">
        <v>21.27</v>
      </c>
      <c r="F190">
        <v>27.25</v>
      </c>
      <c r="G190">
        <v>17.0</v>
      </c>
      <c r="H190">
        <v>0.33</v>
      </c>
      <c r="I190">
        <v>0.039</v>
      </c>
      <c r="J190">
        <v>21.44</v>
      </c>
      <c r="K190">
        <v>26.67</v>
      </c>
      <c r="L190">
        <v>17.91</v>
      </c>
      <c r="M190">
        <v>0.08</v>
      </c>
      <c r="N190">
        <v>0.073</v>
      </c>
      <c r="O190">
        <v>21.41</v>
      </c>
      <c r="P190">
        <v>26.34</v>
      </c>
      <c r="Q190">
        <v>18.61</v>
      </c>
      <c r="R190">
        <v>0.2</v>
      </c>
    </row>
    <row r="191">
      <c r="A191" s="9">
        <v>38722</v>
      </c>
      <c r="B191" s="2" t="inlineStr">
        <is>
          <t xml:space="preserve">2006-01</t>
        </is>
      </c>
      <c r="C191" s="2" t="inlineStr">
        <is>
          <t xml:space="preserve">2005/06</t>
        </is>
      </c>
      <c r="D191">
        <v>0.506</v>
      </c>
      <c r="E191">
        <v>20.71</v>
      </c>
      <c r="F191">
        <v>26.28</v>
      </c>
      <c r="G191">
        <v>17.13</v>
      </c>
      <c r="H191">
        <v>0.46</v>
      </c>
      <c r="I191">
        <v>0.0</v>
      </c>
      <c r="J191">
        <v>21.33</v>
      </c>
      <c r="K191">
        <v>26.48</v>
      </c>
      <c r="L191">
        <v>18.05</v>
      </c>
      <c r="M191">
        <v>0.56</v>
      </c>
      <c r="N191">
        <v>0.0</v>
      </c>
      <c r="O191">
        <v>21.0</v>
      </c>
      <c r="P191">
        <v>25.76</v>
      </c>
      <c r="Q191">
        <v>18.21</v>
      </c>
      <c r="R191">
        <v>1.21</v>
      </c>
    </row>
    <row r="192">
      <c r="A192" s="9">
        <v>38723</v>
      </c>
      <c r="B192" s="2" t="inlineStr">
        <is>
          <t xml:space="preserve">2006-01</t>
        </is>
      </c>
      <c r="C192" s="2" t="inlineStr">
        <is>
          <t xml:space="preserve">2005/06</t>
        </is>
      </c>
      <c r="D192">
        <v>0.331</v>
      </c>
      <c r="E192">
        <v>17.02</v>
      </c>
      <c r="F192">
        <v>21.63</v>
      </c>
      <c r="G192">
        <v>13.69</v>
      </c>
      <c r="H192">
        <v>1.05</v>
      </c>
      <c r="I192">
        <v>0.644</v>
      </c>
      <c r="J192">
        <v>17.98</v>
      </c>
      <c r="K192">
        <v>21.76</v>
      </c>
      <c r="L192">
        <v>13.92</v>
      </c>
      <c r="M192">
        <v>1.83</v>
      </c>
      <c r="N192">
        <v>3.65</v>
      </c>
      <c r="O192">
        <v>17.67</v>
      </c>
      <c r="P192">
        <v>21.02</v>
      </c>
      <c r="Q192">
        <v>14.92</v>
      </c>
      <c r="R192">
        <v>3.84</v>
      </c>
    </row>
    <row r="193">
      <c r="A193" s="9">
        <v>38724</v>
      </c>
      <c r="B193" s="2" t="inlineStr">
        <is>
          <t xml:space="preserve">2006-01</t>
        </is>
      </c>
      <c r="C193" s="2" t="inlineStr">
        <is>
          <t xml:space="preserve">2005/06</t>
        </is>
      </c>
      <c r="D193">
        <v>0.096</v>
      </c>
      <c r="E193">
        <v>14.03</v>
      </c>
      <c r="F193">
        <v>16.73</v>
      </c>
      <c r="G193">
        <v>11.07</v>
      </c>
      <c r="H193">
        <v>0.2</v>
      </c>
      <c r="I193">
        <v>0.348</v>
      </c>
      <c r="J193">
        <v>14.21</v>
      </c>
      <c r="K193">
        <v>18.65</v>
      </c>
      <c r="L193">
        <v>11.65</v>
      </c>
      <c r="M193">
        <v>0.48</v>
      </c>
      <c r="N193">
        <v>1.909</v>
      </c>
      <c r="O193">
        <v>14.01</v>
      </c>
      <c r="P193">
        <v>17.5</v>
      </c>
      <c r="Q193">
        <v>12.14</v>
      </c>
      <c r="R193">
        <v>0.65</v>
      </c>
    </row>
    <row r="194">
      <c r="A194" s="9">
        <v>38725</v>
      </c>
      <c r="B194" s="2" t="inlineStr">
        <is>
          <t xml:space="preserve">2006-01</t>
        </is>
      </c>
      <c r="C194" s="2" t="inlineStr">
        <is>
          <t xml:space="preserve">2005/06</t>
        </is>
      </c>
      <c r="D194">
        <v>0.0</v>
      </c>
      <c r="E194">
        <v>16.24</v>
      </c>
      <c r="F194">
        <v>23.41</v>
      </c>
      <c r="G194">
        <v>10.84</v>
      </c>
      <c r="H194">
        <v>0.04</v>
      </c>
      <c r="I194">
        <v>0.0</v>
      </c>
      <c r="J194">
        <v>15.03</v>
      </c>
      <c r="K194">
        <v>20.78</v>
      </c>
      <c r="L194">
        <v>10.85</v>
      </c>
      <c r="M194">
        <v>0.0</v>
      </c>
      <c r="N194">
        <v>0.0</v>
      </c>
      <c r="O194">
        <v>14.98</v>
      </c>
      <c r="P194">
        <v>18.85</v>
      </c>
      <c r="Q194">
        <v>12.1</v>
      </c>
      <c r="R194">
        <v>0.0</v>
      </c>
    </row>
    <row r="195">
      <c r="A195" s="9">
        <v>38726</v>
      </c>
      <c r="B195" s="2" t="inlineStr">
        <is>
          <t xml:space="preserve">2006-01</t>
        </is>
      </c>
      <c r="C195" s="2" t="inlineStr">
        <is>
          <t xml:space="preserve">2005/06</t>
        </is>
      </c>
      <c r="D195">
        <v>0.0</v>
      </c>
      <c r="E195">
        <v>19.35</v>
      </c>
      <c r="F195">
        <v>27.08</v>
      </c>
      <c r="G195">
        <v>13.44</v>
      </c>
      <c r="H195">
        <v>0.08</v>
      </c>
      <c r="I195">
        <v>0.0</v>
      </c>
      <c r="J195">
        <v>19.48</v>
      </c>
      <c r="K195">
        <v>27.18</v>
      </c>
      <c r="L195">
        <v>13.75</v>
      </c>
      <c r="M195">
        <v>0.04</v>
      </c>
      <c r="N195">
        <v>0.0</v>
      </c>
      <c r="O195">
        <v>18.94</v>
      </c>
      <c r="P195">
        <v>25.16</v>
      </c>
      <c r="Q195">
        <v>13.86</v>
      </c>
      <c r="R195">
        <v>0.07</v>
      </c>
    </row>
    <row r="196">
      <c r="A196" s="9">
        <v>38727</v>
      </c>
      <c r="B196" s="2" t="inlineStr">
        <is>
          <t xml:space="preserve">2006-01</t>
        </is>
      </c>
      <c r="C196" s="2" t="inlineStr">
        <is>
          <t xml:space="preserve">2005/06</t>
        </is>
      </c>
      <c r="D196">
        <v>0.0</v>
      </c>
      <c r="E196">
        <v>20.65</v>
      </c>
      <c r="F196">
        <v>27.39</v>
      </c>
      <c r="G196">
        <v>15.47</v>
      </c>
      <c r="H196">
        <v>0.3</v>
      </c>
      <c r="I196">
        <v>0.071</v>
      </c>
      <c r="J196">
        <v>20.66</v>
      </c>
      <c r="K196">
        <v>27.12</v>
      </c>
      <c r="L196">
        <v>16.36</v>
      </c>
      <c r="M196">
        <v>0.13</v>
      </c>
      <c r="N196">
        <v>0.346</v>
      </c>
      <c r="O196">
        <v>20.57</v>
      </c>
      <c r="P196">
        <v>25.89</v>
      </c>
      <c r="Q196">
        <v>16.72</v>
      </c>
      <c r="R196">
        <v>0.24</v>
      </c>
    </row>
    <row r="197">
      <c r="A197" s="9">
        <v>38728</v>
      </c>
      <c r="B197" s="2" t="inlineStr">
        <is>
          <t xml:space="preserve">2006-01</t>
        </is>
      </c>
      <c r="C197" s="2" t="inlineStr">
        <is>
          <t xml:space="preserve">2005/06</t>
        </is>
      </c>
      <c r="D197">
        <v>0.0</v>
      </c>
      <c r="E197">
        <v>20.72</v>
      </c>
      <c r="F197">
        <v>27.13</v>
      </c>
      <c r="G197">
        <v>16.02</v>
      </c>
      <c r="H197">
        <v>0.02</v>
      </c>
      <c r="I197">
        <v>0.0</v>
      </c>
      <c r="J197">
        <v>20.54</v>
      </c>
      <c r="K197">
        <v>26.41</v>
      </c>
      <c r="L197">
        <v>16.47</v>
      </c>
      <c r="M197">
        <v>0.01</v>
      </c>
      <c r="N197">
        <v>0.0</v>
      </c>
      <c r="O197">
        <v>20.55</v>
      </c>
      <c r="P197">
        <v>25.72</v>
      </c>
      <c r="Q197">
        <v>17.37</v>
      </c>
      <c r="R197">
        <v>0.07</v>
      </c>
    </row>
    <row r="198">
      <c r="A198" s="9">
        <v>38729</v>
      </c>
      <c r="B198" s="2" t="inlineStr">
        <is>
          <t xml:space="preserve">2006-01</t>
        </is>
      </c>
      <c r="C198" s="2" t="inlineStr">
        <is>
          <t xml:space="preserve">2005/06</t>
        </is>
      </c>
      <c r="D198">
        <v>0.0</v>
      </c>
      <c r="E198">
        <v>20.98</v>
      </c>
      <c r="F198">
        <v>27.88</v>
      </c>
      <c r="G198">
        <v>15.79</v>
      </c>
      <c r="H198">
        <v>0.04</v>
      </c>
      <c r="I198">
        <v>0.0</v>
      </c>
      <c r="J198">
        <v>20.75</v>
      </c>
      <c r="K198">
        <v>27.18</v>
      </c>
      <c r="L198">
        <v>15.98</v>
      </c>
      <c r="M198">
        <v>0.0</v>
      </c>
      <c r="N198">
        <v>0.0</v>
      </c>
      <c r="O198">
        <v>20.47</v>
      </c>
      <c r="P198">
        <v>26.19</v>
      </c>
      <c r="Q198">
        <v>16.42</v>
      </c>
      <c r="R198">
        <v>0.05</v>
      </c>
    </row>
    <row r="199">
      <c r="A199" s="9">
        <v>38730</v>
      </c>
      <c r="B199" s="2" t="inlineStr">
        <is>
          <t xml:space="preserve">2006-01</t>
        </is>
      </c>
      <c r="C199" s="2" t="inlineStr">
        <is>
          <t xml:space="preserve">2005/06</t>
        </is>
      </c>
      <c r="D199">
        <v>0.0</v>
      </c>
      <c r="E199">
        <v>21.7</v>
      </c>
      <c r="F199">
        <v>28.34</v>
      </c>
      <c r="G199">
        <v>16.54</v>
      </c>
      <c r="H199">
        <v>1.08</v>
      </c>
      <c r="I199">
        <v>0.0</v>
      </c>
      <c r="J199">
        <v>21.6</v>
      </c>
      <c r="K199">
        <v>28.28</v>
      </c>
      <c r="L199">
        <v>16.44</v>
      </c>
      <c r="M199">
        <v>0.74</v>
      </c>
      <c r="N199">
        <v>0.0</v>
      </c>
      <c r="O199">
        <v>21.17</v>
      </c>
      <c r="P199">
        <v>27.3</v>
      </c>
      <c r="Q199">
        <v>16.6</v>
      </c>
      <c r="R199">
        <v>1.21</v>
      </c>
    </row>
    <row r="200">
      <c r="A200" s="9">
        <v>38731</v>
      </c>
      <c r="B200" s="2" t="inlineStr">
        <is>
          <t xml:space="preserve">2006-01</t>
        </is>
      </c>
      <c r="C200" s="2" t="inlineStr">
        <is>
          <t xml:space="preserve">2005/06</t>
        </is>
      </c>
      <c r="D200">
        <v>1.548</v>
      </c>
      <c r="E200">
        <v>20.1</v>
      </c>
      <c r="F200">
        <v>25.78</v>
      </c>
      <c r="G200">
        <v>16.37</v>
      </c>
      <c r="H200">
        <v>4.3</v>
      </c>
      <c r="I200">
        <v>1.58</v>
      </c>
      <c r="J200">
        <v>20.63</v>
      </c>
      <c r="K200">
        <v>25.74</v>
      </c>
      <c r="L200">
        <v>17.23</v>
      </c>
      <c r="M200">
        <v>4.58</v>
      </c>
      <c r="N200">
        <v>9.333</v>
      </c>
      <c r="O200">
        <v>19.99</v>
      </c>
      <c r="P200">
        <v>23.9</v>
      </c>
      <c r="Q200">
        <v>17.29</v>
      </c>
      <c r="R200">
        <v>9.06</v>
      </c>
    </row>
    <row r="201">
      <c r="A201" s="9">
        <v>38732</v>
      </c>
      <c r="B201" s="2" t="inlineStr">
        <is>
          <t xml:space="preserve">2006-01</t>
        </is>
      </c>
      <c r="C201" s="2" t="inlineStr">
        <is>
          <t xml:space="preserve">2005/06</t>
        </is>
      </c>
      <c r="D201">
        <v>0.208</v>
      </c>
      <c r="E201">
        <v>17.59</v>
      </c>
      <c r="F201">
        <v>23.62</v>
      </c>
      <c r="G201">
        <v>12.72</v>
      </c>
      <c r="H201">
        <v>0.57</v>
      </c>
      <c r="I201">
        <v>0.119</v>
      </c>
      <c r="J201">
        <v>18.31</v>
      </c>
      <c r="K201">
        <v>24.11</v>
      </c>
      <c r="L201">
        <v>13.09</v>
      </c>
      <c r="M201">
        <v>0.06</v>
      </c>
      <c r="N201">
        <v>0.0</v>
      </c>
      <c r="O201">
        <v>17.53</v>
      </c>
      <c r="P201">
        <v>22.59</v>
      </c>
      <c r="Q201">
        <v>13.53</v>
      </c>
      <c r="R201">
        <v>0.16</v>
      </c>
    </row>
    <row r="202">
      <c r="A202" s="9">
        <v>38733</v>
      </c>
      <c r="B202" s="2" t="inlineStr">
        <is>
          <t xml:space="preserve">2006-01</t>
        </is>
      </c>
      <c r="C202" s="2" t="inlineStr">
        <is>
          <t xml:space="preserve">2005/06</t>
        </is>
      </c>
      <c r="D202">
        <v>0.267</v>
      </c>
      <c r="E202">
        <v>18.83</v>
      </c>
      <c r="F202">
        <v>29.75</v>
      </c>
      <c r="G202">
        <v>11.0</v>
      </c>
      <c r="H202">
        <v>0.24</v>
      </c>
      <c r="I202">
        <v>0.0</v>
      </c>
      <c r="J202">
        <v>19.24</v>
      </c>
      <c r="K202">
        <v>29.31</v>
      </c>
      <c r="L202">
        <v>11.49</v>
      </c>
      <c r="M202">
        <v>0.0</v>
      </c>
      <c r="N202">
        <v>0.0</v>
      </c>
      <c r="O202">
        <v>18.72</v>
      </c>
      <c r="P202">
        <v>27.27</v>
      </c>
      <c r="Q202">
        <v>12.84</v>
      </c>
      <c r="R202">
        <v>0.0</v>
      </c>
    </row>
    <row r="203">
      <c r="A203" s="9">
        <v>38734</v>
      </c>
      <c r="B203" s="2" t="inlineStr">
        <is>
          <t xml:space="preserve">2006-01</t>
        </is>
      </c>
      <c r="C203" s="2" t="inlineStr">
        <is>
          <t xml:space="preserve">2005/06</t>
        </is>
      </c>
      <c r="D203">
        <v>0.0</v>
      </c>
      <c r="E203">
        <v>21.65</v>
      </c>
      <c r="F203">
        <v>31.05</v>
      </c>
      <c r="G203">
        <v>12.76</v>
      </c>
      <c r="H203">
        <v>0.19</v>
      </c>
      <c r="I203">
        <v>0.0</v>
      </c>
      <c r="J203">
        <v>21.53</v>
      </c>
      <c r="K203">
        <v>29.64</v>
      </c>
      <c r="L203">
        <v>14.07</v>
      </c>
      <c r="M203">
        <v>0.01</v>
      </c>
      <c r="N203">
        <v>0.0</v>
      </c>
      <c r="O203">
        <v>21.41</v>
      </c>
      <c r="P203">
        <v>30.38</v>
      </c>
      <c r="Q203">
        <v>13.21</v>
      </c>
      <c r="R203">
        <v>0.02</v>
      </c>
    </row>
    <row r="204">
      <c r="A204" s="9">
        <v>38735</v>
      </c>
      <c r="B204" s="2" t="inlineStr">
        <is>
          <t xml:space="preserve">2006-01</t>
        </is>
      </c>
      <c r="C204" s="2" t="inlineStr">
        <is>
          <t xml:space="preserve">2005/06</t>
        </is>
      </c>
      <c r="D204">
        <v>0.25</v>
      </c>
      <c r="E204">
        <v>18.4</v>
      </c>
      <c r="F204">
        <v>22.73</v>
      </c>
      <c r="G204">
        <v>15.83</v>
      </c>
      <c r="H204">
        <v>1.27</v>
      </c>
      <c r="I204">
        <v>0.021</v>
      </c>
      <c r="J204">
        <v>17.42</v>
      </c>
      <c r="K204">
        <v>20.95</v>
      </c>
      <c r="L204">
        <v>14.16</v>
      </c>
      <c r="M204">
        <v>0.13</v>
      </c>
      <c r="N204">
        <v>0.178</v>
      </c>
      <c r="O204">
        <v>17.61</v>
      </c>
      <c r="P204">
        <v>20.78</v>
      </c>
      <c r="Q204">
        <v>14.82</v>
      </c>
      <c r="R204">
        <v>0.19</v>
      </c>
    </row>
    <row r="205">
      <c r="A205" s="9">
        <v>38736</v>
      </c>
      <c r="B205" s="2" t="inlineStr">
        <is>
          <t xml:space="preserve">2006-01</t>
        </is>
      </c>
      <c r="C205" s="2" t="inlineStr">
        <is>
          <t xml:space="preserve">2005/06</t>
        </is>
      </c>
      <c r="D205">
        <v>0.058</v>
      </c>
      <c r="E205">
        <v>20.36</v>
      </c>
      <c r="F205">
        <v>27.43</v>
      </c>
      <c r="G205">
        <v>15.89</v>
      </c>
      <c r="H205">
        <v>0.23</v>
      </c>
      <c r="I205">
        <v>0.116</v>
      </c>
      <c r="J205">
        <v>17.36</v>
      </c>
      <c r="K205">
        <v>21.78</v>
      </c>
      <c r="L205">
        <v>14.27</v>
      </c>
      <c r="M205">
        <v>0.2</v>
      </c>
      <c r="N205">
        <v>0.529</v>
      </c>
      <c r="O205">
        <v>16.69</v>
      </c>
      <c r="P205">
        <v>19.84</v>
      </c>
      <c r="Q205">
        <v>14.58</v>
      </c>
      <c r="R205">
        <v>0.37</v>
      </c>
    </row>
    <row r="206">
      <c r="A206" s="9">
        <v>38737</v>
      </c>
      <c r="B206" s="2" t="inlineStr">
        <is>
          <t xml:space="preserve">2006-01</t>
        </is>
      </c>
      <c r="C206" s="2" t="inlineStr">
        <is>
          <t xml:space="preserve">2005/06</t>
        </is>
      </c>
      <c r="D206">
        <v>0.0</v>
      </c>
      <c r="E206">
        <v>20.11</v>
      </c>
      <c r="F206">
        <v>26.99</v>
      </c>
      <c r="G206">
        <v>14.84</v>
      </c>
      <c r="H206">
        <v>0.18</v>
      </c>
      <c r="I206">
        <v>0.0</v>
      </c>
      <c r="J206">
        <v>20.21</v>
      </c>
      <c r="K206">
        <v>27.54</v>
      </c>
      <c r="L206">
        <v>14.4</v>
      </c>
      <c r="M206">
        <v>0.04</v>
      </c>
      <c r="N206">
        <v>0.0</v>
      </c>
      <c r="O206">
        <v>19.86</v>
      </c>
      <c r="P206">
        <v>25.91</v>
      </c>
      <c r="Q206">
        <v>15.29</v>
      </c>
      <c r="R206">
        <v>0.05</v>
      </c>
    </row>
    <row r="207">
      <c r="A207" s="9">
        <v>38738</v>
      </c>
      <c r="B207" s="2" t="inlineStr">
        <is>
          <t xml:space="preserve">2006-01</t>
        </is>
      </c>
      <c r="C207" s="2" t="inlineStr">
        <is>
          <t xml:space="preserve">2005/06</t>
        </is>
      </c>
      <c r="D207">
        <v>0.564</v>
      </c>
      <c r="E207">
        <v>20.08</v>
      </c>
      <c r="F207">
        <v>26.71</v>
      </c>
      <c r="G207">
        <v>14.55</v>
      </c>
      <c r="H207">
        <v>1.14</v>
      </c>
      <c r="I207">
        <v>0.117</v>
      </c>
      <c r="J207">
        <v>20.94</v>
      </c>
      <c r="K207">
        <v>27.8</v>
      </c>
      <c r="L207">
        <v>16.22</v>
      </c>
      <c r="M207">
        <v>0.97</v>
      </c>
      <c r="N207">
        <v>0.583</v>
      </c>
      <c r="O207">
        <v>20.29</v>
      </c>
      <c r="P207">
        <v>26.1</v>
      </c>
      <c r="Q207">
        <v>16.09</v>
      </c>
      <c r="R207">
        <v>3.65</v>
      </c>
    </row>
    <row r="208">
      <c r="A208" s="9">
        <v>38739</v>
      </c>
      <c r="B208" s="2" t="inlineStr">
        <is>
          <t xml:space="preserve">2006-01</t>
        </is>
      </c>
      <c r="C208" s="2" t="inlineStr">
        <is>
          <t xml:space="preserve">2005/06</t>
        </is>
      </c>
      <c r="D208">
        <v>0.11</v>
      </c>
      <c r="E208">
        <v>20.71</v>
      </c>
      <c r="F208">
        <v>27.92</v>
      </c>
      <c r="G208">
        <v>15.1</v>
      </c>
      <c r="H208">
        <v>0.65</v>
      </c>
      <c r="I208">
        <v>0.226</v>
      </c>
      <c r="J208">
        <v>21.5</v>
      </c>
      <c r="K208">
        <v>27.87</v>
      </c>
      <c r="L208">
        <v>17.11</v>
      </c>
      <c r="M208">
        <v>1.57</v>
      </c>
      <c r="N208">
        <v>2.055</v>
      </c>
      <c r="O208">
        <v>20.64</v>
      </c>
      <c r="P208">
        <v>25.67</v>
      </c>
      <c r="Q208">
        <v>17.01</v>
      </c>
      <c r="R208">
        <v>4.94</v>
      </c>
    </row>
    <row r="209">
      <c r="A209" s="9">
        <v>38740</v>
      </c>
      <c r="B209" s="2" t="inlineStr">
        <is>
          <t xml:space="preserve">2006-01</t>
        </is>
      </c>
      <c r="C209" s="2" t="inlineStr">
        <is>
          <t xml:space="preserve">2005/06</t>
        </is>
      </c>
      <c r="D209">
        <v>0.05</v>
      </c>
      <c r="E209">
        <v>21.3</v>
      </c>
      <c r="F209">
        <v>27.76</v>
      </c>
      <c r="G209">
        <v>16.84</v>
      </c>
      <c r="H209">
        <v>0.54</v>
      </c>
      <c r="I209">
        <v>0.025</v>
      </c>
      <c r="J209">
        <v>21.09</v>
      </c>
      <c r="K209">
        <v>27.06</v>
      </c>
      <c r="L209">
        <v>17.3</v>
      </c>
      <c r="M209">
        <v>1.49</v>
      </c>
      <c r="N209">
        <v>0.384</v>
      </c>
      <c r="O209">
        <v>20.5</v>
      </c>
      <c r="P209">
        <v>24.48</v>
      </c>
      <c r="Q209">
        <v>18.05</v>
      </c>
      <c r="R209">
        <v>4.07</v>
      </c>
    </row>
    <row r="210">
      <c r="A210" s="9">
        <v>38741</v>
      </c>
      <c r="B210" s="2" t="inlineStr">
        <is>
          <t xml:space="preserve">2006-01</t>
        </is>
      </c>
      <c r="C210" s="2" t="inlineStr">
        <is>
          <t xml:space="preserve">2005/06</t>
        </is>
      </c>
      <c r="D210">
        <v>0.207</v>
      </c>
      <c r="E210">
        <v>21.37</v>
      </c>
      <c r="F210">
        <v>27.92</v>
      </c>
      <c r="G210">
        <v>17.76</v>
      </c>
      <c r="H210">
        <v>1.27</v>
      </c>
      <c r="I210">
        <v>0.533</v>
      </c>
      <c r="J210">
        <v>21.04</v>
      </c>
      <c r="K210">
        <v>27.2</v>
      </c>
      <c r="L210">
        <v>16.54</v>
      </c>
      <c r="M210">
        <v>5.02</v>
      </c>
      <c r="N210">
        <v>8.259</v>
      </c>
      <c r="O210">
        <v>20.64</v>
      </c>
      <c r="P210">
        <v>25.62</v>
      </c>
      <c r="Q210">
        <v>17.97</v>
      </c>
      <c r="R210">
        <v>13.42</v>
      </c>
    </row>
    <row r="211">
      <c r="A211" s="9">
        <v>38742</v>
      </c>
      <c r="B211" s="2" t="inlineStr">
        <is>
          <t xml:space="preserve">2006-01</t>
        </is>
      </c>
      <c r="C211" s="2" t="inlineStr">
        <is>
          <t xml:space="preserve">2005/06</t>
        </is>
      </c>
      <c r="D211">
        <v>0.297</v>
      </c>
      <c r="E211">
        <v>20.92</v>
      </c>
      <c r="F211">
        <v>27.8</v>
      </c>
      <c r="G211">
        <v>16.61</v>
      </c>
      <c r="H211">
        <v>0.94</v>
      </c>
      <c r="I211">
        <v>0.592</v>
      </c>
      <c r="J211">
        <v>21.12</v>
      </c>
      <c r="K211">
        <v>27.15</v>
      </c>
      <c r="L211">
        <v>17.57</v>
      </c>
      <c r="M211">
        <v>1.27</v>
      </c>
      <c r="N211">
        <v>3.084</v>
      </c>
      <c r="O211">
        <v>20.51</v>
      </c>
      <c r="P211">
        <v>24.87</v>
      </c>
      <c r="Q211">
        <v>18.45</v>
      </c>
      <c r="R211">
        <v>3.34</v>
      </c>
    </row>
    <row r="212">
      <c r="A212" s="9">
        <v>38743</v>
      </c>
      <c r="B212" s="2" t="inlineStr">
        <is>
          <t xml:space="preserve">2006-01</t>
        </is>
      </c>
      <c r="C212" s="2" t="inlineStr">
        <is>
          <t xml:space="preserve">2005/06</t>
        </is>
      </c>
      <c r="D212">
        <v>0.055</v>
      </c>
      <c r="E212">
        <v>20.38</v>
      </c>
      <c r="F212">
        <v>27.24</v>
      </c>
      <c r="G212">
        <v>16.2</v>
      </c>
      <c r="H212">
        <v>0.7</v>
      </c>
      <c r="I212">
        <v>0.026</v>
      </c>
      <c r="J212">
        <v>20.38</v>
      </c>
      <c r="K212">
        <v>26.02</v>
      </c>
      <c r="L212">
        <v>16.98</v>
      </c>
      <c r="M212">
        <v>1.88</v>
      </c>
      <c r="N212">
        <v>0.214</v>
      </c>
      <c r="O212">
        <v>19.89</v>
      </c>
      <c r="P212">
        <v>24.47</v>
      </c>
      <c r="Q212">
        <v>17.4</v>
      </c>
      <c r="R212">
        <v>5.92</v>
      </c>
    </row>
    <row r="213">
      <c r="A213" s="9">
        <v>38744</v>
      </c>
      <c r="B213" s="2" t="inlineStr">
        <is>
          <t xml:space="preserve">2006-01</t>
        </is>
      </c>
      <c r="C213" s="2" t="inlineStr">
        <is>
          <t xml:space="preserve">2005/06</t>
        </is>
      </c>
      <c r="D213">
        <v>0.18</v>
      </c>
      <c r="E213">
        <v>20.09</v>
      </c>
      <c r="F213">
        <v>27.43</v>
      </c>
      <c r="G213">
        <v>15.14</v>
      </c>
      <c r="H213">
        <v>1.52</v>
      </c>
      <c r="I213">
        <v>3.1</v>
      </c>
      <c r="J213">
        <v>19.91</v>
      </c>
      <c r="K213">
        <v>25.34</v>
      </c>
      <c r="L213">
        <v>16.47</v>
      </c>
      <c r="M213">
        <v>8.25</v>
      </c>
      <c r="N213">
        <v>17.531</v>
      </c>
      <c r="O213">
        <v>19.55</v>
      </c>
      <c r="P213">
        <v>23.99</v>
      </c>
      <c r="Q213">
        <v>16.98</v>
      </c>
      <c r="R213">
        <v>16.97</v>
      </c>
    </row>
    <row r="214">
      <c r="A214" s="9">
        <v>38745</v>
      </c>
      <c r="B214" s="2" t="inlineStr">
        <is>
          <t xml:space="preserve">2006-01</t>
        </is>
      </c>
      <c r="C214" s="2" t="inlineStr">
        <is>
          <t xml:space="preserve">2005/06</t>
        </is>
      </c>
      <c r="D214">
        <v>0.02</v>
      </c>
      <c r="E214">
        <v>20.91</v>
      </c>
      <c r="F214">
        <v>28.08</v>
      </c>
      <c r="G214">
        <v>15.94</v>
      </c>
      <c r="H214">
        <v>0.3</v>
      </c>
      <c r="I214">
        <v>0.155</v>
      </c>
      <c r="J214">
        <v>20.37</v>
      </c>
      <c r="K214">
        <v>26.6</v>
      </c>
      <c r="L214">
        <v>16.43</v>
      </c>
      <c r="M214">
        <v>0.55</v>
      </c>
      <c r="N214">
        <v>0.875</v>
      </c>
      <c r="O214">
        <v>19.85</v>
      </c>
      <c r="P214">
        <v>24.62</v>
      </c>
      <c r="Q214">
        <v>17.01</v>
      </c>
      <c r="R214">
        <v>1.43</v>
      </c>
    </row>
    <row r="215">
      <c r="A215" s="9">
        <v>38746</v>
      </c>
      <c r="B215" s="2" t="inlineStr">
        <is>
          <t xml:space="preserve">2006-01</t>
        </is>
      </c>
      <c r="C215" s="2" t="inlineStr">
        <is>
          <t xml:space="preserve">2005/06</t>
        </is>
      </c>
      <c r="D215">
        <v>0.0</v>
      </c>
      <c r="E215">
        <v>21.98</v>
      </c>
      <c r="F215">
        <v>29.36</v>
      </c>
      <c r="G215">
        <v>16.07</v>
      </c>
      <c r="H215">
        <v>0.05</v>
      </c>
      <c r="I215">
        <v>0.0</v>
      </c>
      <c r="J215">
        <v>21.87</v>
      </c>
      <c r="K215">
        <v>28.28</v>
      </c>
      <c r="L215">
        <v>16.55</v>
      </c>
      <c r="M215">
        <v>0.04</v>
      </c>
      <c r="N215">
        <v>0.047</v>
      </c>
      <c r="O215">
        <v>20.93</v>
      </c>
      <c r="P215">
        <v>26.58</v>
      </c>
      <c r="Q215">
        <v>16.84</v>
      </c>
      <c r="R215">
        <v>0.13</v>
      </c>
    </row>
    <row r="216">
      <c r="A216" s="9">
        <v>38747</v>
      </c>
      <c r="B216" s="2" t="inlineStr">
        <is>
          <t xml:space="preserve">2006-01</t>
        </is>
      </c>
      <c r="C216" s="2" t="inlineStr">
        <is>
          <t xml:space="preserve">2005/06</t>
        </is>
      </c>
      <c r="D216">
        <v>0.0</v>
      </c>
      <c r="E216">
        <v>22.9</v>
      </c>
      <c r="F216">
        <v>29.96</v>
      </c>
      <c r="G216">
        <v>16.9</v>
      </c>
      <c r="H216">
        <v>0.04</v>
      </c>
      <c r="I216">
        <v>0.0</v>
      </c>
      <c r="J216">
        <v>23.01</v>
      </c>
      <c r="K216">
        <v>29.09</v>
      </c>
      <c r="L216">
        <v>18.25</v>
      </c>
      <c r="M216">
        <v>0.0</v>
      </c>
      <c r="N216">
        <v>0.0</v>
      </c>
      <c r="O216">
        <v>22.35</v>
      </c>
      <c r="P216">
        <v>28.75</v>
      </c>
      <c r="Q216">
        <v>17.76</v>
      </c>
      <c r="R216">
        <v>0.0</v>
      </c>
    </row>
    <row r="217">
      <c r="A217" s="9">
        <v>38748</v>
      </c>
      <c r="B217" s="2" t="inlineStr">
        <is>
          <t xml:space="preserve">2006-01</t>
        </is>
      </c>
      <c r="C217" s="2" t="inlineStr">
        <is>
          <t xml:space="preserve">2005/06</t>
        </is>
      </c>
      <c r="D217">
        <v>0.045</v>
      </c>
      <c r="E217">
        <v>22.25</v>
      </c>
      <c r="F217">
        <v>29.57</v>
      </c>
      <c r="G217">
        <v>17.07</v>
      </c>
      <c r="H217">
        <v>0.08</v>
      </c>
      <c r="I217">
        <v>0.0</v>
      </c>
      <c r="J217">
        <v>22.07</v>
      </c>
      <c r="K217">
        <v>27.09</v>
      </c>
      <c r="L217">
        <v>18.93</v>
      </c>
      <c r="M217">
        <v>0.0</v>
      </c>
      <c r="N217">
        <v>0.0</v>
      </c>
      <c r="O217">
        <v>21.39</v>
      </c>
      <c r="P217">
        <v>26.03</v>
      </c>
      <c r="Q217">
        <v>18.29</v>
      </c>
      <c r="R217">
        <v>0.0</v>
      </c>
    </row>
    <row r="218">
      <c r="A218" s="9">
        <v>38749</v>
      </c>
      <c r="B218" s="2" t="inlineStr">
        <is>
          <t xml:space="preserve">2006-02</t>
        </is>
      </c>
      <c r="C218" s="2" t="inlineStr">
        <is>
          <t xml:space="preserve">2005/06</t>
        </is>
      </c>
      <c r="D218">
        <v>0.0</v>
      </c>
      <c r="E218">
        <v>21.21</v>
      </c>
      <c r="F218">
        <v>28.7</v>
      </c>
      <c r="G218">
        <v>16.58</v>
      </c>
      <c r="H218">
        <v>0.0</v>
      </c>
      <c r="I218">
        <v>0.0</v>
      </c>
      <c r="J218">
        <v>22.02</v>
      </c>
      <c r="K218">
        <v>29.18</v>
      </c>
      <c r="L218">
        <v>17.55</v>
      </c>
      <c r="M218">
        <v>0.0</v>
      </c>
      <c r="N218">
        <v>0.0</v>
      </c>
      <c r="O218">
        <v>20.71</v>
      </c>
      <c r="P218">
        <v>26.83</v>
      </c>
      <c r="Q218">
        <v>17.05</v>
      </c>
      <c r="R218">
        <v>0.0</v>
      </c>
    </row>
    <row r="219">
      <c r="A219" s="9">
        <v>38750</v>
      </c>
      <c r="B219" s="2" t="inlineStr">
        <is>
          <t xml:space="preserve">2006-02</t>
        </is>
      </c>
      <c r="C219" s="2" t="inlineStr">
        <is>
          <t xml:space="preserve">2005/06</t>
        </is>
      </c>
      <c r="D219">
        <v>0.0</v>
      </c>
      <c r="E219">
        <v>22.79</v>
      </c>
      <c r="F219">
        <v>31.8</v>
      </c>
      <c r="G219">
        <v>14.91</v>
      </c>
      <c r="H219">
        <v>0.0</v>
      </c>
      <c r="I219">
        <v>0.0</v>
      </c>
      <c r="J219">
        <v>22.09</v>
      </c>
      <c r="K219">
        <v>29.84</v>
      </c>
      <c r="L219">
        <v>16.01</v>
      </c>
      <c r="M219">
        <v>0.0</v>
      </c>
      <c r="N219">
        <v>0.0</v>
      </c>
      <c r="O219">
        <v>21.96</v>
      </c>
      <c r="P219">
        <v>30.11</v>
      </c>
      <c r="Q219">
        <v>14.9</v>
      </c>
      <c r="R219">
        <v>0.0</v>
      </c>
    </row>
    <row r="220">
      <c r="A220" s="9">
        <v>38751</v>
      </c>
      <c r="B220" s="2" t="inlineStr">
        <is>
          <t xml:space="preserve">2006-02</t>
        </is>
      </c>
      <c r="C220" s="2" t="inlineStr">
        <is>
          <t xml:space="preserve">2005/06</t>
        </is>
      </c>
      <c r="D220">
        <v>0.0</v>
      </c>
      <c r="E220">
        <v>23.78</v>
      </c>
      <c r="F220">
        <v>31.64</v>
      </c>
      <c r="G220">
        <v>17.11</v>
      </c>
      <c r="H220">
        <v>0.02</v>
      </c>
      <c r="I220">
        <v>0.0</v>
      </c>
      <c r="J220">
        <v>22.5</v>
      </c>
      <c r="K220">
        <v>30.33</v>
      </c>
      <c r="L220">
        <v>16.83</v>
      </c>
      <c r="M220">
        <v>0.0</v>
      </c>
      <c r="N220">
        <v>0.0</v>
      </c>
      <c r="O220">
        <v>22.74</v>
      </c>
      <c r="P220">
        <v>30.59</v>
      </c>
      <c r="Q220">
        <v>16.48</v>
      </c>
      <c r="R220">
        <v>0.0</v>
      </c>
    </row>
    <row r="221">
      <c r="A221" s="9">
        <v>38752</v>
      </c>
      <c r="B221" s="2" t="inlineStr">
        <is>
          <t xml:space="preserve">2006-02</t>
        </is>
      </c>
      <c r="C221" s="2" t="inlineStr">
        <is>
          <t xml:space="preserve">2005/06</t>
        </is>
      </c>
      <c r="D221">
        <v>0.0</v>
      </c>
      <c r="E221">
        <v>21.45</v>
      </c>
      <c r="F221">
        <v>27.47</v>
      </c>
      <c r="G221">
        <v>17.94</v>
      </c>
      <c r="H221">
        <v>0.21</v>
      </c>
      <c r="I221">
        <v>0.0</v>
      </c>
      <c r="J221">
        <v>20.68</v>
      </c>
      <c r="K221">
        <v>24.05</v>
      </c>
      <c r="L221">
        <v>18.47</v>
      </c>
      <c r="M221">
        <v>0.08</v>
      </c>
      <c r="N221">
        <v>0.0</v>
      </c>
      <c r="O221">
        <v>20.6</v>
      </c>
      <c r="P221">
        <v>23.37</v>
      </c>
      <c r="Q221">
        <v>18.31</v>
      </c>
      <c r="R221">
        <v>0.2</v>
      </c>
    </row>
    <row r="222">
      <c r="A222" s="9">
        <v>38753</v>
      </c>
      <c r="B222" s="2" t="inlineStr">
        <is>
          <t xml:space="preserve">2006-02</t>
        </is>
      </c>
      <c r="C222" s="2" t="inlineStr">
        <is>
          <t xml:space="preserve">2005/06</t>
        </is>
      </c>
      <c r="D222">
        <v>0.189</v>
      </c>
      <c r="E222">
        <v>18.37</v>
      </c>
      <c r="F222">
        <v>21.95</v>
      </c>
      <c r="G222">
        <v>15.68</v>
      </c>
      <c r="H222">
        <v>1.88</v>
      </c>
      <c r="I222">
        <v>0.084</v>
      </c>
      <c r="J222">
        <v>18.62</v>
      </c>
      <c r="K222">
        <v>22.47</v>
      </c>
      <c r="L222">
        <v>15.56</v>
      </c>
      <c r="M222">
        <v>0.28</v>
      </c>
      <c r="N222">
        <v>0.615</v>
      </c>
      <c r="O222">
        <v>18.7</v>
      </c>
      <c r="P222">
        <v>21.31</v>
      </c>
      <c r="Q222">
        <v>15.87</v>
      </c>
      <c r="R222">
        <v>0.45</v>
      </c>
    </row>
    <row r="223">
      <c r="A223" s="9">
        <v>38754</v>
      </c>
      <c r="B223" s="2" t="inlineStr">
        <is>
          <t xml:space="preserve">2006-02</t>
        </is>
      </c>
      <c r="C223" s="2" t="inlineStr">
        <is>
          <t xml:space="preserve">2005/06</t>
        </is>
      </c>
      <c r="D223">
        <v>0.0</v>
      </c>
      <c r="E223">
        <v>20.86</v>
      </c>
      <c r="F223">
        <v>28.63</v>
      </c>
      <c r="G223">
        <v>14.85</v>
      </c>
      <c r="H223">
        <v>0.01</v>
      </c>
      <c r="I223">
        <v>0.0</v>
      </c>
      <c r="J223">
        <v>20.59</v>
      </c>
      <c r="K223">
        <v>28.32</v>
      </c>
      <c r="L223">
        <v>14.85</v>
      </c>
      <c r="M223">
        <v>0.05</v>
      </c>
      <c r="N223">
        <v>0.0</v>
      </c>
      <c r="O223">
        <v>19.59</v>
      </c>
      <c r="P223">
        <v>26.21</v>
      </c>
      <c r="Q223">
        <v>15.17</v>
      </c>
      <c r="R223">
        <v>0.09</v>
      </c>
    </row>
    <row r="224">
      <c r="A224" s="9">
        <v>38755</v>
      </c>
      <c r="B224" s="2" t="inlineStr">
        <is>
          <t xml:space="preserve">2006-02</t>
        </is>
      </c>
      <c r="C224" s="2" t="inlineStr">
        <is>
          <t xml:space="preserve">2005/06</t>
        </is>
      </c>
      <c r="D224">
        <v>0.0</v>
      </c>
      <c r="E224">
        <v>21.7</v>
      </c>
      <c r="F224">
        <v>28.71</v>
      </c>
      <c r="G224">
        <v>16.65</v>
      </c>
      <c r="H224">
        <v>0.22</v>
      </c>
      <c r="I224">
        <v>0.244</v>
      </c>
      <c r="J224">
        <v>21.14</v>
      </c>
      <c r="K224">
        <v>27.13</v>
      </c>
      <c r="L224">
        <v>16.7</v>
      </c>
      <c r="M224">
        <v>1.28</v>
      </c>
      <c r="N224">
        <v>1.317</v>
      </c>
      <c r="O224">
        <v>20.27</v>
      </c>
      <c r="P224">
        <v>25.69</v>
      </c>
      <c r="Q224">
        <v>16.75</v>
      </c>
      <c r="R224">
        <v>4.57</v>
      </c>
    </row>
    <row r="225">
      <c r="A225" s="9">
        <v>38756</v>
      </c>
      <c r="B225" s="2" t="inlineStr">
        <is>
          <t xml:space="preserve">2006-02</t>
        </is>
      </c>
      <c r="C225" s="2" t="inlineStr">
        <is>
          <t xml:space="preserve">2005/06</t>
        </is>
      </c>
      <c r="D225">
        <v>0.048</v>
      </c>
      <c r="E225">
        <v>20.0</v>
      </c>
      <c r="F225">
        <v>26.11</v>
      </c>
      <c r="G225">
        <v>16.67</v>
      </c>
      <c r="H225">
        <v>1.17</v>
      </c>
      <c r="I225">
        <v>0.577</v>
      </c>
      <c r="J225">
        <v>17.96</v>
      </c>
      <c r="K225">
        <v>22.55</v>
      </c>
      <c r="L225">
        <v>14.81</v>
      </c>
      <c r="M225">
        <v>1.32</v>
      </c>
      <c r="N225">
        <v>2.202</v>
      </c>
      <c r="O225">
        <v>17.63</v>
      </c>
      <c r="P225">
        <v>21.03</v>
      </c>
      <c r="Q225">
        <v>15.86</v>
      </c>
      <c r="R225">
        <v>2.85</v>
      </c>
    </row>
    <row r="226">
      <c r="A226" s="9">
        <v>38757</v>
      </c>
      <c r="B226" s="2" t="inlineStr">
        <is>
          <t xml:space="preserve">2006-02</t>
        </is>
      </c>
      <c r="C226" s="2" t="inlineStr">
        <is>
          <t xml:space="preserve">2005/06</t>
        </is>
      </c>
      <c r="D226">
        <v>0.156</v>
      </c>
      <c r="E226">
        <v>18.95</v>
      </c>
      <c r="F226">
        <v>25.58</v>
      </c>
      <c r="G226">
        <v>15.73</v>
      </c>
      <c r="H226">
        <v>2.25</v>
      </c>
      <c r="I226">
        <v>0.096</v>
      </c>
      <c r="J226">
        <v>18.73</v>
      </c>
      <c r="K226">
        <v>24.61</v>
      </c>
      <c r="L226">
        <v>15.26</v>
      </c>
      <c r="M226">
        <v>0.54</v>
      </c>
      <c r="N226">
        <v>0.16</v>
      </c>
      <c r="O226">
        <v>18.47</v>
      </c>
      <c r="P226">
        <v>23.41</v>
      </c>
      <c r="Q226">
        <v>15.72</v>
      </c>
      <c r="R226">
        <v>0.68</v>
      </c>
    </row>
    <row r="227">
      <c r="A227" s="9">
        <v>38758</v>
      </c>
      <c r="B227" s="2" t="inlineStr">
        <is>
          <t xml:space="preserve">2006-02</t>
        </is>
      </c>
      <c r="C227" s="2" t="inlineStr">
        <is>
          <t xml:space="preserve">2005/06</t>
        </is>
      </c>
      <c r="D227">
        <v>0.051</v>
      </c>
      <c r="E227">
        <v>20.4</v>
      </c>
      <c r="F227">
        <v>28.29</v>
      </c>
      <c r="G227">
        <v>15.14</v>
      </c>
      <c r="H227">
        <v>0.34</v>
      </c>
      <c r="I227">
        <v>1.532</v>
      </c>
      <c r="J227">
        <v>19.95</v>
      </c>
      <c r="K227">
        <v>27.29</v>
      </c>
      <c r="L227">
        <v>14.86</v>
      </c>
      <c r="M227">
        <v>1.04</v>
      </c>
      <c r="N227">
        <v>1.769</v>
      </c>
      <c r="O227">
        <v>19.26</v>
      </c>
      <c r="P227">
        <v>25.67</v>
      </c>
      <c r="Q227">
        <v>15.45</v>
      </c>
      <c r="R227">
        <v>1.18</v>
      </c>
    </row>
    <row r="228">
      <c r="A228" s="9">
        <v>38759</v>
      </c>
      <c r="B228" s="2" t="inlineStr">
        <is>
          <t xml:space="preserve">2006-02</t>
        </is>
      </c>
      <c r="C228" s="2" t="inlineStr">
        <is>
          <t xml:space="preserve">2005/06</t>
        </is>
      </c>
      <c r="D228">
        <v>0.0</v>
      </c>
      <c r="E228">
        <v>22.25</v>
      </c>
      <c r="F228">
        <v>31.18</v>
      </c>
      <c r="G228">
        <v>15.3</v>
      </c>
      <c r="H228">
        <v>0.18</v>
      </c>
      <c r="I228">
        <v>0.0</v>
      </c>
      <c r="J228">
        <v>22.45</v>
      </c>
      <c r="K228">
        <v>30.78</v>
      </c>
      <c r="L228">
        <v>15.62</v>
      </c>
      <c r="M228">
        <v>0.24</v>
      </c>
      <c r="N228">
        <v>0.0</v>
      </c>
      <c r="O228">
        <v>21.76</v>
      </c>
      <c r="P228">
        <v>29.69</v>
      </c>
      <c r="Q228">
        <v>15.33</v>
      </c>
      <c r="R228">
        <v>0.79</v>
      </c>
    </row>
    <row r="229">
      <c r="A229" s="9">
        <v>38760</v>
      </c>
      <c r="B229" s="2" t="inlineStr">
        <is>
          <t xml:space="preserve">2006-02</t>
        </is>
      </c>
      <c r="C229" s="2" t="inlineStr">
        <is>
          <t xml:space="preserve">2005/06</t>
        </is>
      </c>
      <c r="D229">
        <v>0.132</v>
      </c>
      <c r="E229">
        <v>18.95</v>
      </c>
      <c r="F229">
        <v>25.66</v>
      </c>
      <c r="G229">
        <v>14.5</v>
      </c>
      <c r="H229">
        <v>1.53</v>
      </c>
      <c r="I229">
        <v>0.214</v>
      </c>
      <c r="J229">
        <v>19.17</v>
      </c>
      <c r="K229">
        <v>24.65</v>
      </c>
      <c r="L229">
        <v>14.14</v>
      </c>
      <c r="M229">
        <v>2.23</v>
      </c>
      <c r="N229">
        <v>2.199</v>
      </c>
      <c r="O229">
        <v>18.45</v>
      </c>
      <c r="P229">
        <v>21.77</v>
      </c>
      <c r="Q229">
        <v>14.93</v>
      </c>
      <c r="R229">
        <v>6.45</v>
      </c>
    </row>
    <row r="230">
      <c r="A230" s="9">
        <v>38761</v>
      </c>
      <c r="B230" s="2" t="inlineStr">
        <is>
          <t xml:space="preserve">2006-02</t>
        </is>
      </c>
      <c r="C230" s="2" t="inlineStr">
        <is>
          <t xml:space="preserve">2005/06</t>
        </is>
      </c>
      <c r="D230">
        <v>0.053</v>
      </c>
      <c r="E230">
        <v>13.81</v>
      </c>
      <c r="F230">
        <v>17.7</v>
      </c>
      <c r="G230">
        <v>10.92</v>
      </c>
      <c r="H230">
        <v>1.56</v>
      </c>
      <c r="I230">
        <v>1.011</v>
      </c>
      <c r="J230">
        <v>13.65</v>
      </c>
      <c r="K230">
        <v>16.63</v>
      </c>
      <c r="L230">
        <v>11.26</v>
      </c>
      <c r="M230">
        <v>0.54</v>
      </c>
      <c r="N230">
        <v>1.028</v>
      </c>
      <c r="O230">
        <v>13.37</v>
      </c>
      <c r="P230">
        <v>15.96</v>
      </c>
      <c r="Q230">
        <v>11.16</v>
      </c>
      <c r="R230">
        <v>0.51</v>
      </c>
    </row>
    <row r="231">
      <c r="A231" s="9">
        <v>38762</v>
      </c>
      <c r="B231" s="2" t="inlineStr">
        <is>
          <t xml:space="preserve">2006-02</t>
        </is>
      </c>
      <c r="C231" s="2" t="inlineStr">
        <is>
          <t xml:space="preserve">2005/06</t>
        </is>
      </c>
      <c r="D231">
        <v>0.0</v>
      </c>
      <c r="E231">
        <v>16.72</v>
      </c>
      <c r="F231">
        <v>24.69</v>
      </c>
      <c r="G231">
        <v>10.93</v>
      </c>
      <c r="H231">
        <v>0.0</v>
      </c>
      <c r="I231">
        <v>0.0</v>
      </c>
      <c r="J231">
        <v>15.1</v>
      </c>
      <c r="K231">
        <v>22.26</v>
      </c>
      <c r="L231">
        <v>9.9</v>
      </c>
      <c r="M231">
        <v>0.0</v>
      </c>
      <c r="N231">
        <v>0.0</v>
      </c>
      <c r="O231">
        <v>14.52</v>
      </c>
      <c r="P231">
        <v>20.36</v>
      </c>
      <c r="Q231">
        <v>10.0</v>
      </c>
      <c r="R231">
        <v>0.0</v>
      </c>
    </row>
    <row r="232">
      <c r="A232" s="9">
        <v>38763</v>
      </c>
      <c r="B232" s="2" t="inlineStr">
        <is>
          <t xml:space="preserve">2006-02</t>
        </is>
      </c>
      <c r="C232" s="2" t="inlineStr">
        <is>
          <t xml:space="preserve">2005/06</t>
        </is>
      </c>
      <c r="D232">
        <v>0.0</v>
      </c>
      <c r="E232">
        <v>20.42</v>
      </c>
      <c r="F232">
        <v>29.47</v>
      </c>
      <c r="G232">
        <v>12.5</v>
      </c>
      <c r="H232">
        <v>0.04</v>
      </c>
      <c r="I232">
        <v>0.0</v>
      </c>
      <c r="J232">
        <v>19.92</v>
      </c>
      <c r="K232">
        <v>28.97</v>
      </c>
      <c r="L232">
        <v>12.96</v>
      </c>
      <c r="M232">
        <v>0.07</v>
      </c>
      <c r="N232">
        <v>0.0</v>
      </c>
      <c r="O232">
        <v>19.0</v>
      </c>
      <c r="P232">
        <v>26.52</v>
      </c>
      <c r="Q232">
        <v>13.41</v>
      </c>
      <c r="R232">
        <v>0.24</v>
      </c>
    </row>
    <row r="233">
      <c r="A233" s="9">
        <v>38764</v>
      </c>
      <c r="B233" s="2" t="inlineStr">
        <is>
          <t xml:space="preserve">2006-02</t>
        </is>
      </c>
      <c r="C233" s="2" t="inlineStr">
        <is>
          <t xml:space="preserve">2005/06</t>
        </is>
      </c>
      <c r="D233">
        <v>0.0</v>
      </c>
      <c r="E233">
        <v>21.72</v>
      </c>
      <c r="F233">
        <v>30.69</v>
      </c>
      <c r="G233">
        <v>15.47</v>
      </c>
      <c r="H233">
        <v>0.04</v>
      </c>
      <c r="I233">
        <v>0.0</v>
      </c>
      <c r="J233">
        <v>22.07</v>
      </c>
      <c r="K233">
        <v>30.57</v>
      </c>
      <c r="L233">
        <v>15.58</v>
      </c>
      <c r="M233">
        <v>0.11</v>
      </c>
      <c r="N233">
        <v>0.128</v>
      </c>
      <c r="O233">
        <v>20.93</v>
      </c>
      <c r="P233">
        <v>28.07</v>
      </c>
      <c r="Q233">
        <v>16.28</v>
      </c>
      <c r="R233">
        <v>0.43</v>
      </c>
    </row>
    <row r="234">
      <c r="A234" s="9">
        <v>38765</v>
      </c>
      <c r="B234" s="2" t="inlineStr">
        <is>
          <t xml:space="preserve">2006-02</t>
        </is>
      </c>
      <c r="C234" s="2" t="inlineStr">
        <is>
          <t xml:space="preserve">2005/06</t>
        </is>
      </c>
      <c r="D234">
        <v>0.0</v>
      </c>
      <c r="E234">
        <v>20.98</v>
      </c>
      <c r="F234">
        <v>30.59</v>
      </c>
      <c r="G234">
        <v>13.6</v>
      </c>
      <c r="H234">
        <v>0.07</v>
      </c>
      <c r="I234">
        <v>0.0</v>
      </c>
      <c r="J234">
        <v>21.93</v>
      </c>
      <c r="K234">
        <v>31.28</v>
      </c>
      <c r="L234">
        <v>15.82</v>
      </c>
      <c r="M234">
        <v>0.2</v>
      </c>
      <c r="N234">
        <v>0.0</v>
      </c>
      <c r="O234">
        <v>20.97</v>
      </c>
      <c r="P234">
        <v>28.2</v>
      </c>
      <c r="Q234">
        <v>16.83</v>
      </c>
      <c r="R234">
        <v>0.55</v>
      </c>
    </row>
    <row r="235">
      <c r="A235" s="9">
        <v>38766</v>
      </c>
      <c r="B235" s="2" t="inlineStr">
        <is>
          <t xml:space="preserve">2006-02</t>
        </is>
      </c>
      <c r="C235" s="2" t="inlineStr">
        <is>
          <t xml:space="preserve">2005/06</t>
        </is>
      </c>
      <c r="D235">
        <v>0.0</v>
      </c>
      <c r="E235">
        <v>20.8</v>
      </c>
      <c r="F235">
        <v>28.64</v>
      </c>
      <c r="G235">
        <v>15.19</v>
      </c>
      <c r="H235">
        <v>0.44</v>
      </c>
      <c r="I235">
        <v>0.044</v>
      </c>
      <c r="J235">
        <v>20.4</v>
      </c>
      <c r="K235">
        <v>27.7</v>
      </c>
      <c r="L235">
        <v>15.45</v>
      </c>
      <c r="M235">
        <v>1.2</v>
      </c>
      <c r="N235">
        <v>1.044</v>
      </c>
      <c r="O235">
        <v>19.34</v>
      </c>
      <c r="P235">
        <v>25.19</v>
      </c>
      <c r="Q235">
        <v>15.74</v>
      </c>
      <c r="R235">
        <v>4.67</v>
      </c>
    </row>
    <row r="236">
      <c r="A236" s="9">
        <v>38767</v>
      </c>
      <c r="B236" s="2" t="inlineStr">
        <is>
          <t xml:space="preserve">2006-02</t>
        </is>
      </c>
      <c r="C236" s="2" t="inlineStr">
        <is>
          <t xml:space="preserve">2005/06</t>
        </is>
      </c>
      <c r="D236">
        <v>0.06</v>
      </c>
      <c r="E236">
        <v>20.81</v>
      </c>
      <c r="F236">
        <v>28.31</v>
      </c>
      <c r="G236">
        <v>15.74</v>
      </c>
      <c r="H236">
        <v>0.63</v>
      </c>
      <c r="I236">
        <v>0.03</v>
      </c>
      <c r="J236">
        <v>20.49</v>
      </c>
      <c r="K236">
        <v>27.65</v>
      </c>
      <c r="L236">
        <v>16.07</v>
      </c>
      <c r="M236">
        <v>0.67</v>
      </c>
      <c r="N236">
        <v>0.593</v>
      </c>
      <c r="O236">
        <v>19.64</v>
      </c>
      <c r="P236">
        <v>25.36</v>
      </c>
      <c r="Q236">
        <v>16.6</v>
      </c>
      <c r="R236">
        <v>2.51</v>
      </c>
    </row>
    <row r="237">
      <c r="A237" s="9">
        <v>38768</v>
      </c>
      <c r="B237" s="2" t="inlineStr">
        <is>
          <t xml:space="preserve">2006-02</t>
        </is>
      </c>
      <c r="C237" s="2" t="inlineStr">
        <is>
          <t xml:space="preserve">2005/06</t>
        </is>
      </c>
      <c r="D237">
        <v>0.0</v>
      </c>
      <c r="E237">
        <v>20.75</v>
      </c>
      <c r="F237">
        <v>29.1</v>
      </c>
      <c r="G237">
        <v>14.9</v>
      </c>
      <c r="H237">
        <v>0.03</v>
      </c>
      <c r="I237">
        <v>0.0</v>
      </c>
      <c r="J237">
        <v>20.67</v>
      </c>
      <c r="K237">
        <v>27.9</v>
      </c>
      <c r="L237">
        <v>15.77</v>
      </c>
      <c r="M237">
        <v>0.0</v>
      </c>
      <c r="N237">
        <v>0.0</v>
      </c>
      <c r="O237">
        <v>19.86</v>
      </c>
      <c r="P237">
        <v>25.79</v>
      </c>
      <c r="Q237">
        <v>15.99</v>
      </c>
      <c r="R237">
        <v>0.01</v>
      </c>
    </row>
    <row r="238">
      <c r="A238" s="9">
        <v>38769</v>
      </c>
      <c r="B238" s="2" t="inlineStr">
        <is>
          <t xml:space="preserve">2006-02</t>
        </is>
      </c>
      <c r="C238" s="2" t="inlineStr">
        <is>
          <t xml:space="preserve">2005/06</t>
        </is>
      </c>
      <c r="D238">
        <v>0.0</v>
      </c>
      <c r="E238">
        <v>21.61</v>
      </c>
      <c r="F238">
        <v>30.59</v>
      </c>
      <c r="G238">
        <v>14.8</v>
      </c>
      <c r="H238">
        <v>0.03</v>
      </c>
      <c r="I238">
        <v>0.0</v>
      </c>
      <c r="J238">
        <v>21.93</v>
      </c>
      <c r="K238">
        <v>30.57</v>
      </c>
      <c r="L238">
        <v>15.25</v>
      </c>
      <c r="M238">
        <v>0.08</v>
      </c>
      <c r="N238">
        <v>0.0</v>
      </c>
      <c r="O238">
        <v>20.96</v>
      </c>
      <c r="P238">
        <v>28.48</v>
      </c>
      <c r="Q238">
        <v>15.59</v>
      </c>
      <c r="R238">
        <v>0.09</v>
      </c>
    </row>
    <row r="239">
      <c r="A239" s="9">
        <v>38770</v>
      </c>
      <c r="B239" s="2" t="inlineStr">
        <is>
          <t xml:space="preserve">2006-02</t>
        </is>
      </c>
      <c r="C239" s="2" t="inlineStr">
        <is>
          <t xml:space="preserve">2005/06</t>
        </is>
      </c>
      <c r="D239">
        <v>0.0</v>
      </c>
      <c r="E239">
        <v>22.19</v>
      </c>
      <c r="F239">
        <v>31.25</v>
      </c>
      <c r="G239">
        <v>14.37</v>
      </c>
      <c r="H239">
        <v>0.12</v>
      </c>
      <c r="I239">
        <v>0.02</v>
      </c>
      <c r="J239">
        <v>22.89</v>
      </c>
      <c r="K239">
        <v>31.63</v>
      </c>
      <c r="L239">
        <v>15.66</v>
      </c>
      <c r="M239">
        <v>0.19</v>
      </c>
      <c r="N239">
        <v>0.403</v>
      </c>
      <c r="O239">
        <v>21.9</v>
      </c>
      <c r="P239">
        <v>29.58</v>
      </c>
      <c r="Q239">
        <v>17.19</v>
      </c>
      <c r="R239">
        <v>0.54</v>
      </c>
    </row>
    <row r="240">
      <c r="A240" s="9">
        <v>38771</v>
      </c>
      <c r="B240" s="2" t="inlineStr">
        <is>
          <t xml:space="preserve">2006-02</t>
        </is>
      </c>
      <c r="C240" s="2" t="inlineStr">
        <is>
          <t xml:space="preserve">2005/06</t>
        </is>
      </c>
      <c r="D240">
        <v>0.0</v>
      </c>
      <c r="E240">
        <v>23.15</v>
      </c>
      <c r="F240">
        <v>31.5</v>
      </c>
      <c r="G240">
        <v>15.46</v>
      </c>
      <c r="H240">
        <v>0.04</v>
      </c>
      <c r="I240">
        <v>0.0</v>
      </c>
      <c r="J240">
        <v>23.15</v>
      </c>
      <c r="K240">
        <v>31.74</v>
      </c>
      <c r="L240">
        <v>16.03</v>
      </c>
      <c r="M240">
        <v>0.01</v>
      </c>
      <c r="N240">
        <v>0.0</v>
      </c>
      <c r="O240">
        <v>22.15</v>
      </c>
      <c r="P240">
        <v>29.6</v>
      </c>
      <c r="Q240">
        <v>17.18</v>
      </c>
      <c r="R240">
        <v>0.02</v>
      </c>
    </row>
    <row r="241">
      <c r="A241" s="9">
        <v>38772</v>
      </c>
      <c r="B241" s="2" t="inlineStr">
        <is>
          <t xml:space="preserve">2006-02</t>
        </is>
      </c>
      <c r="C241" s="2" t="inlineStr">
        <is>
          <t xml:space="preserve">2005/06</t>
        </is>
      </c>
      <c r="D241">
        <v>0.08</v>
      </c>
      <c r="E241">
        <v>23.4</v>
      </c>
      <c r="F241">
        <v>32.06</v>
      </c>
      <c r="G241">
        <v>17.0</v>
      </c>
      <c r="H241">
        <v>0.12</v>
      </c>
      <c r="I241">
        <v>0.0</v>
      </c>
      <c r="J241">
        <v>23.74</v>
      </c>
      <c r="K241">
        <v>31.2</v>
      </c>
      <c r="L241">
        <v>18.65</v>
      </c>
      <c r="M241">
        <v>0.04</v>
      </c>
      <c r="N241">
        <v>0.032</v>
      </c>
      <c r="O241">
        <v>22.38</v>
      </c>
      <c r="P241">
        <v>28.81</v>
      </c>
      <c r="Q241">
        <v>18.1</v>
      </c>
      <c r="R241">
        <v>0.17</v>
      </c>
    </row>
    <row r="242">
      <c r="A242" s="9">
        <v>38773</v>
      </c>
      <c r="B242" s="2" t="inlineStr">
        <is>
          <t xml:space="preserve">2006-02</t>
        </is>
      </c>
      <c r="C242" s="2" t="inlineStr">
        <is>
          <t xml:space="preserve">2005/06</t>
        </is>
      </c>
      <c r="D242">
        <v>0.0</v>
      </c>
      <c r="E242">
        <v>21.55</v>
      </c>
      <c r="F242">
        <v>30.86</v>
      </c>
      <c r="G242">
        <v>13.65</v>
      </c>
      <c r="H242">
        <v>0.01</v>
      </c>
      <c r="I242">
        <v>0.0</v>
      </c>
      <c r="J242">
        <v>22.61</v>
      </c>
      <c r="K242">
        <v>30.86</v>
      </c>
      <c r="L242">
        <v>16.99</v>
      </c>
      <c r="M242">
        <v>0.01</v>
      </c>
      <c r="N242">
        <v>0.0</v>
      </c>
      <c r="O242">
        <v>21.8</v>
      </c>
      <c r="P242">
        <v>28.57</v>
      </c>
      <c r="Q242">
        <v>17.7</v>
      </c>
      <c r="R242">
        <v>0.09</v>
      </c>
    </row>
    <row r="243">
      <c r="A243" s="9">
        <v>38774</v>
      </c>
      <c r="B243" s="2" t="inlineStr">
        <is>
          <t xml:space="preserve">2006-02</t>
        </is>
      </c>
      <c r="C243" s="2" t="inlineStr">
        <is>
          <t xml:space="preserve">2005/06</t>
        </is>
      </c>
      <c r="D243">
        <v>0.0</v>
      </c>
      <c r="E243">
        <v>20.66</v>
      </c>
      <c r="F243">
        <v>30.12</v>
      </c>
      <c r="G243">
        <v>12.91</v>
      </c>
      <c r="H243">
        <v>0.04</v>
      </c>
      <c r="I243">
        <v>0.0</v>
      </c>
      <c r="J243">
        <v>21.09</v>
      </c>
      <c r="K243">
        <v>28.52</v>
      </c>
      <c r="L243">
        <v>15.26</v>
      </c>
      <c r="M243">
        <v>0.01</v>
      </c>
      <c r="N243">
        <v>0.0</v>
      </c>
      <c r="O243">
        <v>20.55</v>
      </c>
      <c r="P243">
        <v>27.0</v>
      </c>
      <c r="Q243">
        <v>15.66</v>
      </c>
      <c r="R243">
        <v>0.04</v>
      </c>
    </row>
    <row r="244">
      <c r="A244" s="9">
        <v>38775</v>
      </c>
      <c r="B244" s="2" t="inlineStr">
        <is>
          <t xml:space="preserve">2006-02</t>
        </is>
      </c>
      <c r="C244" s="2" t="inlineStr">
        <is>
          <t xml:space="preserve">2005/06</t>
        </is>
      </c>
      <c r="D244">
        <v>0.0</v>
      </c>
      <c r="E244">
        <v>19.88</v>
      </c>
      <c r="F244">
        <v>28.46</v>
      </c>
      <c r="G244">
        <v>13.85</v>
      </c>
      <c r="H244">
        <v>0.14</v>
      </c>
      <c r="I244">
        <v>0.0</v>
      </c>
      <c r="J244">
        <v>20.26</v>
      </c>
      <c r="K244">
        <v>27.54</v>
      </c>
      <c r="L244">
        <v>14.98</v>
      </c>
      <c r="M244">
        <v>0.57</v>
      </c>
      <c r="N244">
        <v>0.08</v>
      </c>
      <c r="O244">
        <v>19.4</v>
      </c>
      <c r="P244">
        <v>26.18</v>
      </c>
      <c r="Q244">
        <v>14.81</v>
      </c>
      <c r="R244">
        <v>2.28</v>
      </c>
    </row>
    <row r="245">
      <c r="A245" s="9">
        <v>38776</v>
      </c>
      <c r="B245" s="2" t="inlineStr">
        <is>
          <t xml:space="preserve">2006-02</t>
        </is>
      </c>
      <c r="C245" s="2" t="inlineStr">
        <is>
          <t xml:space="preserve">2005/06</t>
        </is>
      </c>
      <c r="D245">
        <v>0.021</v>
      </c>
      <c r="E245">
        <v>19.85</v>
      </c>
      <c r="F245">
        <v>27.97</v>
      </c>
      <c r="G245">
        <v>14.38</v>
      </c>
      <c r="H245">
        <v>0.12</v>
      </c>
      <c r="I245">
        <v>0.033</v>
      </c>
      <c r="J245">
        <v>20.12</v>
      </c>
      <c r="K245">
        <v>28.14</v>
      </c>
      <c r="L245">
        <v>14.95</v>
      </c>
      <c r="M245">
        <v>0.4</v>
      </c>
      <c r="N245">
        <v>0.567</v>
      </c>
      <c r="O245">
        <v>19.13</v>
      </c>
      <c r="P245">
        <v>26.02</v>
      </c>
      <c r="Q245">
        <v>15.0</v>
      </c>
      <c r="R245">
        <v>1.54</v>
      </c>
    </row>
    <row r="246">
      <c r="A246" s="9">
        <v>38777</v>
      </c>
      <c r="B246" s="2" t="inlineStr">
        <is>
          <t xml:space="preserve">2006-03</t>
        </is>
      </c>
      <c r="C246" s="2" t="inlineStr">
        <is>
          <t xml:space="preserve">2005/06</t>
        </is>
      </c>
      <c r="D246">
        <v>0.0</v>
      </c>
      <c r="E246">
        <v>21.83</v>
      </c>
      <c r="F246">
        <v>31.56</v>
      </c>
      <c r="G246">
        <v>14.48</v>
      </c>
      <c r="H246">
        <v>0.01</v>
      </c>
      <c r="I246">
        <v>0.0</v>
      </c>
      <c r="J246">
        <v>21.55</v>
      </c>
      <c r="K246">
        <v>30.45</v>
      </c>
      <c r="L246">
        <v>15.07</v>
      </c>
      <c r="M246">
        <v>0.06</v>
      </c>
      <c r="N246">
        <v>0.067</v>
      </c>
      <c r="O246">
        <v>20.81</v>
      </c>
      <c r="P246">
        <v>28.94</v>
      </c>
      <c r="Q246">
        <v>15.1</v>
      </c>
      <c r="R246">
        <v>0.3</v>
      </c>
    </row>
    <row r="247">
      <c r="A247" s="9">
        <v>38778</v>
      </c>
      <c r="B247" s="2" t="inlineStr">
        <is>
          <t xml:space="preserve">2006-03</t>
        </is>
      </c>
      <c r="C247" s="2" t="inlineStr">
        <is>
          <t xml:space="preserve">2005/06</t>
        </is>
      </c>
      <c r="D247">
        <v>0.0</v>
      </c>
      <c r="E247">
        <v>23.51</v>
      </c>
      <c r="F247">
        <v>32.28</v>
      </c>
      <c r="G247">
        <v>16.42</v>
      </c>
      <c r="H247">
        <v>0.0</v>
      </c>
      <c r="I247">
        <v>0.0</v>
      </c>
      <c r="J247">
        <v>23.09</v>
      </c>
      <c r="K247">
        <v>32.17</v>
      </c>
      <c r="L247">
        <v>15.6</v>
      </c>
      <c r="M247">
        <v>0.0</v>
      </c>
      <c r="N247">
        <v>0.0</v>
      </c>
      <c r="O247">
        <v>22.42</v>
      </c>
      <c r="P247">
        <v>30.39</v>
      </c>
      <c r="Q247">
        <v>16.74</v>
      </c>
      <c r="R247">
        <v>0.0</v>
      </c>
    </row>
    <row r="248">
      <c r="A248" s="9">
        <v>38779</v>
      </c>
      <c r="B248" s="2" t="inlineStr">
        <is>
          <t xml:space="preserve">2006-03</t>
        </is>
      </c>
      <c r="C248" s="2" t="inlineStr">
        <is>
          <t xml:space="preserve">2005/06</t>
        </is>
      </c>
      <c r="D248">
        <v>0.0</v>
      </c>
      <c r="E248">
        <v>23.75</v>
      </c>
      <c r="F248">
        <v>32.54</v>
      </c>
      <c r="G248">
        <v>16.91</v>
      </c>
      <c r="H248">
        <v>0.1</v>
      </c>
      <c r="I248">
        <v>0.0</v>
      </c>
      <c r="J248">
        <v>23.42</v>
      </c>
      <c r="K248">
        <v>31.7</v>
      </c>
      <c r="L248">
        <v>17.23</v>
      </c>
      <c r="M248">
        <v>0.03</v>
      </c>
      <c r="N248">
        <v>0.0</v>
      </c>
      <c r="O248">
        <v>22.64</v>
      </c>
      <c r="P248">
        <v>30.02</v>
      </c>
      <c r="Q248">
        <v>17.77</v>
      </c>
      <c r="R248">
        <v>0.12</v>
      </c>
    </row>
    <row r="249">
      <c r="A249" s="9">
        <v>38780</v>
      </c>
      <c r="B249" s="2" t="inlineStr">
        <is>
          <t xml:space="preserve">2006-03</t>
        </is>
      </c>
      <c r="C249" s="2" t="inlineStr">
        <is>
          <t xml:space="preserve">2005/06</t>
        </is>
      </c>
      <c r="D249">
        <v>0.0</v>
      </c>
      <c r="E249">
        <v>22.89</v>
      </c>
      <c r="F249">
        <v>30.96</v>
      </c>
      <c r="G249">
        <v>17.76</v>
      </c>
      <c r="H249">
        <v>0.13</v>
      </c>
      <c r="I249">
        <v>0.024</v>
      </c>
      <c r="J249">
        <v>22.07</v>
      </c>
      <c r="K249">
        <v>29.54</v>
      </c>
      <c r="L249">
        <v>16.99</v>
      </c>
      <c r="M249">
        <v>0.23</v>
      </c>
      <c r="N249">
        <v>0.069</v>
      </c>
      <c r="O249">
        <v>21.53</v>
      </c>
      <c r="P249">
        <v>28.16</v>
      </c>
      <c r="Q249">
        <v>16.83</v>
      </c>
      <c r="R249">
        <v>0.88</v>
      </c>
    </row>
    <row r="250">
      <c r="A250" s="9">
        <v>38781</v>
      </c>
      <c r="B250" s="2" t="inlineStr">
        <is>
          <t xml:space="preserve">2006-03</t>
        </is>
      </c>
      <c r="C250" s="2" t="inlineStr">
        <is>
          <t xml:space="preserve">2005/06</t>
        </is>
      </c>
      <c r="D250">
        <v>0.073</v>
      </c>
      <c r="E250">
        <v>21.15</v>
      </c>
      <c r="F250">
        <v>28.98</v>
      </c>
      <c r="G250">
        <v>15.82</v>
      </c>
      <c r="H250">
        <v>0.26</v>
      </c>
      <c r="I250">
        <v>0.347</v>
      </c>
      <c r="J250">
        <v>20.65</v>
      </c>
      <c r="K250">
        <v>27.74</v>
      </c>
      <c r="L250">
        <v>16.09</v>
      </c>
      <c r="M250">
        <v>1.01</v>
      </c>
      <c r="N250">
        <v>1.311</v>
      </c>
      <c r="O250">
        <v>19.77</v>
      </c>
      <c r="P250">
        <v>25.46</v>
      </c>
      <c r="Q250">
        <v>16.34</v>
      </c>
      <c r="R250">
        <v>2.79</v>
      </c>
    </row>
    <row r="251">
      <c r="A251" s="9">
        <v>38782</v>
      </c>
      <c r="B251" s="2" t="inlineStr">
        <is>
          <t xml:space="preserve">2006-03</t>
        </is>
      </c>
      <c r="C251" s="2" t="inlineStr">
        <is>
          <t xml:space="preserve">2005/06</t>
        </is>
      </c>
      <c r="D251">
        <v>0.0</v>
      </c>
      <c r="E251">
        <v>20.7</v>
      </c>
      <c r="F251">
        <v>29.12</v>
      </c>
      <c r="G251">
        <v>15.11</v>
      </c>
      <c r="H251">
        <v>0.18</v>
      </c>
      <c r="I251">
        <v>0.0</v>
      </c>
      <c r="J251">
        <v>20.71</v>
      </c>
      <c r="K251">
        <v>28.62</v>
      </c>
      <c r="L251">
        <v>15.31</v>
      </c>
      <c r="M251">
        <v>0.1</v>
      </c>
      <c r="N251">
        <v>0.076</v>
      </c>
      <c r="O251">
        <v>20.13</v>
      </c>
      <c r="P251">
        <v>26.49</v>
      </c>
      <c r="Q251">
        <v>15.91</v>
      </c>
      <c r="R251">
        <v>0.31</v>
      </c>
    </row>
    <row r="252">
      <c r="A252" s="9">
        <v>38783</v>
      </c>
      <c r="B252" s="2" t="inlineStr">
        <is>
          <t xml:space="preserve">2006-03</t>
        </is>
      </c>
      <c r="C252" s="2" t="inlineStr">
        <is>
          <t xml:space="preserve">2005/06</t>
        </is>
      </c>
      <c r="D252">
        <v>0.0</v>
      </c>
      <c r="E252">
        <v>20.15</v>
      </c>
      <c r="F252">
        <v>29.15</v>
      </c>
      <c r="G252">
        <v>13.93</v>
      </c>
      <c r="H252">
        <v>0.12</v>
      </c>
      <c r="I252">
        <v>0.0</v>
      </c>
      <c r="J252">
        <v>20.15</v>
      </c>
      <c r="K252">
        <v>27.93</v>
      </c>
      <c r="L252">
        <v>14.17</v>
      </c>
      <c r="M252">
        <v>0.03</v>
      </c>
      <c r="N252">
        <v>0.049</v>
      </c>
      <c r="O252">
        <v>19.56</v>
      </c>
      <c r="P252">
        <v>26.3</v>
      </c>
      <c r="Q252">
        <v>14.3</v>
      </c>
      <c r="R252">
        <v>0.08</v>
      </c>
    </row>
    <row r="253">
      <c r="A253" s="9">
        <v>38784</v>
      </c>
      <c r="B253" s="2" t="inlineStr">
        <is>
          <t xml:space="preserve">2006-03</t>
        </is>
      </c>
      <c r="C253" s="2" t="inlineStr">
        <is>
          <t xml:space="preserve">2005/06</t>
        </is>
      </c>
      <c r="D253">
        <v>0.0</v>
      </c>
      <c r="E253">
        <v>20.5</v>
      </c>
      <c r="F253">
        <v>30.33</v>
      </c>
      <c r="G253">
        <v>12.45</v>
      </c>
      <c r="H253">
        <v>0.0</v>
      </c>
      <c r="I253">
        <v>0.0</v>
      </c>
      <c r="J253">
        <v>21.05</v>
      </c>
      <c r="K253">
        <v>30.29</v>
      </c>
      <c r="L253">
        <v>13.79</v>
      </c>
      <c r="M253">
        <v>0.0</v>
      </c>
      <c r="N253">
        <v>0.0</v>
      </c>
      <c r="O253">
        <v>20.14</v>
      </c>
      <c r="P253">
        <v>28.08</v>
      </c>
      <c r="Q253">
        <v>14.47</v>
      </c>
      <c r="R253">
        <v>0.0</v>
      </c>
    </row>
    <row r="254">
      <c r="A254" s="9">
        <v>38785</v>
      </c>
      <c r="B254" s="2" t="inlineStr">
        <is>
          <t xml:space="preserve">2006-03</t>
        </is>
      </c>
      <c r="C254" s="2" t="inlineStr">
        <is>
          <t xml:space="preserve">2005/06</t>
        </is>
      </c>
      <c r="D254">
        <v>0.0</v>
      </c>
      <c r="E254">
        <v>22.24</v>
      </c>
      <c r="F254">
        <v>32.84</v>
      </c>
      <c r="G254">
        <v>13.1</v>
      </c>
      <c r="H254">
        <v>0.0</v>
      </c>
      <c r="I254">
        <v>0.0</v>
      </c>
      <c r="J254">
        <v>22.19</v>
      </c>
      <c r="K254">
        <v>31.18</v>
      </c>
      <c r="L254">
        <v>15.54</v>
      </c>
      <c r="M254">
        <v>0.0</v>
      </c>
      <c r="N254">
        <v>0.0</v>
      </c>
      <c r="O254">
        <v>22.83</v>
      </c>
      <c r="P254">
        <v>32.63</v>
      </c>
      <c r="Q254">
        <v>13.97</v>
      </c>
      <c r="R254">
        <v>0.0</v>
      </c>
    </row>
    <row r="255">
      <c r="A255" s="9">
        <v>38786</v>
      </c>
      <c r="B255" s="2" t="inlineStr">
        <is>
          <t xml:space="preserve">2006-03</t>
        </is>
      </c>
      <c r="C255" s="2" t="inlineStr">
        <is>
          <t xml:space="preserve">2005/06</t>
        </is>
      </c>
      <c r="D255">
        <v>0.0</v>
      </c>
      <c r="E255">
        <v>23.34</v>
      </c>
      <c r="F255">
        <v>32.56</v>
      </c>
      <c r="G255">
        <v>14.54</v>
      </c>
      <c r="H255">
        <v>0.0</v>
      </c>
      <c r="I255">
        <v>0.0</v>
      </c>
      <c r="J255">
        <v>22.31</v>
      </c>
      <c r="K255">
        <v>30.97</v>
      </c>
      <c r="L255">
        <v>14.87</v>
      </c>
      <c r="M255">
        <v>0.0</v>
      </c>
      <c r="N255">
        <v>0.0</v>
      </c>
      <c r="O255">
        <v>23.56</v>
      </c>
      <c r="P255">
        <v>32.78</v>
      </c>
      <c r="Q255">
        <v>15.92</v>
      </c>
      <c r="R255">
        <v>0.0</v>
      </c>
    </row>
    <row r="256">
      <c r="A256" s="9">
        <v>38787</v>
      </c>
      <c r="B256" s="2" t="inlineStr">
        <is>
          <t xml:space="preserve">2006-03</t>
        </is>
      </c>
      <c r="C256" s="2" t="inlineStr">
        <is>
          <t xml:space="preserve">2005/06</t>
        </is>
      </c>
      <c r="D256">
        <v>0.0</v>
      </c>
      <c r="E256">
        <v>24.52</v>
      </c>
      <c r="F256">
        <v>33.49</v>
      </c>
      <c r="G256">
        <v>16.38</v>
      </c>
      <c r="H256">
        <v>0.0</v>
      </c>
      <c r="I256">
        <v>0.0</v>
      </c>
      <c r="J256">
        <v>23.38</v>
      </c>
      <c r="K256">
        <v>32.14</v>
      </c>
      <c r="L256">
        <v>15.17</v>
      </c>
      <c r="M256">
        <v>0.0</v>
      </c>
      <c r="N256">
        <v>0.0</v>
      </c>
      <c r="O256">
        <v>24.59</v>
      </c>
      <c r="P256">
        <v>34.11</v>
      </c>
      <c r="Q256">
        <v>15.99</v>
      </c>
      <c r="R256">
        <v>0.0</v>
      </c>
    </row>
    <row r="257">
      <c r="A257" s="9">
        <v>38788</v>
      </c>
      <c r="B257" s="2" t="inlineStr">
        <is>
          <t xml:space="preserve">2006-03</t>
        </is>
      </c>
      <c r="C257" s="2" t="inlineStr">
        <is>
          <t xml:space="preserve">2005/06</t>
        </is>
      </c>
      <c r="D257">
        <v>0.0</v>
      </c>
      <c r="E257">
        <v>24.72</v>
      </c>
      <c r="F257">
        <v>33.67</v>
      </c>
      <c r="G257">
        <v>17.13</v>
      </c>
      <c r="H257">
        <v>0.01</v>
      </c>
      <c r="I257">
        <v>0.0</v>
      </c>
      <c r="J257">
        <v>24.16</v>
      </c>
      <c r="K257">
        <v>33.19</v>
      </c>
      <c r="L257">
        <v>16.42</v>
      </c>
      <c r="M257">
        <v>0.0</v>
      </c>
      <c r="N257">
        <v>0.0</v>
      </c>
      <c r="O257">
        <v>24.85</v>
      </c>
      <c r="P257">
        <v>34.19</v>
      </c>
      <c r="Q257">
        <v>16.89</v>
      </c>
      <c r="R257">
        <v>0.0</v>
      </c>
    </row>
    <row r="258">
      <c r="A258" s="9">
        <v>38789</v>
      </c>
      <c r="B258" s="2" t="inlineStr">
        <is>
          <t xml:space="preserve">2006-03</t>
        </is>
      </c>
      <c r="C258" s="2" t="inlineStr">
        <is>
          <t xml:space="preserve">2005/06</t>
        </is>
      </c>
      <c r="D258">
        <v>0.0</v>
      </c>
      <c r="E258">
        <v>24.74</v>
      </c>
      <c r="F258">
        <v>33.51</v>
      </c>
      <c r="G258">
        <v>17.21</v>
      </c>
      <c r="H258">
        <v>0.03</v>
      </c>
      <c r="I258">
        <v>0.0</v>
      </c>
      <c r="J258">
        <v>24.67</v>
      </c>
      <c r="K258">
        <v>33.38</v>
      </c>
      <c r="L258">
        <v>17.16</v>
      </c>
      <c r="M258">
        <v>0.03</v>
      </c>
      <c r="N258">
        <v>0.0</v>
      </c>
      <c r="O258">
        <v>24.96</v>
      </c>
      <c r="P258">
        <v>34.3</v>
      </c>
      <c r="Q258">
        <v>18.2</v>
      </c>
      <c r="R258">
        <v>0.06</v>
      </c>
    </row>
    <row r="259">
      <c r="A259" s="9">
        <v>38790</v>
      </c>
      <c r="B259" s="2" t="inlineStr">
        <is>
          <t xml:space="preserve">2006-03</t>
        </is>
      </c>
      <c r="C259" s="2" t="inlineStr">
        <is>
          <t xml:space="preserve">2005/06</t>
        </is>
      </c>
      <c r="D259">
        <v>0.1</v>
      </c>
      <c r="E259">
        <v>24.14</v>
      </c>
      <c r="F259">
        <v>32.82</v>
      </c>
      <c r="G259">
        <v>17.27</v>
      </c>
      <c r="H259">
        <v>0.46</v>
      </c>
      <c r="I259">
        <v>0.084</v>
      </c>
      <c r="J259">
        <v>24.72</v>
      </c>
      <c r="K259">
        <v>32.81</v>
      </c>
      <c r="L259">
        <v>18.42</v>
      </c>
      <c r="M259">
        <v>0.62</v>
      </c>
      <c r="N259">
        <v>0.466</v>
      </c>
      <c r="O259">
        <v>23.34</v>
      </c>
      <c r="P259">
        <v>31.4</v>
      </c>
      <c r="Q259">
        <v>18.41</v>
      </c>
      <c r="R259">
        <v>2.28</v>
      </c>
    </row>
    <row r="260">
      <c r="A260" s="9">
        <v>38791</v>
      </c>
      <c r="B260" s="2" t="inlineStr">
        <is>
          <t xml:space="preserve">2006-03</t>
        </is>
      </c>
      <c r="C260" s="2" t="inlineStr">
        <is>
          <t xml:space="preserve">2005/06</t>
        </is>
      </c>
      <c r="D260">
        <v>0.0</v>
      </c>
      <c r="E260">
        <v>23.32</v>
      </c>
      <c r="F260">
        <v>31.59</v>
      </c>
      <c r="G260">
        <v>17.3</v>
      </c>
      <c r="H260">
        <v>0.11</v>
      </c>
      <c r="I260">
        <v>0.0</v>
      </c>
      <c r="J260">
        <v>22.69</v>
      </c>
      <c r="K260">
        <v>30.33</v>
      </c>
      <c r="L260">
        <v>17.32</v>
      </c>
      <c r="M260">
        <v>0.03</v>
      </c>
      <c r="N260">
        <v>0.0</v>
      </c>
      <c r="O260">
        <v>21.98</v>
      </c>
      <c r="P260">
        <v>28.72</v>
      </c>
      <c r="Q260">
        <v>17.84</v>
      </c>
      <c r="R260">
        <v>0.08</v>
      </c>
    </row>
    <row r="261">
      <c r="A261" s="9">
        <v>38792</v>
      </c>
      <c r="B261" s="2" t="inlineStr">
        <is>
          <t xml:space="preserve">2006-03</t>
        </is>
      </c>
      <c r="C261" s="2" t="inlineStr">
        <is>
          <t xml:space="preserve">2005/06</t>
        </is>
      </c>
      <c r="D261">
        <v>0.0</v>
      </c>
      <c r="E261">
        <v>22.61</v>
      </c>
      <c r="F261">
        <v>31.19</v>
      </c>
      <c r="G261">
        <v>16.14</v>
      </c>
      <c r="H261">
        <v>0.08</v>
      </c>
      <c r="I261">
        <v>0.0</v>
      </c>
      <c r="J261">
        <v>22.82</v>
      </c>
      <c r="K261">
        <v>31.07</v>
      </c>
      <c r="L261">
        <v>16.91</v>
      </c>
      <c r="M261">
        <v>0.05</v>
      </c>
      <c r="N261">
        <v>0.068</v>
      </c>
      <c r="O261">
        <v>21.84</v>
      </c>
      <c r="P261">
        <v>28.8</v>
      </c>
      <c r="Q261">
        <v>17.65</v>
      </c>
      <c r="R261">
        <v>0.14</v>
      </c>
    </row>
    <row r="262">
      <c r="A262" s="9">
        <v>38793</v>
      </c>
      <c r="B262" s="2" t="inlineStr">
        <is>
          <t xml:space="preserve">2006-03</t>
        </is>
      </c>
      <c r="C262" s="2" t="inlineStr">
        <is>
          <t xml:space="preserve">2005/06</t>
        </is>
      </c>
      <c r="D262">
        <v>0.0</v>
      </c>
      <c r="E262">
        <v>22.99</v>
      </c>
      <c r="F262">
        <v>32.19</v>
      </c>
      <c r="G262">
        <v>15.99</v>
      </c>
      <c r="H262">
        <v>0.03</v>
      </c>
      <c r="I262">
        <v>0.0</v>
      </c>
      <c r="J262">
        <v>22.95</v>
      </c>
      <c r="K262">
        <v>31.8</v>
      </c>
      <c r="L262">
        <v>16.15</v>
      </c>
      <c r="M262">
        <v>0.0</v>
      </c>
      <c r="N262">
        <v>0.0</v>
      </c>
      <c r="O262">
        <v>21.88</v>
      </c>
      <c r="P262">
        <v>29.69</v>
      </c>
      <c r="Q262">
        <v>16.51</v>
      </c>
      <c r="R262">
        <v>0.0</v>
      </c>
    </row>
    <row r="263">
      <c r="A263" s="9">
        <v>38794</v>
      </c>
      <c r="B263" s="2" t="inlineStr">
        <is>
          <t xml:space="preserve">2006-03</t>
        </is>
      </c>
      <c r="C263" s="2" t="inlineStr">
        <is>
          <t xml:space="preserve">2005/06</t>
        </is>
      </c>
      <c r="D263">
        <v>0.0</v>
      </c>
      <c r="E263">
        <v>23.33</v>
      </c>
      <c r="F263">
        <v>32.71</v>
      </c>
      <c r="G263">
        <v>16.21</v>
      </c>
      <c r="H263">
        <v>0.03</v>
      </c>
      <c r="I263">
        <v>0.0</v>
      </c>
      <c r="J263">
        <v>23.56</v>
      </c>
      <c r="K263">
        <v>32.55</v>
      </c>
      <c r="L263">
        <v>16.55</v>
      </c>
      <c r="M263">
        <v>0.0</v>
      </c>
      <c r="N263">
        <v>0.0</v>
      </c>
      <c r="O263">
        <v>22.35</v>
      </c>
      <c r="P263">
        <v>30.42</v>
      </c>
      <c r="Q263">
        <v>16.68</v>
      </c>
      <c r="R263">
        <v>0.0</v>
      </c>
    </row>
    <row r="264">
      <c r="A264" s="9">
        <v>38795</v>
      </c>
      <c r="B264" s="2" t="inlineStr">
        <is>
          <t xml:space="preserve">2006-03</t>
        </is>
      </c>
      <c r="C264" s="2" t="inlineStr">
        <is>
          <t xml:space="preserve">2005/06</t>
        </is>
      </c>
      <c r="D264">
        <v>0.0</v>
      </c>
      <c r="E264">
        <v>23.97</v>
      </c>
      <c r="F264">
        <v>33.8</v>
      </c>
      <c r="G264">
        <v>15.82</v>
      </c>
      <c r="H264">
        <v>0.0</v>
      </c>
      <c r="I264">
        <v>0.0</v>
      </c>
      <c r="J264">
        <v>24.5</v>
      </c>
      <c r="K264">
        <v>34.33</v>
      </c>
      <c r="L264">
        <v>16.07</v>
      </c>
      <c r="M264">
        <v>0.0</v>
      </c>
      <c r="N264">
        <v>0.0</v>
      </c>
      <c r="O264">
        <v>23.85</v>
      </c>
      <c r="P264">
        <v>33.09</v>
      </c>
      <c r="Q264">
        <v>16.57</v>
      </c>
      <c r="R264">
        <v>0.0</v>
      </c>
    </row>
    <row r="265">
      <c r="A265" s="9">
        <v>38796</v>
      </c>
      <c r="B265" s="2" t="inlineStr">
        <is>
          <t xml:space="preserve">2006-03</t>
        </is>
      </c>
      <c r="C265" s="2" t="inlineStr">
        <is>
          <t xml:space="preserve">2005/06</t>
        </is>
      </c>
      <c r="D265">
        <v>0.0</v>
      </c>
      <c r="E265">
        <v>24.41</v>
      </c>
      <c r="F265">
        <v>34.11</v>
      </c>
      <c r="G265">
        <v>15.66</v>
      </c>
      <c r="H265">
        <v>0.0</v>
      </c>
      <c r="I265">
        <v>0.0</v>
      </c>
      <c r="J265">
        <v>24.32</v>
      </c>
      <c r="K265">
        <v>33.11</v>
      </c>
      <c r="L265">
        <v>17.45</v>
      </c>
      <c r="M265">
        <v>0.0</v>
      </c>
      <c r="N265">
        <v>0.0</v>
      </c>
      <c r="O265">
        <v>25.61</v>
      </c>
      <c r="P265">
        <v>34.94</v>
      </c>
      <c r="Q265">
        <v>16.96</v>
      </c>
      <c r="R265">
        <v>0.0</v>
      </c>
    </row>
    <row r="266">
      <c r="A266" s="9">
        <v>38797</v>
      </c>
      <c r="B266" s="2" t="inlineStr">
        <is>
          <t xml:space="preserve">2006-03</t>
        </is>
      </c>
      <c r="C266" s="2" t="inlineStr">
        <is>
          <t xml:space="preserve">2005/06</t>
        </is>
      </c>
      <c r="D266">
        <v>0.0</v>
      </c>
      <c r="E266">
        <v>25.55</v>
      </c>
      <c r="F266">
        <v>36.06</v>
      </c>
      <c r="G266">
        <v>15.66</v>
      </c>
      <c r="H266">
        <v>0.0</v>
      </c>
      <c r="I266">
        <v>0.0</v>
      </c>
      <c r="J266">
        <v>24.83</v>
      </c>
      <c r="K266">
        <v>34.46</v>
      </c>
      <c r="L266">
        <v>16.27</v>
      </c>
      <c r="M266">
        <v>0.0</v>
      </c>
      <c r="N266">
        <v>0.0</v>
      </c>
      <c r="O266">
        <v>26.19</v>
      </c>
      <c r="P266">
        <v>36.31</v>
      </c>
      <c r="Q266">
        <v>16.89</v>
      </c>
      <c r="R266">
        <v>0.0</v>
      </c>
    </row>
    <row r="267">
      <c r="A267" s="9">
        <v>38798</v>
      </c>
      <c r="B267" s="2" t="inlineStr">
        <is>
          <t xml:space="preserve">2006-03</t>
        </is>
      </c>
      <c r="C267" s="2" t="inlineStr">
        <is>
          <t xml:space="preserve">2005/06</t>
        </is>
      </c>
      <c r="D267">
        <v>0.0</v>
      </c>
      <c r="E267">
        <v>25.89</v>
      </c>
      <c r="F267">
        <v>34.74</v>
      </c>
      <c r="G267">
        <v>17.02</v>
      </c>
      <c r="H267">
        <v>0.0</v>
      </c>
      <c r="I267">
        <v>0.0</v>
      </c>
      <c r="J267">
        <v>25.52</v>
      </c>
      <c r="K267">
        <v>34.07</v>
      </c>
      <c r="L267">
        <v>18.11</v>
      </c>
      <c r="M267">
        <v>0.0</v>
      </c>
      <c r="N267">
        <v>0.0</v>
      </c>
      <c r="O267">
        <v>24.9</v>
      </c>
      <c r="P267">
        <v>32.67</v>
      </c>
      <c r="Q267">
        <v>18.96</v>
      </c>
      <c r="R267">
        <v>0.0</v>
      </c>
    </row>
    <row r="268">
      <c r="A268" s="9">
        <v>38799</v>
      </c>
      <c r="B268" s="2" t="inlineStr">
        <is>
          <t xml:space="preserve">2006-03</t>
        </is>
      </c>
      <c r="C268" s="2" t="inlineStr">
        <is>
          <t xml:space="preserve">2005/06</t>
        </is>
      </c>
      <c r="D268">
        <v>0.0</v>
      </c>
      <c r="E268">
        <v>25.83</v>
      </c>
      <c r="F268">
        <v>34.75</v>
      </c>
      <c r="G268">
        <v>17.85</v>
      </c>
      <c r="H268">
        <v>0.02</v>
      </c>
      <c r="I268">
        <v>0.0</v>
      </c>
      <c r="J268">
        <v>25.7</v>
      </c>
      <c r="K268">
        <v>33.82</v>
      </c>
      <c r="L268">
        <v>19.37</v>
      </c>
      <c r="M268">
        <v>0.0</v>
      </c>
      <c r="N268">
        <v>0.0</v>
      </c>
      <c r="O268">
        <v>24.58</v>
      </c>
      <c r="P268">
        <v>32.89</v>
      </c>
      <c r="Q268">
        <v>19.01</v>
      </c>
      <c r="R268">
        <v>0.0</v>
      </c>
    </row>
    <row r="269">
      <c r="A269" s="9">
        <v>38800</v>
      </c>
      <c r="B269" s="2" t="inlineStr">
        <is>
          <t xml:space="preserve">2006-03</t>
        </is>
      </c>
      <c r="C269" s="2" t="inlineStr">
        <is>
          <t xml:space="preserve">2005/06</t>
        </is>
      </c>
      <c r="D269">
        <v>0.097</v>
      </c>
      <c r="E269">
        <v>23.27</v>
      </c>
      <c r="F269">
        <v>32.29</v>
      </c>
      <c r="G269">
        <v>16.52</v>
      </c>
      <c r="H269">
        <v>0.1</v>
      </c>
      <c r="I269">
        <v>1.402</v>
      </c>
      <c r="J269">
        <v>22.92</v>
      </c>
      <c r="K269">
        <v>30.49</v>
      </c>
      <c r="L269">
        <v>17.28</v>
      </c>
      <c r="M269">
        <v>1.88</v>
      </c>
      <c r="N269">
        <v>0.456</v>
      </c>
      <c r="O269">
        <v>21.78</v>
      </c>
      <c r="P269">
        <v>28.52</v>
      </c>
      <c r="Q269">
        <v>17.47</v>
      </c>
      <c r="R269">
        <v>4.92</v>
      </c>
    </row>
    <row r="270">
      <c r="A270" s="9">
        <v>38801</v>
      </c>
      <c r="B270" s="2" t="inlineStr">
        <is>
          <t xml:space="preserve">2006-03</t>
        </is>
      </c>
      <c r="C270" s="2" t="inlineStr">
        <is>
          <t xml:space="preserve">2005/06</t>
        </is>
      </c>
      <c r="D270">
        <v>0.15</v>
      </c>
      <c r="E270">
        <v>21.18</v>
      </c>
      <c r="F270">
        <v>29.79</v>
      </c>
      <c r="G270">
        <v>16.26</v>
      </c>
      <c r="H270">
        <v>1.57</v>
      </c>
      <c r="I270">
        <v>0.35</v>
      </c>
      <c r="J270">
        <v>21.27</v>
      </c>
      <c r="K270">
        <v>27.99</v>
      </c>
      <c r="L270">
        <v>16.98</v>
      </c>
      <c r="M270">
        <v>2.66</v>
      </c>
      <c r="N270">
        <v>2.68</v>
      </c>
      <c r="O270">
        <v>20.02</v>
      </c>
      <c r="P270">
        <v>25.71</v>
      </c>
      <c r="Q270">
        <v>16.92</v>
      </c>
      <c r="R270">
        <v>8.0</v>
      </c>
    </row>
    <row r="271">
      <c r="A271" s="9">
        <v>38802</v>
      </c>
      <c r="B271" s="2" t="inlineStr">
        <is>
          <t xml:space="preserve">2006-03</t>
        </is>
      </c>
      <c r="C271" s="2" t="inlineStr">
        <is>
          <t xml:space="preserve">2005/06</t>
        </is>
      </c>
      <c r="D271">
        <v>0.293</v>
      </c>
      <c r="E271">
        <v>21.01</v>
      </c>
      <c r="F271">
        <v>28.92</v>
      </c>
      <c r="G271">
        <v>16.48</v>
      </c>
      <c r="H271">
        <v>2.32</v>
      </c>
      <c r="I271">
        <v>1.346</v>
      </c>
      <c r="J271">
        <v>21.03</v>
      </c>
      <c r="K271">
        <v>28.23</v>
      </c>
      <c r="L271">
        <v>16.44</v>
      </c>
      <c r="M271">
        <v>1.2</v>
      </c>
      <c r="N271">
        <v>2.311</v>
      </c>
      <c r="O271">
        <v>20.15</v>
      </c>
      <c r="P271">
        <v>26.67</v>
      </c>
      <c r="Q271">
        <v>16.37</v>
      </c>
      <c r="R271">
        <v>1.52</v>
      </c>
    </row>
    <row r="272">
      <c r="A272" s="9">
        <v>38803</v>
      </c>
      <c r="B272" s="2" t="inlineStr">
        <is>
          <t xml:space="preserve">2006-03</t>
        </is>
      </c>
      <c r="C272" s="2" t="inlineStr">
        <is>
          <t xml:space="preserve">2005/06</t>
        </is>
      </c>
      <c r="D272">
        <v>0.047</v>
      </c>
      <c r="E272">
        <v>21.51</v>
      </c>
      <c r="F272">
        <v>30.59</v>
      </c>
      <c r="G272">
        <v>15.39</v>
      </c>
      <c r="H272">
        <v>0.43</v>
      </c>
      <c r="I272">
        <v>0.278</v>
      </c>
      <c r="J272">
        <v>21.66</v>
      </c>
      <c r="K272">
        <v>30.11</v>
      </c>
      <c r="L272">
        <v>15.68</v>
      </c>
      <c r="M272">
        <v>0.67</v>
      </c>
      <c r="N272">
        <v>0.858</v>
      </c>
      <c r="O272">
        <v>20.0</v>
      </c>
      <c r="P272">
        <v>26.81</v>
      </c>
      <c r="Q272">
        <v>15.65</v>
      </c>
      <c r="R272">
        <v>1.85</v>
      </c>
    </row>
    <row r="273">
      <c r="A273" s="9">
        <v>38804</v>
      </c>
      <c r="B273" s="2" t="inlineStr">
        <is>
          <t xml:space="preserve">2006-03</t>
        </is>
      </c>
      <c r="C273" s="2" t="inlineStr">
        <is>
          <t xml:space="preserve">2005/06</t>
        </is>
      </c>
      <c r="D273">
        <v>0.0</v>
      </c>
      <c r="E273">
        <v>22.35</v>
      </c>
      <c r="F273">
        <v>31.48</v>
      </c>
      <c r="G273">
        <v>15.21</v>
      </c>
      <c r="H273">
        <v>0.03</v>
      </c>
      <c r="I273">
        <v>0.0</v>
      </c>
      <c r="J273">
        <v>21.99</v>
      </c>
      <c r="K273">
        <v>30.28</v>
      </c>
      <c r="L273">
        <v>16.06</v>
      </c>
      <c r="M273">
        <v>0.06</v>
      </c>
      <c r="N273">
        <v>0.0</v>
      </c>
      <c r="O273">
        <v>20.64</v>
      </c>
      <c r="P273">
        <v>27.87</v>
      </c>
      <c r="Q273">
        <v>15.84</v>
      </c>
      <c r="R273">
        <v>0.19</v>
      </c>
    </row>
    <row r="274">
      <c r="A274" s="9">
        <v>38805</v>
      </c>
      <c r="B274" s="2" t="inlineStr">
        <is>
          <t xml:space="preserve">2006-03</t>
        </is>
      </c>
      <c r="C274" s="2" t="inlineStr">
        <is>
          <t xml:space="preserve">2005/06</t>
        </is>
      </c>
      <c r="D274">
        <v>0.0</v>
      </c>
      <c r="E274">
        <v>23.64</v>
      </c>
      <c r="F274">
        <v>32.47</v>
      </c>
      <c r="G274">
        <v>16.5</v>
      </c>
      <c r="H274">
        <v>0.08</v>
      </c>
      <c r="I274">
        <v>0.052</v>
      </c>
      <c r="J274">
        <v>22.58</v>
      </c>
      <c r="K274">
        <v>30.63</v>
      </c>
      <c r="L274">
        <v>16.03</v>
      </c>
      <c r="M274">
        <v>0.44</v>
      </c>
      <c r="N274">
        <v>0.335</v>
      </c>
      <c r="O274">
        <v>21.42</v>
      </c>
      <c r="P274">
        <v>28.57</v>
      </c>
      <c r="Q274">
        <v>16.37</v>
      </c>
      <c r="R274">
        <v>2.59</v>
      </c>
    </row>
    <row r="275">
      <c r="A275" s="9">
        <v>38806</v>
      </c>
      <c r="B275" s="2" t="inlineStr">
        <is>
          <t xml:space="preserve">2006-03</t>
        </is>
      </c>
      <c r="C275" s="2" t="inlineStr">
        <is>
          <t xml:space="preserve">2005/06</t>
        </is>
      </c>
      <c r="D275">
        <v>0.0</v>
      </c>
      <c r="E275">
        <v>24.67</v>
      </c>
      <c r="F275">
        <v>32.87</v>
      </c>
      <c r="G275">
        <v>18.29</v>
      </c>
      <c r="H275">
        <v>0.2</v>
      </c>
      <c r="I275">
        <v>0.031</v>
      </c>
      <c r="J275">
        <v>24.07</v>
      </c>
      <c r="K275">
        <v>32.18</v>
      </c>
      <c r="L275">
        <v>18.23</v>
      </c>
      <c r="M275">
        <v>0.82</v>
      </c>
      <c r="N275">
        <v>0.221</v>
      </c>
      <c r="O275">
        <v>22.91</v>
      </c>
      <c r="P275">
        <v>30.25</v>
      </c>
      <c r="Q275">
        <v>18.26</v>
      </c>
      <c r="R275">
        <v>2.54</v>
      </c>
    </row>
    <row r="276">
      <c r="A276" s="9">
        <v>38807</v>
      </c>
      <c r="B276" s="2" t="inlineStr">
        <is>
          <t xml:space="preserve">2006-03</t>
        </is>
      </c>
      <c r="C276" s="2" t="inlineStr">
        <is>
          <t xml:space="preserve">2005/06</t>
        </is>
      </c>
      <c r="D276">
        <v>0.037</v>
      </c>
      <c r="E276">
        <v>25.09</v>
      </c>
      <c r="F276">
        <v>33.07</v>
      </c>
      <c r="G276">
        <v>18.68</v>
      </c>
      <c r="H276">
        <v>0.33</v>
      </c>
      <c r="I276">
        <v>0.271</v>
      </c>
      <c r="J276">
        <v>24.37</v>
      </c>
      <c r="K276">
        <v>31.89</v>
      </c>
      <c r="L276">
        <v>19.37</v>
      </c>
      <c r="M276">
        <v>1.64</v>
      </c>
      <c r="N276">
        <v>1.938</v>
      </c>
      <c r="O276">
        <v>22.7</v>
      </c>
      <c r="P276">
        <v>29.53</v>
      </c>
      <c r="Q276">
        <v>18.82</v>
      </c>
      <c r="R276">
        <v>6.09</v>
      </c>
    </row>
    <row r="277">
      <c r="A277" s="9">
        <v>38808</v>
      </c>
      <c r="B277" s="2" t="inlineStr">
        <is>
          <t xml:space="preserve">2006-04</t>
        </is>
      </c>
      <c r="C277" s="2" t="inlineStr">
        <is>
          <t xml:space="preserve">2005/06</t>
        </is>
      </c>
      <c r="D277">
        <v>0.0</v>
      </c>
      <c r="E277">
        <v>24.61</v>
      </c>
      <c r="F277">
        <v>32.04</v>
      </c>
      <c r="G277">
        <v>19.01</v>
      </c>
      <c r="H277">
        <v>0.01</v>
      </c>
      <c r="I277">
        <v>0.0</v>
      </c>
      <c r="J277">
        <v>24.24</v>
      </c>
      <c r="K277">
        <v>31.09</v>
      </c>
      <c r="L277">
        <v>18.93</v>
      </c>
      <c r="M277">
        <v>0.0</v>
      </c>
      <c r="N277">
        <v>0.0</v>
      </c>
      <c r="O277">
        <v>23.32</v>
      </c>
      <c r="P277">
        <v>30.13</v>
      </c>
      <c r="Q277">
        <v>19.34</v>
      </c>
      <c r="R277">
        <v>0.0</v>
      </c>
    </row>
    <row r="278">
      <c r="A278" s="9">
        <v>38809</v>
      </c>
      <c r="B278" s="2" t="inlineStr">
        <is>
          <t xml:space="preserve">2006-04</t>
        </is>
      </c>
      <c r="C278" s="2" t="inlineStr">
        <is>
          <t xml:space="preserve">2005/06</t>
        </is>
      </c>
      <c r="D278">
        <v>0.0</v>
      </c>
      <c r="E278">
        <v>23.76</v>
      </c>
      <c r="F278">
        <v>31.5</v>
      </c>
      <c r="G278">
        <v>18.24</v>
      </c>
      <c r="H278">
        <v>0.13</v>
      </c>
      <c r="I278">
        <v>0.0</v>
      </c>
      <c r="J278">
        <v>23.44</v>
      </c>
      <c r="K278">
        <v>30.19</v>
      </c>
      <c r="L278">
        <v>18.68</v>
      </c>
      <c r="M278">
        <v>0.0</v>
      </c>
      <c r="N278">
        <v>0.0</v>
      </c>
      <c r="O278">
        <v>22.45</v>
      </c>
      <c r="P278">
        <v>29.17</v>
      </c>
      <c r="Q278">
        <v>18.17</v>
      </c>
      <c r="R278">
        <v>0.01</v>
      </c>
    </row>
    <row r="279">
      <c r="A279" s="9">
        <v>38810</v>
      </c>
      <c r="B279" s="2" t="inlineStr">
        <is>
          <t xml:space="preserve">2006-04</t>
        </is>
      </c>
      <c r="C279" s="2" t="inlineStr">
        <is>
          <t xml:space="preserve">2005/06</t>
        </is>
      </c>
      <c r="D279">
        <v>0.0</v>
      </c>
      <c r="E279">
        <v>22.7</v>
      </c>
      <c r="F279">
        <v>31.66</v>
      </c>
      <c r="G279">
        <v>16.79</v>
      </c>
      <c r="H279">
        <v>0.25</v>
      </c>
      <c r="I279">
        <v>0.0</v>
      </c>
      <c r="J279">
        <v>22.44</v>
      </c>
      <c r="K279">
        <v>30.91</v>
      </c>
      <c r="L279">
        <v>16.42</v>
      </c>
      <c r="M279">
        <v>0.02</v>
      </c>
      <c r="N279">
        <v>0.0</v>
      </c>
      <c r="O279">
        <v>21.5</v>
      </c>
      <c r="P279">
        <v>28.61</v>
      </c>
      <c r="Q279">
        <v>16.52</v>
      </c>
      <c r="R279">
        <v>0.02</v>
      </c>
    </row>
    <row r="280">
      <c r="A280" s="9">
        <v>38811</v>
      </c>
      <c r="B280" s="2" t="inlineStr">
        <is>
          <t xml:space="preserve">2006-04</t>
        </is>
      </c>
      <c r="C280" s="2" t="inlineStr">
        <is>
          <t xml:space="preserve">2005/06</t>
        </is>
      </c>
      <c r="D280">
        <v>0.0</v>
      </c>
      <c r="E280">
        <v>21.17</v>
      </c>
      <c r="F280">
        <v>30.29</v>
      </c>
      <c r="G280">
        <v>14.05</v>
      </c>
      <c r="H280">
        <v>0.0</v>
      </c>
      <c r="I280">
        <v>0.104</v>
      </c>
      <c r="J280">
        <v>21.02</v>
      </c>
      <c r="K280">
        <v>29.16</v>
      </c>
      <c r="L280">
        <v>14.57</v>
      </c>
      <c r="M280">
        <v>0.07</v>
      </c>
      <c r="N280">
        <v>0.162</v>
      </c>
      <c r="O280">
        <v>20.35</v>
      </c>
      <c r="P280">
        <v>27.24</v>
      </c>
      <c r="Q280">
        <v>14.31</v>
      </c>
      <c r="R280">
        <v>0.08</v>
      </c>
    </row>
    <row r="281">
      <c r="A281" s="9">
        <v>38812</v>
      </c>
      <c r="B281" s="2" t="inlineStr">
        <is>
          <t xml:space="preserve">2006-04</t>
        </is>
      </c>
      <c r="C281" s="2" t="inlineStr">
        <is>
          <t xml:space="preserve">2005/06</t>
        </is>
      </c>
      <c r="D281">
        <v>0.0</v>
      </c>
      <c r="E281">
        <v>22.52</v>
      </c>
      <c r="F281">
        <v>31.51</v>
      </c>
      <c r="G281">
        <v>15.22</v>
      </c>
      <c r="H281">
        <v>0.0</v>
      </c>
      <c r="I281">
        <v>0.0</v>
      </c>
      <c r="J281">
        <v>21.83</v>
      </c>
      <c r="K281">
        <v>30.94</v>
      </c>
      <c r="L281">
        <v>13.98</v>
      </c>
      <c r="M281">
        <v>0.0</v>
      </c>
      <c r="N281">
        <v>0.0</v>
      </c>
      <c r="O281">
        <v>20.83</v>
      </c>
      <c r="P281">
        <v>28.53</v>
      </c>
      <c r="Q281">
        <v>15.19</v>
      </c>
      <c r="R281">
        <v>0.0</v>
      </c>
    </row>
    <row r="282">
      <c r="A282" s="9">
        <v>38813</v>
      </c>
      <c r="B282" s="2" t="inlineStr">
        <is>
          <t xml:space="preserve">2006-04</t>
        </is>
      </c>
      <c r="C282" s="2" t="inlineStr">
        <is>
          <t xml:space="preserve">2005/06</t>
        </is>
      </c>
      <c r="D282">
        <v>0.0</v>
      </c>
      <c r="E282">
        <v>24.71</v>
      </c>
      <c r="F282">
        <v>33.47</v>
      </c>
      <c r="G282">
        <v>16.29</v>
      </c>
      <c r="H282">
        <v>0.04</v>
      </c>
      <c r="I282">
        <v>0.0</v>
      </c>
      <c r="J282">
        <v>24.69</v>
      </c>
      <c r="K282">
        <v>34.28</v>
      </c>
      <c r="L282">
        <v>15.36</v>
      </c>
      <c r="M282">
        <v>0.01</v>
      </c>
      <c r="N282">
        <v>0.0</v>
      </c>
      <c r="O282">
        <v>23.68</v>
      </c>
      <c r="P282">
        <v>32.84</v>
      </c>
      <c r="Q282">
        <v>16.08</v>
      </c>
      <c r="R282">
        <v>0.0</v>
      </c>
    </row>
    <row r="283">
      <c r="A283" s="9">
        <v>38814</v>
      </c>
      <c r="B283" s="2" t="inlineStr">
        <is>
          <t xml:space="preserve">2006-04</t>
        </is>
      </c>
      <c r="C283" s="2" t="inlineStr">
        <is>
          <t xml:space="preserve">2005/06</t>
        </is>
      </c>
      <c r="D283">
        <v>0.115</v>
      </c>
      <c r="E283">
        <v>25.49</v>
      </c>
      <c r="F283">
        <v>33.25</v>
      </c>
      <c r="G283">
        <v>17.69</v>
      </c>
      <c r="H283">
        <v>0.07</v>
      </c>
      <c r="I283">
        <v>0.076</v>
      </c>
      <c r="J283">
        <v>25.37</v>
      </c>
      <c r="K283">
        <v>33.14</v>
      </c>
      <c r="L283">
        <v>18.8</v>
      </c>
      <c r="M283">
        <v>0.05</v>
      </c>
      <c r="N283">
        <v>0.0</v>
      </c>
      <c r="O283">
        <v>25.98</v>
      </c>
      <c r="P283">
        <v>34.39</v>
      </c>
      <c r="Q283">
        <v>17.83</v>
      </c>
      <c r="R283">
        <v>0.01</v>
      </c>
    </row>
    <row r="284">
      <c r="A284" s="9">
        <v>38815</v>
      </c>
      <c r="B284" s="2" t="inlineStr">
        <is>
          <t xml:space="preserve">2006-04</t>
        </is>
      </c>
      <c r="C284" s="2" t="inlineStr">
        <is>
          <t xml:space="preserve">2005/06</t>
        </is>
      </c>
      <c r="D284">
        <v>0.048</v>
      </c>
      <c r="E284">
        <v>25.57</v>
      </c>
      <c r="F284">
        <v>33.06</v>
      </c>
      <c r="G284">
        <v>19.1</v>
      </c>
      <c r="H284">
        <v>0.41</v>
      </c>
      <c r="I284">
        <v>0.021</v>
      </c>
      <c r="J284">
        <v>25.58</v>
      </c>
      <c r="K284">
        <v>32.87</v>
      </c>
      <c r="L284">
        <v>18.41</v>
      </c>
      <c r="M284">
        <v>0.04</v>
      </c>
      <c r="N284">
        <v>0.0</v>
      </c>
      <c r="O284">
        <v>26.55</v>
      </c>
      <c r="P284">
        <v>34.06</v>
      </c>
      <c r="Q284">
        <v>19.93</v>
      </c>
      <c r="R284">
        <v>0.08</v>
      </c>
    </row>
    <row r="285">
      <c r="A285" s="9">
        <v>38816</v>
      </c>
      <c r="B285" s="2" t="inlineStr">
        <is>
          <t xml:space="preserve">2006-04</t>
        </is>
      </c>
      <c r="C285" s="2" t="inlineStr">
        <is>
          <t xml:space="preserve">2005/06</t>
        </is>
      </c>
      <c r="D285">
        <v>1.401</v>
      </c>
      <c r="E285">
        <v>25.78</v>
      </c>
      <c r="F285">
        <v>33.95</v>
      </c>
      <c r="G285">
        <v>19.18</v>
      </c>
      <c r="H285">
        <v>1.63</v>
      </c>
      <c r="I285">
        <v>0.0</v>
      </c>
      <c r="J285">
        <v>25.91</v>
      </c>
      <c r="K285">
        <v>33.66</v>
      </c>
      <c r="L285">
        <v>19.06</v>
      </c>
      <c r="M285">
        <v>0.06</v>
      </c>
      <c r="N285">
        <v>0.0</v>
      </c>
      <c r="O285">
        <v>24.84</v>
      </c>
      <c r="P285">
        <v>32.01</v>
      </c>
      <c r="Q285">
        <v>19.61</v>
      </c>
      <c r="R285">
        <v>0.58</v>
      </c>
    </row>
    <row r="286">
      <c r="A286" s="9">
        <v>38817</v>
      </c>
      <c r="B286" s="2" t="inlineStr">
        <is>
          <t xml:space="preserve">2006-04</t>
        </is>
      </c>
      <c r="C286" s="2" t="inlineStr">
        <is>
          <t xml:space="preserve">2005/06</t>
        </is>
      </c>
      <c r="D286">
        <v>0.0</v>
      </c>
      <c r="E286">
        <v>24.44</v>
      </c>
      <c r="F286">
        <v>32.57</v>
      </c>
      <c r="G286">
        <v>18.03</v>
      </c>
      <c r="H286">
        <v>0.0</v>
      </c>
      <c r="I286">
        <v>0.0</v>
      </c>
      <c r="J286">
        <v>24.59</v>
      </c>
      <c r="K286">
        <v>31.86</v>
      </c>
      <c r="L286">
        <v>18.39</v>
      </c>
      <c r="M286">
        <v>0.22</v>
      </c>
      <c r="N286">
        <v>0.0</v>
      </c>
      <c r="O286">
        <v>23.52</v>
      </c>
      <c r="P286">
        <v>30.33</v>
      </c>
      <c r="Q286">
        <v>17.68</v>
      </c>
      <c r="R286">
        <v>0.04</v>
      </c>
    </row>
    <row r="287">
      <c r="A287" s="9">
        <v>38818</v>
      </c>
      <c r="B287" s="2" t="inlineStr">
        <is>
          <t xml:space="preserve">2006-04</t>
        </is>
      </c>
      <c r="C287" s="2" t="inlineStr">
        <is>
          <t xml:space="preserve">2005/06</t>
        </is>
      </c>
      <c r="D287">
        <v>0.029</v>
      </c>
      <c r="E287">
        <v>23.24</v>
      </c>
      <c r="F287">
        <v>31.77</v>
      </c>
      <c r="G287">
        <v>16.9</v>
      </c>
      <c r="H287">
        <v>0.54</v>
      </c>
      <c r="I287">
        <v>0.0</v>
      </c>
      <c r="J287">
        <v>24.07</v>
      </c>
      <c r="K287">
        <v>31.85</v>
      </c>
      <c r="L287">
        <v>18.16</v>
      </c>
      <c r="M287">
        <v>0.0</v>
      </c>
      <c r="N287">
        <v>0.0</v>
      </c>
      <c r="O287">
        <v>22.63</v>
      </c>
      <c r="P287">
        <v>29.6</v>
      </c>
      <c r="Q287">
        <v>17.15</v>
      </c>
      <c r="R287">
        <v>0.0</v>
      </c>
    </row>
    <row r="288">
      <c r="A288" s="9">
        <v>38819</v>
      </c>
      <c r="B288" s="2" t="inlineStr">
        <is>
          <t xml:space="preserve">2006-04</t>
        </is>
      </c>
      <c r="C288" s="2" t="inlineStr">
        <is>
          <t xml:space="preserve">2005/06</t>
        </is>
      </c>
      <c r="D288">
        <v>0.553</v>
      </c>
      <c r="E288">
        <v>21.86</v>
      </c>
      <c r="F288">
        <v>29.84</v>
      </c>
      <c r="G288">
        <v>16.54</v>
      </c>
      <c r="H288">
        <v>0.67</v>
      </c>
      <c r="I288">
        <v>0.0</v>
      </c>
      <c r="J288">
        <v>22.53</v>
      </c>
      <c r="K288">
        <v>30.3</v>
      </c>
      <c r="L288">
        <v>16.29</v>
      </c>
      <c r="M288">
        <v>0.07</v>
      </c>
      <c r="N288">
        <v>0.0</v>
      </c>
      <c r="O288">
        <v>21.87</v>
      </c>
      <c r="P288">
        <v>28.72</v>
      </c>
      <c r="Q288">
        <v>16.82</v>
      </c>
      <c r="R288">
        <v>0.26</v>
      </c>
    </row>
    <row r="289">
      <c r="A289" s="9">
        <v>38820</v>
      </c>
      <c r="B289" s="2" t="inlineStr">
        <is>
          <t xml:space="preserve">2006-04</t>
        </is>
      </c>
      <c r="C289" s="2" t="inlineStr">
        <is>
          <t xml:space="preserve">2005/06</t>
        </is>
      </c>
      <c r="D289">
        <v>0.0</v>
      </c>
      <c r="E289">
        <v>21.49</v>
      </c>
      <c r="F289">
        <v>30.12</v>
      </c>
      <c r="G289">
        <v>15.64</v>
      </c>
      <c r="H289">
        <v>0.05</v>
      </c>
      <c r="I289">
        <v>0.406</v>
      </c>
      <c r="J289">
        <v>21.75</v>
      </c>
      <c r="K289">
        <v>29.59</v>
      </c>
      <c r="L289">
        <v>16.1</v>
      </c>
      <c r="M289">
        <v>0.44</v>
      </c>
      <c r="N289">
        <v>0.12</v>
      </c>
      <c r="O289">
        <v>20.71</v>
      </c>
      <c r="P289">
        <v>27.5</v>
      </c>
      <c r="Q289">
        <v>15.56</v>
      </c>
      <c r="R289">
        <v>0.92</v>
      </c>
    </row>
    <row r="290">
      <c r="A290" s="9">
        <v>38821</v>
      </c>
      <c r="B290" s="2" t="inlineStr">
        <is>
          <t xml:space="preserve">2006-04</t>
        </is>
      </c>
      <c r="C290" s="2" t="inlineStr">
        <is>
          <t xml:space="preserve">2005/06</t>
        </is>
      </c>
      <c r="D290">
        <v>0.0</v>
      </c>
      <c r="E290">
        <v>21.42</v>
      </c>
      <c r="F290">
        <v>30.16</v>
      </c>
      <c r="G290">
        <v>14.95</v>
      </c>
      <c r="H290">
        <v>0.05</v>
      </c>
      <c r="I290">
        <v>0.0</v>
      </c>
      <c r="J290">
        <v>21.33</v>
      </c>
      <c r="K290">
        <v>29.35</v>
      </c>
      <c r="L290">
        <v>14.91</v>
      </c>
      <c r="M290">
        <v>0.22</v>
      </c>
      <c r="N290">
        <v>0.036</v>
      </c>
      <c r="O290">
        <v>20.29</v>
      </c>
      <c r="P290">
        <v>27.77</v>
      </c>
      <c r="Q290">
        <v>14.83</v>
      </c>
      <c r="R290">
        <v>0.47</v>
      </c>
    </row>
    <row r="291">
      <c r="A291" s="9">
        <v>38822</v>
      </c>
      <c r="B291" s="2" t="inlineStr">
        <is>
          <t xml:space="preserve">2006-04</t>
        </is>
      </c>
      <c r="C291" s="2" t="inlineStr">
        <is>
          <t xml:space="preserve">2005/06</t>
        </is>
      </c>
      <c r="D291">
        <v>0.0</v>
      </c>
      <c r="E291">
        <v>22.78</v>
      </c>
      <c r="F291">
        <v>30.88</v>
      </c>
      <c r="G291">
        <v>15.83</v>
      </c>
      <c r="H291">
        <v>0.0</v>
      </c>
      <c r="I291">
        <v>0.0</v>
      </c>
      <c r="J291">
        <v>23.32</v>
      </c>
      <c r="K291">
        <v>32.14</v>
      </c>
      <c r="L291">
        <v>14.77</v>
      </c>
      <c r="M291">
        <v>0.0</v>
      </c>
      <c r="N291">
        <v>0.0</v>
      </c>
      <c r="O291">
        <v>22.2</v>
      </c>
      <c r="P291">
        <v>30.08</v>
      </c>
      <c r="Q291">
        <v>15.82</v>
      </c>
      <c r="R291">
        <v>0.01</v>
      </c>
    </row>
    <row r="292">
      <c r="A292" s="9">
        <v>38823</v>
      </c>
      <c r="B292" s="2" t="inlineStr">
        <is>
          <t xml:space="preserve">2006-04</t>
        </is>
      </c>
      <c r="C292" s="2" t="inlineStr">
        <is>
          <t xml:space="preserve">2005/06</t>
        </is>
      </c>
      <c r="D292">
        <v>0.0</v>
      </c>
      <c r="E292">
        <v>25.04</v>
      </c>
      <c r="F292">
        <v>33.06</v>
      </c>
      <c r="G292">
        <v>18.28</v>
      </c>
      <c r="H292">
        <v>0.0</v>
      </c>
      <c r="I292">
        <v>0.0</v>
      </c>
      <c r="J292">
        <v>24.76</v>
      </c>
      <c r="K292">
        <v>32.2</v>
      </c>
      <c r="L292">
        <v>18.77</v>
      </c>
      <c r="M292">
        <v>0.01</v>
      </c>
      <c r="N292">
        <v>0.0</v>
      </c>
      <c r="O292">
        <v>24.8</v>
      </c>
      <c r="P292">
        <v>33.24</v>
      </c>
      <c r="Q292">
        <v>17.88</v>
      </c>
      <c r="R292">
        <v>0.01</v>
      </c>
    </row>
    <row r="293">
      <c r="A293" s="9">
        <v>38824</v>
      </c>
      <c r="B293" s="2" t="inlineStr">
        <is>
          <t xml:space="preserve">2006-04</t>
        </is>
      </c>
      <c r="C293" s="2" t="inlineStr">
        <is>
          <t xml:space="preserve">2005/06</t>
        </is>
      </c>
      <c r="D293">
        <v>0.0</v>
      </c>
      <c r="E293">
        <v>25.99</v>
      </c>
      <c r="F293">
        <v>34.53</v>
      </c>
      <c r="G293">
        <v>18.55</v>
      </c>
      <c r="H293">
        <v>0.0</v>
      </c>
      <c r="I293">
        <v>0.0</v>
      </c>
      <c r="J293">
        <v>25.47</v>
      </c>
      <c r="K293">
        <v>33.33</v>
      </c>
      <c r="L293">
        <v>18.59</v>
      </c>
      <c r="M293">
        <v>0.0</v>
      </c>
      <c r="N293">
        <v>0.0</v>
      </c>
      <c r="O293">
        <v>26.43</v>
      </c>
      <c r="P293">
        <v>34.91</v>
      </c>
      <c r="Q293">
        <v>18.75</v>
      </c>
      <c r="R293">
        <v>0.0</v>
      </c>
    </row>
    <row r="294">
      <c r="A294" s="9">
        <v>38825</v>
      </c>
      <c r="B294" s="2" t="inlineStr">
        <is>
          <t xml:space="preserve">2006-04</t>
        </is>
      </c>
      <c r="C294" s="2" t="inlineStr">
        <is>
          <t xml:space="preserve">2005/06</t>
        </is>
      </c>
      <c r="D294">
        <v>0.0</v>
      </c>
      <c r="E294">
        <v>26.45</v>
      </c>
      <c r="F294">
        <v>34.18</v>
      </c>
      <c r="G294">
        <v>20.29</v>
      </c>
      <c r="H294">
        <v>0.0</v>
      </c>
      <c r="I294">
        <v>0.0</v>
      </c>
      <c r="J294">
        <v>25.63</v>
      </c>
      <c r="K294">
        <v>33.94</v>
      </c>
      <c r="L294">
        <v>19.21</v>
      </c>
      <c r="M294">
        <v>0.01</v>
      </c>
      <c r="N294">
        <v>0.0</v>
      </c>
      <c r="O294">
        <v>26.97</v>
      </c>
      <c r="P294">
        <v>35.43</v>
      </c>
      <c r="Q294">
        <v>19.41</v>
      </c>
      <c r="R294">
        <v>0.01</v>
      </c>
    </row>
    <row r="295">
      <c r="A295" s="9">
        <v>38826</v>
      </c>
      <c r="B295" s="2" t="inlineStr">
        <is>
          <t xml:space="preserve">2006-04</t>
        </is>
      </c>
      <c r="C295" s="2" t="inlineStr">
        <is>
          <t xml:space="preserve">2005/06</t>
        </is>
      </c>
      <c r="D295">
        <v>0.0</v>
      </c>
      <c r="E295">
        <v>27.05</v>
      </c>
      <c r="F295">
        <v>35.38</v>
      </c>
      <c r="G295">
        <v>20.16</v>
      </c>
      <c r="H295">
        <v>0.87</v>
      </c>
      <c r="I295">
        <v>0.0</v>
      </c>
      <c r="J295">
        <v>26.1</v>
      </c>
      <c r="K295">
        <v>34.66</v>
      </c>
      <c r="L295">
        <v>19.13</v>
      </c>
      <c r="M295">
        <v>2.21</v>
      </c>
      <c r="N295">
        <v>0.0</v>
      </c>
      <c r="O295">
        <v>27.15</v>
      </c>
      <c r="P295">
        <v>35.77</v>
      </c>
      <c r="Q295">
        <v>19.58</v>
      </c>
      <c r="R295">
        <v>3.45</v>
      </c>
    </row>
    <row r="296">
      <c r="A296" s="9">
        <v>38827</v>
      </c>
      <c r="B296" s="2" t="inlineStr">
        <is>
          <t xml:space="preserve">2006-04</t>
        </is>
      </c>
      <c r="C296" s="2" t="inlineStr">
        <is>
          <t xml:space="preserve">2005/06</t>
        </is>
      </c>
      <c r="D296">
        <v>0.432</v>
      </c>
      <c r="E296">
        <v>26.58</v>
      </c>
      <c r="F296">
        <v>34.42</v>
      </c>
      <c r="G296">
        <v>20.67</v>
      </c>
      <c r="H296">
        <v>3.04</v>
      </c>
      <c r="I296">
        <v>5.076</v>
      </c>
      <c r="J296">
        <v>26.23</v>
      </c>
      <c r="K296">
        <v>34.55</v>
      </c>
      <c r="L296">
        <v>20.36</v>
      </c>
      <c r="M296">
        <v>9.12</v>
      </c>
      <c r="N296">
        <v>24.159</v>
      </c>
      <c r="O296">
        <v>26.34</v>
      </c>
      <c r="P296">
        <v>33.9</v>
      </c>
      <c r="Q296">
        <v>21.56</v>
      </c>
      <c r="R296">
        <v>11.74</v>
      </c>
    </row>
    <row r="297">
      <c r="A297" s="9">
        <v>38828</v>
      </c>
      <c r="B297" s="2" t="inlineStr">
        <is>
          <t xml:space="preserve">2006-04</t>
        </is>
      </c>
      <c r="C297" s="2" t="inlineStr">
        <is>
          <t xml:space="preserve">2005/06</t>
        </is>
      </c>
      <c r="D297">
        <v>0.262</v>
      </c>
      <c r="E297">
        <v>26.09</v>
      </c>
      <c r="F297">
        <v>32.18</v>
      </c>
      <c r="G297">
        <v>20.97</v>
      </c>
      <c r="H297">
        <v>1.27</v>
      </c>
      <c r="I297">
        <v>19.845</v>
      </c>
      <c r="J297">
        <v>24.67</v>
      </c>
      <c r="K297">
        <v>30.34</v>
      </c>
      <c r="L297">
        <v>20.53</v>
      </c>
      <c r="M297">
        <v>17.46</v>
      </c>
      <c r="N297">
        <v>21.291</v>
      </c>
      <c r="O297">
        <v>24.41</v>
      </c>
      <c r="P297">
        <v>29.98</v>
      </c>
      <c r="Q297">
        <v>21.4</v>
      </c>
      <c r="R297">
        <v>20.65</v>
      </c>
    </row>
    <row r="298">
      <c r="A298" s="9">
        <v>38829</v>
      </c>
      <c r="B298" s="2" t="inlineStr">
        <is>
          <t xml:space="preserve">2006-04</t>
        </is>
      </c>
      <c r="C298" s="2" t="inlineStr">
        <is>
          <t xml:space="preserve">2005/06</t>
        </is>
      </c>
      <c r="D298">
        <v>0.802</v>
      </c>
      <c r="E298">
        <v>24.92</v>
      </c>
      <c r="F298">
        <v>30.42</v>
      </c>
      <c r="G298">
        <v>21.52</v>
      </c>
      <c r="H298">
        <v>1.34</v>
      </c>
      <c r="I298">
        <v>0.542</v>
      </c>
      <c r="J298">
        <v>23.99</v>
      </c>
      <c r="K298">
        <v>28.6</v>
      </c>
      <c r="L298">
        <v>20.74</v>
      </c>
      <c r="M298">
        <v>4.81</v>
      </c>
      <c r="N298">
        <v>2.805</v>
      </c>
      <c r="O298">
        <v>23.31</v>
      </c>
      <c r="P298">
        <v>27.64</v>
      </c>
      <c r="Q298">
        <v>20.52</v>
      </c>
      <c r="R298">
        <v>14.08</v>
      </c>
    </row>
    <row r="299">
      <c r="A299" s="9">
        <v>38830</v>
      </c>
      <c r="B299" s="2" t="inlineStr">
        <is>
          <t xml:space="preserve">2006-04</t>
        </is>
      </c>
      <c r="C299" s="2" t="inlineStr">
        <is>
          <t xml:space="preserve">2005/06</t>
        </is>
      </c>
      <c r="D299">
        <v>0.17</v>
      </c>
      <c r="E299">
        <v>25.0</v>
      </c>
      <c r="F299">
        <v>31.93</v>
      </c>
      <c r="G299">
        <v>20.84</v>
      </c>
      <c r="H299">
        <v>0.7</v>
      </c>
      <c r="I299">
        <v>2.683</v>
      </c>
      <c r="J299">
        <v>23.88</v>
      </c>
      <c r="K299">
        <v>30.08</v>
      </c>
      <c r="L299">
        <v>20.12</v>
      </c>
      <c r="M299">
        <v>5.55</v>
      </c>
      <c r="N299">
        <v>12.289</v>
      </c>
      <c r="O299">
        <v>23.07</v>
      </c>
      <c r="P299">
        <v>28.54</v>
      </c>
      <c r="Q299">
        <v>20.16</v>
      </c>
      <c r="R299">
        <v>10.71</v>
      </c>
    </row>
    <row r="300">
      <c r="A300" s="9">
        <v>38831</v>
      </c>
      <c r="B300" s="2" t="inlineStr">
        <is>
          <t xml:space="preserve">2006-04</t>
        </is>
      </c>
      <c r="C300" s="2" t="inlineStr">
        <is>
          <t xml:space="preserve">2005/06</t>
        </is>
      </c>
      <c r="D300">
        <v>0.0</v>
      </c>
      <c r="E300">
        <v>25.33</v>
      </c>
      <c r="F300">
        <v>32.0</v>
      </c>
      <c r="G300">
        <v>19.49</v>
      </c>
      <c r="H300">
        <v>0.04</v>
      </c>
      <c r="I300">
        <v>0.717</v>
      </c>
      <c r="J300">
        <v>24.26</v>
      </c>
      <c r="K300">
        <v>30.12</v>
      </c>
      <c r="L300">
        <v>20.11</v>
      </c>
      <c r="M300">
        <v>0.77</v>
      </c>
      <c r="N300">
        <v>0.332</v>
      </c>
      <c r="O300">
        <v>23.16</v>
      </c>
      <c r="P300">
        <v>28.32</v>
      </c>
      <c r="Q300">
        <v>19.88</v>
      </c>
      <c r="R300">
        <v>1.03</v>
      </c>
    </row>
    <row r="301">
      <c r="A301" s="9">
        <v>38832</v>
      </c>
      <c r="B301" s="2" t="inlineStr">
        <is>
          <t xml:space="preserve">2006-04</t>
        </is>
      </c>
      <c r="C301" s="2" t="inlineStr">
        <is>
          <t xml:space="preserve">2005/06</t>
        </is>
      </c>
      <c r="D301">
        <v>0.0</v>
      </c>
      <c r="E301">
        <v>24.39</v>
      </c>
      <c r="F301">
        <v>29.51</v>
      </c>
      <c r="G301">
        <v>19.85</v>
      </c>
      <c r="H301">
        <v>2.19</v>
      </c>
      <c r="I301">
        <v>0.049</v>
      </c>
      <c r="J301">
        <v>23.93</v>
      </c>
      <c r="K301">
        <v>29.0</v>
      </c>
      <c r="L301">
        <v>19.99</v>
      </c>
      <c r="M301">
        <v>0.47</v>
      </c>
      <c r="N301">
        <v>0.0</v>
      </c>
      <c r="O301">
        <v>23.7</v>
      </c>
      <c r="P301">
        <v>28.9</v>
      </c>
      <c r="Q301">
        <v>19.84</v>
      </c>
      <c r="R301">
        <v>0.45</v>
      </c>
    </row>
    <row r="302">
      <c r="A302" s="9">
        <v>38833</v>
      </c>
      <c r="B302" s="2" t="inlineStr">
        <is>
          <t xml:space="preserve">2006-04</t>
        </is>
      </c>
      <c r="C302" s="2" t="inlineStr">
        <is>
          <t xml:space="preserve">2005/06</t>
        </is>
      </c>
      <c r="D302">
        <v>19.362</v>
      </c>
      <c r="E302">
        <v>22.38</v>
      </c>
      <c r="F302">
        <v>25.94</v>
      </c>
      <c r="G302">
        <v>19.67</v>
      </c>
      <c r="H302">
        <v>14.22</v>
      </c>
      <c r="I302">
        <v>3.4</v>
      </c>
      <c r="J302">
        <v>24.43</v>
      </c>
      <c r="K302">
        <v>30.57</v>
      </c>
      <c r="L302">
        <v>19.83</v>
      </c>
      <c r="M302">
        <v>3.7</v>
      </c>
      <c r="N302">
        <v>4.606</v>
      </c>
      <c r="O302">
        <v>24.44</v>
      </c>
      <c r="P302">
        <v>30.05</v>
      </c>
      <c r="Q302">
        <v>19.96</v>
      </c>
      <c r="R302">
        <v>3.73</v>
      </c>
    </row>
    <row r="303">
      <c r="A303" s="9">
        <v>38834</v>
      </c>
      <c r="B303" s="2" t="inlineStr">
        <is>
          <t xml:space="preserve">2006-04</t>
        </is>
      </c>
      <c r="C303" s="2" t="inlineStr">
        <is>
          <t xml:space="preserve">2005/06</t>
        </is>
      </c>
      <c r="D303">
        <v>0.0</v>
      </c>
      <c r="E303">
        <v>24.55</v>
      </c>
      <c r="F303">
        <v>31.68</v>
      </c>
      <c r="G303">
        <v>18.24</v>
      </c>
      <c r="H303">
        <v>0.49</v>
      </c>
      <c r="I303">
        <v>0.0</v>
      </c>
      <c r="J303">
        <v>25.88</v>
      </c>
      <c r="K303">
        <v>33.14</v>
      </c>
      <c r="L303">
        <v>19.49</v>
      </c>
      <c r="M303">
        <v>0.01</v>
      </c>
      <c r="N303">
        <v>0.0</v>
      </c>
      <c r="O303">
        <v>24.99</v>
      </c>
      <c r="P303">
        <v>31.37</v>
      </c>
      <c r="Q303">
        <v>20.16</v>
      </c>
      <c r="R303">
        <v>0.0</v>
      </c>
    </row>
    <row r="304">
      <c r="A304" s="9">
        <v>38835</v>
      </c>
      <c r="B304" s="2" t="inlineStr">
        <is>
          <t xml:space="preserve">2006-04</t>
        </is>
      </c>
      <c r="C304" s="2" t="inlineStr">
        <is>
          <t xml:space="preserve">2005/06</t>
        </is>
      </c>
      <c r="D304">
        <v>0.276</v>
      </c>
      <c r="E304">
        <v>25.17</v>
      </c>
      <c r="F304">
        <v>32.91</v>
      </c>
      <c r="G304">
        <v>18.95</v>
      </c>
      <c r="H304">
        <v>0.44</v>
      </c>
      <c r="I304">
        <v>0.0</v>
      </c>
      <c r="J304">
        <v>25.89</v>
      </c>
      <c r="K304">
        <v>32.64</v>
      </c>
      <c r="L304">
        <v>20.18</v>
      </c>
      <c r="M304">
        <v>0.01</v>
      </c>
      <c r="N304">
        <v>0.0</v>
      </c>
      <c r="O304">
        <v>24.67</v>
      </c>
      <c r="P304">
        <v>31.27</v>
      </c>
      <c r="Q304">
        <v>19.91</v>
      </c>
      <c r="R304">
        <v>0.01</v>
      </c>
    </row>
    <row r="305">
      <c r="A305" s="9">
        <v>38836</v>
      </c>
      <c r="B305" s="2" t="inlineStr">
        <is>
          <t xml:space="preserve">2006-04</t>
        </is>
      </c>
      <c r="C305" s="2" t="inlineStr">
        <is>
          <t xml:space="preserve">2005/06</t>
        </is>
      </c>
      <c r="D305">
        <v>0.0</v>
      </c>
      <c r="E305">
        <v>25.58</v>
      </c>
      <c r="F305">
        <v>33.29</v>
      </c>
      <c r="G305">
        <v>19.41</v>
      </c>
      <c r="H305">
        <v>0.19</v>
      </c>
      <c r="I305">
        <v>0.0</v>
      </c>
      <c r="J305">
        <v>26.07</v>
      </c>
      <c r="K305">
        <v>33.62</v>
      </c>
      <c r="L305">
        <v>20.44</v>
      </c>
      <c r="M305">
        <v>0.15</v>
      </c>
      <c r="N305">
        <v>0.0</v>
      </c>
      <c r="O305">
        <v>25.31</v>
      </c>
      <c r="P305">
        <v>33.01</v>
      </c>
      <c r="Q305">
        <v>19.68</v>
      </c>
      <c r="R305">
        <v>0.2</v>
      </c>
    </row>
    <row r="306">
      <c r="A306" s="9">
        <v>38837</v>
      </c>
      <c r="B306" s="2" t="inlineStr">
        <is>
          <t xml:space="preserve">2006-04</t>
        </is>
      </c>
      <c r="C306" s="2" t="inlineStr">
        <is>
          <t xml:space="preserve">2005/06</t>
        </is>
      </c>
      <c r="D306">
        <v>2.153</v>
      </c>
      <c r="E306">
        <v>24.35</v>
      </c>
      <c r="F306">
        <v>32.03</v>
      </c>
      <c r="G306">
        <v>18.38</v>
      </c>
      <c r="H306">
        <v>1.07</v>
      </c>
      <c r="I306">
        <v>0.743</v>
      </c>
      <c r="J306">
        <v>25.39</v>
      </c>
      <c r="K306">
        <v>32.19</v>
      </c>
      <c r="L306">
        <v>20.66</v>
      </c>
      <c r="M306">
        <v>1.03</v>
      </c>
      <c r="N306">
        <v>0.807</v>
      </c>
      <c r="O306">
        <v>23.95</v>
      </c>
      <c r="P306">
        <v>30.59</v>
      </c>
      <c r="Q306">
        <v>19.74</v>
      </c>
      <c r="R306">
        <v>1.04</v>
      </c>
    </row>
    <row r="307">
      <c r="A307" s="9">
        <v>38838</v>
      </c>
      <c r="B307" s="2" t="inlineStr">
        <is>
          <t xml:space="preserve">2006-05</t>
        </is>
      </c>
      <c r="C307" s="2" t="inlineStr">
        <is>
          <t xml:space="preserve">2005/06</t>
        </is>
      </c>
      <c r="D307">
        <v>0.0</v>
      </c>
      <c r="E307">
        <v>24.57</v>
      </c>
      <c r="F307">
        <v>32.28</v>
      </c>
      <c r="G307">
        <v>19.33</v>
      </c>
      <c r="H307">
        <v>0.0</v>
      </c>
      <c r="I307">
        <v>0.0</v>
      </c>
      <c r="J307">
        <v>24.41</v>
      </c>
      <c r="K307">
        <v>30.68</v>
      </c>
      <c r="L307">
        <v>20.07</v>
      </c>
      <c r="M307">
        <v>0.13</v>
      </c>
      <c r="N307">
        <v>0.0</v>
      </c>
      <c r="O307">
        <v>23.33</v>
      </c>
      <c r="P307">
        <v>29.6</v>
      </c>
      <c r="Q307">
        <v>19.47</v>
      </c>
      <c r="R307">
        <v>0.02</v>
      </c>
    </row>
    <row r="308">
      <c r="A308" s="9">
        <v>38839</v>
      </c>
      <c r="B308" s="2" t="inlineStr">
        <is>
          <t xml:space="preserve">2006-05</t>
        </is>
      </c>
      <c r="C308" s="2" t="inlineStr">
        <is>
          <t xml:space="preserve">2005/06</t>
        </is>
      </c>
      <c r="D308">
        <v>0.0</v>
      </c>
      <c r="E308">
        <v>24.81</v>
      </c>
      <c r="F308">
        <v>33.06</v>
      </c>
      <c r="G308">
        <v>18.71</v>
      </c>
      <c r="H308">
        <v>0.0</v>
      </c>
      <c r="I308">
        <v>0.0</v>
      </c>
      <c r="J308">
        <v>24.34</v>
      </c>
      <c r="K308">
        <v>31.45</v>
      </c>
      <c r="L308">
        <v>19.21</v>
      </c>
      <c r="M308">
        <v>0.0</v>
      </c>
      <c r="N308">
        <v>0.0</v>
      </c>
      <c r="O308">
        <v>22.92</v>
      </c>
      <c r="P308">
        <v>29.28</v>
      </c>
      <c r="Q308">
        <v>18.31</v>
      </c>
      <c r="R308">
        <v>0.0</v>
      </c>
    </row>
    <row r="309">
      <c r="A309" s="9">
        <v>38840</v>
      </c>
      <c r="B309" s="2" t="inlineStr">
        <is>
          <t xml:space="preserve">2006-05</t>
        </is>
      </c>
      <c r="C309" s="2" t="inlineStr">
        <is>
          <t xml:space="preserve">2005/06</t>
        </is>
      </c>
      <c r="D309">
        <v>0.0</v>
      </c>
      <c r="E309">
        <v>24.77</v>
      </c>
      <c r="F309">
        <v>33.41</v>
      </c>
      <c r="G309">
        <v>17.66</v>
      </c>
      <c r="H309">
        <v>0.0</v>
      </c>
      <c r="I309">
        <v>0.0</v>
      </c>
      <c r="J309">
        <v>24.72</v>
      </c>
      <c r="K309">
        <v>32.31</v>
      </c>
      <c r="L309">
        <v>18.61</v>
      </c>
      <c r="M309">
        <v>0.08</v>
      </c>
      <c r="N309">
        <v>0.0</v>
      </c>
      <c r="O309">
        <v>23.15</v>
      </c>
      <c r="P309">
        <v>30.49</v>
      </c>
      <c r="Q309">
        <v>18.18</v>
      </c>
      <c r="R309">
        <v>0.03</v>
      </c>
    </row>
    <row r="310">
      <c r="A310" s="9">
        <v>38841</v>
      </c>
      <c r="B310" s="2" t="inlineStr">
        <is>
          <t xml:space="preserve">2006-05</t>
        </is>
      </c>
      <c r="C310" s="2" t="inlineStr">
        <is>
          <t xml:space="preserve">2005/06</t>
        </is>
      </c>
      <c r="D310">
        <v>0.0</v>
      </c>
      <c r="E310">
        <v>25.41</v>
      </c>
      <c r="F310">
        <v>34.54</v>
      </c>
      <c r="G310">
        <v>17.49</v>
      </c>
      <c r="H310">
        <v>0.01</v>
      </c>
      <c r="I310">
        <v>2.224</v>
      </c>
      <c r="J310">
        <v>25.5</v>
      </c>
      <c r="K310">
        <v>34.15</v>
      </c>
      <c r="L310">
        <v>17.71</v>
      </c>
      <c r="M310">
        <v>0.72</v>
      </c>
      <c r="N310">
        <v>0.095</v>
      </c>
      <c r="O310">
        <v>23.98</v>
      </c>
      <c r="P310">
        <v>32.12</v>
      </c>
      <c r="Q310">
        <v>17.85</v>
      </c>
      <c r="R310">
        <v>0.29</v>
      </c>
    </row>
    <row r="311">
      <c r="A311" s="9">
        <v>38842</v>
      </c>
      <c r="B311" s="2" t="inlineStr">
        <is>
          <t xml:space="preserve">2006-05</t>
        </is>
      </c>
      <c r="C311" s="2" t="inlineStr">
        <is>
          <t xml:space="preserve">2005/06</t>
        </is>
      </c>
      <c r="D311">
        <v>0.525</v>
      </c>
      <c r="E311">
        <v>26.37</v>
      </c>
      <c r="F311">
        <v>34.75</v>
      </c>
      <c r="G311">
        <v>18.76</v>
      </c>
      <c r="H311">
        <v>0.29</v>
      </c>
      <c r="I311">
        <v>0.0</v>
      </c>
      <c r="J311">
        <v>26.78</v>
      </c>
      <c r="K311">
        <v>34.94</v>
      </c>
      <c r="L311">
        <v>19.72</v>
      </c>
      <c r="M311">
        <v>0.16</v>
      </c>
      <c r="N311">
        <v>0.025</v>
      </c>
      <c r="O311">
        <v>25.59</v>
      </c>
      <c r="P311">
        <v>33.83</v>
      </c>
      <c r="Q311">
        <v>19.22</v>
      </c>
      <c r="R311">
        <v>0.03</v>
      </c>
    </row>
    <row r="312">
      <c r="A312" s="9">
        <v>38843</v>
      </c>
      <c r="B312" s="2" t="inlineStr">
        <is>
          <t xml:space="preserve">2006-05</t>
        </is>
      </c>
      <c r="C312" s="2" t="inlineStr">
        <is>
          <t xml:space="preserve">2005/06</t>
        </is>
      </c>
      <c r="D312">
        <v>0.0</v>
      </c>
      <c r="E312">
        <v>26.98</v>
      </c>
      <c r="F312">
        <v>34.57</v>
      </c>
      <c r="G312">
        <v>20.71</v>
      </c>
      <c r="H312">
        <v>0.11</v>
      </c>
      <c r="I312">
        <v>0.067</v>
      </c>
      <c r="J312">
        <v>26.87</v>
      </c>
      <c r="K312">
        <v>33.92</v>
      </c>
      <c r="L312">
        <v>21.48</v>
      </c>
      <c r="M312">
        <v>0.46</v>
      </c>
      <c r="N312">
        <v>0.0</v>
      </c>
      <c r="O312">
        <v>26.49</v>
      </c>
      <c r="P312">
        <v>34.17</v>
      </c>
      <c r="Q312">
        <v>20.58</v>
      </c>
      <c r="R312">
        <v>0.14</v>
      </c>
    </row>
    <row r="313">
      <c r="A313" s="9">
        <v>38844</v>
      </c>
      <c r="B313" s="2" t="inlineStr">
        <is>
          <t xml:space="preserve">2006-05</t>
        </is>
      </c>
      <c r="C313" s="2" t="inlineStr">
        <is>
          <t xml:space="preserve">2005/06</t>
        </is>
      </c>
      <c r="D313">
        <v>0.925</v>
      </c>
      <c r="E313">
        <v>27.29</v>
      </c>
      <c r="F313">
        <v>34.53</v>
      </c>
      <c r="G313">
        <v>21.31</v>
      </c>
      <c r="H313">
        <v>0.9</v>
      </c>
      <c r="I313">
        <v>0.084</v>
      </c>
      <c r="J313">
        <v>27.05</v>
      </c>
      <c r="K313">
        <v>33.92</v>
      </c>
      <c r="L313">
        <v>22.25</v>
      </c>
      <c r="M313">
        <v>0.25</v>
      </c>
      <c r="N313">
        <v>0.302</v>
      </c>
      <c r="O313">
        <v>27.1</v>
      </c>
      <c r="P313">
        <v>34.72</v>
      </c>
      <c r="Q313">
        <v>21.58</v>
      </c>
      <c r="R313">
        <v>0.21</v>
      </c>
    </row>
    <row r="314">
      <c r="A314" s="9">
        <v>38845</v>
      </c>
      <c r="B314" s="2" t="inlineStr">
        <is>
          <t xml:space="preserve">2006-05</t>
        </is>
      </c>
      <c r="C314" s="2" t="inlineStr">
        <is>
          <t xml:space="preserve">2005/06</t>
        </is>
      </c>
      <c r="D314">
        <v>2.165</v>
      </c>
      <c r="E314">
        <v>27.5</v>
      </c>
      <c r="F314">
        <v>34.91</v>
      </c>
      <c r="G314">
        <v>20.81</v>
      </c>
      <c r="H314">
        <v>0.88</v>
      </c>
      <c r="I314">
        <v>0.0</v>
      </c>
      <c r="J314">
        <v>26.92</v>
      </c>
      <c r="K314">
        <v>33.94</v>
      </c>
      <c r="L314">
        <v>21.78</v>
      </c>
      <c r="M314">
        <v>0.05</v>
      </c>
      <c r="N314">
        <v>0.037</v>
      </c>
      <c r="O314">
        <v>27.24</v>
      </c>
      <c r="P314">
        <v>35.0</v>
      </c>
      <c r="Q314">
        <v>21.71</v>
      </c>
      <c r="R314">
        <v>0.04</v>
      </c>
    </row>
    <row r="315">
      <c r="A315" s="9">
        <v>38846</v>
      </c>
      <c r="B315" s="2" t="inlineStr">
        <is>
          <t xml:space="preserve">2006-05</t>
        </is>
      </c>
      <c r="C315" s="2" t="inlineStr">
        <is>
          <t xml:space="preserve">2005/06</t>
        </is>
      </c>
      <c r="D315">
        <v>0.567</v>
      </c>
      <c r="E315">
        <v>26.82</v>
      </c>
      <c r="F315">
        <v>34.49</v>
      </c>
      <c r="G315">
        <v>21.39</v>
      </c>
      <c r="H315">
        <v>0.97</v>
      </c>
      <c r="I315">
        <v>0.083</v>
      </c>
      <c r="J315">
        <v>27.04</v>
      </c>
      <c r="K315">
        <v>34.22</v>
      </c>
      <c r="L315">
        <v>20.86</v>
      </c>
      <c r="M315">
        <v>0.06</v>
      </c>
      <c r="N315">
        <v>0.052</v>
      </c>
      <c r="O315">
        <v>26.3</v>
      </c>
      <c r="P315">
        <v>33.69</v>
      </c>
      <c r="Q315">
        <v>20.23</v>
      </c>
      <c r="R315">
        <v>0.04</v>
      </c>
    </row>
    <row r="316">
      <c r="A316" s="9">
        <v>38847</v>
      </c>
      <c r="B316" s="2" t="inlineStr">
        <is>
          <t xml:space="preserve">2006-05</t>
        </is>
      </c>
      <c r="C316" s="2" t="inlineStr">
        <is>
          <t xml:space="preserve">2005/06</t>
        </is>
      </c>
      <c r="D316">
        <v>0.0</v>
      </c>
      <c r="E316">
        <v>26.28</v>
      </c>
      <c r="F316">
        <v>33.32</v>
      </c>
      <c r="G316">
        <v>21.33</v>
      </c>
      <c r="H316">
        <v>0.0</v>
      </c>
      <c r="I316">
        <v>0.0</v>
      </c>
      <c r="J316">
        <v>25.63</v>
      </c>
      <c r="K316">
        <v>29.53</v>
      </c>
      <c r="L316">
        <v>22.27</v>
      </c>
      <c r="M316">
        <v>0.0</v>
      </c>
      <c r="N316">
        <v>0.0</v>
      </c>
      <c r="O316">
        <v>26.3</v>
      </c>
      <c r="P316">
        <v>32.3</v>
      </c>
      <c r="Q316">
        <v>21.69</v>
      </c>
      <c r="R316">
        <v>0.0</v>
      </c>
    </row>
    <row r="317">
      <c r="A317" s="9">
        <v>38848</v>
      </c>
      <c r="B317" s="2" t="inlineStr">
        <is>
          <t xml:space="preserve">2006-05</t>
        </is>
      </c>
      <c r="C317" s="2" t="inlineStr">
        <is>
          <t xml:space="preserve">2005/06</t>
        </is>
      </c>
      <c r="D317">
        <v>0.0</v>
      </c>
      <c r="E317">
        <v>26.72</v>
      </c>
      <c r="F317">
        <v>32.56</v>
      </c>
      <c r="G317">
        <v>22.1</v>
      </c>
      <c r="H317">
        <v>1.06</v>
      </c>
      <c r="I317">
        <v>0.0</v>
      </c>
      <c r="J317">
        <v>26.47</v>
      </c>
      <c r="K317">
        <v>33.07</v>
      </c>
      <c r="L317">
        <v>21.47</v>
      </c>
      <c r="M317">
        <v>2.53</v>
      </c>
      <c r="N317">
        <v>0.0</v>
      </c>
      <c r="O317">
        <v>27.59</v>
      </c>
      <c r="P317">
        <v>34.76</v>
      </c>
      <c r="Q317">
        <v>22.22</v>
      </c>
      <c r="R317">
        <v>3.27</v>
      </c>
    </row>
    <row r="318">
      <c r="A318" s="9">
        <v>38849</v>
      </c>
      <c r="B318" s="2" t="inlineStr">
        <is>
          <t xml:space="preserve">2006-05</t>
        </is>
      </c>
      <c r="C318" s="2" t="inlineStr">
        <is>
          <t xml:space="preserve">2005/06</t>
        </is>
      </c>
      <c r="D318">
        <v>6.407</v>
      </c>
      <c r="E318">
        <v>26.06</v>
      </c>
      <c r="F318">
        <v>32.41</v>
      </c>
      <c r="G318">
        <v>21.52</v>
      </c>
      <c r="H318">
        <v>5.63</v>
      </c>
      <c r="I318">
        <v>20.77</v>
      </c>
      <c r="J318">
        <v>24.76</v>
      </c>
      <c r="K318">
        <v>28.61</v>
      </c>
      <c r="L318">
        <v>21.91</v>
      </c>
      <c r="M318">
        <v>16.96</v>
      </c>
      <c r="N318">
        <v>22.355</v>
      </c>
      <c r="O318">
        <v>24.67</v>
      </c>
      <c r="P318">
        <v>29.45</v>
      </c>
      <c r="Q318">
        <v>21.96</v>
      </c>
      <c r="R318">
        <v>18.12</v>
      </c>
    </row>
    <row r="319">
      <c r="A319" s="9">
        <v>38850</v>
      </c>
      <c r="B319" s="2" t="inlineStr">
        <is>
          <t xml:space="preserve">2006-05</t>
        </is>
      </c>
      <c r="C319" s="2" t="inlineStr">
        <is>
          <t xml:space="preserve">2005/06</t>
        </is>
      </c>
      <c r="D319">
        <v>0.0</v>
      </c>
      <c r="E319">
        <v>24.84</v>
      </c>
      <c r="F319">
        <v>29.8</v>
      </c>
      <c r="G319">
        <v>20.66</v>
      </c>
      <c r="H319">
        <v>0.47</v>
      </c>
      <c r="I319">
        <v>0.0</v>
      </c>
      <c r="J319">
        <v>24.64</v>
      </c>
      <c r="K319">
        <v>28.88</v>
      </c>
      <c r="L319">
        <v>20.88</v>
      </c>
      <c r="M319">
        <v>1.57</v>
      </c>
      <c r="N319">
        <v>0.0</v>
      </c>
      <c r="O319">
        <v>24.08</v>
      </c>
      <c r="P319">
        <v>28.63</v>
      </c>
      <c r="Q319">
        <v>20.9</v>
      </c>
      <c r="R319">
        <v>1.84</v>
      </c>
    </row>
    <row r="320">
      <c r="A320" s="9">
        <v>38851</v>
      </c>
      <c r="B320" s="2" t="inlineStr">
        <is>
          <t xml:space="preserve">2006-05</t>
        </is>
      </c>
      <c r="C320" s="2" t="inlineStr">
        <is>
          <t xml:space="preserve">2005/06</t>
        </is>
      </c>
      <c r="D320">
        <v>1.889</v>
      </c>
      <c r="E320">
        <v>25.03</v>
      </c>
      <c r="F320">
        <v>31.16</v>
      </c>
      <c r="G320">
        <v>19.77</v>
      </c>
      <c r="H320">
        <v>1.23</v>
      </c>
      <c r="I320">
        <v>12.773</v>
      </c>
      <c r="J320">
        <v>23.4</v>
      </c>
      <c r="K320">
        <v>26.92</v>
      </c>
      <c r="L320">
        <v>20.7</v>
      </c>
      <c r="M320">
        <v>7.85</v>
      </c>
      <c r="N320">
        <v>5.2</v>
      </c>
      <c r="O320">
        <v>23.58</v>
      </c>
      <c r="P320">
        <v>28.11</v>
      </c>
      <c r="Q320">
        <v>20.83</v>
      </c>
      <c r="R320">
        <v>5.48</v>
      </c>
    </row>
    <row r="321">
      <c r="A321" s="9">
        <v>38852</v>
      </c>
      <c r="B321" s="2" t="inlineStr">
        <is>
          <t xml:space="preserve">2006-05</t>
        </is>
      </c>
      <c r="C321" s="2" t="inlineStr">
        <is>
          <t xml:space="preserve">2005/06</t>
        </is>
      </c>
      <c r="D321">
        <v>0.595</v>
      </c>
      <c r="E321">
        <v>24.77</v>
      </c>
      <c r="F321">
        <v>30.72</v>
      </c>
      <c r="G321">
        <v>20.32</v>
      </c>
      <c r="H321">
        <v>0.58</v>
      </c>
      <c r="I321">
        <v>0.168</v>
      </c>
      <c r="J321">
        <v>24.45</v>
      </c>
      <c r="K321">
        <v>30.46</v>
      </c>
      <c r="L321">
        <v>19.95</v>
      </c>
      <c r="M321">
        <v>0.26</v>
      </c>
      <c r="N321">
        <v>0.655</v>
      </c>
      <c r="O321">
        <v>25.01</v>
      </c>
      <c r="P321">
        <v>30.89</v>
      </c>
      <c r="Q321">
        <v>21.18</v>
      </c>
      <c r="R321">
        <v>0.4</v>
      </c>
    </row>
    <row r="322">
      <c r="A322" s="9">
        <v>38853</v>
      </c>
      <c r="B322" s="2" t="inlineStr">
        <is>
          <t xml:space="preserve">2006-05</t>
        </is>
      </c>
      <c r="C322" s="2" t="inlineStr">
        <is>
          <t xml:space="preserve">2005/06</t>
        </is>
      </c>
      <c r="D322">
        <v>0.808</v>
      </c>
      <c r="E322">
        <v>24.27</v>
      </c>
      <c r="F322">
        <v>30.22</v>
      </c>
      <c r="G322">
        <v>19.4</v>
      </c>
      <c r="H322">
        <v>3.93</v>
      </c>
      <c r="I322">
        <v>0.051</v>
      </c>
      <c r="J322">
        <v>24.38</v>
      </c>
      <c r="K322">
        <v>30.35</v>
      </c>
      <c r="L322">
        <v>19.96</v>
      </c>
      <c r="M322">
        <v>0.27</v>
      </c>
      <c r="N322">
        <v>0.069</v>
      </c>
      <c r="O322">
        <v>24.16</v>
      </c>
      <c r="P322">
        <v>29.06</v>
      </c>
      <c r="Q322">
        <v>20.5</v>
      </c>
      <c r="R322">
        <v>0.42</v>
      </c>
    </row>
    <row r="323">
      <c r="A323" s="9">
        <v>38854</v>
      </c>
      <c r="B323" s="2" t="inlineStr">
        <is>
          <t xml:space="preserve">2006-05</t>
        </is>
      </c>
      <c r="C323" s="2" t="inlineStr">
        <is>
          <t xml:space="preserve">2005/06</t>
        </is>
      </c>
      <c r="D323">
        <v>1.14</v>
      </c>
      <c r="E323">
        <v>22.89</v>
      </c>
      <c r="F323">
        <v>28.93</v>
      </c>
      <c r="G323">
        <v>18.77</v>
      </c>
      <c r="H323">
        <v>3.34</v>
      </c>
      <c r="I323">
        <v>0.084</v>
      </c>
      <c r="J323">
        <v>23.78</v>
      </c>
      <c r="K323">
        <v>29.64</v>
      </c>
      <c r="L323">
        <v>19.5</v>
      </c>
      <c r="M323">
        <v>0.26</v>
      </c>
      <c r="N323">
        <v>0.63</v>
      </c>
      <c r="O323">
        <v>23.21</v>
      </c>
      <c r="P323">
        <v>28.71</v>
      </c>
      <c r="Q323">
        <v>19.05</v>
      </c>
      <c r="R323">
        <v>0.28</v>
      </c>
    </row>
    <row r="324">
      <c r="A324" s="9">
        <v>38855</v>
      </c>
      <c r="B324" s="2" t="inlineStr">
        <is>
          <t xml:space="preserve">2006-05</t>
        </is>
      </c>
      <c r="C324" s="2" t="inlineStr">
        <is>
          <t xml:space="preserve">2005/06</t>
        </is>
      </c>
      <c r="D324">
        <v>1.618</v>
      </c>
      <c r="E324">
        <v>22.66</v>
      </c>
      <c r="F324">
        <v>29.28</v>
      </c>
      <c r="G324">
        <v>17.17</v>
      </c>
      <c r="H324">
        <v>1.2</v>
      </c>
      <c r="I324">
        <v>0.047</v>
      </c>
      <c r="J324">
        <v>23.97</v>
      </c>
      <c r="K324">
        <v>29.4</v>
      </c>
      <c r="L324">
        <v>19.61</v>
      </c>
      <c r="M324">
        <v>1.37</v>
      </c>
      <c r="N324">
        <v>0.317</v>
      </c>
      <c r="O324">
        <v>23.12</v>
      </c>
      <c r="P324">
        <v>28.93</v>
      </c>
      <c r="Q324">
        <v>19.0</v>
      </c>
      <c r="R324">
        <v>0.71</v>
      </c>
    </row>
    <row r="325">
      <c r="A325" s="9">
        <v>38856</v>
      </c>
      <c r="B325" s="2" t="inlineStr">
        <is>
          <t xml:space="preserve">2006-05</t>
        </is>
      </c>
      <c r="C325" s="2" t="inlineStr">
        <is>
          <t xml:space="preserve">2005/06</t>
        </is>
      </c>
      <c r="D325">
        <v>0.065</v>
      </c>
      <c r="E325">
        <v>22.69</v>
      </c>
      <c r="F325">
        <v>27.58</v>
      </c>
      <c r="G325">
        <v>19.61</v>
      </c>
      <c r="H325">
        <v>2.39</v>
      </c>
      <c r="I325">
        <v>8.399</v>
      </c>
      <c r="J325">
        <v>22.8</v>
      </c>
      <c r="K325">
        <v>26.94</v>
      </c>
      <c r="L325">
        <v>19.39</v>
      </c>
      <c r="M325">
        <v>3.02</v>
      </c>
      <c r="N325">
        <v>0.386</v>
      </c>
      <c r="O325">
        <v>23.1</v>
      </c>
      <c r="P325">
        <v>28.97</v>
      </c>
      <c r="Q325">
        <v>19.27</v>
      </c>
      <c r="R325">
        <v>1.44</v>
      </c>
    </row>
    <row r="326">
      <c r="A326" s="9">
        <v>38857</v>
      </c>
      <c r="B326" s="2" t="inlineStr">
        <is>
          <t xml:space="preserve">2006-05</t>
        </is>
      </c>
      <c r="C326" s="2" t="inlineStr">
        <is>
          <t xml:space="preserve">2005/06</t>
        </is>
      </c>
      <c r="D326">
        <v>5.114</v>
      </c>
      <c r="E326">
        <v>22.9</v>
      </c>
      <c r="F326">
        <v>29.65</v>
      </c>
      <c r="G326">
        <v>18.78</v>
      </c>
      <c r="H326">
        <v>3.36</v>
      </c>
      <c r="I326">
        <v>0.135</v>
      </c>
      <c r="J326">
        <v>23.32</v>
      </c>
      <c r="K326">
        <v>29.23</v>
      </c>
      <c r="L326">
        <v>19.0</v>
      </c>
      <c r="M326">
        <v>5.12</v>
      </c>
      <c r="N326">
        <v>0.06</v>
      </c>
      <c r="O326">
        <v>22.99</v>
      </c>
      <c r="P326">
        <v>29.23</v>
      </c>
      <c r="Q326">
        <v>19.14</v>
      </c>
      <c r="R326">
        <v>4.65</v>
      </c>
    </row>
    <row r="327">
      <c r="A327" s="9">
        <v>38858</v>
      </c>
      <c r="B327" s="2" t="inlineStr">
        <is>
          <t xml:space="preserve">2006-05</t>
        </is>
      </c>
      <c r="C327" s="2" t="inlineStr">
        <is>
          <t xml:space="preserve">2005/06</t>
        </is>
      </c>
      <c r="D327">
        <v>5.598</v>
      </c>
      <c r="E327">
        <v>22.58</v>
      </c>
      <c r="F327">
        <v>28.77</v>
      </c>
      <c r="G327">
        <v>18.91</v>
      </c>
      <c r="H327">
        <v>10.36</v>
      </c>
      <c r="I327">
        <v>33.327</v>
      </c>
      <c r="J327">
        <v>20.3</v>
      </c>
      <c r="K327">
        <v>23.09</v>
      </c>
      <c r="L327">
        <v>17.3</v>
      </c>
      <c r="M327">
        <v>26.63</v>
      </c>
      <c r="N327">
        <v>34.423</v>
      </c>
      <c r="O327">
        <v>21.37</v>
      </c>
      <c r="P327">
        <v>25.19</v>
      </c>
      <c r="Q327">
        <v>18.87</v>
      </c>
      <c r="R327">
        <v>29.62</v>
      </c>
    </row>
    <row r="328">
      <c r="A328" s="9">
        <v>38859</v>
      </c>
      <c r="B328" s="2" t="inlineStr">
        <is>
          <t xml:space="preserve">2006-05</t>
        </is>
      </c>
      <c r="C328" s="2" t="inlineStr">
        <is>
          <t xml:space="preserve">2005/06</t>
        </is>
      </c>
      <c r="D328">
        <v>5.98</v>
      </c>
      <c r="E328">
        <v>24.21</v>
      </c>
      <c r="F328">
        <v>31.74</v>
      </c>
      <c r="G328">
        <v>18.72</v>
      </c>
      <c r="H328">
        <v>1.08</v>
      </c>
      <c r="I328">
        <v>1.13</v>
      </c>
      <c r="J328">
        <v>23.13</v>
      </c>
      <c r="K328">
        <v>28.29</v>
      </c>
      <c r="L328">
        <v>19.3</v>
      </c>
      <c r="M328">
        <v>1.15</v>
      </c>
      <c r="N328">
        <v>4.932</v>
      </c>
      <c r="O328">
        <v>22.8</v>
      </c>
      <c r="P328">
        <v>27.9</v>
      </c>
      <c r="Q328">
        <v>20.02</v>
      </c>
      <c r="R328">
        <v>2.58</v>
      </c>
    </row>
    <row r="329">
      <c r="A329" s="9">
        <v>38860</v>
      </c>
      <c r="B329" s="2" t="inlineStr">
        <is>
          <t xml:space="preserve">2006-05</t>
        </is>
      </c>
      <c r="C329" s="2" t="inlineStr">
        <is>
          <t xml:space="preserve">2005/06</t>
        </is>
      </c>
      <c r="D329">
        <v>5.069</v>
      </c>
      <c r="E329">
        <v>24.89</v>
      </c>
      <c r="F329">
        <v>32.9</v>
      </c>
      <c r="G329">
        <v>18.84</v>
      </c>
      <c r="H329">
        <v>4.08</v>
      </c>
      <c r="I329">
        <v>0.557</v>
      </c>
      <c r="J329">
        <v>23.78</v>
      </c>
      <c r="K329">
        <v>29.04</v>
      </c>
      <c r="L329">
        <v>19.34</v>
      </c>
      <c r="M329">
        <v>1.75</v>
      </c>
      <c r="N329">
        <v>1.809</v>
      </c>
      <c r="O329">
        <v>24.34</v>
      </c>
      <c r="P329">
        <v>30.6</v>
      </c>
      <c r="Q329">
        <v>20.02</v>
      </c>
      <c r="R329">
        <v>2.13</v>
      </c>
    </row>
    <row r="330">
      <c r="A330" s="9">
        <v>38861</v>
      </c>
      <c r="B330" s="2" t="inlineStr">
        <is>
          <t xml:space="preserve">2006-05</t>
        </is>
      </c>
      <c r="C330" s="2" t="inlineStr">
        <is>
          <t xml:space="preserve">2005/06</t>
        </is>
      </c>
      <c r="D330">
        <v>8.655</v>
      </c>
      <c r="E330">
        <v>22.97</v>
      </c>
      <c r="F330">
        <v>27.79</v>
      </c>
      <c r="G330">
        <v>20.37</v>
      </c>
      <c r="H330">
        <v>6.8</v>
      </c>
      <c r="I330">
        <v>2.021</v>
      </c>
      <c r="J330">
        <v>22.52</v>
      </c>
      <c r="K330">
        <v>25.76</v>
      </c>
      <c r="L330">
        <v>20.3</v>
      </c>
      <c r="M330">
        <v>15.8</v>
      </c>
      <c r="N330">
        <v>1.65</v>
      </c>
      <c r="O330">
        <v>22.48</v>
      </c>
      <c r="P330">
        <v>25.0</v>
      </c>
      <c r="Q330">
        <v>21.24</v>
      </c>
      <c r="R330">
        <v>22.1</v>
      </c>
    </row>
    <row r="331">
      <c r="A331" s="9">
        <v>38862</v>
      </c>
      <c r="B331" s="2" t="inlineStr">
        <is>
          <t xml:space="preserve">2006-05</t>
        </is>
      </c>
      <c r="C331" s="2" t="inlineStr">
        <is>
          <t xml:space="preserve">2005/06</t>
        </is>
      </c>
      <c r="D331">
        <v>4.675</v>
      </c>
      <c r="E331">
        <v>23.6</v>
      </c>
      <c r="F331">
        <v>28.61</v>
      </c>
      <c r="G331">
        <v>19.59</v>
      </c>
      <c r="H331">
        <v>7.65</v>
      </c>
      <c r="I331">
        <v>55.555</v>
      </c>
      <c r="J331">
        <v>22.31</v>
      </c>
      <c r="K331">
        <v>26.12</v>
      </c>
      <c r="L331">
        <v>19.28</v>
      </c>
      <c r="M331">
        <v>38.68</v>
      </c>
      <c r="N331">
        <v>58.398</v>
      </c>
      <c r="O331">
        <v>22.6</v>
      </c>
      <c r="P331">
        <v>25.82</v>
      </c>
      <c r="Q331">
        <v>20.44</v>
      </c>
      <c r="R331">
        <v>42.45</v>
      </c>
    </row>
    <row r="332">
      <c r="A332" s="9">
        <v>38863</v>
      </c>
      <c r="B332" s="2" t="inlineStr">
        <is>
          <t xml:space="preserve">2006-05</t>
        </is>
      </c>
      <c r="C332" s="2" t="inlineStr">
        <is>
          <t xml:space="preserve">2005/06</t>
        </is>
      </c>
      <c r="D332">
        <v>2.005</v>
      </c>
      <c r="E332">
        <v>22.66</v>
      </c>
      <c r="F332">
        <v>27.74</v>
      </c>
      <c r="G332">
        <v>19.93</v>
      </c>
      <c r="H332">
        <v>1.61</v>
      </c>
      <c r="I332">
        <v>0.075</v>
      </c>
      <c r="J332">
        <v>23.57</v>
      </c>
      <c r="K332">
        <v>29.13</v>
      </c>
      <c r="L332">
        <v>18.36</v>
      </c>
      <c r="M332">
        <v>1.4</v>
      </c>
      <c r="N332">
        <v>0.162</v>
      </c>
      <c r="O332">
        <v>23.29</v>
      </c>
      <c r="P332">
        <v>27.81</v>
      </c>
      <c r="Q332">
        <v>20.04</v>
      </c>
      <c r="R332">
        <v>0.61</v>
      </c>
    </row>
    <row r="333">
      <c r="A333" s="9">
        <v>38864</v>
      </c>
      <c r="B333" s="2" t="inlineStr">
        <is>
          <t xml:space="preserve">2006-05</t>
        </is>
      </c>
      <c r="C333" s="2" t="inlineStr">
        <is>
          <t xml:space="preserve">2005/06</t>
        </is>
      </c>
      <c r="D333">
        <v>1.659</v>
      </c>
      <c r="E333">
        <v>24.96</v>
      </c>
      <c r="F333">
        <v>32.75</v>
      </c>
      <c r="G333">
        <v>19.13</v>
      </c>
      <c r="H333">
        <v>0.92</v>
      </c>
      <c r="I333">
        <v>0.0</v>
      </c>
      <c r="J333">
        <v>24.06</v>
      </c>
      <c r="K333">
        <v>29.24</v>
      </c>
      <c r="L333">
        <v>20.51</v>
      </c>
      <c r="M333">
        <v>1.5</v>
      </c>
      <c r="N333">
        <v>0.032</v>
      </c>
      <c r="O333">
        <v>23.11</v>
      </c>
      <c r="P333">
        <v>27.46</v>
      </c>
      <c r="Q333">
        <v>20.41</v>
      </c>
      <c r="R333">
        <v>2.05</v>
      </c>
    </row>
    <row r="334">
      <c r="A334" s="9">
        <v>38865</v>
      </c>
      <c r="B334" s="2" t="inlineStr">
        <is>
          <t xml:space="preserve">2006-05</t>
        </is>
      </c>
      <c r="C334" s="2" t="inlineStr">
        <is>
          <t xml:space="preserve">2005/06</t>
        </is>
      </c>
      <c r="D334">
        <v>1.457</v>
      </c>
      <c r="E334">
        <v>25.45</v>
      </c>
      <c r="F334">
        <v>32.8</v>
      </c>
      <c r="G334">
        <v>18.39</v>
      </c>
      <c r="H334">
        <v>0.62</v>
      </c>
      <c r="I334">
        <v>5.859</v>
      </c>
      <c r="J334">
        <v>24.35</v>
      </c>
      <c r="K334">
        <v>29.18</v>
      </c>
      <c r="L334">
        <v>20.03</v>
      </c>
      <c r="M334">
        <v>3.34</v>
      </c>
      <c r="N334">
        <v>0.325</v>
      </c>
      <c r="O334">
        <v>23.81</v>
      </c>
      <c r="P334">
        <v>29.3</v>
      </c>
      <c r="Q334">
        <v>19.71</v>
      </c>
      <c r="R334">
        <v>2.21</v>
      </c>
    </row>
    <row r="335">
      <c r="A335" s="9">
        <v>38866</v>
      </c>
      <c r="B335" s="2" t="inlineStr">
        <is>
          <t xml:space="preserve">2006-05</t>
        </is>
      </c>
      <c r="C335" s="2" t="inlineStr">
        <is>
          <t xml:space="preserve">2005/06</t>
        </is>
      </c>
      <c r="D335">
        <v>0.199</v>
      </c>
      <c r="E335">
        <v>26.22</v>
      </c>
      <c r="F335">
        <v>33.95</v>
      </c>
      <c r="G335">
        <v>19.29</v>
      </c>
      <c r="H335">
        <v>0.66</v>
      </c>
      <c r="I335">
        <v>0.077</v>
      </c>
      <c r="J335">
        <v>25.09</v>
      </c>
      <c r="K335">
        <v>30.06</v>
      </c>
      <c r="L335">
        <v>20.94</v>
      </c>
      <c r="M335">
        <v>0.7</v>
      </c>
      <c r="N335">
        <v>0.0</v>
      </c>
      <c r="O335">
        <v>24.26</v>
      </c>
      <c r="P335">
        <v>30.12</v>
      </c>
      <c r="Q335">
        <v>20.63</v>
      </c>
      <c r="R335">
        <v>1.79</v>
      </c>
    </row>
    <row r="336">
      <c r="A336" s="9">
        <v>38867</v>
      </c>
      <c r="B336" s="2" t="inlineStr">
        <is>
          <t xml:space="preserve">2006-05</t>
        </is>
      </c>
      <c r="C336" s="2" t="inlineStr">
        <is>
          <t xml:space="preserve">2005/06</t>
        </is>
      </c>
      <c r="D336">
        <v>3.868</v>
      </c>
      <c r="E336">
        <v>24.36</v>
      </c>
      <c r="F336">
        <v>29.7</v>
      </c>
      <c r="G336">
        <v>19.59</v>
      </c>
      <c r="H336">
        <v>5.69</v>
      </c>
      <c r="I336">
        <v>0.127</v>
      </c>
      <c r="J336">
        <v>24.49</v>
      </c>
      <c r="K336">
        <v>29.76</v>
      </c>
      <c r="L336">
        <v>20.11</v>
      </c>
      <c r="M336">
        <v>2.08</v>
      </c>
      <c r="N336">
        <v>1.302</v>
      </c>
      <c r="O336">
        <v>23.33</v>
      </c>
      <c r="P336">
        <v>27.8</v>
      </c>
      <c r="Q336">
        <v>20.29</v>
      </c>
      <c r="R336">
        <v>5.23</v>
      </c>
    </row>
    <row r="337">
      <c r="A337" s="9">
        <v>38868</v>
      </c>
      <c r="B337" s="2" t="inlineStr">
        <is>
          <t xml:space="preserve">2006-05</t>
        </is>
      </c>
      <c r="C337" s="2" t="inlineStr">
        <is>
          <t xml:space="preserve">2005/06</t>
        </is>
      </c>
      <c r="D337">
        <v>10.36</v>
      </c>
      <c r="E337">
        <v>23.97</v>
      </c>
      <c r="F337">
        <v>29.31</v>
      </c>
      <c r="G337">
        <v>19.83</v>
      </c>
      <c r="H337">
        <v>2.55</v>
      </c>
      <c r="I337">
        <v>0.801</v>
      </c>
      <c r="J337">
        <v>23.89</v>
      </c>
      <c r="K337">
        <v>28.07</v>
      </c>
      <c r="L337">
        <v>20.55</v>
      </c>
      <c r="M337">
        <v>0.8</v>
      </c>
      <c r="N337">
        <v>0.872</v>
      </c>
      <c r="O337">
        <v>23.28</v>
      </c>
      <c r="P337">
        <v>27.2</v>
      </c>
      <c r="Q337">
        <v>20.57</v>
      </c>
      <c r="R337">
        <v>0.51</v>
      </c>
    </row>
    <row r="338">
      <c r="A338" s="9">
        <v>38869</v>
      </c>
      <c r="B338" s="2" t="inlineStr">
        <is>
          <t xml:space="preserve">2006-06</t>
        </is>
      </c>
      <c r="C338" s="2" t="inlineStr">
        <is>
          <t xml:space="preserve">2005/06</t>
        </is>
      </c>
      <c r="D338">
        <v>0.0</v>
      </c>
      <c r="E338">
        <v>23.78</v>
      </c>
      <c r="F338">
        <v>29.68</v>
      </c>
      <c r="G338">
        <v>19.48</v>
      </c>
      <c r="H338">
        <v>1.41</v>
      </c>
      <c r="I338">
        <v>0.0</v>
      </c>
      <c r="J338">
        <v>23.69</v>
      </c>
      <c r="K338">
        <v>28.37</v>
      </c>
      <c r="L338">
        <v>19.91</v>
      </c>
      <c r="M338">
        <v>0.86</v>
      </c>
      <c r="N338">
        <v>0.0</v>
      </c>
      <c r="O338">
        <v>23.04</v>
      </c>
      <c r="P338">
        <v>27.04</v>
      </c>
      <c r="Q338">
        <v>20.38</v>
      </c>
      <c r="R338">
        <v>0.24</v>
      </c>
    </row>
    <row r="339">
      <c r="A339" s="9">
        <v>38870</v>
      </c>
      <c r="B339" s="2" t="inlineStr">
        <is>
          <t xml:space="preserve">2006-06</t>
        </is>
      </c>
      <c r="C339" s="2" t="inlineStr">
        <is>
          <t xml:space="preserve">2005/06</t>
        </is>
      </c>
      <c r="D339">
        <v>1.484</v>
      </c>
      <c r="E339">
        <v>24.47</v>
      </c>
      <c r="F339">
        <v>31.44</v>
      </c>
      <c r="G339">
        <v>19.4</v>
      </c>
      <c r="H339">
        <v>0.84</v>
      </c>
      <c r="I339">
        <v>0.968</v>
      </c>
      <c r="J339">
        <v>23.59</v>
      </c>
      <c r="K339">
        <v>28.61</v>
      </c>
      <c r="L339">
        <v>19.83</v>
      </c>
      <c r="M339">
        <v>0.6</v>
      </c>
      <c r="N339">
        <v>0.162</v>
      </c>
      <c r="O339">
        <v>23.19</v>
      </c>
      <c r="P339">
        <v>28.02</v>
      </c>
      <c r="Q339">
        <v>20.08</v>
      </c>
      <c r="R339">
        <v>0.6</v>
      </c>
    </row>
    <row r="340">
      <c r="A340" s="9">
        <v>38871</v>
      </c>
      <c r="B340" s="2" t="inlineStr">
        <is>
          <t xml:space="preserve">2006-06</t>
        </is>
      </c>
      <c r="C340" s="2" t="inlineStr">
        <is>
          <t xml:space="preserve">2005/06</t>
        </is>
      </c>
      <c r="D340">
        <v>0.0</v>
      </c>
      <c r="E340">
        <v>23.67</v>
      </c>
      <c r="F340">
        <v>28.36</v>
      </c>
      <c r="G340">
        <v>19.56</v>
      </c>
      <c r="H340">
        <v>0.66</v>
      </c>
      <c r="I340">
        <v>0.064</v>
      </c>
      <c r="J340">
        <v>23.99</v>
      </c>
      <c r="K340">
        <v>28.91</v>
      </c>
      <c r="L340">
        <v>20.29</v>
      </c>
      <c r="M340">
        <v>0.51</v>
      </c>
      <c r="N340">
        <v>0.0</v>
      </c>
      <c r="O340">
        <v>23.45</v>
      </c>
      <c r="P340">
        <v>28.62</v>
      </c>
      <c r="Q340">
        <v>19.91</v>
      </c>
      <c r="R340">
        <v>1.29</v>
      </c>
    </row>
    <row r="341">
      <c r="A341" s="9">
        <v>38872</v>
      </c>
      <c r="B341" s="2" t="inlineStr">
        <is>
          <t xml:space="preserve">2006-06</t>
        </is>
      </c>
      <c r="C341" s="2" t="inlineStr">
        <is>
          <t xml:space="preserve">2005/06</t>
        </is>
      </c>
      <c r="D341">
        <v>4.535</v>
      </c>
      <c r="E341">
        <v>22.01</v>
      </c>
      <c r="F341">
        <v>24.98</v>
      </c>
      <c r="G341">
        <v>20.21</v>
      </c>
      <c r="H341">
        <v>6.3</v>
      </c>
      <c r="I341">
        <v>1.153</v>
      </c>
      <c r="J341">
        <v>23.05</v>
      </c>
      <c r="K341">
        <v>27.15</v>
      </c>
      <c r="L341">
        <v>20.0</v>
      </c>
      <c r="M341">
        <v>1.28</v>
      </c>
      <c r="N341">
        <v>0.312</v>
      </c>
      <c r="O341">
        <v>23.17</v>
      </c>
      <c r="P341">
        <v>27.42</v>
      </c>
      <c r="Q341">
        <v>20.51</v>
      </c>
      <c r="R341">
        <v>0.76</v>
      </c>
    </row>
    <row r="342">
      <c r="A342" s="9">
        <v>38873</v>
      </c>
      <c r="B342" s="2" t="inlineStr">
        <is>
          <t xml:space="preserve">2006-06</t>
        </is>
      </c>
      <c r="C342" s="2" t="inlineStr">
        <is>
          <t xml:space="preserve">2005/06</t>
        </is>
      </c>
      <c r="D342">
        <v>5.319</v>
      </c>
      <c r="E342">
        <v>22.11</v>
      </c>
      <c r="F342">
        <v>25.53</v>
      </c>
      <c r="G342">
        <v>20.05</v>
      </c>
      <c r="H342">
        <v>9.82</v>
      </c>
      <c r="I342">
        <v>0.443</v>
      </c>
      <c r="J342">
        <v>23.26</v>
      </c>
      <c r="K342">
        <v>27.1</v>
      </c>
      <c r="L342">
        <v>20.63</v>
      </c>
      <c r="M342">
        <v>0.97</v>
      </c>
      <c r="N342">
        <v>0.907</v>
      </c>
      <c r="O342">
        <v>23.55</v>
      </c>
      <c r="P342">
        <v>28.62</v>
      </c>
      <c r="Q342">
        <v>19.85</v>
      </c>
      <c r="R342">
        <v>0.69</v>
      </c>
    </row>
    <row r="343">
      <c r="A343" s="9">
        <v>38874</v>
      </c>
      <c r="B343" s="2" t="inlineStr">
        <is>
          <t xml:space="preserve">2006-06</t>
        </is>
      </c>
      <c r="C343" s="2" t="inlineStr">
        <is>
          <t xml:space="preserve">2005/06</t>
        </is>
      </c>
      <c r="D343">
        <v>15.616</v>
      </c>
      <c r="E343">
        <v>22.24</v>
      </c>
      <c r="F343">
        <v>26.71</v>
      </c>
      <c r="G343">
        <v>19.83</v>
      </c>
      <c r="H343">
        <v>18.63</v>
      </c>
      <c r="I343">
        <v>2.42</v>
      </c>
      <c r="J343">
        <v>22.84</v>
      </c>
      <c r="K343">
        <v>26.24</v>
      </c>
      <c r="L343">
        <v>20.93</v>
      </c>
      <c r="M343">
        <v>9.22</v>
      </c>
      <c r="N343">
        <v>1.974</v>
      </c>
      <c r="O343">
        <v>23.11</v>
      </c>
      <c r="P343">
        <v>27.7</v>
      </c>
      <c r="Q343">
        <v>20.58</v>
      </c>
      <c r="R343">
        <v>5.85</v>
      </c>
    </row>
    <row r="344">
      <c r="A344" s="9">
        <v>38875</v>
      </c>
      <c r="B344" s="2" t="inlineStr">
        <is>
          <t xml:space="preserve">2006-06</t>
        </is>
      </c>
      <c r="C344" s="2" t="inlineStr">
        <is>
          <t xml:space="preserve">2005/06</t>
        </is>
      </c>
      <c r="D344">
        <v>18.384</v>
      </c>
      <c r="E344">
        <v>21.98</v>
      </c>
      <c r="F344">
        <v>24.79</v>
      </c>
      <c r="G344">
        <v>19.57</v>
      </c>
      <c r="H344">
        <v>13.19</v>
      </c>
      <c r="I344">
        <v>32.831</v>
      </c>
      <c r="J344">
        <v>22.2</v>
      </c>
      <c r="K344">
        <v>25.62</v>
      </c>
      <c r="L344">
        <v>20.17</v>
      </c>
      <c r="M344">
        <v>22.44</v>
      </c>
      <c r="N344">
        <v>20.932</v>
      </c>
      <c r="O344">
        <v>22.36</v>
      </c>
      <c r="P344">
        <v>25.25</v>
      </c>
      <c r="Q344">
        <v>20.09</v>
      </c>
      <c r="R344">
        <v>18.95</v>
      </c>
    </row>
    <row r="345">
      <c r="A345" s="9">
        <v>38876</v>
      </c>
      <c r="B345" s="2" t="inlineStr">
        <is>
          <t xml:space="preserve">2006-06</t>
        </is>
      </c>
      <c r="C345" s="2" t="inlineStr">
        <is>
          <t xml:space="preserve">2005/06</t>
        </is>
      </c>
      <c r="D345">
        <v>2.29</v>
      </c>
      <c r="E345">
        <v>22.57</v>
      </c>
      <c r="F345">
        <v>27.78</v>
      </c>
      <c r="G345">
        <v>18.94</v>
      </c>
      <c r="H345">
        <v>4.37</v>
      </c>
      <c r="I345">
        <v>1.688</v>
      </c>
      <c r="J345">
        <v>21.52</v>
      </c>
      <c r="K345">
        <v>24.05</v>
      </c>
      <c r="L345">
        <v>19.36</v>
      </c>
      <c r="M345">
        <v>3.54</v>
      </c>
      <c r="N345">
        <v>1.458</v>
      </c>
      <c r="O345">
        <v>22.15</v>
      </c>
      <c r="P345">
        <v>25.32</v>
      </c>
      <c r="Q345">
        <v>19.36</v>
      </c>
      <c r="R345">
        <v>4.48</v>
      </c>
    </row>
    <row r="346">
      <c r="A346" s="9">
        <v>38877</v>
      </c>
      <c r="B346" s="2" t="inlineStr">
        <is>
          <t xml:space="preserve">2006-06</t>
        </is>
      </c>
      <c r="C346" s="2" t="inlineStr">
        <is>
          <t xml:space="preserve">2005/06</t>
        </is>
      </c>
      <c r="D346">
        <v>5.812</v>
      </c>
      <c r="E346">
        <v>21.02</v>
      </c>
      <c r="F346">
        <v>24.32</v>
      </c>
      <c r="G346">
        <v>18.64</v>
      </c>
      <c r="H346">
        <v>8.03</v>
      </c>
      <c r="I346">
        <v>4.526</v>
      </c>
      <c r="J346">
        <v>21.05</v>
      </c>
      <c r="K346">
        <v>23.3</v>
      </c>
      <c r="L346">
        <v>19.08</v>
      </c>
      <c r="M346">
        <v>10.07</v>
      </c>
      <c r="N346">
        <v>7.415</v>
      </c>
      <c r="O346">
        <v>21.26</v>
      </c>
      <c r="P346">
        <v>23.99</v>
      </c>
      <c r="Q346">
        <v>18.51</v>
      </c>
      <c r="R346">
        <v>9.92</v>
      </c>
    </row>
    <row r="347">
      <c r="A347" s="9">
        <v>38878</v>
      </c>
      <c r="B347" s="2" t="inlineStr">
        <is>
          <t xml:space="preserve">2006-06</t>
        </is>
      </c>
      <c r="C347" s="2" t="inlineStr">
        <is>
          <t xml:space="preserve">2005/06</t>
        </is>
      </c>
      <c r="D347">
        <v>14.989</v>
      </c>
      <c r="E347">
        <v>21.22</v>
      </c>
      <c r="F347">
        <v>24.45</v>
      </c>
      <c r="G347">
        <v>18.5</v>
      </c>
      <c r="H347">
        <v>14.71</v>
      </c>
      <c r="I347">
        <v>3.518</v>
      </c>
      <c r="J347">
        <v>21.39</v>
      </c>
      <c r="K347">
        <v>24.26</v>
      </c>
      <c r="L347">
        <v>19.55</v>
      </c>
      <c r="M347">
        <v>24.75</v>
      </c>
      <c r="N347">
        <v>16.793</v>
      </c>
      <c r="O347">
        <v>22.22</v>
      </c>
      <c r="P347">
        <v>26.06</v>
      </c>
      <c r="Q347">
        <v>19.48</v>
      </c>
      <c r="R347">
        <v>22.95</v>
      </c>
    </row>
    <row r="348">
      <c r="A348" s="9">
        <v>38879</v>
      </c>
      <c r="B348" s="2" t="inlineStr">
        <is>
          <t xml:space="preserve">2006-06</t>
        </is>
      </c>
      <c r="C348" s="2" t="inlineStr">
        <is>
          <t xml:space="preserve">2005/06</t>
        </is>
      </c>
      <c r="D348">
        <v>17.859</v>
      </c>
      <c r="E348">
        <v>22.0</v>
      </c>
      <c r="F348">
        <v>27.78</v>
      </c>
      <c r="G348">
        <v>17.48</v>
      </c>
      <c r="H348">
        <v>8.32</v>
      </c>
      <c r="I348">
        <v>9.332</v>
      </c>
      <c r="J348">
        <v>22.2</v>
      </c>
      <c r="K348">
        <v>26.54</v>
      </c>
      <c r="L348">
        <v>18.75</v>
      </c>
      <c r="M348">
        <v>11.03</v>
      </c>
      <c r="N348">
        <v>47.017</v>
      </c>
      <c r="O348">
        <v>22.89</v>
      </c>
      <c r="P348">
        <v>27.28</v>
      </c>
      <c r="Q348">
        <v>19.31</v>
      </c>
      <c r="R348">
        <v>14.3</v>
      </c>
    </row>
    <row r="349">
      <c r="A349" s="9">
        <v>38880</v>
      </c>
      <c r="B349" s="2" t="inlineStr">
        <is>
          <t xml:space="preserve">2006-06</t>
        </is>
      </c>
      <c r="C349" s="2" t="inlineStr">
        <is>
          <t xml:space="preserve">2005/06</t>
        </is>
      </c>
      <c r="D349">
        <v>3.325</v>
      </c>
      <c r="E349">
        <v>21.68</v>
      </c>
      <c r="F349">
        <v>25.88</v>
      </c>
      <c r="G349">
        <v>19.06</v>
      </c>
      <c r="H349">
        <v>2.41</v>
      </c>
      <c r="I349">
        <v>0.108</v>
      </c>
      <c r="J349">
        <v>22.89</v>
      </c>
      <c r="K349">
        <v>27.45</v>
      </c>
      <c r="L349">
        <v>19.55</v>
      </c>
      <c r="M349">
        <v>2.53</v>
      </c>
      <c r="N349">
        <v>0.098</v>
      </c>
      <c r="O349">
        <v>23.26</v>
      </c>
      <c r="P349">
        <v>27.89</v>
      </c>
      <c r="Q349">
        <v>20.01</v>
      </c>
      <c r="R349">
        <v>1.05</v>
      </c>
    </row>
    <row r="350">
      <c r="A350" s="9">
        <v>38881</v>
      </c>
      <c r="B350" s="2" t="inlineStr">
        <is>
          <t xml:space="preserve">2006-06</t>
        </is>
      </c>
      <c r="C350" s="2" t="inlineStr">
        <is>
          <t xml:space="preserve">2005/06</t>
        </is>
      </c>
      <c r="D350">
        <v>2.286</v>
      </c>
      <c r="E350">
        <v>21.85</v>
      </c>
      <c r="F350">
        <v>25.83</v>
      </c>
      <c r="G350">
        <v>19.37</v>
      </c>
      <c r="H350">
        <v>1.5</v>
      </c>
      <c r="I350">
        <v>20.818</v>
      </c>
      <c r="J350">
        <v>22.19</v>
      </c>
      <c r="K350">
        <v>26.63</v>
      </c>
      <c r="L350">
        <v>18.41</v>
      </c>
      <c r="M350">
        <v>9.65</v>
      </c>
      <c r="N350">
        <v>8.684</v>
      </c>
      <c r="O350">
        <v>22.59</v>
      </c>
      <c r="P350">
        <v>26.77</v>
      </c>
      <c r="Q350">
        <v>19.0</v>
      </c>
      <c r="R350">
        <v>6.53</v>
      </c>
    </row>
    <row r="351">
      <c r="A351" s="9">
        <v>38882</v>
      </c>
      <c r="B351" s="2" t="inlineStr">
        <is>
          <t xml:space="preserve">2006-06</t>
        </is>
      </c>
      <c r="C351" s="2" t="inlineStr">
        <is>
          <t xml:space="preserve">2005/06</t>
        </is>
      </c>
      <c r="D351">
        <v>0.344</v>
      </c>
      <c r="E351">
        <v>23.8</v>
      </c>
      <c r="F351">
        <v>29.85</v>
      </c>
      <c r="G351">
        <v>19.5</v>
      </c>
      <c r="H351">
        <v>5.1</v>
      </c>
      <c r="I351">
        <v>12.371</v>
      </c>
      <c r="J351">
        <v>22.23</v>
      </c>
      <c r="K351">
        <v>25.92</v>
      </c>
      <c r="L351">
        <v>20.09</v>
      </c>
      <c r="M351">
        <v>7.48</v>
      </c>
      <c r="N351">
        <v>0.56</v>
      </c>
      <c r="O351">
        <v>23.14</v>
      </c>
      <c r="P351">
        <v>27.64</v>
      </c>
      <c r="Q351">
        <v>19.8</v>
      </c>
      <c r="R351">
        <v>9.39</v>
      </c>
    </row>
    <row r="352">
      <c r="A352" s="9">
        <v>38883</v>
      </c>
      <c r="B352" s="2" t="inlineStr">
        <is>
          <t xml:space="preserve">2006-06</t>
        </is>
      </c>
      <c r="C352" s="2" t="inlineStr">
        <is>
          <t xml:space="preserve">2005/06</t>
        </is>
      </c>
      <c r="D352">
        <v>30.939</v>
      </c>
      <c r="E352">
        <v>23.01</v>
      </c>
      <c r="F352">
        <v>27.09</v>
      </c>
      <c r="G352">
        <v>20.44</v>
      </c>
      <c r="H352">
        <v>22.65</v>
      </c>
      <c r="I352">
        <v>11.206</v>
      </c>
      <c r="J352">
        <v>22.01</v>
      </c>
      <c r="K352">
        <v>25.13</v>
      </c>
      <c r="L352">
        <v>19.23</v>
      </c>
      <c r="M352">
        <v>30.86</v>
      </c>
      <c r="N352">
        <v>48.613</v>
      </c>
      <c r="O352">
        <v>23.16</v>
      </c>
      <c r="P352">
        <v>27.35</v>
      </c>
      <c r="Q352">
        <v>20.3</v>
      </c>
      <c r="R352">
        <v>41.89</v>
      </c>
    </row>
    <row r="353">
      <c r="A353" s="9">
        <v>38884</v>
      </c>
      <c r="B353" s="2" t="inlineStr">
        <is>
          <t xml:space="preserve">2006-06</t>
        </is>
      </c>
      <c r="C353" s="2" t="inlineStr">
        <is>
          <t xml:space="preserve">2005/06</t>
        </is>
      </c>
      <c r="D353">
        <v>26.29</v>
      </c>
      <c r="E353">
        <v>21.93</v>
      </c>
      <c r="F353">
        <v>26.27</v>
      </c>
      <c r="G353">
        <v>18.89</v>
      </c>
      <c r="H353">
        <v>19.25</v>
      </c>
      <c r="I353">
        <v>43.207</v>
      </c>
      <c r="J353">
        <v>22.17</v>
      </c>
      <c r="K353">
        <v>25.75</v>
      </c>
      <c r="L353">
        <v>19.93</v>
      </c>
      <c r="M353">
        <v>32.44</v>
      </c>
      <c r="N353">
        <v>64.05</v>
      </c>
      <c r="O353">
        <v>22.72</v>
      </c>
      <c r="P353">
        <v>25.69</v>
      </c>
      <c r="Q353">
        <v>21.16</v>
      </c>
      <c r="R353">
        <v>30.65</v>
      </c>
    </row>
    <row r="354">
      <c r="A354" s="9">
        <v>38885</v>
      </c>
      <c r="B354" s="2" t="inlineStr">
        <is>
          <t xml:space="preserve">2006-06</t>
        </is>
      </c>
      <c r="C354" s="2" t="inlineStr">
        <is>
          <t xml:space="preserve">2005/06</t>
        </is>
      </c>
      <c r="D354">
        <v>5.115</v>
      </c>
      <c r="E354">
        <v>22.77</v>
      </c>
      <c r="F354">
        <v>27.98</v>
      </c>
      <c r="G354">
        <v>18.17</v>
      </c>
      <c r="H354">
        <v>1.06</v>
      </c>
      <c r="I354">
        <v>12.197</v>
      </c>
      <c r="J354">
        <v>23.28</v>
      </c>
      <c r="K354">
        <v>27.63</v>
      </c>
      <c r="L354">
        <v>19.4</v>
      </c>
      <c r="M354">
        <v>2.54</v>
      </c>
      <c r="N354">
        <v>0.925</v>
      </c>
      <c r="O354">
        <v>23.42</v>
      </c>
      <c r="P354">
        <v>28.07</v>
      </c>
      <c r="Q354">
        <v>20.23</v>
      </c>
      <c r="R354">
        <v>2.68</v>
      </c>
    </row>
    <row r="355">
      <c r="A355" s="9">
        <v>38886</v>
      </c>
      <c r="B355" s="2" t="inlineStr">
        <is>
          <t xml:space="preserve">2006-06</t>
        </is>
      </c>
      <c r="C355" s="2" t="inlineStr">
        <is>
          <t xml:space="preserve">2005/06</t>
        </is>
      </c>
      <c r="D355">
        <v>0.39</v>
      </c>
      <c r="E355">
        <v>22.97</v>
      </c>
      <c r="F355">
        <v>28.07</v>
      </c>
      <c r="G355">
        <v>18.32</v>
      </c>
      <c r="H355">
        <v>0.9</v>
      </c>
      <c r="I355">
        <v>0.108</v>
      </c>
      <c r="J355">
        <v>23.11</v>
      </c>
      <c r="K355">
        <v>27.15</v>
      </c>
      <c r="L355">
        <v>19.26</v>
      </c>
      <c r="M355">
        <v>0.52</v>
      </c>
      <c r="N355">
        <v>0.638</v>
      </c>
      <c r="O355">
        <v>22.96</v>
      </c>
      <c r="P355">
        <v>26.98</v>
      </c>
      <c r="Q355">
        <v>20.12</v>
      </c>
      <c r="R355">
        <v>1.44</v>
      </c>
    </row>
    <row r="356">
      <c r="A356" s="9">
        <v>38887</v>
      </c>
      <c r="B356" s="2" t="inlineStr">
        <is>
          <t xml:space="preserve">2006-06</t>
        </is>
      </c>
      <c r="C356" s="2" t="inlineStr">
        <is>
          <t xml:space="preserve">2005/06</t>
        </is>
      </c>
      <c r="D356">
        <v>0.152</v>
      </c>
      <c r="E356">
        <v>22.97</v>
      </c>
      <c r="F356">
        <v>28.4</v>
      </c>
      <c r="G356">
        <v>18.88</v>
      </c>
      <c r="H356">
        <v>6.03</v>
      </c>
      <c r="I356">
        <v>0.0</v>
      </c>
      <c r="J356">
        <v>22.26</v>
      </c>
      <c r="K356">
        <v>25.53</v>
      </c>
      <c r="L356">
        <v>20.02</v>
      </c>
      <c r="M356">
        <v>0.69</v>
      </c>
      <c r="N356">
        <v>0.103</v>
      </c>
      <c r="O356">
        <v>22.44</v>
      </c>
      <c r="P356">
        <v>25.59</v>
      </c>
      <c r="Q356">
        <v>20.54</v>
      </c>
      <c r="R356">
        <v>1.18</v>
      </c>
    </row>
    <row r="357">
      <c r="A357" s="9">
        <v>38888</v>
      </c>
      <c r="B357" s="2" t="inlineStr">
        <is>
          <t xml:space="preserve">2006-06</t>
        </is>
      </c>
      <c r="C357" s="2" t="inlineStr">
        <is>
          <t xml:space="preserve">2005/06</t>
        </is>
      </c>
      <c r="D357">
        <v>5.567</v>
      </c>
      <c r="E357">
        <v>22.29</v>
      </c>
      <c r="F357">
        <v>26.78</v>
      </c>
      <c r="G357">
        <v>19.73</v>
      </c>
      <c r="H357">
        <v>6.94</v>
      </c>
      <c r="I357">
        <v>0.072</v>
      </c>
      <c r="J357">
        <v>22.08</v>
      </c>
      <c r="K357">
        <v>25.38</v>
      </c>
      <c r="L357">
        <v>19.13</v>
      </c>
      <c r="M357">
        <v>3.09</v>
      </c>
      <c r="N357">
        <v>1.195</v>
      </c>
      <c r="O357">
        <v>22.13</v>
      </c>
      <c r="P357">
        <v>25.12</v>
      </c>
      <c r="Q357">
        <v>19.99</v>
      </c>
      <c r="R357">
        <v>2.6</v>
      </c>
    </row>
    <row r="358">
      <c r="A358" s="9">
        <v>38889</v>
      </c>
      <c r="B358" s="2" t="inlineStr">
        <is>
          <t xml:space="preserve">2006-06</t>
        </is>
      </c>
      <c r="C358" s="2" t="inlineStr">
        <is>
          <t xml:space="preserve">2005/06</t>
        </is>
      </c>
      <c r="D358">
        <v>0.964</v>
      </c>
      <c r="E358">
        <v>23.3</v>
      </c>
      <c r="F358">
        <v>28.92</v>
      </c>
      <c r="G358">
        <v>19.21</v>
      </c>
      <c r="H358">
        <v>0.47</v>
      </c>
      <c r="I358">
        <v>0.76</v>
      </c>
      <c r="J358">
        <v>22.32</v>
      </c>
      <c r="K358">
        <v>26.06</v>
      </c>
      <c r="L358">
        <v>19.46</v>
      </c>
      <c r="M358">
        <v>3.91</v>
      </c>
      <c r="N358">
        <v>0.244</v>
      </c>
      <c r="O358">
        <v>22.58</v>
      </c>
      <c r="P358">
        <v>26.02</v>
      </c>
      <c r="Q358">
        <v>20.4</v>
      </c>
      <c r="R358">
        <v>1.54</v>
      </c>
    </row>
    <row r="359">
      <c r="A359" s="9">
        <v>38890</v>
      </c>
      <c r="B359" s="2" t="inlineStr">
        <is>
          <t xml:space="preserve">2006-06</t>
        </is>
      </c>
      <c r="C359" s="2" t="inlineStr">
        <is>
          <t xml:space="preserve">2005/06</t>
        </is>
      </c>
      <c r="D359">
        <v>0.034</v>
      </c>
      <c r="E359">
        <v>21.93</v>
      </c>
      <c r="F359">
        <v>26.18</v>
      </c>
      <c r="G359">
        <v>18.86</v>
      </c>
      <c r="H359">
        <v>0.81</v>
      </c>
      <c r="I359">
        <v>0.23</v>
      </c>
      <c r="J359">
        <v>22.34</v>
      </c>
      <c r="K359">
        <v>25.4</v>
      </c>
      <c r="L359">
        <v>19.72</v>
      </c>
      <c r="M359">
        <v>6.96</v>
      </c>
      <c r="N359">
        <v>2.027</v>
      </c>
      <c r="O359">
        <v>22.57</v>
      </c>
      <c r="P359">
        <v>25.75</v>
      </c>
      <c r="Q359">
        <v>20.77</v>
      </c>
      <c r="R359">
        <v>12.03</v>
      </c>
    </row>
    <row r="360">
      <c r="A360" s="9">
        <v>38891</v>
      </c>
      <c r="B360" s="2" t="inlineStr">
        <is>
          <t xml:space="preserve">2006-06</t>
        </is>
      </c>
      <c r="C360" s="2" t="inlineStr">
        <is>
          <t xml:space="preserve">2005/06</t>
        </is>
      </c>
      <c r="D360">
        <v>0.344</v>
      </c>
      <c r="E360">
        <v>21.5</v>
      </c>
      <c r="F360">
        <v>26.34</v>
      </c>
      <c r="G360">
        <v>18.11</v>
      </c>
      <c r="H360">
        <v>9.41</v>
      </c>
      <c r="I360">
        <v>17.566</v>
      </c>
      <c r="J360">
        <v>22.32</v>
      </c>
      <c r="K360">
        <v>26.11</v>
      </c>
      <c r="L360">
        <v>19.91</v>
      </c>
      <c r="M360">
        <v>12.56</v>
      </c>
      <c r="N360">
        <v>8.648</v>
      </c>
      <c r="O360">
        <v>22.29</v>
      </c>
      <c r="P360">
        <v>25.59</v>
      </c>
      <c r="Q360">
        <v>20.38</v>
      </c>
      <c r="R360">
        <v>16.31</v>
      </c>
    </row>
    <row r="361">
      <c r="A361" s="9">
        <v>38892</v>
      </c>
      <c r="B361" s="2" t="inlineStr">
        <is>
          <t xml:space="preserve">2006-06</t>
        </is>
      </c>
      <c r="C361" s="2" t="inlineStr">
        <is>
          <t xml:space="preserve">2005/06</t>
        </is>
      </c>
      <c r="D361">
        <v>18.925</v>
      </c>
      <c r="E361">
        <v>21.04</v>
      </c>
      <c r="F361">
        <v>26.39</v>
      </c>
      <c r="G361">
        <v>17.67</v>
      </c>
      <c r="H361">
        <v>16.58</v>
      </c>
      <c r="I361">
        <v>1.484</v>
      </c>
      <c r="J361">
        <v>21.09</v>
      </c>
      <c r="K361">
        <v>24.02</v>
      </c>
      <c r="L361">
        <v>18.99</v>
      </c>
      <c r="M361">
        <v>6.7</v>
      </c>
      <c r="N361">
        <v>15.136</v>
      </c>
      <c r="O361">
        <v>21.9</v>
      </c>
      <c r="P361">
        <v>25.22</v>
      </c>
      <c r="Q361">
        <v>20.14</v>
      </c>
      <c r="R361">
        <v>12.41</v>
      </c>
    </row>
    <row r="362">
      <c r="A362" s="9">
        <v>38893</v>
      </c>
      <c r="B362" s="2" t="inlineStr">
        <is>
          <t xml:space="preserve">2006-06</t>
        </is>
      </c>
      <c r="C362" s="2" t="inlineStr">
        <is>
          <t xml:space="preserve">2005/06</t>
        </is>
      </c>
      <c r="D362">
        <v>0.298</v>
      </c>
      <c r="E362">
        <v>21.46</v>
      </c>
      <c r="F362">
        <v>25.5</v>
      </c>
      <c r="G362">
        <v>18.38</v>
      </c>
      <c r="H362">
        <v>4.49</v>
      </c>
      <c r="I362">
        <v>1.035</v>
      </c>
      <c r="J362">
        <v>21.22</v>
      </c>
      <c r="K362">
        <v>24.36</v>
      </c>
      <c r="L362">
        <v>19.16</v>
      </c>
      <c r="M362">
        <v>5.25</v>
      </c>
      <c r="N362">
        <v>0.724</v>
      </c>
      <c r="O362">
        <v>21.67</v>
      </c>
      <c r="P362">
        <v>24.6</v>
      </c>
      <c r="Q362">
        <v>19.91</v>
      </c>
      <c r="R362">
        <v>8.48</v>
      </c>
    </row>
    <row r="363">
      <c r="A363" s="9">
        <v>38894</v>
      </c>
      <c r="B363" s="2" t="inlineStr">
        <is>
          <t xml:space="preserve">2006-06</t>
        </is>
      </c>
      <c r="C363" s="2" t="inlineStr">
        <is>
          <t xml:space="preserve">2005/06</t>
        </is>
      </c>
      <c r="D363">
        <v>13.827</v>
      </c>
      <c r="E363">
        <v>20.96</v>
      </c>
      <c r="F363">
        <v>25.94</v>
      </c>
      <c r="G363">
        <v>17.47</v>
      </c>
      <c r="H363">
        <v>11.56</v>
      </c>
      <c r="I363">
        <v>7.436</v>
      </c>
      <c r="J363">
        <v>20.95</v>
      </c>
      <c r="K363">
        <v>24.01</v>
      </c>
      <c r="L363">
        <v>18.96</v>
      </c>
      <c r="M363">
        <v>15.11</v>
      </c>
      <c r="N363">
        <v>38.783</v>
      </c>
      <c r="O363">
        <v>21.19</v>
      </c>
      <c r="P363">
        <v>23.29</v>
      </c>
      <c r="Q363">
        <v>19.78</v>
      </c>
      <c r="R363">
        <v>20.08</v>
      </c>
    </row>
    <row r="364">
      <c r="A364" s="9">
        <v>38895</v>
      </c>
      <c r="B364" s="2" t="inlineStr">
        <is>
          <t xml:space="preserve">2006-06</t>
        </is>
      </c>
      <c r="C364" s="2" t="inlineStr">
        <is>
          <t xml:space="preserve">2005/06</t>
        </is>
      </c>
      <c r="D364">
        <v>0.104</v>
      </c>
      <c r="E364">
        <v>22.09</v>
      </c>
      <c r="F364">
        <v>26.94</v>
      </c>
      <c r="G364">
        <v>18.26</v>
      </c>
      <c r="H364">
        <v>2.91</v>
      </c>
      <c r="I364">
        <v>0.58</v>
      </c>
      <c r="J364">
        <v>21.68</v>
      </c>
      <c r="K364">
        <v>24.62</v>
      </c>
      <c r="L364">
        <v>19.36</v>
      </c>
      <c r="M364">
        <v>4.28</v>
      </c>
      <c r="N364">
        <v>3.954</v>
      </c>
      <c r="O364">
        <v>22.22</v>
      </c>
      <c r="P364">
        <v>25.94</v>
      </c>
      <c r="Q364">
        <v>20.03</v>
      </c>
      <c r="R364">
        <v>14.3</v>
      </c>
    </row>
    <row r="365">
      <c r="A365" s="9">
        <v>38896</v>
      </c>
      <c r="B365" s="2" t="inlineStr">
        <is>
          <t xml:space="preserve">2006-06</t>
        </is>
      </c>
      <c r="C365" s="2" t="inlineStr">
        <is>
          <t xml:space="preserve">2005/06</t>
        </is>
      </c>
      <c r="D365">
        <v>6.707</v>
      </c>
      <c r="E365">
        <v>22.59</v>
      </c>
      <c r="F365">
        <v>27.79</v>
      </c>
      <c r="G365">
        <v>18.75</v>
      </c>
      <c r="H365">
        <v>4.29</v>
      </c>
      <c r="I365">
        <v>0.996</v>
      </c>
      <c r="J365">
        <v>22.7</v>
      </c>
      <c r="K365">
        <v>27.09</v>
      </c>
      <c r="L365">
        <v>19.49</v>
      </c>
      <c r="M365">
        <v>1.7</v>
      </c>
      <c r="N365">
        <v>1.062</v>
      </c>
      <c r="O365">
        <v>23.04</v>
      </c>
      <c r="P365">
        <v>26.96</v>
      </c>
      <c r="Q365">
        <v>20.5</v>
      </c>
      <c r="R365">
        <v>2.19</v>
      </c>
    </row>
    <row r="366">
      <c r="A366" s="9">
        <v>38897</v>
      </c>
      <c r="B366" s="2" t="inlineStr">
        <is>
          <t xml:space="preserve">2006-06</t>
        </is>
      </c>
      <c r="C366" s="2" t="inlineStr">
        <is>
          <t xml:space="preserve">2005/06</t>
        </is>
      </c>
      <c r="D366">
        <v>11.961</v>
      </c>
      <c r="E366">
        <v>22.51</v>
      </c>
      <c r="F366">
        <v>27.53</v>
      </c>
      <c r="G366">
        <v>18.8</v>
      </c>
      <c r="H366">
        <v>10.09</v>
      </c>
      <c r="I366">
        <v>1.915</v>
      </c>
      <c r="J366">
        <v>22.74</v>
      </c>
      <c r="K366">
        <v>27.04</v>
      </c>
      <c r="L366">
        <v>19.87</v>
      </c>
      <c r="M366">
        <v>4.28</v>
      </c>
      <c r="N366">
        <v>9.414</v>
      </c>
      <c r="O366">
        <v>22.93</v>
      </c>
      <c r="P366">
        <v>26.64</v>
      </c>
      <c r="Q366">
        <v>20.94</v>
      </c>
      <c r="R366">
        <v>6.49</v>
      </c>
    </row>
    <row r="367">
      <c r="A367" s="9">
        <v>38898</v>
      </c>
      <c r="B367" s="2" t="inlineStr">
        <is>
          <t xml:space="preserve">2006-06</t>
        </is>
      </c>
      <c r="C367" s="2" t="inlineStr">
        <is>
          <t xml:space="preserve">2005/06</t>
        </is>
      </c>
      <c r="D367">
        <v>0.096</v>
      </c>
      <c r="E367">
        <v>22.59</v>
      </c>
      <c r="F367">
        <v>27.75</v>
      </c>
      <c r="G367">
        <v>18.73</v>
      </c>
      <c r="H367">
        <v>1.13</v>
      </c>
      <c r="I367">
        <v>0.204</v>
      </c>
      <c r="J367">
        <v>22.81</v>
      </c>
      <c r="K367">
        <v>27.04</v>
      </c>
      <c r="L367">
        <v>20.05</v>
      </c>
      <c r="M367">
        <v>0.8</v>
      </c>
      <c r="N367">
        <v>1.086</v>
      </c>
      <c r="O367">
        <v>22.8</v>
      </c>
      <c r="P367">
        <v>26.56</v>
      </c>
      <c r="Q367">
        <v>20.66</v>
      </c>
      <c r="R367">
        <v>2.07</v>
      </c>
    </row>
    <row r="368">
      <c r="A368" s="9">
        <v>38899</v>
      </c>
      <c r="B368" s="2" t="inlineStr">
        <is>
          <t xml:space="preserve">2006-07</t>
        </is>
      </c>
      <c r="C368" s="2" t="inlineStr">
        <is>
          <t xml:space="preserve">2006/07</t>
        </is>
      </c>
      <c r="D368">
        <v>0.027</v>
      </c>
      <c r="E368">
        <v>22.69</v>
      </c>
      <c r="F368">
        <v>28.18</v>
      </c>
      <c r="G368">
        <v>18.25</v>
      </c>
      <c r="H368">
        <v>0.33</v>
      </c>
      <c r="I368">
        <v>0.0</v>
      </c>
      <c r="J368">
        <v>22.86</v>
      </c>
      <c r="K368">
        <v>27.67</v>
      </c>
      <c r="L368">
        <v>19.16</v>
      </c>
      <c r="M368">
        <v>0.53</v>
      </c>
      <c r="N368">
        <v>0.127</v>
      </c>
      <c r="O368">
        <v>23.05</v>
      </c>
      <c r="P368">
        <v>27.44</v>
      </c>
      <c r="Q368">
        <v>19.88</v>
      </c>
      <c r="R368">
        <v>1.77</v>
      </c>
    </row>
    <row r="369">
      <c r="A369" s="9">
        <v>38900</v>
      </c>
      <c r="B369" s="2" t="inlineStr">
        <is>
          <t xml:space="preserve">2006-07</t>
        </is>
      </c>
      <c r="C369" s="2" t="inlineStr">
        <is>
          <t xml:space="preserve">2006/07</t>
        </is>
      </c>
      <c r="D369">
        <v>0.09</v>
      </c>
      <c r="E369">
        <v>22.94</v>
      </c>
      <c r="F369">
        <v>27.32</v>
      </c>
      <c r="G369">
        <v>19.27</v>
      </c>
      <c r="H369">
        <v>0.78</v>
      </c>
      <c r="I369">
        <v>0.237</v>
      </c>
      <c r="J369">
        <v>23.14</v>
      </c>
      <c r="K369">
        <v>27.26</v>
      </c>
      <c r="L369">
        <v>19.97</v>
      </c>
      <c r="M369">
        <v>4.83</v>
      </c>
      <c r="N369">
        <v>1.36</v>
      </c>
      <c r="O369">
        <v>23.34</v>
      </c>
      <c r="P369">
        <v>26.68</v>
      </c>
      <c r="Q369">
        <v>21.27</v>
      </c>
      <c r="R369">
        <v>7.82</v>
      </c>
    </row>
    <row r="370">
      <c r="A370" s="9">
        <v>38901</v>
      </c>
      <c r="B370" s="2" t="inlineStr">
        <is>
          <t xml:space="preserve">2006-07</t>
        </is>
      </c>
      <c r="C370" s="2" t="inlineStr">
        <is>
          <t xml:space="preserve">2006/07</t>
        </is>
      </c>
      <c r="D370">
        <v>1.106</v>
      </c>
      <c r="E370">
        <v>22.91</v>
      </c>
      <c r="F370">
        <v>27.11</v>
      </c>
      <c r="G370">
        <v>19.29</v>
      </c>
      <c r="H370">
        <v>1.29</v>
      </c>
      <c r="I370">
        <v>12.34</v>
      </c>
      <c r="J370">
        <v>22.78</v>
      </c>
      <c r="K370">
        <v>26.02</v>
      </c>
      <c r="L370">
        <v>20.51</v>
      </c>
      <c r="M370">
        <v>7.69</v>
      </c>
      <c r="N370">
        <v>19.018</v>
      </c>
      <c r="O370">
        <v>22.94</v>
      </c>
      <c r="P370">
        <v>25.73</v>
      </c>
      <c r="Q370">
        <v>21.34</v>
      </c>
      <c r="R370">
        <v>8.17</v>
      </c>
    </row>
    <row r="371">
      <c r="A371" s="9">
        <v>38902</v>
      </c>
      <c r="B371" s="2" t="inlineStr">
        <is>
          <t xml:space="preserve">2006-07</t>
        </is>
      </c>
      <c r="C371" s="2" t="inlineStr">
        <is>
          <t xml:space="preserve">2006/07</t>
        </is>
      </c>
      <c r="D371">
        <v>0.0</v>
      </c>
      <c r="E371">
        <v>23.18</v>
      </c>
      <c r="F371">
        <v>28.2</v>
      </c>
      <c r="G371">
        <v>19.13</v>
      </c>
      <c r="H371">
        <v>2.16</v>
      </c>
      <c r="I371">
        <v>0.0</v>
      </c>
      <c r="J371">
        <v>22.96</v>
      </c>
      <c r="K371">
        <v>26.78</v>
      </c>
      <c r="L371">
        <v>20.14</v>
      </c>
      <c r="M371">
        <v>0.14</v>
      </c>
      <c r="N371">
        <v>0.0</v>
      </c>
      <c r="O371">
        <v>23.19</v>
      </c>
      <c r="P371">
        <v>26.56</v>
      </c>
      <c r="Q371">
        <v>20.8</v>
      </c>
      <c r="R371">
        <v>0.17</v>
      </c>
    </row>
    <row r="372">
      <c r="A372" s="9">
        <v>38903</v>
      </c>
      <c r="B372" s="2" t="inlineStr">
        <is>
          <t xml:space="preserve">2006-07</t>
        </is>
      </c>
      <c r="C372" s="2" t="inlineStr">
        <is>
          <t xml:space="preserve">2006/07</t>
        </is>
      </c>
      <c r="D372">
        <v>12.997</v>
      </c>
      <c r="E372">
        <v>23.42</v>
      </c>
      <c r="F372">
        <v>29.14</v>
      </c>
      <c r="G372">
        <v>18.81</v>
      </c>
      <c r="H372">
        <v>5.79</v>
      </c>
      <c r="I372">
        <v>0.029</v>
      </c>
      <c r="J372">
        <v>23.27</v>
      </c>
      <c r="K372">
        <v>27.7</v>
      </c>
      <c r="L372">
        <v>19.22</v>
      </c>
      <c r="M372">
        <v>0.81</v>
      </c>
      <c r="N372">
        <v>0.324</v>
      </c>
      <c r="O372">
        <v>23.31</v>
      </c>
      <c r="P372">
        <v>27.59</v>
      </c>
      <c r="Q372">
        <v>20.13</v>
      </c>
      <c r="R372">
        <v>0.64</v>
      </c>
    </row>
    <row r="373">
      <c r="A373" s="9">
        <v>38904</v>
      </c>
      <c r="B373" s="2" t="inlineStr">
        <is>
          <t xml:space="preserve">2006-07</t>
        </is>
      </c>
      <c r="C373" s="2" t="inlineStr">
        <is>
          <t xml:space="preserve">2006/07</t>
        </is>
      </c>
      <c r="D373">
        <v>2.725</v>
      </c>
      <c r="E373">
        <v>23.2</v>
      </c>
      <c r="F373">
        <v>28.77</v>
      </c>
      <c r="G373">
        <v>18.84</v>
      </c>
      <c r="H373">
        <v>3.59</v>
      </c>
      <c r="I373">
        <v>1.306</v>
      </c>
      <c r="J373">
        <v>23.43</v>
      </c>
      <c r="K373">
        <v>27.49</v>
      </c>
      <c r="L373">
        <v>19.37</v>
      </c>
      <c r="M373">
        <v>1.86</v>
      </c>
      <c r="N373">
        <v>0.748</v>
      </c>
      <c r="O373">
        <v>23.13</v>
      </c>
      <c r="P373">
        <v>26.99</v>
      </c>
      <c r="Q373">
        <v>20.17</v>
      </c>
      <c r="R373">
        <v>1.94</v>
      </c>
    </row>
    <row r="374">
      <c r="A374" s="9">
        <v>38905</v>
      </c>
      <c r="B374" s="2" t="inlineStr">
        <is>
          <t xml:space="preserve">2006-07</t>
        </is>
      </c>
      <c r="C374" s="2" t="inlineStr">
        <is>
          <t xml:space="preserve">2006/07</t>
        </is>
      </c>
      <c r="D374">
        <v>3.097</v>
      </c>
      <c r="E374">
        <v>21.6</v>
      </c>
      <c r="F374">
        <v>25.62</v>
      </c>
      <c r="G374">
        <v>18.2</v>
      </c>
      <c r="H374">
        <v>5.24</v>
      </c>
      <c r="I374">
        <v>3.483</v>
      </c>
      <c r="J374">
        <v>22.88</v>
      </c>
      <c r="K374">
        <v>26.11</v>
      </c>
      <c r="L374">
        <v>20.26</v>
      </c>
      <c r="M374">
        <v>6.99</v>
      </c>
      <c r="N374">
        <v>14.313</v>
      </c>
      <c r="O374">
        <v>22.92</v>
      </c>
      <c r="P374">
        <v>26.18</v>
      </c>
      <c r="Q374">
        <v>20.88</v>
      </c>
      <c r="R374">
        <v>10.52</v>
      </c>
    </row>
    <row r="375">
      <c r="A375" s="9">
        <v>38906</v>
      </c>
      <c r="B375" s="2" t="inlineStr">
        <is>
          <t xml:space="preserve">2006-07</t>
        </is>
      </c>
      <c r="C375" s="2" t="inlineStr">
        <is>
          <t xml:space="preserve">2006/07</t>
        </is>
      </c>
      <c r="D375">
        <v>7.799</v>
      </c>
      <c r="E375">
        <v>22.15</v>
      </c>
      <c r="F375">
        <v>26.73</v>
      </c>
      <c r="G375">
        <v>18.53</v>
      </c>
      <c r="H375">
        <v>4.63</v>
      </c>
      <c r="I375">
        <v>0.264</v>
      </c>
      <c r="J375">
        <v>22.58</v>
      </c>
      <c r="K375">
        <v>26.11</v>
      </c>
      <c r="L375">
        <v>20.34</v>
      </c>
      <c r="M375">
        <v>1.21</v>
      </c>
      <c r="N375">
        <v>0.185</v>
      </c>
      <c r="O375">
        <v>22.74</v>
      </c>
      <c r="P375">
        <v>26.17</v>
      </c>
      <c r="Q375">
        <v>20.72</v>
      </c>
      <c r="R375">
        <v>1.49</v>
      </c>
    </row>
    <row r="376">
      <c r="A376" s="9">
        <v>38907</v>
      </c>
      <c r="B376" s="2" t="inlineStr">
        <is>
          <t xml:space="preserve">2006-07</t>
        </is>
      </c>
      <c r="C376" s="2" t="inlineStr">
        <is>
          <t xml:space="preserve">2006/07</t>
        </is>
      </c>
      <c r="D376">
        <v>0.044</v>
      </c>
      <c r="E376">
        <v>22.52</v>
      </c>
      <c r="F376">
        <v>27.29</v>
      </c>
      <c r="G376">
        <v>18.64</v>
      </c>
      <c r="H376">
        <v>0.46</v>
      </c>
      <c r="I376">
        <v>0.765</v>
      </c>
      <c r="J376">
        <v>22.82</v>
      </c>
      <c r="K376">
        <v>26.44</v>
      </c>
      <c r="L376">
        <v>20.53</v>
      </c>
      <c r="M376">
        <v>0.59</v>
      </c>
      <c r="N376">
        <v>0.026</v>
      </c>
      <c r="O376">
        <v>22.97</v>
      </c>
      <c r="P376">
        <v>27.18</v>
      </c>
      <c r="Q376">
        <v>20.35</v>
      </c>
      <c r="R376">
        <v>0.36</v>
      </c>
    </row>
    <row r="377">
      <c r="A377" s="9">
        <v>38908</v>
      </c>
      <c r="B377" s="2" t="inlineStr">
        <is>
          <t xml:space="preserve">2006-07</t>
        </is>
      </c>
      <c r="C377" s="2" t="inlineStr">
        <is>
          <t xml:space="preserve">2006/07</t>
        </is>
      </c>
      <c r="D377">
        <v>2.264</v>
      </c>
      <c r="E377">
        <v>22.25</v>
      </c>
      <c r="F377">
        <v>26.71</v>
      </c>
      <c r="G377">
        <v>18.89</v>
      </c>
      <c r="H377">
        <v>3.16</v>
      </c>
      <c r="I377">
        <v>0.049</v>
      </c>
      <c r="J377">
        <v>22.13</v>
      </c>
      <c r="K377">
        <v>25.41</v>
      </c>
      <c r="L377">
        <v>19.59</v>
      </c>
      <c r="M377">
        <v>3.05</v>
      </c>
      <c r="N377">
        <v>0.053</v>
      </c>
      <c r="O377">
        <v>22.35</v>
      </c>
      <c r="P377">
        <v>25.65</v>
      </c>
      <c r="Q377">
        <v>20.01</v>
      </c>
      <c r="R377">
        <v>2.74</v>
      </c>
    </row>
    <row r="378">
      <c r="A378" s="9">
        <v>38909</v>
      </c>
      <c r="B378" s="2" t="inlineStr">
        <is>
          <t xml:space="preserve">2006-07</t>
        </is>
      </c>
      <c r="C378" s="2" t="inlineStr">
        <is>
          <t xml:space="preserve">2006/07</t>
        </is>
      </c>
      <c r="D378">
        <v>3.636</v>
      </c>
      <c r="E378">
        <v>22.37</v>
      </c>
      <c r="F378">
        <v>26.35</v>
      </c>
      <c r="G378">
        <v>19.06</v>
      </c>
      <c r="H378">
        <v>2.51</v>
      </c>
      <c r="I378">
        <v>9.07</v>
      </c>
      <c r="J378">
        <v>22.08</v>
      </c>
      <c r="K378">
        <v>25.08</v>
      </c>
      <c r="L378">
        <v>20.06</v>
      </c>
      <c r="M378">
        <v>8.24</v>
      </c>
      <c r="N378">
        <v>8.679</v>
      </c>
      <c r="O378">
        <v>22.27</v>
      </c>
      <c r="P378">
        <v>25.07</v>
      </c>
      <c r="Q378">
        <v>20.54</v>
      </c>
      <c r="R378">
        <v>7.02</v>
      </c>
    </row>
    <row r="379">
      <c r="A379" s="9">
        <v>38910</v>
      </c>
      <c r="B379" s="2" t="inlineStr">
        <is>
          <t xml:space="preserve">2006-07</t>
        </is>
      </c>
      <c r="C379" s="2" t="inlineStr">
        <is>
          <t xml:space="preserve">2006/07</t>
        </is>
      </c>
      <c r="D379">
        <v>0.054</v>
      </c>
      <c r="E379">
        <v>22.09</v>
      </c>
      <c r="F379">
        <v>26.58</v>
      </c>
      <c r="G379">
        <v>18.95</v>
      </c>
      <c r="H379">
        <v>0.29</v>
      </c>
      <c r="I379">
        <v>6.914</v>
      </c>
      <c r="J379">
        <v>21.98</v>
      </c>
      <c r="K379">
        <v>25.25</v>
      </c>
      <c r="L379">
        <v>19.82</v>
      </c>
      <c r="M379">
        <v>3.47</v>
      </c>
      <c r="N379">
        <v>0.38</v>
      </c>
      <c r="O379">
        <v>22.2</v>
      </c>
      <c r="P379">
        <v>25.3</v>
      </c>
      <c r="Q379">
        <v>20.49</v>
      </c>
      <c r="R379">
        <v>2.83</v>
      </c>
    </row>
    <row r="380">
      <c r="A380" s="9">
        <v>38911</v>
      </c>
      <c r="B380" s="2" t="inlineStr">
        <is>
          <t xml:space="preserve">2006-07</t>
        </is>
      </c>
      <c r="C380" s="2" t="inlineStr">
        <is>
          <t xml:space="preserve">2006/07</t>
        </is>
      </c>
      <c r="D380">
        <v>0.061</v>
      </c>
      <c r="E380">
        <v>23.04</v>
      </c>
      <c r="F380">
        <v>28.15</v>
      </c>
      <c r="G380">
        <v>19.16</v>
      </c>
      <c r="H380">
        <v>0.24</v>
      </c>
      <c r="I380">
        <v>1.032</v>
      </c>
      <c r="J380">
        <v>22.25</v>
      </c>
      <c r="K380">
        <v>25.8</v>
      </c>
      <c r="L380">
        <v>19.45</v>
      </c>
      <c r="M380">
        <v>1.02</v>
      </c>
      <c r="N380">
        <v>1.811</v>
      </c>
      <c r="O380">
        <v>22.8</v>
      </c>
      <c r="P380">
        <v>26.37</v>
      </c>
      <c r="Q380">
        <v>20.43</v>
      </c>
      <c r="R380">
        <v>1.47</v>
      </c>
    </row>
    <row r="381">
      <c r="A381" s="9">
        <v>38912</v>
      </c>
      <c r="B381" s="2" t="inlineStr">
        <is>
          <t xml:space="preserve">2006-07</t>
        </is>
      </c>
      <c r="C381" s="2" t="inlineStr">
        <is>
          <t xml:space="preserve">2006/07</t>
        </is>
      </c>
      <c r="D381">
        <v>0.0</v>
      </c>
      <c r="E381">
        <v>22.59</v>
      </c>
      <c r="F381">
        <v>28.44</v>
      </c>
      <c r="G381">
        <v>17.38</v>
      </c>
      <c r="H381">
        <v>0.4</v>
      </c>
      <c r="I381">
        <v>0.0</v>
      </c>
      <c r="J381">
        <v>22.92</v>
      </c>
      <c r="K381">
        <v>27.55</v>
      </c>
      <c r="L381">
        <v>19.05</v>
      </c>
      <c r="M381">
        <v>0.09</v>
      </c>
      <c r="N381">
        <v>0.0</v>
      </c>
      <c r="O381">
        <v>22.97</v>
      </c>
      <c r="P381">
        <v>26.97</v>
      </c>
      <c r="Q381">
        <v>19.87</v>
      </c>
      <c r="R381">
        <v>0.2</v>
      </c>
    </row>
    <row r="382">
      <c r="A382" s="9">
        <v>38913</v>
      </c>
      <c r="B382" s="2" t="inlineStr">
        <is>
          <t xml:space="preserve">2006-07</t>
        </is>
      </c>
      <c r="C382" s="2" t="inlineStr">
        <is>
          <t xml:space="preserve">2006/07</t>
        </is>
      </c>
      <c r="D382">
        <v>1.348</v>
      </c>
      <c r="E382">
        <v>22.99</v>
      </c>
      <c r="F382">
        <v>28.63</v>
      </c>
      <c r="G382">
        <v>18.56</v>
      </c>
      <c r="H382">
        <v>1.75</v>
      </c>
      <c r="I382">
        <v>0.051</v>
      </c>
      <c r="J382">
        <v>22.82</v>
      </c>
      <c r="K382">
        <v>26.95</v>
      </c>
      <c r="L382">
        <v>18.81</v>
      </c>
      <c r="M382">
        <v>1.26</v>
      </c>
      <c r="N382">
        <v>0.0</v>
      </c>
      <c r="O382">
        <v>23.02</v>
      </c>
      <c r="P382">
        <v>27.09</v>
      </c>
      <c r="Q382">
        <v>19.62</v>
      </c>
      <c r="R382">
        <v>0.65</v>
      </c>
    </row>
    <row r="383">
      <c r="A383" s="9">
        <v>38914</v>
      </c>
      <c r="B383" s="2" t="inlineStr">
        <is>
          <t xml:space="preserve">2006-07</t>
        </is>
      </c>
      <c r="C383" s="2" t="inlineStr">
        <is>
          <t xml:space="preserve">2006/07</t>
        </is>
      </c>
      <c r="D383">
        <v>0.208</v>
      </c>
      <c r="E383">
        <v>21.79</v>
      </c>
      <c r="F383">
        <v>27.21</v>
      </c>
      <c r="G383">
        <v>18.1</v>
      </c>
      <c r="H383">
        <v>0.92</v>
      </c>
      <c r="I383">
        <v>3.908</v>
      </c>
      <c r="J383">
        <v>21.94</v>
      </c>
      <c r="K383">
        <v>25.22</v>
      </c>
      <c r="L383">
        <v>19.17</v>
      </c>
      <c r="M383">
        <v>3.77</v>
      </c>
      <c r="N383">
        <v>6.553</v>
      </c>
      <c r="O383">
        <v>21.97</v>
      </c>
      <c r="P383">
        <v>25.02</v>
      </c>
      <c r="Q383">
        <v>20.12</v>
      </c>
      <c r="R383">
        <v>4.43</v>
      </c>
    </row>
    <row r="384">
      <c r="A384" s="9">
        <v>38915</v>
      </c>
      <c r="B384" s="2" t="inlineStr">
        <is>
          <t xml:space="preserve">2006-07</t>
        </is>
      </c>
      <c r="C384" s="2" t="inlineStr">
        <is>
          <t xml:space="preserve">2006/07</t>
        </is>
      </c>
      <c r="D384">
        <v>0.752</v>
      </c>
      <c r="E384">
        <v>21.67</v>
      </c>
      <c r="F384">
        <v>27.23</v>
      </c>
      <c r="G384">
        <v>17.33</v>
      </c>
      <c r="H384">
        <v>1.95</v>
      </c>
      <c r="I384">
        <v>0.16</v>
      </c>
      <c r="J384">
        <v>21.83</v>
      </c>
      <c r="K384">
        <v>25.91</v>
      </c>
      <c r="L384">
        <v>18.38</v>
      </c>
      <c r="M384">
        <v>4.98</v>
      </c>
      <c r="N384">
        <v>0.466</v>
      </c>
      <c r="O384">
        <v>21.96</v>
      </c>
      <c r="P384">
        <v>25.74</v>
      </c>
      <c r="Q384">
        <v>19.53</v>
      </c>
      <c r="R384">
        <v>5.32</v>
      </c>
    </row>
    <row r="385">
      <c r="A385" s="9">
        <v>38916</v>
      </c>
      <c r="B385" s="2" t="inlineStr">
        <is>
          <t xml:space="preserve">2006-07</t>
        </is>
      </c>
      <c r="C385" s="2" t="inlineStr">
        <is>
          <t xml:space="preserve">2006/07</t>
        </is>
      </c>
      <c r="D385">
        <v>15.464</v>
      </c>
      <c r="E385">
        <v>20.75</v>
      </c>
      <c r="F385">
        <v>24.19</v>
      </c>
      <c r="G385">
        <v>17.63</v>
      </c>
      <c r="H385">
        <v>18.52</v>
      </c>
      <c r="I385">
        <v>8.54</v>
      </c>
      <c r="J385">
        <v>22.0</v>
      </c>
      <c r="K385">
        <v>26.36</v>
      </c>
      <c r="L385">
        <v>19.09</v>
      </c>
      <c r="M385">
        <v>23.7</v>
      </c>
      <c r="N385">
        <v>20.136</v>
      </c>
      <c r="O385">
        <v>21.86</v>
      </c>
      <c r="P385">
        <v>26.27</v>
      </c>
      <c r="Q385">
        <v>19.31</v>
      </c>
      <c r="R385">
        <v>16.51</v>
      </c>
    </row>
    <row r="386">
      <c r="A386" s="9">
        <v>38917</v>
      </c>
      <c r="B386" s="2" t="inlineStr">
        <is>
          <t xml:space="preserve">2006-07</t>
        </is>
      </c>
      <c r="C386" s="2" t="inlineStr">
        <is>
          <t xml:space="preserve">2006/07</t>
        </is>
      </c>
      <c r="D386">
        <v>19.777</v>
      </c>
      <c r="E386">
        <v>21.47</v>
      </c>
      <c r="F386">
        <v>26.57</v>
      </c>
      <c r="G386">
        <v>17.89</v>
      </c>
      <c r="H386">
        <v>9.15</v>
      </c>
      <c r="I386">
        <v>82.873</v>
      </c>
      <c r="J386">
        <v>21.8</v>
      </c>
      <c r="K386">
        <v>25.06</v>
      </c>
      <c r="L386">
        <v>19.34</v>
      </c>
      <c r="M386">
        <v>22.48</v>
      </c>
      <c r="N386">
        <v>10.597</v>
      </c>
      <c r="O386">
        <v>22.21</v>
      </c>
      <c r="P386">
        <v>25.92</v>
      </c>
      <c r="Q386">
        <v>19.5</v>
      </c>
      <c r="R386">
        <v>13.34</v>
      </c>
    </row>
    <row r="387">
      <c r="A387" s="9">
        <v>38918</v>
      </c>
      <c r="B387" s="2" t="inlineStr">
        <is>
          <t xml:space="preserve">2006-07</t>
        </is>
      </c>
      <c r="C387" s="2" t="inlineStr">
        <is>
          <t xml:space="preserve">2006/07</t>
        </is>
      </c>
      <c r="D387">
        <v>5.162</v>
      </c>
      <c r="E387">
        <v>21.91</v>
      </c>
      <c r="F387">
        <v>26.57</v>
      </c>
      <c r="G387">
        <v>17.85</v>
      </c>
      <c r="H387">
        <v>2.85</v>
      </c>
      <c r="I387">
        <v>7.293</v>
      </c>
      <c r="J387">
        <v>22.16</v>
      </c>
      <c r="K387">
        <v>25.55</v>
      </c>
      <c r="L387">
        <v>19.23</v>
      </c>
      <c r="M387">
        <v>4.97</v>
      </c>
      <c r="N387">
        <v>1.828</v>
      </c>
      <c r="O387">
        <v>22.4</v>
      </c>
      <c r="P387">
        <v>25.97</v>
      </c>
      <c r="Q387">
        <v>20.07</v>
      </c>
      <c r="R387">
        <v>2.39</v>
      </c>
    </row>
    <row r="388">
      <c r="A388" s="9">
        <v>38919</v>
      </c>
      <c r="B388" s="2" t="inlineStr">
        <is>
          <t xml:space="preserve">2006-07</t>
        </is>
      </c>
      <c r="C388" s="2" t="inlineStr">
        <is>
          <t xml:space="preserve">2006/07</t>
        </is>
      </c>
      <c r="D388">
        <v>1.848</v>
      </c>
      <c r="E388">
        <v>21.47</v>
      </c>
      <c r="F388">
        <v>25.37</v>
      </c>
      <c r="G388">
        <v>18.55</v>
      </c>
      <c r="H388">
        <v>2.56</v>
      </c>
      <c r="I388">
        <v>2.205</v>
      </c>
      <c r="J388">
        <v>22.39</v>
      </c>
      <c r="K388">
        <v>26.16</v>
      </c>
      <c r="L388">
        <v>19.91</v>
      </c>
      <c r="M388">
        <v>6.11</v>
      </c>
      <c r="N388">
        <v>3.275</v>
      </c>
      <c r="O388">
        <v>22.42</v>
      </c>
      <c r="P388">
        <v>25.94</v>
      </c>
      <c r="Q388">
        <v>20.14</v>
      </c>
      <c r="R388">
        <v>3.07</v>
      </c>
    </row>
    <row r="389">
      <c r="A389" s="9">
        <v>38920</v>
      </c>
      <c r="B389" s="2" t="inlineStr">
        <is>
          <t xml:space="preserve">2006-07</t>
        </is>
      </c>
      <c r="C389" s="2" t="inlineStr">
        <is>
          <t xml:space="preserve">2006/07</t>
        </is>
      </c>
      <c r="D389">
        <v>3.385</v>
      </c>
      <c r="E389">
        <v>22.19</v>
      </c>
      <c r="F389">
        <v>27.16</v>
      </c>
      <c r="G389">
        <v>18.25</v>
      </c>
      <c r="H389">
        <v>3.64</v>
      </c>
      <c r="I389">
        <v>11.52</v>
      </c>
      <c r="J389">
        <v>22.74</v>
      </c>
      <c r="K389">
        <v>26.57</v>
      </c>
      <c r="L389">
        <v>19.78</v>
      </c>
      <c r="M389">
        <v>6.15</v>
      </c>
      <c r="N389">
        <v>1.322</v>
      </c>
      <c r="O389">
        <v>22.43</v>
      </c>
      <c r="P389">
        <v>25.46</v>
      </c>
      <c r="Q389">
        <v>20.16</v>
      </c>
      <c r="R389">
        <v>4.17</v>
      </c>
    </row>
    <row r="390">
      <c r="A390" s="9">
        <v>38921</v>
      </c>
      <c r="B390" s="2" t="inlineStr">
        <is>
          <t xml:space="preserve">2006-07</t>
        </is>
      </c>
      <c r="C390" s="2" t="inlineStr">
        <is>
          <t xml:space="preserve">2006/07</t>
        </is>
      </c>
      <c r="D390">
        <v>18.388</v>
      </c>
      <c r="E390">
        <v>21.83</v>
      </c>
      <c r="F390">
        <v>26.23</v>
      </c>
      <c r="G390">
        <v>18.49</v>
      </c>
      <c r="H390">
        <v>8.86</v>
      </c>
      <c r="I390">
        <v>2.612</v>
      </c>
      <c r="J390">
        <v>22.79</v>
      </c>
      <c r="K390">
        <v>26.56</v>
      </c>
      <c r="L390">
        <v>19.99</v>
      </c>
      <c r="M390">
        <v>3.03</v>
      </c>
      <c r="N390">
        <v>0.878</v>
      </c>
      <c r="O390">
        <v>22.65</v>
      </c>
      <c r="P390">
        <v>26.26</v>
      </c>
      <c r="Q390">
        <v>19.7</v>
      </c>
      <c r="R390">
        <v>2.1</v>
      </c>
    </row>
    <row r="391">
      <c r="A391" s="9">
        <v>38922</v>
      </c>
      <c r="B391" s="2" t="inlineStr">
        <is>
          <t xml:space="preserve">2006-07</t>
        </is>
      </c>
      <c r="C391" s="2" t="inlineStr">
        <is>
          <t xml:space="preserve">2006/07</t>
        </is>
      </c>
      <c r="D391">
        <v>2.77</v>
      </c>
      <c r="E391">
        <v>21.83</v>
      </c>
      <c r="F391">
        <v>26.54</v>
      </c>
      <c r="G391">
        <v>17.73</v>
      </c>
      <c r="H391">
        <v>3.21</v>
      </c>
      <c r="I391">
        <v>4.201</v>
      </c>
      <c r="J391">
        <v>23.36</v>
      </c>
      <c r="K391">
        <v>27.48</v>
      </c>
      <c r="L391">
        <v>19.87</v>
      </c>
      <c r="M391">
        <v>2.48</v>
      </c>
      <c r="N391">
        <v>0.875</v>
      </c>
      <c r="O391">
        <v>23.14</v>
      </c>
      <c r="P391">
        <v>27.87</v>
      </c>
      <c r="Q391">
        <v>19.8</v>
      </c>
      <c r="R391">
        <v>1.1</v>
      </c>
    </row>
    <row r="392">
      <c r="A392" s="9">
        <v>38923</v>
      </c>
      <c r="B392" s="2" t="inlineStr">
        <is>
          <t xml:space="preserve">2006-07</t>
        </is>
      </c>
      <c r="C392" s="2" t="inlineStr">
        <is>
          <t xml:space="preserve">2006/07</t>
        </is>
      </c>
      <c r="D392">
        <v>9.521</v>
      </c>
      <c r="E392">
        <v>21.78</v>
      </c>
      <c r="F392">
        <v>27.84</v>
      </c>
      <c r="G392">
        <v>17.13</v>
      </c>
      <c r="H392">
        <v>3.84</v>
      </c>
      <c r="I392">
        <v>0.901</v>
      </c>
      <c r="J392">
        <v>23.09</v>
      </c>
      <c r="K392">
        <v>27.17</v>
      </c>
      <c r="L392">
        <v>20.28</v>
      </c>
      <c r="M392">
        <v>0.74</v>
      </c>
      <c r="N392">
        <v>1.54</v>
      </c>
      <c r="O392">
        <v>22.6</v>
      </c>
      <c r="P392">
        <v>26.32</v>
      </c>
      <c r="Q392">
        <v>20.29</v>
      </c>
      <c r="R392">
        <v>0.59</v>
      </c>
    </row>
    <row r="393">
      <c r="A393" s="9">
        <v>38924</v>
      </c>
      <c r="B393" s="2" t="inlineStr">
        <is>
          <t xml:space="preserve">2006-07</t>
        </is>
      </c>
      <c r="C393" s="2" t="inlineStr">
        <is>
          <t xml:space="preserve">2006/07</t>
        </is>
      </c>
      <c r="D393">
        <v>0.128</v>
      </c>
      <c r="E393">
        <v>21.6</v>
      </c>
      <c r="F393">
        <v>27.54</v>
      </c>
      <c r="G393">
        <v>16.07</v>
      </c>
      <c r="H393">
        <v>0.87</v>
      </c>
      <c r="I393">
        <v>0.027</v>
      </c>
      <c r="J393">
        <v>22.39</v>
      </c>
      <c r="K393">
        <v>27.0</v>
      </c>
      <c r="L393">
        <v>18.32</v>
      </c>
      <c r="M393">
        <v>0.17</v>
      </c>
      <c r="N393">
        <v>0.037</v>
      </c>
      <c r="O393">
        <v>22.28</v>
      </c>
      <c r="P393">
        <v>26.43</v>
      </c>
      <c r="Q393">
        <v>18.97</v>
      </c>
      <c r="R393">
        <v>0.14</v>
      </c>
    </row>
    <row r="394">
      <c r="A394" s="9">
        <v>38925</v>
      </c>
      <c r="B394" s="2" t="inlineStr">
        <is>
          <t xml:space="preserve">2006-07</t>
        </is>
      </c>
      <c r="C394" s="2" t="inlineStr">
        <is>
          <t xml:space="preserve">2006/07</t>
        </is>
      </c>
      <c r="D394">
        <v>0.0</v>
      </c>
      <c r="E394">
        <v>21.73</v>
      </c>
      <c r="F394">
        <v>25.74</v>
      </c>
      <c r="G394">
        <v>17.64</v>
      </c>
      <c r="H394">
        <v>3.91</v>
      </c>
      <c r="I394">
        <v>0.959</v>
      </c>
      <c r="J394">
        <v>22.15</v>
      </c>
      <c r="K394">
        <v>25.76</v>
      </c>
      <c r="L394">
        <v>18.66</v>
      </c>
      <c r="M394">
        <v>3.75</v>
      </c>
      <c r="N394">
        <v>0.036</v>
      </c>
      <c r="O394">
        <v>22.41</v>
      </c>
      <c r="P394">
        <v>26.1</v>
      </c>
      <c r="Q394">
        <v>19.67</v>
      </c>
      <c r="R394">
        <v>2.77</v>
      </c>
    </row>
    <row r="395">
      <c r="A395" s="9">
        <v>38926</v>
      </c>
      <c r="B395" s="2" t="inlineStr">
        <is>
          <t xml:space="preserve">2006-07</t>
        </is>
      </c>
      <c r="C395" s="2" t="inlineStr">
        <is>
          <t xml:space="preserve">2006/07</t>
        </is>
      </c>
      <c r="D395">
        <v>24.482</v>
      </c>
      <c r="E395">
        <v>22.15</v>
      </c>
      <c r="F395">
        <v>27.04</v>
      </c>
      <c r="G395">
        <v>17.78</v>
      </c>
      <c r="H395">
        <v>9.91</v>
      </c>
      <c r="I395">
        <v>8.312</v>
      </c>
      <c r="J395">
        <v>22.74</v>
      </c>
      <c r="K395">
        <v>26.89</v>
      </c>
      <c r="L395">
        <v>19.18</v>
      </c>
      <c r="M395">
        <v>8.56</v>
      </c>
      <c r="N395">
        <v>6.327</v>
      </c>
      <c r="O395">
        <v>22.98</v>
      </c>
      <c r="P395">
        <v>27.52</v>
      </c>
      <c r="Q395">
        <v>19.61</v>
      </c>
      <c r="R395">
        <v>5.8</v>
      </c>
    </row>
    <row r="396">
      <c r="A396" s="9">
        <v>38927</v>
      </c>
      <c r="B396" s="2" t="inlineStr">
        <is>
          <t xml:space="preserve">2006-07</t>
        </is>
      </c>
      <c r="C396" s="2" t="inlineStr">
        <is>
          <t xml:space="preserve">2006/07</t>
        </is>
      </c>
      <c r="D396">
        <v>0.331</v>
      </c>
      <c r="E396">
        <v>21.85</v>
      </c>
      <c r="F396">
        <v>27.6</v>
      </c>
      <c r="G396">
        <v>17.27</v>
      </c>
      <c r="H396">
        <v>0.88</v>
      </c>
      <c r="I396">
        <v>11.878</v>
      </c>
      <c r="J396">
        <v>22.69</v>
      </c>
      <c r="K396">
        <v>26.65</v>
      </c>
      <c r="L396">
        <v>19.37</v>
      </c>
      <c r="M396">
        <v>3.45</v>
      </c>
      <c r="N396">
        <v>3.185</v>
      </c>
      <c r="O396">
        <v>22.97</v>
      </c>
      <c r="P396">
        <v>27.15</v>
      </c>
      <c r="Q396">
        <v>19.89</v>
      </c>
      <c r="R396">
        <v>1.89</v>
      </c>
    </row>
    <row r="397">
      <c r="A397" s="9">
        <v>38928</v>
      </c>
      <c r="B397" s="2" t="inlineStr">
        <is>
          <t xml:space="preserve">2006-07</t>
        </is>
      </c>
      <c r="C397" s="2" t="inlineStr">
        <is>
          <t xml:space="preserve">2006/07</t>
        </is>
      </c>
      <c r="D397">
        <v>1.343</v>
      </c>
      <c r="E397">
        <v>21.58</v>
      </c>
      <c r="F397">
        <v>26.91</v>
      </c>
      <c r="G397">
        <v>17.8</v>
      </c>
      <c r="H397">
        <v>0.89</v>
      </c>
      <c r="I397">
        <v>0.109</v>
      </c>
      <c r="J397">
        <v>22.6</v>
      </c>
      <c r="K397">
        <v>26.55</v>
      </c>
      <c r="L397">
        <v>20.11</v>
      </c>
      <c r="M397">
        <v>8.9</v>
      </c>
      <c r="N397">
        <v>0.083</v>
      </c>
      <c r="O397">
        <v>22.85</v>
      </c>
      <c r="P397">
        <v>26.91</v>
      </c>
      <c r="Q397">
        <v>20.55</v>
      </c>
      <c r="R397">
        <v>2.9</v>
      </c>
    </row>
    <row r="398">
      <c r="A398" s="9">
        <v>38929</v>
      </c>
      <c r="B398" s="2" t="inlineStr">
        <is>
          <t xml:space="preserve">2006-07</t>
        </is>
      </c>
      <c r="C398" s="2" t="inlineStr">
        <is>
          <t xml:space="preserve">2006/07</t>
        </is>
      </c>
      <c r="D398">
        <v>1.303</v>
      </c>
      <c r="E398">
        <v>21.94</v>
      </c>
      <c r="F398">
        <v>25.95</v>
      </c>
      <c r="G398">
        <v>18.36</v>
      </c>
      <c r="H398">
        <v>1.23</v>
      </c>
      <c r="I398">
        <v>60.039</v>
      </c>
      <c r="J398">
        <v>21.75</v>
      </c>
      <c r="K398">
        <v>23.59</v>
      </c>
      <c r="L398">
        <v>20.11</v>
      </c>
      <c r="M398">
        <v>18.63</v>
      </c>
      <c r="N398">
        <v>7.114</v>
      </c>
      <c r="O398">
        <v>22.38</v>
      </c>
      <c r="P398">
        <v>25.13</v>
      </c>
      <c r="Q398">
        <v>20.0</v>
      </c>
      <c r="R398">
        <v>10.96</v>
      </c>
    </row>
    <row r="399">
      <c r="A399" s="9">
        <v>38930</v>
      </c>
      <c r="B399" s="2" t="inlineStr">
        <is>
          <t xml:space="preserve">2006-08</t>
        </is>
      </c>
      <c r="C399" s="2" t="inlineStr">
        <is>
          <t xml:space="preserve">2006/07</t>
        </is>
      </c>
      <c r="D399">
        <v>0.094</v>
      </c>
      <c r="E399">
        <v>23.35</v>
      </c>
      <c r="F399">
        <v>28.65</v>
      </c>
      <c r="G399">
        <v>19.28</v>
      </c>
      <c r="H399">
        <v>0.52</v>
      </c>
      <c r="I399">
        <v>0.604</v>
      </c>
      <c r="J399">
        <v>22.42</v>
      </c>
      <c r="K399">
        <v>24.76</v>
      </c>
      <c r="L399">
        <v>19.62</v>
      </c>
      <c r="M399">
        <v>2.64</v>
      </c>
      <c r="N399">
        <v>5.183</v>
      </c>
      <c r="O399">
        <v>22.91</v>
      </c>
      <c r="P399">
        <v>24.64</v>
      </c>
      <c r="Q399">
        <v>20.83</v>
      </c>
      <c r="R399">
        <v>6.66</v>
      </c>
    </row>
    <row r="400">
      <c r="A400" s="9">
        <v>38931</v>
      </c>
      <c r="B400" s="2" t="inlineStr">
        <is>
          <t xml:space="preserve">2006-08</t>
        </is>
      </c>
      <c r="C400" s="2" t="inlineStr">
        <is>
          <t xml:space="preserve">2006/07</t>
        </is>
      </c>
      <c r="D400">
        <v>0.461</v>
      </c>
      <c r="E400">
        <v>23.9</v>
      </c>
      <c r="F400">
        <v>29.19</v>
      </c>
      <c r="G400">
        <v>19.13</v>
      </c>
      <c r="H400">
        <v>0.5</v>
      </c>
      <c r="I400">
        <v>0.249</v>
      </c>
      <c r="J400">
        <v>22.58</v>
      </c>
      <c r="K400">
        <v>25.37</v>
      </c>
      <c r="L400">
        <v>19.92</v>
      </c>
      <c r="M400">
        <v>0.64</v>
      </c>
      <c r="N400">
        <v>0.401</v>
      </c>
      <c r="O400">
        <v>23.96</v>
      </c>
      <c r="P400">
        <v>27.85</v>
      </c>
      <c r="Q400">
        <v>20.65</v>
      </c>
      <c r="R400">
        <v>0.97</v>
      </c>
    </row>
    <row r="401">
      <c r="A401" s="9">
        <v>38932</v>
      </c>
      <c r="B401" s="2" t="inlineStr">
        <is>
          <t xml:space="preserve">2006-08</t>
        </is>
      </c>
      <c r="C401" s="2" t="inlineStr">
        <is>
          <t xml:space="preserve">2006/07</t>
        </is>
      </c>
      <c r="D401">
        <v>1.345</v>
      </c>
      <c r="E401">
        <v>23.94</v>
      </c>
      <c r="F401">
        <v>29.3</v>
      </c>
      <c r="G401">
        <v>19.36</v>
      </c>
      <c r="H401">
        <v>4.8</v>
      </c>
      <c r="I401">
        <v>0.766</v>
      </c>
      <c r="J401">
        <v>22.82</v>
      </c>
      <c r="K401">
        <v>26.45</v>
      </c>
      <c r="L401">
        <v>19.75</v>
      </c>
      <c r="M401">
        <v>8.37</v>
      </c>
      <c r="N401">
        <v>0.108</v>
      </c>
      <c r="O401">
        <v>23.57</v>
      </c>
      <c r="P401">
        <v>27.01</v>
      </c>
      <c r="Q401">
        <v>20.93</v>
      </c>
      <c r="R401">
        <v>7.85</v>
      </c>
    </row>
    <row r="402">
      <c r="A402" s="9">
        <v>38933</v>
      </c>
      <c r="B402" s="2" t="inlineStr">
        <is>
          <t xml:space="preserve">2006-08</t>
        </is>
      </c>
      <c r="C402" s="2" t="inlineStr">
        <is>
          <t xml:space="preserve">2006/07</t>
        </is>
      </c>
      <c r="D402">
        <v>7.334</v>
      </c>
      <c r="E402">
        <v>23.06</v>
      </c>
      <c r="F402">
        <v>27.16</v>
      </c>
      <c r="G402">
        <v>20.1</v>
      </c>
      <c r="H402">
        <v>12.64</v>
      </c>
      <c r="I402">
        <v>26.987</v>
      </c>
      <c r="J402">
        <v>22.26</v>
      </c>
      <c r="K402">
        <v>25.16</v>
      </c>
      <c r="L402">
        <v>20.08</v>
      </c>
      <c r="M402">
        <v>32.75</v>
      </c>
      <c r="N402">
        <v>40.631</v>
      </c>
      <c r="O402">
        <v>23.47</v>
      </c>
      <c r="P402">
        <v>26.47</v>
      </c>
      <c r="Q402">
        <v>21.64</v>
      </c>
      <c r="R402">
        <v>39.29</v>
      </c>
    </row>
    <row r="403">
      <c r="A403" s="9">
        <v>38934</v>
      </c>
      <c r="B403" s="2" t="inlineStr">
        <is>
          <t xml:space="preserve">2006-08</t>
        </is>
      </c>
      <c r="C403" s="2" t="inlineStr">
        <is>
          <t xml:space="preserve">2006/07</t>
        </is>
      </c>
      <c r="D403">
        <v>7.335</v>
      </c>
      <c r="E403">
        <v>23.38</v>
      </c>
      <c r="F403">
        <v>29.42</v>
      </c>
      <c r="G403">
        <v>18.78</v>
      </c>
      <c r="H403">
        <v>2.03</v>
      </c>
      <c r="I403">
        <v>10.761</v>
      </c>
      <c r="J403">
        <v>22.57</v>
      </c>
      <c r="K403">
        <v>26.42</v>
      </c>
      <c r="L403">
        <v>19.78</v>
      </c>
      <c r="M403">
        <v>10.03</v>
      </c>
      <c r="N403">
        <v>50.94</v>
      </c>
      <c r="O403">
        <v>22.78</v>
      </c>
      <c r="P403">
        <v>25.94</v>
      </c>
      <c r="Q403">
        <v>20.83</v>
      </c>
      <c r="R403">
        <v>18.47</v>
      </c>
    </row>
    <row r="404">
      <c r="A404" s="9">
        <v>38935</v>
      </c>
      <c r="B404" s="2" t="inlineStr">
        <is>
          <t xml:space="preserve">2006-08</t>
        </is>
      </c>
      <c r="C404" s="2" t="inlineStr">
        <is>
          <t xml:space="preserve">2006/07</t>
        </is>
      </c>
      <c r="D404">
        <v>0.271</v>
      </c>
      <c r="E404">
        <v>23.32</v>
      </c>
      <c r="F404">
        <v>29.24</v>
      </c>
      <c r="G404">
        <v>18.29</v>
      </c>
      <c r="H404">
        <v>1.73</v>
      </c>
      <c r="I404">
        <v>0.225</v>
      </c>
      <c r="J404">
        <v>22.61</v>
      </c>
      <c r="K404">
        <v>26.85</v>
      </c>
      <c r="L404">
        <v>19.12</v>
      </c>
      <c r="M404">
        <v>3.44</v>
      </c>
      <c r="N404">
        <v>3.929</v>
      </c>
      <c r="O404">
        <v>22.7</v>
      </c>
      <c r="P404">
        <v>26.67</v>
      </c>
      <c r="Q404">
        <v>20.32</v>
      </c>
      <c r="R404">
        <v>5.63</v>
      </c>
    </row>
    <row r="405">
      <c r="A405" s="9">
        <v>38936</v>
      </c>
      <c r="B405" s="2" t="inlineStr">
        <is>
          <t xml:space="preserve">2006-08</t>
        </is>
      </c>
      <c r="C405" s="2" t="inlineStr">
        <is>
          <t xml:space="preserve">2006/07</t>
        </is>
      </c>
      <c r="D405">
        <v>0.948</v>
      </c>
      <c r="E405">
        <v>22.95</v>
      </c>
      <c r="F405">
        <v>27.78</v>
      </c>
      <c r="G405">
        <v>19.6</v>
      </c>
      <c r="H405">
        <v>1.37</v>
      </c>
      <c r="I405">
        <v>9.284</v>
      </c>
      <c r="J405">
        <v>21.96</v>
      </c>
      <c r="K405">
        <v>25.9</v>
      </c>
      <c r="L405">
        <v>19.52</v>
      </c>
      <c r="M405">
        <v>5.81</v>
      </c>
      <c r="N405">
        <v>7.638</v>
      </c>
      <c r="O405">
        <v>22.38</v>
      </c>
      <c r="P405">
        <v>26.07</v>
      </c>
      <c r="Q405">
        <v>20.26</v>
      </c>
      <c r="R405">
        <v>6.02</v>
      </c>
    </row>
    <row r="406">
      <c r="A406" s="9">
        <v>38937</v>
      </c>
      <c r="B406" s="2" t="inlineStr">
        <is>
          <t xml:space="preserve">2006-08</t>
        </is>
      </c>
      <c r="C406" s="2" t="inlineStr">
        <is>
          <t xml:space="preserve">2006/07</t>
        </is>
      </c>
      <c r="D406">
        <v>0.745</v>
      </c>
      <c r="E406">
        <v>22.51</v>
      </c>
      <c r="F406">
        <v>27.68</v>
      </c>
      <c r="G406">
        <v>18.36</v>
      </c>
      <c r="H406">
        <v>0.75</v>
      </c>
      <c r="I406">
        <v>0.717</v>
      </c>
      <c r="J406">
        <v>22.23</v>
      </c>
      <c r="K406">
        <v>26.0</v>
      </c>
      <c r="L406">
        <v>19.83</v>
      </c>
      <c r="M406">
        <v>3.41</v>
      </c>
      <c r="N406">
        <v>4.147</v>
      </c>
      <c r="O406">
        <v>22.29</v>
      </c>
      <c r="P406">
        <v>25.41</v>
      </c>
      <c r="Q406">
        <v>20.38</v>
      </c>
      <c r="R406">
        <v>4.08</v>
      </c>
    </row>
    <row r="407">
      <c r="A407" s="9">
        <v>38938</v>
      </c>
      <c r="B407" s="2" t="inlineStr">
        <is>
          <t xml:space="preserve">2006-08</t>
        </is>
      </c>
      <c r="C407" s="2" t="inlineStr">
        <is>
          <t xml:space="preserve">2006/07</t>
        </is>
      </c>
      <c r="D407">
        <v>0.326</v>
      </c>
      <c r="E407">
        <v>22.57</v>
      </c>
      <c r="F407">
        <v>28.09</v>
      </c>
      <c r="G407">
        <v>17.44</v>
      </c>
      <c r="H407">
        <v>1.02</v>
      </c>
      <c r="I407">
        <v>11.697</v>
      </c>
      <c r="J407">
        <v>23.03</v>
      </c>
      <c r="K407">
        <v>27.54</v>
      </c>
      <c r="L407">
        <v>19.39</v>
      </c>
      <c r="M407">
        <v>3.17</v>
      </c>
      <c r="N407">
        <v>0.653</v>
      </c>
      <c r="O407">
        <v>23.01</v>
      </c>
      <c r="P407">
        <v>27.09</v>
      </c>
      <c r="Q407">
        <v>20.23</v>
      </c>
      <c r="R407">
        <v>2.5</v>
      </c>
    </row>
    <row r="408">
      <c r="A408" s="9">
        <v>38939</v>
      </c>
      <c r="B408" s="2" t="inlineStr">
        <is>
          <t xml:space="preserve">2006-08</t>
        </is>
      </c>
      <c r="C408" s="2" t="inlineStr">
        <is>
          <t xml:space="preserve">2006/07</t>
        </is>
      </c>
      <c r="D408">
        <v>0.031</v>
      </c>
      <c r="E408">
        <v>22.53</v>
      </c>
      <c r="F408">
        <v>27.97</v>
      </c>
      <c r="G408">
        <v>17.65</v>
      </c>
      <c r="H408">
        <v>0.33</v>
      </c>
      <c r="I408">
        <v>0.0</v>
      </c>
      <c r="J408">
        <v>22.47</v>
      </c>
      <c r="K408">
        <v>26.82</v>
      </c>
      <c r="L408">
        <v>19.46</v>
      </c>
      <c r="M408">
        <v>0.28</v>
      </c>
      <c r="N408">
        <v>0.123</v>
      </c>
      <c r="O408">
        <v>22.68</v>
      </c>
      <c r="P408">
        <v>26.31</v>
      </c>
      <c r="Q408">
        <v>20.19</v>
      </c>
      <c r="R408">
        <v>1.35</v>
      </c>
    </row>
    <row r="409">
      <c r="A409" s="9">
        <v>38940</v>
      </c>
      <c r="B409" s="2" t="inlineStr">
        <is>
          <t xml:space="preserve">2006-08</t>
        </is>
      </c>
      <c r="C409" s="2" t="inlineStr">
        <is>
          <t xml:space="preserve">2006/07</t>
        </is>
      </c>
      <c r="D409">
        <v>0.336</v>
      </c>
      <c r="E409">
        <v>22.93</v>
      </c>
      <c r="F409">
        <v>27.88</v>
      </c>
      <c r="G409">
        <v>19.35</v>
      </c>
      <c r="H409">
        <v>1.5</v>
      </c>
      <c r="I409">
        <v>0.059</v>
      </c>
      <c r="J409">
        <v>22.11</v>
      </c>
      <c r="K409">
        <v>24.98</v>
      </c>
      <c r="L409">
        <v>19.31</v>
      </c>
      <c r="M409">
        <v>3.07</v>
      </c>
      <c r="N409">
        <v>0.298</v>
      </c>
      <c r="O409">
        <v>22.44</v>
      </c>
      <c r="P409">
        <v>25.88</v>
      </c>
      <c r="Q409">
        <v>20.35</v>
      </c>
      <c r="R409">
        <v>4.06</v>
      </c>
    </row>
    <row r="410">
      <c r="A410" s="9">
        <v>38941</v>
      </c>
      <c r="B410" s="2" t="inlineStr">
        <is>
          <t xml:space="preserve">2006-08</t>
        </is>
      </c>
      <c r="C410" s="2" t="inlineStr">
        <is>
          <t xml:space="preserve">2006/07</t>
        </is>
      </c>
      <c r="D410">
        <v>1.311</v>
      </c>
      <c r="E410">
        <v>23.48</v>
      </c>
      <c r="F410">
        <v>28.47</v>
      </c>
      <c r="G410">
        <v>19.26</v>
      </c>
      <c r="H410">
        <v>3.4</v>
      </c>
      <c r="I410">
        <v>7.447</v>
      </c>
      <c r="J410">
        <v>23.1</v>
      </c>
      <c r="K410">
        <v>27.06</v>
      </c>
      <c r="L410">
        <v>20.17</v>
      </c>
      <c r="M410">
        <v>6.13</v>
      </c>
      <c r="N410">
        <v>12.382</v>
      </c>
      <c r="O410">
        <v>23.24</v>
      </c>
      <c r="P410">
        <v>27.1</v>
      </c>
      <c r="Q410">
        <v>20.79</v>
      </c>
      <c r="R410">
        <v>8.92</v>
      </c>
    </row>
    <row r="411">
      <c r="A411" s="9">
        <v>38942</v>
      </c>
      <c r="B411" s="2" t="inlineStr">
        <is>
          <t xml:space="preserve">2006-08</t>
        </is>
      </c>
      <c r="C411" s="2" t="inlineStr">
        <is>
          <t xml:space="preserve">2006/07</t>
        </is>
      </c>
      <c r="D411">
        <v>0.126</v>
      </c>
      <c r="E411">
        <v>22.32</v>
      </c>
      <c r="F411">
        <v>28.5</v>
      </c>
      <c r="G411">
        <v>17.0</v>
      </c>
      <c r="H411">
        <v>2.71</v>
      </c>
      <c r="I411">
        <v>3.779</v>
      </c>
      <c r="J411">
        <v>23.3</v>
      </c>
      <c r="K411">
        <v>26.92</v>
      </c>
      <c r="L411">
        <v>20.67</v>
      </c>
      <c r="M411">
        <v>7.12</v>
      </c>
      <c r="N411">
        <v>2.123</v>
      </c>
      <c r="O411">
        <v>23.39</v>
      </c>
      <c r="P411">
        <v>26.49</v>
      </c>
      <c r="Q411">
        <v>20.77</v>
      </c>
      <c r="R411">
        <v>10.38</v>
      </c>
    </row>
    <row r="412">
      <c r="A412" s="9">
        <v>38943</v>
      </c>
      <c r="B412" s="2" t="inlineStr">
        <is>
          <t xml:space="preserve">2006-08</t>
        </is>
      </c>
      <c r="C412" s="2" t="inlineStr">
        <is>
          <t xml:space="preserve">2006/07</t>
        </is>
      </c>
      <c r="D412">
        <v>6.339</v>
      </c>
      <c r="E412">
        <v>23.05</v>
      </c>
      <c r="F412">
        <v>29.25</v>
      </c>
      <c r="G412">
        <v>18.33</v>
      </c>
      <c r="H412">
        <v>1.55</v>
      </c>
      <c r="I412">
        <v>1.628</v>
      </c>
      <c r="J412">
        <v>22.54</v>
      </c>
      <c r="K412">
        <v>26.54</v>
      </c>
      <c r="L412">
        <v>19.29</v>
      </c>
      <c r="M412">
        <v>0.61</v>
      </c>
      <c r="N412">
        <v>3.237</v>
      </c>
      <c r="O412">
        <v>22.63</v>
      </c>
      <c r="P412">
        <v>26.72</v>
      </c>
      <c r="Q412">
        <v>19.28</v>
      </c>
      <c r="R412">
        <v>0.62</v>
      </c>
    </row>
    <row r="413">
      <c r="A413" s="9">
        <v>38944</v>
      </c>
      <c r="B413" s="2" t="inlineStr">
        <is>
          <t xml:space="preserve">2006-08</t>
        </is>
      </c>
      <c r="C413" s="2" t="inlineStr">
        <is>
          <t xml:space="preserve">2006/07</t>
        </is>
      </c>
      <c r="D413">
        <v>0.0</v>
      </c>
      <c r="E413">
        <v>23.26</v>
      </c>
      <c r="F413">
        <v>30.28</v>
      </c>
      <c r="G413">
        <v>17.38</v>
      </c>
      <c r="H413">
        <v>0.25</v>
      </c>
      <c r="I413">
        <v>0.0</v>
      </c>
      <c r="J413">
        <v>22.32</v>
      </c>
      <c r="K413">
        <v>27.09</v>
      </c>
      <c r="L413">
        <v>19.05</v>
      </c>
      <c r="M413">
        <v>0.3</v>
      </c>
      <c r="N413">
        <v>0.0</v>
      </c>
      <c r="O413">
        <v>22.64</v>
      </c>
      <c r="P413">
        <v>26.95</v>
      </c>
      <c r="Q413">
        <v>19.67</v>
      </c>
      <c r="R413">
        <v>0.33</v>
      </c>
    </row>
    <row r="414">
      <c r="A414" s="9">
        <v>38945</v>
      </c>
      <c r="B414" s="2" t="inlineStr">
        <is>
          <t xml:space="preserve">2006-08</t>
        </is>
      </c>
      <c r="C414" s="2" t="inlineStr">
        <is>
          <t xml:space="preserve">2006/07</t>
        </is>
      </c>
      <c r="D414">
        <v>1.452</v>
      </c>
      <c r="E414">
        <v>22.94</v>
      </c>
      <c r="F414">
        <v>29.7</v>
      </c>
      <c r="G414">
        <v>18.17</v>
      </c>
      <c r="H414">
        <v>1.26</v>
      </c>
      <c r="I414">
        <v>0.343</v>
      </c>
      <c r="J414">
        <v>21.71</v>
      </c>
      <c r="K414">
        <v>26.38</v>
      </c>
      <c r="L414">
        <v>18.6</v>
      </c>
      <c r="M414">
        <v>0.39</v>
      </c>
      <c r="N414">
        <v>1.15</v>
      </c>
      <c r="O414">
        <v>22.01</v>
      </c>
      <c r="P414">
        <v>26.24</v>
      </c>
      <c r="Q414">
        <v>19.14</v>
      </c>
      <c r="R414">
        <v>0.63</v>
      </c>
    </row>
    <row r="415">
      <c r="A415" s="9">
        <v>38946</v>
      </c>
      <c r="B415" s="2" t="inlineStr">
        <is>
          <t xml:space="preserve">2006-08</t>
        </is>
      </c>
      <c r="C415" s="2" t="inlineStr">
        <is>
          <t xml:space="preserve">2006/07</t>
        </is>
      </c>
      <c r="D415">
        <v>0.0</v>
      </c>
      <c r="E415">
        <v>23.32</v>
      </c>
      <c r="F415">
        <v>29.47</v>
      </c>
      <c r="G415">
        <v>18.43</v>
      </c>
      <c r="H415">
        <v>0.27</v>
      </c>
      <c r="I415">
        <v>0.0</v>
      </c>
      <c r="J415">
        <v>21.92</v>
      </c>
      <c r="K415">
        <v>26.7</v>
      </c>
      <c r="L415">
        <v>17.7</v>
      </c>
      <c r="M415">
        <v>1.34</v>
      </c>
      <c r="N415">
        <v>0.0</v>
      </c>
      <c r="O415">
        <v>22.31</v>
      </c>
      <c r="P415">
        <v>26.84</v>
      </c>
      <c r="Q415">
        <v>18.74</v>
      </c>
      <c r="R415">
        <v>0.8</v>
      </c>
    </row>
    <row r="416">
      <c r="A416" s="9">
        <v>38947</v>
      </c>
      <c r="B416" s="2" t="inlineStr">
        <is>
          <t xml:space="preserve">2006-08</t>
        </is>
      </c>
      <c r="C416" s="2" t="inlineStr">
        <is>
          <t xml:space="preserve">2006/07</t>
        </is>
      </c>
      <c r="D416">
        <v>0.459</v>
      </c>
      <c r="E416">
        <v>23.13</v>
      </c>
      <c r="F416">
        <v>28.91</v>
      </c>
      <c r="G416">
        <v>19.21</v>
      </c>
      <c r="H416">
        <v>1.84</v>
      </c>
      <c r="I416">
        <v>4.525</v>
      </c>
      <c r="J416">
        <v>22.15</v>
      </c>
      <c r="K416">
        <v>25.48</v>
      </c>
      <c r="L416">
        <v>19.61</v>
      </c>
      <c r="M416">
        <v>10.75</v>
      </c>
      <c r="N416">
        <v>4.175</v>
      </c>
      <c r="O416">
        <v>22.53</v>
      </c>
      <c r="P416">
        <v>25.82</v>
      </c>
      <c r="Q416">
        <v>20.26</v>
      </c>
      <c r="R416">
        <v>13.86</v>
      </c>
    </row>
    <row r="417">
      <c r="A417" s="9">
        <v>38948</v>
      </c>
      <c r="B417" s="2" t="inlineStr">
        <is>
          <t xml:space="preserve">2006-08</t>
        </is>
      </c>
      <c r="C417" s="2" t="inlineStr">
        <is>
          <t xml:space="preserve">2006/07</t>
        </is>
      </c>
      <c r="D417">
        <v>0.443</v>
      </c>
      <c r="E417">
        <v>23.16</v>
      </c>
      <c r="F417">
        <v>29.56</v>
      </c>
      <c r="G417">
        <v>18.49</v>
      </c>
      <c r="H417">
        <v>1.38</v>
      </c>
      <c r="I417">
        <v>16.045</v>
      </c>
      <c r="J417">
        <v>22.1</v>
      </c>
      <c r="K417">
        <v>25.29</v>
      </c>
      <c r="L417">
        <v>19.45</v>
      </c>
      <c r="M417">
        <v>11.29</v>
      </c>
      <c r="N417">
        <v>15.946</v>
      </c>
      <c r="O417">
        <v>22.62</v>
      </c>
      <c r="P417">
        <v>26.42</v>
      </c>
      <c r="Q417">
        <v>20.5</v>
      </c>
      <c r="R417">
        <v>15.17</v>
      </c>
    </row>
    <row r="418">
      <c r="A418" s="9">
        <v>38949</v>
      </c>
      <c r="B418" s="2" t="inlineStr">
        <is>
          <t xml:space="preserve">2006-08</t>
        </is>
      </c>
      <c r="C418" s="2" t="inlineStr">
        <is>
          <t xml:space="preserve">2006/07</t>
        </is>
      </c>
      <c r="D418">
        <v>1.3</v>
      </c>
      <c r="E418">
        <v>23.17</v>
      </c>
      <c r="F418">
        <v>29.99</v>
      </c>
      <c r="G418">
        <v>18.46</v>
      </c>
      <c r="H418">
        <v>2.35</v>
      </c>
      <c r="I418">
        <v>2.05</v>
      </c>
      <c r="J418">
        <v>22.11</v>
      </c>
      <c r="K418">
        <v>26.4</v>
      </c>
      <c r="L418">
        <v>18.67</v>
      </c>
      <c r="M418">
        <v>3.04</v>
      </c>
      <c r="N418">
        <v>0.184</v>
      </c>
      <c r="O418">
        <v>22.42</v>
      </c>
      <c r="P418">
        <v>26.09</v>
      </c>
      <c r="Q418">
        <v>19.95</v>
      </c>
      <c r="R418">
        <v>3.11</v>
      </c>
    </row>
    <row r="419">
      <c r="A419" s="9">
        <v>38950</v>
      </c>
      <c r="B419" s="2" t="inlineStr">
        <is>
          <t xml:space="preserve">2006-08</t>
        </is>
      </c>
      <c r="C419" s="2" t="inlineStr">
        <is>
          <t xml:space="preserve">2006/07</t>
        </is>
      </c>
      <c r="D419">
        <v>0.661</v>
      </c>
      <c r="E419">
        <v>22.61</v>
      </c>
      <c r="F419">
        <v>27.71</v>
      </c>
      <c r="G419">
        <v>19.49</v>
      </c>
      <c r="H419">
        <v>1.51</v>
      </c>
      <c r="I419">
        <v>9.278</v>
      </c>
      <c r="J419">
        <v>21.29</v>
      </c>
      <c r="K419">
        <v>24.74</v>
      </c>
      <c r="L419">
        <v>18.17</v>
      </c>
      <c r="M419">
        <v>7.99</v>
      </c>
      <c r="N419">
        <v>12.071</v>
      </c>
      <c r="O419">
        <v>21.51</v>
      </c>
      <c r="P419">
        <v>23.55</v>
      </c>
      <c r="Q419">
        <v>19.36</v>
      </c>
      <c r="R419">
        <v>10.81</v>
      </c>
    </row>
    <row r="420">
      <c r="A420" s="9">
        <v>38951</v>
      </c>
      <c r="B420" s="2" t="inlineStr">
        <is>
          <t xml:space="preserve">2006-08</t>
        </is>
      </c>
      <c r="C420" s="2" t="inlineStr">
        <is>
          <t xml:space="preserve">2006/07</t>
        </is>
      </c>
      <c r="D420">
        <v>0.421</v>
      </c>
      <c r="E420">
        <v>23.76</v>
      </c>
      <c r="F420">
        <v>30.37</v>
      </c>
      <c r="G420">
        <v>18.33</v>
      </c>
      <c r="H420">
        <v>0.17</v>
      </c>
      <c r="I420">
        <v>1.171</v>
      </c>
      <c r="J420">
        <v>23.22</v>
      </c>
      <c r="K420">
        <v>27.87</v>
      </c>
      <c r="L420">
        <v>19.43</v>
      </c>
      <c r="M420">
        <v>0.58</v>
      </c>
      <c r="N420">
        <v>1.659</v>
      </c>
      <c r="O420">
        <v>23.2</v>
      </c>
      <c r="P420">
        <v>27.34</v>
      </c>
      <c r="Q420">
        <v>20.14</v>
      </c>
      <c r="R420">
        <v>0.93</v>
      </c>
    </row>
    <row r="421">
      <c r="A421" s="9">
        <v>38952</v>
      </c>
      <c r="B421" s="2" t="inlineStr">
        <is>
          <t xml:space="preserve">2006-08</t>
        </is>
      </c>
      <c r="C421" s="2" t="inlineStr">
        <is>
          <t xml:space="preserve">2006/07</t>
        </is>
      </c>
      <c r="D421">
        <v>0.031</v>
      </c>
      <c r="E421">
        <v>24.5</v>
      </c>
      <c r="F421">
        <v>31.62</v>
      </c>
      <c r="G421">
        <v>17.93</v>
      </c>
      <c r="H421">
        <v>0.3</v>
      </c>
      <c r="I421">
        <v>0.29</v>
      </c>
      <c r="J421">
        <v>23.6</v>
      </c>
      <c r="K421">
        <v>28.28</v>
      </c>
      <c r="L421">
        <v>19.35</v>
      </c>
      <c r="M421">
        <v>0.54</v>
      </c>
      <c r="N421">
        <v>0.912</v>
      </c>
      <c r="O421">
        <v>23.65</v>
      </c>
      <c r="P421">
        <v>28.34</v>
      </c>
      <c r="Q421">
        <v>20.69</v>
      </c>
      <c r="R421">
        <v>0.7</v>
      </c>
    </row>
    <row r="422">
      <c r="A422" s="9">
        <v>38953</v>
      </c>
      <c r="B422" s="2" t="inlineStr">
        <is>
          <t xml:space="preserve">2006-08</t>
        </is>
      </c>
      <c r="C422" s="2" t="inlineStr">
        <is>
          <t xml:space="preserve">2006/07</t>
        </is>
      </c>
      <c r="D422">
        <v>1.883</v>
      </c>
      <c r="E422">
        <v>23.69</v>
      </c>
      <c r="F422">
        <v>28.83</v>
      </c>
      <c r="G422">
        <v>19.53</v>
      </c>
      <c r="H422">
        <v>2.77</v>
      </c>
      <c r="I422">
        <v>1.897</v>
      </c>
      <c r="J422">
        <v>23.12</v>
      </c>
      <c r="K422">
        <v>26.98</v>
      </c>
      <c r="L422">
        <v>20.25</v>
      </c>
      <c r="M422">
        <v>2.45</v>
      </c>
      <c r="N422">
        <v>0.64</v>
      </c>
      <c r="O422">
        <v>23.15</v>
      </c>
      <c r="P422">
        <v>26.94</v>
      </c>
      <c r="Q422">
        <v>20.67</v>
      </c>
      <c r="R422">
        <v>2.03</v>
      </c>
    </row>
    <row r="423">
      <c r="A423" s="9">
        <v>38954</v>
      </c>
      <c r="B423" s="2" t="inlineStr">
        <is>
          <t xml:space="preserve">2006-08</t>
        </is>
      </c>
      <c r="C423" s="2" t="inlineStr">
        <is>
          <t xml:space="preserve">2006/07</t>
        </is>
      </c>
      <c r="D423">
        <v>2.937</v>
      </c>
      <c r="E423">
        <v>22.5</v>
      </c>
      <c r="F423">
        <v>28.69</v>
      </c>
      <c r="G423">
        <v>18.72</v>
      </c>
      <c r="H423">
        <v>7.7</v>
      </c>
      <c r="I423">
        <v>3.11</v>
      </c>
      <c r="J423">
        <v>22.88</v>
      </c>
      <c r="K423">
        <v>26.78</v>
      </c>
      <c r="L423">
        <v>20.32</v>
      </c>
      <c r="M423">
        <v>7.76</v>
      </c>
      <c r="N423">
        <v>5.805</v>
      </c>
      <c r="O423">
        <v>22.88</v>
      </c>
      <c r="P423">
        <v>26.45</v>
      </c>
      <c r="Q423">
        <v>20.53</v>
      </c>
      <c r="R423">
        <v>9.17</v>
      </c>
    </row>
    <row r="424">
      <c r="A424" s="9">
        <v>38955</v>
      </c>
      <c r="B424" s="2" t="inlineStr">
        <is>
          <t xml:space="preserve">2006-08</t>
        </is>
      </c>
      <c r="C424" s="2" t="inlineStr">
        <is>
          <t xml:space="preserve">2006/07</t>
        </is>
      </c>
      <c r="D424">
        <v>17.071</v>
      </c>
      <c r="E424">
        <v>22.48</v>
      </c>
      <c r="F424">
        <v>29.67</v>
      </c>
      <c r="G424">
        <v>16.65</v>
      </c>
      <c r="H424">
        <v>5.35</v>
      </c>
      <c r="I424">
        <v>7.572</v>
      </c>
      <c r="J424">
        <v>22.95</v>
      </c>
      <c r="K424">
        <v>27.23</v>
      </c>
      <c r="L424">
        <v>19.21</v>
      </c>
      <c r="M424">
        <v>4.92</v>
      </c>
      <c r="N424">
        <v>5.206</v>
      </c>
      <c r="O424">
        <v>22.41</v>
      </c>
      <c r="P424">
        <v>26.82</v>
      </c>
      <c r="Q424">
        <v>19.49</v>
      </c>
      <c r="R424">
        <v>1.98</v>
      </c>
    </row>
    <row r="425">
      <c r="A425" s="9">
        <v>38956</v>
      </c>
      <c r="B425" s="2" t="inlineStr">
        <is>
          <t xml:space="preserve">2006-08</t>
        </is>
      </c>
      <c r="C425" s="2" t="inlineStr">
        <is>
          <t xml:space="preserve">2006/07</t>
        </is>
      </c>
      <c r="D425">
        <v>1.093</v>
      </c>
      <c r="E425">
        <v>23.0</v>
      </c>
      <c r="F425">
        <v>29.75</v>
      </c>
      <c r="G425">
        <v>16.6</v>
      </c>
      <c r="H425">
        <v>0.59</v>
      </c>
      <c r="I425">
        <v>6.416</v>
      </c>
      <c r="J425">
        <v>22.43</v>
      </c>
      <c r="K425">
        <v>26.43</v>
      </c>
      <c r="L425">
        <v>19.01</v>
      </c>
      <c r="M425">
        <v>3.41</v>
      </c>
      <c r="N425">
        <v>0.141</v>
      </c>
      <c r="O425">
        <v>22.13</v>
      </c>
      <c r="P425">
        <v>26.32</v>
      </c>
      <c r="Q425">
        <v>19.03</v>
      </c>
      <c r="R425">
        <v>1.01</v>
      </c>
    </row>
    <row r="426">
      <c r="A426" s="9">
        <v>38957</v>
      </c>
      <c r="B426" s="2" t="inlineStr">
        <is>
          <t xml:space="preserve">2006-08</t>
        </is>
      </c>
      <c r="C426" s="2" t="inlineStr">
        <is>
          <t xml:space="preserve">2006/07</t>
        </is>
      </c>
      <c r="D426">
        <v>0.022</v>
      </c>
      <c r="E426">
        <v>24.45</v>
      </c>
      <c r="F426">
        <v>31.35</v>
      </c>
      <c r="G426">
        <v>18.84</v>
      </c>
      <c r="H426">
        <v>0.13</v>
      </c>
      <c r="I426">
        <v>1.09</v>
      </c>
      <c r="J426">
        <v>22.68</v>
      </c>
      <c r="K426">
        <v>26.31</v>
      </c>
      <c r="L426">
        <v>19.76</v>
      </c>
      <c r="M426">
        <v>1.04</v>
      </c>
      <c r="N426">
        <v>1.804</v>
      </c>
      <c r="O426">
        <v>23.03</v>
      </c>
      <c r="P426">
        <v>27.16</v>
      </c>
      <c r="Q426">
        <v>20.44</v>
      </c>
      <c r="R426">
        <v>1.97</v>
      </c>
    </row>
    <row r="427">
      <c r="A427" s="9">
        <v>38958</v>
      </c>
      <c r="B427" s="2" t="inlineStr">
        <is>
          <t xml:space="preserve">2006-08</t>
        </is>
      </c>
      <c r="C427" s="2" t="inlineStr">
        <is>
          <t xml:space="preserve">2006/07</t>
        </is>
      </c>
      <c r="D427">
        <v>0.0</v>
      </c>
      <c r="E427">
        <v>23.2</v>
      </c>
      <c r="F427">
        <v>27.41</v>
      </c>
      <c r="G427">
        <v>20.49</v>
      </c>
      <c r="H427">
        <v>0.02</v>
      </c>
      <c r="I427">
        <v>0.067</v>
      </c>
      <c r="J427">
        <v>21.69</v>
      </c>
      <c r="K427">
        <v>24.79</v>
      </c>
      <c r="L427">
        <v>19.01</v>
      </c>
      <c r="M427">
        <v>0.77</v>
      </c>
      <c r="N427">
        <v>0.033</v>
      </c>
      <c r="O427">
        <v>21.95</v>
      </c>
      <c r="P427">
        <v>24.69</v>
      </c>
      <c r="Q427">
        <v>19.95</v>
      </c>
      <c r="R427">
        <v>0.99</v>
      </c>
    </row>
    <row r="428">
      <c r="A428" s="9">
        <v>38959</v>
      </c>
      <c r="B428" s="2" t="inlineStr">
        <is>
          <t xml:space="preserve">2006-08</t>
        </is>
      </c>
      <c r="C428" s="2" t="inlineStr">
        <is>
          <t xml:space="preserve">2006/07</t>
        </is>
      </c>
      <c r="D428">
        <v>0.0</v>
      </c>
      <c r="E428">
        <v>23.5</v>
      </c>
      <c r="F428">
        <v>27.72</v>
      </c>
      <c r="G428">
        <v>20.24</v>
      </c>
      <c r="H428">
        <v>0.04</v>
      </c>
      <c r="I428">
        <v>1.222</v>
      </c>
      <c r="J428">
        <v>22.19</v>
      </c>
      <c r="K428">
        <v>26.55</v>
      </c>
      <c r="L428">
        <v>19.31</v>
      </c>
      <c r="M428">
        <v>3.73</v>
      </c>
      <c r="N428">
        <v>0.0</v>
      </c>
      <c r="O428">
        <v>22.15</v>
      </c>
      <c r="P428">
        <v>25.03</v>
      </c>
      <c r="Q428">
        <v>20.6</v>
      </c>
      <c r="R428">
        <v>2.42</v>
      </c>
    </row>
    <row r="429">
      <c r="A429" s="9">
        <v>38960</v>
      </c>
      <c r="B429" s="2" t="inlineStr">
        <is>
          <t xml:space="preserve">2006-08</t>
        </is>
      </c>
      <c r="C429" s="2" t="inlineStr">
        <is>
          <t xml:space="preserve">2006/07</t>
        </is>
      </c>
      <c r="D429">
        <v>0.052</v>
      </c>
      <c r="E429">
        <v>23.59</v>
      </c>
      <c r="F429">
        <v>27.73</v>
      </c>
      <c r="G429">
        <v>19.93</v>
      </c>
      <c r="H429">
        <v>0.18</v>
      </c>
      <c r="I429">
        <v>22.489</v>
      </c>
      <c r="J429">
        <v>22.03</v>
      </c>
      <c r="K429">
        <v>24.78</v>
      </c>
      <c r="L429">
        <v>20.12</v>
      </c>
      <c r="M429">
        <v>11.86</v>
      </c>
      <c r="N429">
        <v>6.66</v>
      </c>
      <c r="O429">
        <v>22.85</v>
      </c>
      <c r="P429">
        <v>26.65</v>
      </c>
      <c r="Q429">
        <v>20.16</v>
      </c>
      <c r="R429">
        <v>11.26</v>
      </c>
    </row>
    <row r="430">
      <c r="A430" s="9">
        <v>38961</v>
      </c>
      <c r="B430" s="2" t="inlineStr">
        <is>
          <t xml:space="preserve">2006-09</t>
        </is>
      </c>
      <c r="C430" s="2" t="inlineStr">
        <is>
          <t xml:space="preserve">2006/07</t>
        </is>
      </c>
      <c r="D430">
        <v>0.198</v>
      </c>
      <c r="E430">
        <v>24.39</v>
      </c>
      <c r="F430">
        <v>31.13</v>
      </c>
      <c r="G430">
        <v>19.62</v>
      </c>
      <c r="H430">
        <v>0.96</v>
      </c>
      <c r="I430">
        <v>14.772</v>
      </c>
      <c r="J430">
        <v>21.87</v>
      </c>
      <c r="K430">
        <v>24.48</v>
      </c>
      <c r="L430">
        <v>20.1</v>
      </c>
      <c r="M430">
        <v>4.84</v>
      </c>
      <c r="N430">
        <v>3.624</v>
      </c>
      <c r="O430">
        <v>22.8</v>
      </c>
      <c r="P430">
        <v>25.45</v>
      </c>
      <c r="Q430">
        <v>21.23</v>
      </c>
      <c r="R430">
        <v>4.94</v>
      </c>
    </row>
    <row r="431">
      <c r="A431" s="9">
        <v>38962</v>
      </c>
      <c r="B431" s="2" t="inlineStr">
        <is>
          <t xml:space="preserve">2006-09</t>
        </is>
      </c>
      <c r="C431" s="2" t="inlineStr">
        <is>
          <t xml:space="preserve">2006/07</t>
        </is>
      </c>
      <c r="D431">
        <v>3.856</v>
      </c>
      <c r="E431">
        <v>23.61</v>
      </c>
      <c r="F431">
        <v>29.69</v>
      </c>
      <c r="G431">
        <v>17.99</v>
      </c>
      <c r="H431">
        <v>1.53</v>
      </c>
      <c r="I431">
        <v>1.907</v>
      </c>
      <c r="J431">
        <v>22.32</v>
      </c>
      <c r="K431">
        <v>26.54</v>
      </c>
      <c r="L431">
        <v>19.68</v>
      </c>
      <c r="M431">
        <v>2.36</v>
      </c>
      <c r="N431">
        <v>1.161</v>
      </c>
      <c r="O431">
        <v>22.48</v>
      </c>
      <c r="P431">
        <v>26.13</v>
      </c>
      <c r="Q431">
        <v>20.17</v>
      </c>
      <c r="R431">
        <v>5.42</v>
      </c>
    </row>
    <row r="432">
      <c r="A432" s="9">
        <v>38963</v>
      </c>
      <c r="B432" s="2" t="inlineStr">
        <is>
          <t xml:space="preserve">2006-09</t>
        </is>
      </c>
      <c r="C432" s="2" t="inlineStr">
        <is>
          <t xml:space="preserve">2006/07</t>
        </is>
      </c>
      <c r="D432">
        <v>0.0</v>
      </c>
      <c r="E432">
        <v>24.49</v>
      </c>
      <c r="F432">
        <v>32.19</v>
      </c>
      <c r="G432">
        <v>17.52</v>
      </c>
      <c r="H432">
        <v>3.22</v>
      </c>
      <c r="I432">
        <v>0.106</v>
      </c>
      <c r="J432">
        <v>22.39</v>
      </c>
      <c r="K432">
        <v>26.4</v>
      </c>
      <c r="L432">
        <v>18.69</v>
      </c>
      <c r="M432">
        <v>2.07</v>
      </c>
      <c r="N432">
        <v>0.031</v>
      </c>
      <c r="O432">
        <v>22.3</v>
      </c>
      <c r="P432">
        <v>26.69</v>
      </c>
      <c r="Q432">
        <v>19.25</v>
      </c>
      <c r="R432">
        <v>1.99</v>
      </c>
    </row>
    <row r="433">
      <c r="A433" s="9">
        <v>38964</v>
      </c>
      <c r="B433" s="2" t="inlineStr">
        <is>
          <t xml:space="preserve">2006-09</t>
        </is>
      </c>
      <c r="C433" s="2" t="inlineStr">
        <is>
          <t xml:space="preserve">2006/07</t>
        </is>
      </c>
      <c r="D433">
        <v>23.084</v>
      </c>
      <c r="E433">
        <v>23.08</v>
      </c>
      <c r="F433">
        <v>28.37</v>
      </c>
      <c r="G433">
        <v>19.36</v>
      </c>
      <c r="H433">
        <v>9.88</v>
      </c>
      <c r="I433">
        <v>6.13</v>
      </c>
      <c r="J433">
        <v>21.95</v>
      </c>
      <c r="K433">
        <v>26.13</v>
      </c>
      <c r="L433">
        <v>18.78</v>
      </c>
      <c r="M433">
        <v>6.17</v>
      </c>
      <c r="N433">
        <v>10.023</v>
      </c>
      <c r="O433">
        <v>21.91</v>
      </c>
      <c r="P433">
        <v>24.96</v>
      </c>
      <c r="Q433">
        <v>19.36</v>
      </c>
      <c r="R433">
        <v>5.9</v>
      </c>
    </row>
    <row r="434">
      <c r="A434" s="9">
        <v>38965</v>
      </c>
      <c r="B434" s="2" t="inlineStr">
        <is>
          <t xml:space="preserve">2006-09</t>
        </is>
      </c>
      <c r="C434" s="2" t="inlineStr">
        <is>
          <t xml:space="preserve">2006/07</t>
        </is>
      </c>
      <c r="D434">
        <v>2.147</v>
      </c>
      <c r="E434">
        <v>23.43</v>
      </c>
      <c r="F434">
        <v>30.24</v>
      </c>
      <c r="G434">
        <v>18.95</v>
      </c>
      <c r="H434">
        <v>3.09</v>
      </c>
      <c r="I434">
        <v>2.769</v>
      </c>
      <c r="J434">
        <v>21.6</v>
      </c>
      <c r="K434">
        <v>25.25</v>
      </c>
      <c r="L434">
        <v>18.84</v>
      </c>
      <c r="M434">
        <v>2.68</v>
      </c>
      <c r="N434">
        <v>4.59</v>
      </c>
      <c r="O434">
        <v>21.93</v>
      </c>
      <c r="P434">
        <v>25.16</v>
      </c>
      <c r="Q434">
        <v>20.0</v>
      </c>
      <c r="R434">
        <v>3.97</v>
      </c>
    </row>
    <row r="435">
      <c r="A435" s="9">
        <v>38966</v>
      </c>
      <c r="B435" s="2" t="inlineStr">
        <is>
          <t xml:space="preserve">2006-09</t>
        </is>
      </c>
      <c r="C435" s="2" t="inlineStr">
        <is>
          <t xml:space="preserve">2006/07</t>
        </is>
      </c>
      <c r="D435">
        <v>1.124</v>
      </c>
      <c r="E435">
        <v>23.38</v>
      </c>
      <c r="F435">
        <v>30.28</v>
      </c>
      <c r="G435">
        <v>17.73</v>
      </c>
      <c r="H435">
        <v>1.7</v>
      </c>
      <c r="I435">
        <v>0.243</v>
      </c>
      <c r="J435">
        <v>22.46</v>
      </c>
      <c r="K435">
        <v>26.91</v>
      </c>
      <c r="L435">
        <v>18.93</v>
      </c>
      <c r="M435">
        <v>1.34</v>
      </c>
      <c r="N435">
        <v>1.067</v>
      </c>
      <c r="O435">
        <v>22.53</v>
      </c>
      <c r="P435">
        <v>26.71</v>
      </c>
      <c r="Q435">
        <v>19.96</v>
      </c>
      <c r="R435">
        <v>3.72</v>
      </c>
    </row>
    <row r="436">
      <c r="A436" s="9">
        <v>38967</v>
      </c>
      <c r="B436" s="2" t="inlineStr">
        <is>
          <t xml:space="preserve">2006-09</t>
        </is>
      </c>
      <c r="C436" s="2" t="inlineStr">
        <is>
          <t xml:space="preserve">2006/07</t>
        </is>
      </c>
      <c r="D436">
        <v>1.499</v>
      </c>
      <c r="E436">
        <v>23.05</v>
      </c>
      <c r="F436">
        <v>28.64</v>
      </c>
      <c r="G436">
        <v>19.18</v>
      </c>
      <c r="H436">
        <v>5.43</v>
      </c>
      <c r="I436">
        <v>0.391</v>
      </c>
      <c r="J436">
        <v>22.31</v>
      </c>
      <c r="K436">
        <v>26.2</v>
      </c>
      <c r="L436">
        <v>19.02</v>
      </c>
      <c r="M436">
        <v>2.18</v>
      </c>
      <c r="N436">
        <v>0.705</v>
      </c>
      <c r="O436">
        <v>22.33</v>
      </c>
      <c r="P436">
        <v>26.2</v>
      </c>
      <c r="Q436">
        <v>19.6</v>
      </c>
      <c r="R436">
        <v>2.55</v>
      </c>
    </row>
    <row r="437">
      <c r="A437" s="9">
        <v>38968</v>
      </c>
      <c r="B437" s="2" t="inlineStr">
        <is>
          <t xml:space="preserve">2006-09</t>
        </is>
      </c>
      <c r="C437" s="2" t="inlineStr">
        <is>
          <t xml:space="preserve">2006/07</t>
        </is>
      </c>
      <c r="D437">
        <v>11.134</v>
      </c>
      <c r="E437">
        <v>23.11</v>
      </c>
      <c r="F437">
        <v>29.97</v>
      </c>
      <c r="G437">
        <v>17.3</v>
      </c>
      <c r="H437">
        <v>4.85</v>
      </c>
      <c r="I437">
        <v>4.144</v>
      </c>
      <c r="J437">
        <v>22.0</v>
      </c>
      <c r="K437">
        <v>25.14</v>
      </c>
      <c r="L437">
        <v>19.89</v>
      </c>
      <c r="M437">
        <v>7.55</v>
      </c>
      <c r="N437">
        <v>7.334</v>
      </c>
      <c r="O437">
        <v>22.8</v>
      </c>
      <c r="P437">
        <v>26.57</v>
      </c>
      <c r="Q437">
        <v>20.57</v>
      </c>
      <c r="R437">
        <v>8.4</v>
      </c>
    </row>
    <row r="438">
      <c r="A438" s="9">
        <v>38969</v>
      </c>
      <c r="B438" s="2" t="inlineStr">
        <is>
          <t xml:space="preserve">2006-09</t>
        </is>
      </c>
      <c r="C438" s="2" t="inlineStr">
        <is>
          <t xml:space="preserve">2006/07</t>
        </is>
      </c>
      <c r="D438">
        <v>1.023</v>
      </c>
      <c r="E438">
        <v>22.57</v>
      </c>
      <c r="F438">
        <v>28.03</v>
      </c>
      <c r="G438">
        <v>18.69</v>
      </c>
      <c r="H438">
        <v>9.58</v>
      </c>
      <c r="I438">
        <v>20.771</v>
      </c>
      <c r="J438">
        <v>21.99</v>
      </c>
      <c r="K438">
        <v>25.86</v>
      </c>
      <c r="L438">
        <v>18.63</v>
      </c>
      <c r="M438">
        <v>16.69</v>
      </c>
      <c r="N438">
        <v>29.551</v>
      </c>
      <c r="O438">
        <v>22.45</v>
      </c>
      <c r="P438">
        <v>26.28</v>
      </c>
      <c r="Q438">
        <v>19.69</v>
      </c>
      <c r="R438">
        <v>15.87</v>
      </c>
    </row>
    <row r="439">
      <c r="A439" s="9">
        <v>38970</v>
      </c>
      <c r="B439" s="2" t="inlineStr">
        <is>
          <t xml:space="preserve">2006-09</t>
        </is>
      </c>
      <c r="C439" s="2" t="inlineStr">
        <is>
          <t xml:space="preserve">2006/07</t>
        </is>
      </c>
      <c r="D439">
        <v>28.693</v>
      </c>
      <c r="E439">
        <v>22.57</v>
      </c>
      <c r="F439">
        <v>27.62</v>
      </c>
      <c r="G439">
        <v>18.87</v>
      </c>
      <c r="H439">
        <v>17.41</v>
      </c>
      <c r="I439">
        <v>2.28</v>
      </c>
      <c r="J439">
        <v>22.06</v>
      </c>
      <c r="K439">
        <v>26.7</v>
      </c>
      <c r="L439">
        <v>18.31</v>
      </c>
      <c r="M439">
        <v>11.57</v>
      </c>
      <c r="N439">
        <v>0.918</v>
      </c>
      <c r="O439">
        <v>22.7</v>
      </c>
      <c r="P439">
        <v>26.54</v>
      </c>
      <c r="Q439">
        <v>19.13</v>
      </c>
      <c r="R439">
        <v>13.34</v>
      </c>
    </row>
    <row r="440">
      <c r="A440" s="9">
        <v>38971</v>
      </c>
      <c r="B440" s="2" t="inlineStr">
        <is>
          <t xml:space="preserve">2006-09</t>
        </is>
      </c>
      <c r="C440" s="2" t="inlineStr">
        <is>
          <t xml:space="preserve">2006/07</t>
        </is>
      </c>
      <c r="D440">
        <v>15.506</v>
      </c>
      <c r="E440">
        <v>22.13</v>
      </c>
      <c r="F440">
        <v>26.43</v>
      </c>
      <c r="G440">
        <v>19.11</v>
      </c>
      <c r="H440">
        <v>9.26</v>
      </c>
      <c r="I440">
        <v>7.393</v>
      </c>
      <c r="J440">
        <v>22.13</v>
      </c>
      <c r="K440">
        <v>26.08</v>
      </c>
      <c r="L440">
        <v>18.82</v>
      </c>
      <c r="M440">
        <v>13.55</v>
      </c>
      <c r="N440">
        <v>40.842</v>
      </c>
      <c r="O440">
        <v>22.89</v>
      </c>
      <c r="P440">
        <v>26.07</v>
      </c>
      <c r="Q440">
        <v>20.47</v>
      </c>
      <c r="R440">
        <v>16.43</v>
      </c>
    </row>
    <row r="441">
      <c r="A441" s="9">
        <v>38972</v>
      </c>
      <c r="B441" s="2" t="inlineStr">
        <is>
          <t xml:space="preserve">2006-09</t>
        </is>
      </c>
      <c r="C441" s="2" t="inlineStr">
        <is>
          <t xml:space="preserve">2006/07</t>
        </is>
      </c>
      <c r="D441">
        <v>1.124</v>
      </c>
      <c r="E441">
        <v>23.78</v>
      </c>
      <c r="F441">
        <v>29.68</v>
      </c>
      <c r="G441">
        <v>19.22</v>
      </c>
      <c r="H441">
        <v>0.7</v>
      </c>
      <c r="I441">
        <v>0.533</v>
      </c>
      <c r="J441">
        <v>23.04</v>
      </c>
      <c r="K441">
        <v>27.92</v>
      </c>
      <c r="L441">
        <v>18.77</v>
      </c>
      <c r="M441">
        <v>1.54</v>
      </c>
      <c r="N441">
        <v>0.054</v>
      </c>
      <c r="O441">
        <v>23.58</v>
      </c>
      <c r="P441">
        <v>28.49</v>
      </c>
      <c r="Q441">
        <v>19.65</v>
      </c>
      <c r="R441">
        <v>4.65</v>
      </c>
    </row>
    <row r="442">
      <c r="A442" s="9">
        <v>38973</v>
      </c>
      <c r="B442" s="2" t="inlineStr">
        <is>
          <t xml:space="preserve">2006-09</t>
        </is>
      </c>
      <c r="C442" s="2" t="inlineStr">
        <is>
          <t xml:space="preserve">2006/07</t>
        </is>
      </c>
      <c r="D442">
        <v>0.056</v>
      </c>
      <c r="E442">
        <v>23.67</v>
      </c>
      <c r="F442">
        <v>29.02</v>
      </c>
      <c r="G442">
        <v>18.46</v>
      </c>
      <c r="H442">
        <v>1.74</v>
      </c>
      <c r="I442">
        <v>0.522</v>
      </c>
      <c r="J442">
        <v>23.37</v>
      </c>
      <c r="K442">
        <v>27.4</v>
      </c>
      <c r="L442">
        <v>19.6</v>
      </c>
      <c r="M442">
        <v>3.49</v>
      </c>
      <c r="N442">
        <v>2.315</v>
      </c>
      <c r="O442">
        <v>23.19</v>
      </c>
      <c r="P442">
        <v>26.5</v>
      </c>
      <c r="Q442">
        <v>20.93</v>
      </c>
      <c r="R442">
        <v>6.56</v>
      </c>
    </row>
    <row r="443">
      <c r="A443" s="9">
        <v>38974</v>
      </c>
      <c r="B443" s="2" t="inlineStr">
        <is>
          <t xml:space="preserve">2006-09</t>
        </is>
      </c>
      <c r="C443" s="2" t="inlineStr">
        <is>
          <t xml:space="preserve">2006/07</t>
        </is>
      </c>
      <c r="D443">
        <v>7.82</v>
      </c>
      <c r="E443">
        <v>24.41</v>
      </c>
      <c r="F443">
        <v>30.76</v>
      </c>
      <c r="G443">
        <v>19.13</v>
      </c>
      <c r="H443">
        <v>3.38</v>
      </c>
      <c r="I443">
        <v>8.689</v>
      </c>
      <c r="J443">
        <v>23.41</v>
      </c>
      <c r="K443">
        <v>27.71</v>
      </c>
      <c r="L443">
        <v>20.12</v>
      </c>
      <c r="M443">
        <v>6.59</v>
      </c>
      <c r="N443">
        <v>6.604</v>
      </c>
      <c r="O443">
        <v>24.22</v>
      </c>
      <c r="P443">
        <v>28.49</v>
      </c>
      <c r="Q443">
        <v>21.02</v>
      </c>
      <c r="R443">
        <v>4.7</v>
      </c>
    </row>
    <row r="444">
      <c r="A444" s="9">
        <v>38975</v>
      </c>
      <c r="B444" s="2" t="inlineStr">
        <is>
          <t xml:space="preserve">2006-09</t>
        </is>
      </c>
      <c r="C444" s="2" t="inlineStr">
        <is>
          <t xml:space="preserve">2006/07</t>
        </is>
      </c>
      <c r="D444">
        <v>0.0</v>
      </c>
      <c r="E444">
        <v>24.42</v>
      </c>
      <c r="F444">
        <v>31.44</v>
      </c>
      <c r="G444">
        <v>18.2</v>
      </c>
      <c r="H444">
        <v>0.92</v>
      </c>
      <c r="I444">
        <v>0.137</v>
      </c>
      <c r="J444">
        <v>23.55</v>
      </c>
      <c r="K444">
        <v>28.24</v>
      </c>
      <c r="L444">
        <v>19.17</v>
      </c>
      <c r="M444">
        <v>2.12</v>
      </c>
      <c r="N444">
        <v>0.0</v>
      </c>
      <c r="O444">
        <v>23.71</v>
      </c>
      <c r="P444">
        <v>28.35</v>
      </c>
      <c r="Q444">
        <v>20.09</v>
      </c>
      <c r="R444">
        <v>2.45</v>
      </c>
    </row>
    <row r="445">
      <c r="A445" s="9">
        <v>38976</v>
      </c>
      <c r="B445" s="2" t="inlineStr">
        <is>
          <t xml:space="preserve">2006-09</t>
        </is>
      </c>
      <c r="C445" s="2" t="inlineStr">
        <is>
          <t xml:space="preserve">2006/07</t>
        </is>
      </c>
      <c r="D445">
        <v>6.695</v>
      </c>
      <c r="E445">
        <v>22.19</v>
      </c>
      <c r="F445">
        <v>27.56</v>
      </c>
      <c r="G445">
        <v>18.48</v>
      </c>
      <c r="H445">
        <v>10.23</v>
      </c>
      <c r="I445">
        <v>12.728</v>
      </c>
      <c r="J445">
        <v>22.53</v>
      </c>
      <c r="K445">
        <v>27.0</v>
      </c>
      <c r="L445">
        <v>19.21</v>
      </c>
      <c r="M445">
        <v>10.07</v>
      </c>
      <c r="N445">
        <v>20.453</v>
      </c>
      <c r="O445">
        <v>22.68</v>
      </c>
      <c r="P445">
        <v>26.84</v>
      </c>
      <c r="Q445">
        <v>20.04</v>
      </c>
      <c r="R445">
        <v>9.78</v>
      </c>
    </row>
    <row r="446">
      <c r="A446" s="9">
        <v>38977</v>
      </c>
      <c r="B446" s="2" t="inlineStr">
        <is>
          <t xml:space="preserve">2006-09</t>
        </is>
      </c>
      <c r="C446" s="2" t="inlineStr">
        <is>
          <t xml:space="preserve">2006/07</t>
        </is>
      </c>
      <c r="D446">
        <v>10.433</v>
      </c>
      <c r="E446">
        <v>21.6</v>
      </c>
      <c r="F446">
        <v>26.67</v>
      </c>
      <c r="G446">
        <v>17.7</v>
      </c>
      <c r="H446">
        <v>17.75</v>
      </c>
      <c r="I446">
        <v>0.165</v>
      </c>
      <c r="J446">
        <v>22.53</v>
      </c>
      <c r="K446">
        <v>26.92</v>
      </c>
      <c r="L446">
        <v>19.82</v>
      </c>
      <c r="M446">
        <v>2.01</v>
      </c>
      <c r="N446">
        <v>0.548</v>
      </c>
      <c r="O446">
        <v>23.29</v>
      </c>
      <c r="P446">
        <v>27.73</v>
      </c>
      <c r="Q446">
        <v>20.44</v>
      </c>
      <c r="R446">
        <v>1.53</v>
      </c>
    </row>
    <row r="447">
      <c r="A447" s="9">
        <v>38978</v>
      </c>
      <c r="B447" s="2" t="inlineStr">
        <is>
          <t xml:space="preserve">2006-09</t>
        </is>
      </c>
      <c r="C447" s="2" t="inlineStr">
        <is>
          <t xml:space="preserve">2006/07</t>
        </is>
      </c>
      <c r="D447">
        <v>11.242</v>
      </c>
      <c r="E447">
        <v>22.43</v>
      </c>
      <c r="F447">
        <v>27.79</v>
      </c>
      <c r="G447">
        <v>18.21</v>
      </c>
      <c r="H447">
        <v>10.87</v>
      </c>
      <c r="I447">
        <v>2.79</v>
      </c>
      <c r="J447">
        <v>21.43</v>
      </c>
      <c r="K447">
        <v>25.9</v>
      </c>
      <c r="L447">
        <v>18.65</v>
      </c>
      <c r="M447">
        <v>3.33</v>
      </c>
      <c r="N447">
        <v>3.099</v>
      </c>
      <c r="O447">
        <v>23.31</v>
      </c>
      <c r="P447">
        <v>27.79</v>
      </c>
      <c r="Q447">
        <v>20.37</v>
      </c>
      <c r="R447">
        <v>3.0</v>
      </c>
    </row>
    <row r="448">
      <c r="A448" s="9">
        <v>38979</v>
      </c>
      <c r="B448" s="2" t="inlineStr">
        <is>
          <t xml:space="preserve">2006-09</t>
        </is>
      </c>
      <c r="C448" s="2" t="inlineStr">
        <is>
          <t xml:space="preserve">2006/07</t>
        </is>
      </c>
      <c r="D448">
        <v>4.301</v>
      </c>
      <c r="E448">
        <v>22.3</v>
      </c>
      <c r="F448">
        <v>26.73</v>
      </c>
      <c r="G448">
        <v>19.15</v>
      </c>
      <c r="H448">
        <v>7.66</v>
      </c>
      <c r="I448">
        <v>5.213</v>
      </c>
      <c r="J448">
        <v>21.95</v>
      </c>
      <c r="K448">
        <v>26.3</v>
      </c>
      <c r="L448">
        <v>18.21</v>
      </c>
      <c r="M448">
        <v>5.24</v>
      </c>
      <c r="N448">
        <v>4.44</v>
      </c>
      <c r="O448">
        <v>23.33</v>
      </c>
      <c r="P448">
        <v>27.35</v>
      </c>
      <c r="Q448">
        <v>20.0</v>
      </c>
      <c r="R448">
        <v>4.59</v>
      </c>
    </row>
    <row r="449">
      <c r="A449" s="9">
        <v>38980</v>
      </c>
      <c r="B449" s="2" t="inlineStr">
        <is>
          <t xml:space="preserve">2006-09</t>
        </is>
      </c>
      <c r="C449" s="2" t="inlineStr">
        <is>
          <t xml:space="preserve">2006/07</t>
        </is>
      </c>
      <c r="D449">
        <v>17.388</v>
      </c>
      <c r="E449">
        <v>22.2</v>
      </c>
      <c r="F449">
        <v>26.71</v>
      </c>
      <c r="G449">
        <v>18.37</v>
      </c>
      <c r="H449">
        <v>8.99</v>
      </c>
      <c r="I449">
        <v>5.875</v>
      </c>
      <c r="J449">
        <v>22.21</v>
      </c>
      <c r="K449">
        <v>25.84</v>
      </c>
      <c r="L449">
        <v>18.97</v>
      </c>
      <c r="M449">
        <v>7.21</v>
      </c>
      <c r="N449">
        <v>3.607</v>
      </c>
      <c r="O449">
        <v>23.05</v>
      </c>
      <c r="P449">
        <v>26.24</v>
      </c>
      <c r="Q449">
        <v>21.07</v>
      </c>
      <c r="R449">
        <v>4.67</v>
      </c>
    </row>
    <row r="450">
      <c r="A450" s="9">
        <v>38981</v>
      </c>
      <c r="B450" s="2" t="inlineStr">
        <is>
          <t xml:space="preserve">2006-09</t>
        </is>
      </c>
      <c r="C450" s="2" t="inlineStr">
        <is>
          <t xml:space="preserve">2006/07</t>
        </is>
      </c>
      <c r="D450">
        <v>29.584</v>
      </c>
      <c r="E450">
        <v>21.97</v>
      </c>
      <c r="F450">
        <v>26.01</v>
      </c>
      <c r="G450">
        <v>18.83</v>
      </c>
      <c r="H450">
        <v>13.91</v>
      </c>
      <c r="I450">
        <v>14.25</v>
      </c>
      <c r="J450">
        <v>22.52</v>
      </c>
      <c r="K450">
        <v>26.12</v>
      </c>
      <c r="L450">
        <v>19.95</v>
      </c>
      <c r="M450">
        <v>12.21</v>
      </c>
      <c r="N450">
        <v>9.144</v>
      </c>
      <c r="O450">
        <v>23.31</v>
      </c>
      <c r="P450">
        <v>27.09</v>
      </c>
      <c r="Q450">
        <v>20.37</v>
      </c>
      <c r="R450">
        <v>7.83</v>
      </c>
    </row>
    <row r="451">
      <c r="A451" s="9">
        <v>38982</v>
      </c>
      <c r="B451" s="2" t="inlineStr">
        <is>
          <t xml:space="preserve">2006-09</t>
        </is>
      </c>
      <c r="C451" s="2" t="inlineStr">
        <is>
          <t xml:space="preserve">2006/07</t>
        </is>
      </c>
      <c r="D451">
        <v>0.06</v>
      </c>
      <c r="E451">
        <v>21.69</v>
      </c>
      <c r="F451">
        <v>25.77</v>
      </c>
      <c r="G451">
        <v>17.99</v>
      </c>
      <c r="H451">
        <v>1.03</v>
      </c>
      <c r="I451">
        <v>0.0</v>
      </c>
      <c r="J451">
        <v>22.5</v>
      </c>
      <c r="K451">
        <v>25.68</v>
      </c>
      <c r="L451">
        <v>20.3</v>
      </c>
      <c r="M451">
        <v>0.93</v>
      </c>
      <c r="N451">
        <v>0.16</v>
      </c>
      <c r="O451">
        <v>23.24</v>
      </c>
      <c r="P451">
        <v>26.77</v>
      </c>
      <c r="Q451">
        <v>20.96</v>
      </c>
      <c r="R451">
        <v>1.63</v>
      </c>
    </row>
    <row r="452">
      <c r="A452" s="9">
        <v>38983</v>
      </c>
      <c r="B452" s="2" t="inlineStr">
        <is>
          <t xml:space="preserve">2006-09</t>
        </is>
      </c>
      <c r="C452" s="2" t="inlineStr">
        <is>
          <t xml:space="preserve">2006/07</t>
        </is>
      </c>
      <c r="D452">
        <v>4.189</v>
      </c>
      <c r="E452">
        <v>22.87</v>
      </c>
      <c r="F452">
        <v>27.43</v>
      </c>
      <c r="G452">
        <v>18.42</v>
      </c>
      <c r="H452">
        <v>2.27</v>
      </c>
      <c r="I452">
        <v>4.904</v>
      </c>
      <c r="J452">
        <v>22.61</v>
      </c>
      <c r="K452">
        <v>25.95</v>
      </c>
      <c r="L452">
        <v>19.64</v>
      </c>
      <c r="M452">
        <v>4.06</v>
      </c>
      <c r="N452">
        <v>6.111</v>
      </c>
      <c r="O452">
        <v>23.0</v>
      </c>
      <c r="P452">
        <v>26.1</v>
      </c>
      <c r="Q452">
        <v>20.12</v>
      </c>
      <c r="R452">
        <v>3.72</v>
      </c>
    </row>
    <row r="453">
      <c r="A453" s="9">
        <v>38984</v>
      </c>
      <c r="B453" s="2" t="inlineStr">
        <is>
          <t xml:space="preserve">2006-09</t>
        </is>
      </c>
      <c r="C453" s="2" t="inlineStr">
        <is>
          <t xml:space="preserve">2006/07</t>
        </is>
      </c>
      <c r="D453">
        <v>0.306</v>
      </c>
      <c r="E453">
        <v>23.42</v>
      </c>
      <c r="F453">
        <v>29.19</v>
      </c>
      <c r="G453">
        <v>18.01</v>
      </c>
      <c r="H453">
        <v>0.28</v>
      </c>
      <c r="I453">
        <v>0.027</v>
      </c>
      <c r="J453">
        <v>22.78</v>
      </c>
      <c r="K453">
        <v>26.1</v>
      </c>
      <c r="L453">
        <v>20.11</v>
      </c>
      <c r="M453">
        <v>0.11</v>
      </c>
      <c r="N453">
        <v>0.025</v>
      </c>
      <c r="O453">
        <v>22.84</v>
      </c>
      <c r="P453">
        <v>26.24</v>
      </c>
      <c r="Q453">
        <v>20.91</v>
      </c>
      <c r="R453">
        <v>0.85</v>
      </c>
    </row>
    <row r="454">
      <c r="A454" s="9">
        <v>38985</v>
      </c>
      <c r="B454" s="2" t="inlineStr">
        <is>
          <t xml:space="preserve">2006-09</t>
        </is>
      </c>
      <c r="C454" s="2" t="inlineStr">
        <is>
          <t xml:space="preserve">2006/07</t>
        </is>
      </c>
      <c r="D454">
        <v>0.09</v>
      </c>
      <c r="E454">
        <v>22.76</v>
      </c>
      <c r="F454">
        <v>28.06</v>
      </c>
      <c r="G454">
        <v>18.39</v>
      </c>
      <c r="H454">
        <v>0.45</v>
      </c>
      <c r="I454">
        <v>0.091</v>
      </c>
      <c r="J454">
        <v>22.4</v>
      </c>
      <c r="K454">
        <v>26.03</v>
      </c>
      <c r="L454">
        <v>19.37</v>
      </c>
      <c r="M454">
        <v>0.25</v>
      </c>
      <c r="N454">
        <v>0.196</v>
      </c>
      <c r="O454">
        <v>22.54</v>
      </c>
      <c r="P454">
        <v>25.47</v>
      </c>
      <c r="Q454">
        <v>20.71</v>
      </c>
      <c r="R454">
        <v>0.61</v>
      </c>
    </row>
    <row r="455">
      <c r="A455" s="9">
        <v>38986</v>
      </c>
      <c r="B455" s="2" t="inlineStr">
        <is>
          <t xml:space="preserve">2006-09</t>
        </is>
      </c>
      <c r="C455" s="2" t="inlineStr">
        <is>
          <t xml:space="preserve">2006/07</t>
        </is>
      </c>
      <c r="D455">
        <v>0.965</v>
      </c>
      <c r="E455">
        <v>22.57</v>
      </c>
      <c r="F455">
        <v>28.73</v>
      </c>
      <c r="G455">
        <v>17.91</v>
      </c>
      <c r="H455">
        <v>0.78</v>
      </c>
      <c r="I455">
        <v>0.128</v>
      </c>
      <c r="J455">
        <v>21.86</v>
      </c>
      <c r="K455">
        <v>25.3</v>
      </c>
      <c r="L455">
        <v>19.34</v>
      </c>
      <c r="M455">
        <v>0.39</v>
      </c>
      <c r="N455">
        <v>0.287</v>
      </c>
      <c r="O455">
        <v>22.37</v>
      </c>
      <c r="P455">
        <v>25.11</v>
      </c>
      <c r="Q455">
        <v>20.71</v>
      </c>
      <c r="R455">
        <v>1.2</v>
      </c>
    </row>
    <row r="456">
      <c r="A456" s="9">
        <v>38987</v>
      </c>
      <c r="B456" s="2" t="inlineStr">
        <is>
          <t xml:space="preserve">2006-09</t>
        </is>
      </c>
      <c r="C456" s="2" t="inlineStr">
        <is>
          <t xml:space="preserve">2006/07</t>
        </is>
      </c>
      <c r="D456">
        <v>0.203</v>
      </c>
      <c r="E456">
        <v>22.04</v>
      </c>
      <c r="F456">
        <v>28.24</v>
      </c>
      <c r="G456">
        <v>16.57</v>
      </c>
      <c r="H456">
        <v>0.78</v>
      </c>
      <c r="I456">
        <v>0.143</v>
      </c>
      <c r="J456">
        <v>22.2</v>
      </c>
      <c r="K456">
        <v>26.52</v>
      </c>
      <c r="L456">
        <v>19.07</v>
      </c>
      <c r="M456">
        <v>0.58</v>
      </c>
      <c r="N456">
        <v>0.27</v>
      </c>
      <c r="O456">
        <v>22.35</v>
      </c>
      <c r="P456">
        <v>26.3</v>
      </c>
      <c r="Q456">
        <v>19.62</v>
      </c>
      <c r="R456">
        <v>1.65</v>
      </c>
    </row>
    <row r="457">
      <c r="A457" s="9">
        <v>38988</v>
      </c>
      <c r="B457" s="2" t="inlineStr">
        <is>
          <t xml:space="preserve">2006-09</t>
        </is>
      </c>
      <c r="C457" s="2" t="inlineStr">
        <is>
          <t xml:space="preserve">2006/07</t>
        </is>
      </c>
      <c r="D457">
        <v>0.866</v>
      </c>
      <c r="E457">
        <v>22.69</v>
      </c>
      <c r="F457">
        <v>27.79</v>
      </c>
      <c r="G457">
        <v>19.1</v>
      </c>
      <c r="H457">
        <v>1.69</v>
      </c>
      <c r="I457">
        <v>0.563</v>
      </c>
      <c r="J457">
        <v>22.03</v>
      </c>
      <c r="K457">
        <v>25.98</v>
      </c>
      <c r="L457">
        <v>19.22</v>
      </c>
      <c r="M457">
        <v>1.67</v>
      </c>
      <c r="N457">
        <v>1.275</v>
      </c>
      <c r="O457">
        <v>22.46</v>
      </c>
      <c r="P457">
        <v>26.11</v>
      </c>
      <c r="Q457">
        <v>20.53</v>
      </c>
      <c r="R457">
        <v>5.91</v>
      </c>
    </row>
    <row r="458">
      <c r="A458" s="9">
        <v>38989</v>
      </c>
      <c r="B458" s="2" t="inlineStr">
        <is>
          <t xml:space="preserve">2006-09</t>
        </is>
      </c>
      <c r="C458" s="2" t="inlineStr">
        <is>
          <t xml:space="preserve">2006/07</t>
        </is>
      </c>
      <c r="D458">
        <v>0.167</v>
      </c>
      <c r="E458">
        <v>22.2</v>
      </c>
      <c r="F458">
        <v>26.46</v>
      </c>
      <c r="G458">
        <v>19.28</v>
      </c>
      <c r="H458">
        <v>0.61</v>
      </c>
      <c r="I458">
        <v>0.153</v>
      </c>
      <c r="J458">
        <v>21.97</v>
      </c>
      <c r="K458">
        <v>25.98</v>
      </c>
      <c r="L458">
        <v>19.48</v>
      </c>
      <c r="M458">
        <v>6.97</v>
      </c>
      <c r="N458">
        <v>2.125</v>
      </c>
      <c r="O458">
        <v>22.07</v>
      </c>
      <c r="P458">
        <v>24.93</v>
      </c>
      <c r="Q458">
        <v>20.45</v>
      </c>
      <c r="R458">
        <v>11.77</v>
      </c>
    </row>
    <row r="459">
      <c r="A459" s="9">
        <v>38990</v>
      </c>
      <c r="B459" s="2" t="inlineStr">
        <is>
          <t xml:space="preserve">2006-09</t>
        </is>
      </c>
      <c r="C459" s="2" t="inlineStr">
        <is>
          <t xml:space="preserve">2006/07</t>
        </is>
      </c>
      <c r="D459">
        <v>0.031</v>
      </c>
      <c r="E459">
        <v>23.28</v>
      </c>
      <c r="F459">
        <v>29.56</v>
      </c>
      <c r="G459">
        <v>19.08</v>
      </c>
      <c r="H459">
        <v>0.65</v>
      </c>
      <c r="I459">
        <v>12.544</v>
      </c>
      <c r="J459">
        <v>21.59</v>
      </c>
      <c r="K459">
        <v>25.67</v>
      </c>
      <c r="L459">
        <v>18.92</v>
      </c>
      <c r="M459">
        <v>5.7</v>
      </c>
      <c r="N459">
        <v>5.315</v>
      </c>
      <c r="O459">
        <v>21.5</v>
      </c>
      <c r="P459">
        <v>23.6</v>
      </c>
      <c r="Q459">
        <v>19.69</v>
      </c>
      <c r="R459">
        <v>8.94</v>
      </c>
    </row>
    <row r="460">
      <c r="A460" s="9">
        <v>38991</v>
      </c>
      <c r="B460" s="2" t="inlineStr">
        <is>
          <t xml:space="preserve">2006-10</t>
        </is>
      </c>
      <c r="C460" s="2" t="inlineStr">
        <is>
          <t xml:space="preserve">2006/07</t>
        </is>
      </c>
      <c r="D460">
        <v>0.497</v>
      </c>
      <c r="E460">
        <v>23.18</v>
      </c>
      <c r="F460">
        <v>29.29</v>
      </c>
      <c r="G460">
        <v>19.02</v>
      </c>
      <c r="H460">
        <v>0.79</v>
      </c>
      <c r="I460">
        <v>0.23</v>
      </c>
      <c r="J460">
        <v>22.24</v>
      </c>
      <c r="K460">
        <v>26.43</v>
      </c>
      <c r="L460">
        <v>19.18</v>
      </c>
      <c r="M460">
        <v>0.71</v>
      </c>
      <c r="N460">
        <v>0.304</v>
      </c>
      <c r="O460">
        <v>22.51</v>
      </c>
      <c r="P460">
        <v>26.36</v>
      </c>
      <c r="Q460">
        <v>19.86</v>
      </c>
      <c r="R460">
        <v>1.96</v>
      </c>
    </row>
    <row r="461">
      <c r="A461" s="9">
        <v>38992</v>
      </c>
      <c r="B461" s="2" t="inlineStr">
        <is>
          <t xml:space="preserve">2006-10</t>
        </is>
      </c>
      <c r="C461" s="2" t="inlineStr">
        <is>
          <t xml:space="preserve">2006/07</t>
        </is>
      </c>
      <c r="D461">
        <v>0.023</v>
      </c>
      <c r="E461">
        <v>23.21</v>
      </c>
      <c r="F461">
        <v>28.84</v>
      </c>
      <c r="G461">
        <v>19.2</v>
      </c>
      <c r="H461">
        <v>0.15</v>
      </c>
      <c r="I461">
        <v>0.596</v>
      </c>
      <c r="J461">
        <v>22.36</v>
      </c>
      <c r="K461">
        <v>26.56</v>
      </c>
      <c r="L461">
        <v>19.26</v>
      </c>
      <c r="M461">
        <v>1.21</v>
      </c>
      <c r="N461">
        <v>1.068</v>
      </c>
      <c r="O461">
        <v>22.37</v>
      </c>
      <c r="P461">
        <v>25.58</v>
      </c>
      <c r="Q461">
        <v>20.09</v>
      </c>
      <c r="R461">
        <v>3.0</v>
      </c>
    </row>
    <row r="462">
      <c r="A462" s="9">
        <v>38993</v>
      </c>
      <c r="B462" s="2" t="inlineStr">
        <is>
          <t xml:space="preserve">2006-10</t>
        </is>
      </c>
      <c r="C462" s="2" t="inlineStr">
        <is>
          <t xml:space="preserve">2006/07</t>
        </is>
      </c>
      <c r="D462">
        <v>0.048</v>
      </c>
      <c r="E462">
        <v>23.17</v>
      </c>
      <c r="F462">
        <v>29.42</v>
      </c>
      <c r="G462">
        <v>18.52</v>
      </c>
      <c r="H462">
        <v>0.15</v>
      </c>
      <c r="I462">
        <v>1.055</v>
      </c>
      <c r="J462">
        <v>21.99</v>
      </c>
      <c r="K462">
        <v>25.92</v>
      </c>
      <c r="L462">
        <v>19.3</v>
      </c>
      <c r="M462">
        <v>1.07</v>
      </c>
      <c r="N462">
        <v>0.218</v>
      </c>
      <c r="O462">
        <v>22.26</v>
      </c>
      <c r="P462">
        <v>25.61</v>
      </c>
      <c r="Q462">
        <v>20.19</v>
      </c>
      <c r="R462">
        <v>2.21</v>
      </c>
    </row>
    <row r="463">
      <c r="A463" s="9">
        <v>38994</v>
      </c>
      <c r="B463" s="2" t="inlineStr">
        <is>
          <t xml:space="preserve">2006-10</t>
        </is>
      </c>
      <c r="C463" s="2" t="inlineStr">
        <is>
          <t xml:space="preserve">2006/07</t>
        </is>
      </c>
      <c r="D463">
        <v>0.057</v>
      </c>
      <c r="E463">
        <v>22.89</v>
      </c>
      <c r="F463">
        <v>28.79</v>
      </c>
      <c r="G463">
        <v>18.79</v>
      </c>
      <c r="H463">
        <v>1.07</v>
      </c>
      <c r="I463">
        <v>0.111</v>
      </c>
      <c r="J463">
        <v>21.88</v>
      </c>
      <c r="K463">
        <v>26.1</v>
      </c>
      <c r="L463">
        <v>18.67</v>
      </c>
      <c r="M463">
        <v>1.08</v>
      </c>
      <c r="N463">
        <v>0.707</v>
      </c>
      <c r="O463">
        <v>22.29</v>
      </c>
      <c r="P463">
        <v>25.93</v>
      </c>
      <c r="Q463">
        <v>19.94</v>
      </c>
      <c r="R463">
        <v>2.91</v>
      </c>
    </row>
    <row r="464">
      <c r="A464" s="9">
        <v>38995</v>
      </c>
      <c r="B464" s="2" t="inlineStr">
        <is>
          <t xml:space="preserve">2006-10</t>
        </is>
      </c>
      <c r="C464" s="2" t="inlineStr">
        <is>
          <t xml:space="preserve">2006/07</t>
        </is>
      </c>
      <c r="D464">
        <v>0.62</v>
      </c>
      <c r="E464">
        <v>22.63</v>
      </c>
      <c r="F464">
        <v>28.17</v>
      </c>
      <c r="G464">
        <v>18.78</v>
      </c>
      <c r="H464">
        <v>1.31</v>
      </c>
      <c r="I464">
        <v>0.933</v>
      </c>
      <c r="J464">
        <v>21.84</v>
      </c>
      <c r="K464">
        <v>25.81</v>
      </c>
      <c r="L464">
        <v>18.93</v>
      </c>
      <c r="M464">
        <v>1.17</v>
      </c>
      <c r="N464">
        <v>2.326</v>
      </c>
      <c r="O464">
        <v>21.86</v>
      </c>
      <c r="P464">
        <v>25.48</v>
      </c>
      <c r="Q464">
        <v>19.61</v>
      </c>
      <c r="R464">
        <v>1.5</v>
      </c>
    </row>
    <row r="465">
      <c r="A465" s="9">
        <v>38996</v>
      </c>
      <c r="B465" s="2" t="inlineStr">
        <is>
          <t xml:space="preserve">2006-10</t>
        </is>
      </c>
      <c r="C465" s="2" t="inlineStr">
        <is>
          <t xml:space="preserve">2006/07</t>
        </is>
      </c>
      <c r="D465">
        <v>0.142</v>
      </c>
      <c r="E465">
        <v>23.08</v>
      </c>
      <c r="F465">
        <v>29.14</v>
      </c>
      <c r="G465">
        <v>18.99</v>
      </c>
      <c r="H465">
        <v>2.07</v>
      </c>
      <c r="I465">
        <v>0.304</v>
      </c>
      <c r="J465">
        <v>22.15</v>
      </c>
      <c r="K465">
        <v>26.68</v>
      </c>
      <c r="L465">
        <v>18.73</v>
      </c>
      <c r="M465">
        <v>1.69</v>
      </c>
      <c r="N465">
        <v>0.3</v>
      </c>
      <c r="O465">
        <v>22.07</v>
      </c>
      <c r="P465">
        <v>26.1</v>
      </c>
      <c r="Q465">
        <v>19.39</v>
      </c>
      <c r="R465">
        <v>5.74</v>
      </c>
    </row>
    <row r="466">
      <c r="A466" s="9">
        <v>38997</v>
      </c>
      <c r="B466" s="2" t="inlineStr">
        <is>
          <t xml:space="preserve">2006-10</t>
        </is>
      </c>
      <c r="C466" s="2" t="inlineStr">
        <is>
          <t xml:space="preserve">2006/07</t>
        </is>
      </c>
      <c r="D466">
        <v>1.086</v>
      </c>
      <c r="E466">
        <v>22.11</v>
      </c>
      <c r="F466">
        <v>27.35</v>
      </c>
      <c r="G466">
        <v>18.99</v>
      </c>
      <c r="H466">
        <v>5.36</v>
      </c>
      <c r="I466">
        <v>0.423</v>
      </c>
      <c r="J466">
        <v>22.15</v>
      </c>
      <c r="K466">
        <v>25.41</v>
      </c>
      <c r="L466">
        <v>19.78</v>
      </c>
      <c r="M466">
        <v>6.9</v>
      </c>
      <c r="N466">
        <v>2.816</v>
      </c>
      <c r="O466">
        <v>22.04</v>
      </c>
      <c r="P466">
        <v>25.18</v>
      </c>
      <c r="Q466">
        <v>20.5</v>
      </c>
      <c r="R466">
        <v>15.49</v>
      </c>
    </row>
    <row r="467">
      <c r="A467" s="9">
        <v>38998</v>
      </c>
      <c r="B467" s="2" t="inlineStr">
        <is>
          <t xml:space="preserve">2006-10</t>
        </is>
      </c>
      <c r="C467" s="2" t="inlineStr">
        <is>
          <t xml:space="preserve">2006/07</t>
        </is>
      </c>
      <c r="D467">
        <v>11.105</v>
      </c>
      <c r="E467">
        <v>21.15</v>
      </c>
      <c r="F467">
        <v>25.89</v>
      </c>
      <c r="G467">
        <v>17.62</v>
      </c>
      <c r="H467">
        <v>6.85</v>
      </c>
      <c r="I467">
        <v>3.196</v>
      </c>
      <c r="J467">
        <v>21.58</v>
      </c>
      <c r="K467">
        <v>24.54</v>
      </c>
      <c r="L467">
        <v>19.58</v>
      </c>
      <c r="M467">
        <v>9.94</v>
      </c>
      <c r="N467">
        <v>19.415</v>
      </c>
      <c r="O467">
        <v>22.11</v>
      </c>
      <c r="P467">
        <v>25.36</v>
      </c>
      <c r="Q467">
        <v>20.35</v>
      </c>
      <c r="R467">
        <v>22.67</v>
      </c>
    </row>
    <row r="468">
      <c r="A468" s="9">
        <v>38999</v>
      </c>
      <c r="B468" s="2" t="inlineStr">
        <is>
          <t xml:space="preserve">2006-10</t>
        </is>
      </c>
      <c r="C468" s="2" t="inlineStr">
        <is>
          <t xml:space="preserve">2006/07</t>
        </is>
      </c>
      <c r="D468">
        <v>5.743</v>
      </c>
      <c r="E468">
        <v>21.6</v>
      </c>
      <c r="F468">
        <v>26.8</v>
      </c>
      <c r="G468">
        <v>17.84</v>
      </c>
      <c r="H468">
        <v>4.32</v>
      </c>
      <c r="I468">
        <v>5.254</v>
      </c>
      <c r="J468">
        <v>22.36</v>
      </c>
      <c r="K468">
        <v>26.54</v>
      </c>
      <c r="L468">
        <v>19.25</v>
      </c>
      <c r="M468">
        <v>8.2</v>
      </c>
      <c r="N468">
        <v>7.217</v>
      </c>
      <c r="O468">
        <v>22.32</v>
      </c>
      <c r="P468">
        <v>26.21</v>
      </c>
      <c r="Q468">
        <v>19.86</v>
      </c>
      <c r="R468">
        <v>18.97</v>
      </c>
    </row>
    <row r="469">
      <c r="A469" s="9">
        <v>39000</v>
      </c>
      <c r="B469" s="2" t="inlineStr">
        <is>
          <t xml:space="preserve">2006-10</t>
        </is>
      </c>
      <c r="C469" s="2" t="inlineStr">
        <is>
          <t xml:space="preserve">2006/07</t>
        </is>
      </c>
      <c r="D469">
        <v>6.246</v>
      </c>
      <c r="E469">
        <v>22.38</v>
      </c>
      <c r="F469">
        <v>27.62</v>
      </c>
      <c r="G469">
        <v>18.65</v>
      </c>
      <c r="H469">
        <v>12.32</v>
      </c>
      <c r="I469">
        <v>0.365</v>
      </c>
      <c r="J469">
        <v>22.22</v>
      </c>
      <c r="K469">
        <v>25.48</v>
      </c>
      <c r="L469">
        <v>19.97</v>
      </c>
      <c r="M469">
        <v>7.9</v>
      </c>
      <c r="N469">
        <v>0.079</v>
      </c>
      <c r="O469">
        <v>23.1</v>
      </c>
      <c r="P469">
        <v>26.76</v>
      </c>
      <c r="Q469">
        <v>20.83</v>
      </c>
      <c r="R469">
        <v>5.31</v>
      </c>
    </row>
    <row r="470">
      <c r="A470" s="9">
        <v>39001</v>
      </c>
      <c r="B470" s="2" t="inlineStr">
        <is>
          <t xml:space="preserve">2006-10</t>
        </is>
      </c>
      <c r="C470" s="2" t="inlineStr">
        <is>
          <t xml:space="preserve">2006/07</t>
        </is>
      </c>
      <c r="D470">
        <v>35.522</v>
      </c>
      <c r="E470">
        <v>22.02</v>
      </c>
      <c r="F470">
        <v>26.18</v>
      </c>
      <c r="G470">
        <v>19.09</v>
      </c>
      <c r="H470">
        <v>21.58</v>
      </c>
      <c r="I470">
        <v>10.07</v>
      </c>
      <c r="J470">
        <v>22.41</v>
      </c>
      <c r="K470">
        <v>26.2</v>
      </c>
      <c r="L470">
        <v>20.01</v>
      </c>
      <c r="M470">
        <v>9.59</v>
      </c>
      <c r="N470">
        <v>9.189</v>
      </c>
      <c r="O470">
        <v>23.51</v>
      </c>
      <c r="P470">
        <v>27.13</v>
      </c>
      <c r="Q470">
        <v>21.24</v>
      </c>
      <c r="R470">
        <v>6.88</v>
      </c>
    </row>
    <row r="471">
      <c r="A471" s="9">
        <v>39002</v>
      </c>
      <c r="B471" s="2" t="inlineStr">
        <is>
          <t xml:space="preserve">2006-10</t>
        </is>
      </c>
      <c r="C471" s="2" t="inlineStr">
        <is>
          <t xml:space="preserve">2006/07</t>
        </is>
      </c>
      <c r="D471">
        <v>31.576</v>
      </c>
      <c r="E471">
        <v>23.62</v>
      </c>
      <c r="F471">
        <v>28.01</v>
      </c>
      <c r="G471">
        <v>20.42</v>
      </c>
      <c r="H471">
        <v>10.69</v>
      </c>
      <c r="I471">
        <v>10.043</v>
      </c>
      <c r="J471">
        <v>22.41</v>
      </c>
      <c r="K471">
        <v>26.49</v>
      </c>
      <c r="L471">
        <v>19.77</v>
      </c>
      <c r="M471">
        <v>6.69</v>
      </c>
      <c r="N471">
        <v>7.048</v>
      </c>
      <c r="O471">
        <v>23.86</v>
      </c>
      <c r="P471">
        <v>28.45</v>
      </c>
      <c r="Q471">
        <v>20.71</v>
      </c>
      <c r="R471">
        <v>4.67</v>
      </c>
    </row>
    <row r="472">
      <c r="A472" s="9">
        <v>39003</v>
      </c>
      <c r="B472" s="2" t="inlineStr">
        <is>
          <t xml:space="preserve">2006-10</t>
        </is>
      </c>
      <c r="C472" s="2" t="inlineStr">
        <is>
          <t xml:space="preserve">2006/07</t>
        </is>
      </c>
      <c r="D472">
        <v>1.567</v>
      </c>
      <c r="E472">
        <v>24.15</v>
      </c>
      <c r="F472">
        <v>29.18</v>
      </c>
      <c r="G472">
        <v>20.25</v>
      </c>
      <c r="H472">
        <v>1.62</v>
      </c>
      <c r="I472">
        <v>5.022</v>
      </c>
      <c r="J472">
        <v>22.65</v>
      </c>
      <c r="K472">
        <v>27.87</v>
      </c>
      <c r="L472">
        <v>19.27</v>
      </c>
      <c r="M472">
        <v>4.18</v>
      </c>
      <c r="N472">
        <v>0.304</v>
      </c>
      <c r="O472">
        <v>23.89</v>
      </c>
      <c r="P472">
        <v>28.64</v>
      </c>
      <c r="Q472">
        <v>20.59</v>
      </c>
      <c r="R472">
        <v>3.0</v>
      </c>
    </row>
    <row r="473">
      <c r="A473" s="9">
        <v>39004</v>
      </c>
      <c r="B473" s="2" t="inlineStr">
        <is>
          <t xml:space="preserve">2006-10</t>
        </is>
      </c>
      <c r="C473" s="2" t="inlineStr">
        <is>
          <t xml:space="preserve">2006/07</t>
        </is>
      </c>
      <c r="D473">
        <v>0.09</v>
      </c>
      <c r="E473">
        <v>24.12</v>
      </c>
      <c r="F473">
        <v>29.46</v>
      </c>
      <c r="G473">
        <v>19.66</v>
      </c>
      <c r="H473">
        <v>0.04</v>
      </c>
      <c r="I473">
        <v>2.166</v>
      </c>
      <c r="J473">
        <v>23.63</v>
      </c>
      <c r="K473">
        <v>28.06</v>
      </c>
      <c r="L473">
        <v>20.19</v>
      </c>
      <c r="M473">
        <v>1.39</v>
      </c>
      <c r="N473">
        <v>0.12</v>
      </c>
      <c r="O473">
        <v>24.56</v>
      </c>
      <c r="P473">
        <v>29.14</v>
      </c>
      <c r="Q473">
        <v>21.28</v>
      </c>
      <c r="R473">
        <v>0.98</v>
      </c>
    </row>
    <row r="474">
      <c r="A474" s="9">
        <v>39005</v>
      </c>
      <c r="B474" s="2" t="inlineStr">
        <is>
          <t xml:space="preserve">2006-10</t>
        </is>
      </c>
      <c r="C474" s="2" t="inlineStr">
        <is>
          <t xml:space="preserve">2006/07</t>
        </is>
      </c>
      <c r="D474">
        <v>0.0</v>
      </c>
      <c r="E474">
        <v>23.62</v>
      </c>
      <c r="F474">
        <v>29.51</v>
      </c>
      <c r="G474">
        <v>18.52</v>
      </c>
      <c r="H474">
        <v>0.01</v>
      </c>
      <c r="I474">
        <v>0.0</v>
      </c>
      <c r="J474">
        <v>23.44</v>
      </c>
      <c r="K474">
        <v>28.09</v>
      </c>
      <c r="L474">
        <v>20.15</v>
      </c>
      <c r="M474">
        <v>0.01</v>
      </c>
      <c r="N474">
        <v>0.0</v>
      </c>
      <c r="O474">
        <v>24.34</v>
      </c>
      <c r="P474">
        <v>29.31</v>
      </c>
      <c r="Q474">
        <v>20.56</v>
      </c>
      <c r="R474">
        <v>0.0</v>
      </c>
    </row>
    <row r="475">
      <c r="A475" s="9">
        <v>39006</v>
      </c>
      <c r="B475" s="2" t="inlineStr">
        <is>
          <t xml:space="preserve">2006-10</t>
        </is>
      </c>
      <c r="C475" s="2" t="inlineStr">
        <is>
          <t xml:space="preserve">2006/07</t>
        </is>
      </c>
      <c r="D475">
        <v>0.031</v>
      </c>
      <c r="E475">
        <v>23.18</v>
      </c>
      <c r="F475">
        <v>29.14</v>
      </c>
      <c r="G475">
        <v>18.06</v>
      </c>
      <c r="H475">
        <v>0.2</v>
      </c>
      <c r="I475">
        <v>0.025</v>
      </c>
      <c r="J475">
        <v>22.7</v>
      </c>
      <c r="K475">
        <v>27.29</v>
      </c>
      <c r="L475">
        <v>18.84</v>
      </c>
      <c r="M475">
        <v>0.1</v>
      </c>
      <c r="N475">
        <v>0.0</v>
      </c>
      <c r="O475">
        <v>23.3</v>
      </c>
      <c r="P475">
        <v>28.62</v>
      </c>
      <c r="Q475">
        <v>18.87</v>
      </c>
      <c r="R475">
        <v>0.01</v>
      </c>
    </row>
    <row r="476">
      <c r="A476" s="9">
        <v>39007</v>
      </c>
      <c r="B476" s="2" t="inlineStr">
        <is>
          <t xml:space="preserve">2006-10</t>
        </is>
      </c>
      <c r="C476" s="2" t="inlineStr">
        <is>
          <t xml:space="preserve">2006/07</t>
        </is>
      </c>
      <c r="D476">
        <v>0.6</v>
      </c>
      <c r="E476">
        <v>24.34</v>
      </c>
      <c r="F476">
        <v>30.56</v>
      </c>
      <c r="G476">
        <v>18.39</v>
      </c>
      <c r="H476">
        <v>0.76</v>
      </c>
      <c r="I476">
        <v>0.737</v>
      </c>
      <c r="J476">
        <v>23.3</v>
      </c>
      <c r="K476">
        <v>28.14</v>
      </c>
      <c r="L476">
        <v>19.45</v>
      </c>
      <c r="M476">
        <v>1.99</v>
      </c>
      <c r="N476">
        <v>0.048</v>
      </c>
      <c r="O476">
        <v>24.36</v>
      </c>
      <c r="P476">
        <v>29.86</v>
      </c>
      <c r="Q476">
        <v>19.14</v>
      </c>
      <c r="R476">
        <v>0.71</v>
      </c>
    </row>
    <row r="477">
      <c r="A477" s="9">
        <v>39008</v>
      </c>
      <c r="B477" s="2" t="inlineStr">
        <is>
          <t xml:space="preserve">2006-10</t>
        </is>
      </c>
      <c r="C477" s="2" t="inlineStr">
        <is>
          <t xml:space="preserve">2006/07</t>
        </is>
      </c>
      <c r="D477">
        <v>7.036</v>
      </c>
      <c r="E477">
        <v>24.6</v>
      </c>
      <c r="F477">
        <v>30.12</v>
      </c>
      <c r="G477">
        <v>20.6</v>
      </c>
      <c r="H477">
        <v>5.74</v>
      </c>
      <c r="I477">
        <v>24.964</v>
      </c>
      <c r="J477">
        <v>24.03</v>
      </c>
      <c r="K477">
        <v>28.41</v>
      </c>
      <c r="L477">
        <v>20.21</v>
      </c>
      <c r="M477">
        <v>18.63</v>
      </c>
      <c r="N477">
        <v>14.206</v>
      </c>
      <c r="O477">
        <v>24.38</v>
      </c>
      <c r="P477">
        <v>28.11</v>
      </c>
      <c r="Q477">
        <v>21.42</v>
      </c>
      <c r="R477">
        <v>17.36</v>
      </c>
    </row>
    <row r="478">
      <c r="A478" s="9">
        <v>39009</v>
      </c>
      <c r="B478" s="2" t="inlineStr">
        <is>
          <t xml:space="preserve">2006-10</t>
        </is>
      </c>
      <c r="C478" s="2" t="inlineStr">
        <is>
          <t xml:space="preserve">2006/07</t>
        </is>
      </c>
      <c r="D478">
        <v>1.512</v>
      </c>
      <c r="E478">
        <v>23.45</v>
      </c>
      <c r="F478">
        <v>29.83</v>
      </c>
      <c r="G478">
        <v>19.19</v>
      </c>
      <c r="H478">
        <v>4.88</v>
      </c>
      <c r="I478">
        <v>2.516</v>
      </c>
      <c r="J478">
        <v>23.79</v>
      </c>
      <c r="K478">
        <v>27.7</v>
      </c>
      <c r="L478">
        <v>21.21</v>
      </c>
      <c r="M478">
        <v>6.27</v>
      </c>
      <c r="N478">
        <v>0.583</v>
      </c>
      <c r="O478">
        <v>24.45</v>
      </c>
      <c r="P478">
        <v>28.95</v>
      </c>
      <c r="Q478">
        <v>21.31</v>
      </c>
      <c r="R478">
        <v>5.52</v>
      </c>
    </row>
    <row r="479">
      <c r="A479" s="9">
        <v>39010</v>
      </c>
      <c r="B479" s="2" t="inlineStr">
        <is>
          <t xml:space="preserve">2006-10</t>
        </is>
      </c>
      <c r="C479" s="2" t="inlineStr">
        <is>
          <t xml:space="preserve">2006/07</t>
        </is>
      </c>
      <c r="D479">
        <v>20.791</v>
      </c>
      <c r="E479">
        <v>22.7</v>
      </c>
      <c r="F479">
        <v>27.84</v>
      </c>
      <c r="G479">
        <v>18.56</v>
      </c>
      <c r="H479">
        <v>14.73</v>
      </c>
      <c r="I479">
        <v>16.114</v>
      </c>
      <c r="J479">
        <v>23.22</v>
      </c>
      <c r="K479">
        <v>27.01</v>
      </c>
      <c r="L479">
        <v>20.9</v>
      </c>
      <c r="M479">
        <v>12.76</v>
      </c>
      <c r="N479">
        <v>22.147</v>
      </c>
      <c r="O479">
        <v>23.38</v>
      </c>
      <c r="P479">
        <v>27.54</v>
      </c>
      <c r="Q479">
        <v>20.57</v>
      </c>
      <c r="R479">
        <v>12.26</v>
      </c>
    </row>
    <row r="480">
      <c r="A480" s="9">
        <v>39011</v>
      </c>
      <c r="B480" s="2" t="inlineStr">
        <is>
          <t xml:space="preserve">2006-10</t>
        </is>
      </c>
      <c r="C480" s="2" t="inlineStr">
        <is>
          <t xml:space="preserve">2006/07</t>
        </is>
      </c>
      <c r="D480">
        <v>5.579</v>
      </c>
      <c r="E480">
        <v>21.97</v>
      </c>
      <c r="F480">
        <v>25.69</v>
      </c>
      <c r="G480">
        <v>19.46</v>
      </c>
      <c r="H480">
        <v>4.58</v>
      </c>
      <c r="I480">
        <v>4.183</v>
      </c>
      <c r="J480">
        <v>20.8</v>
      </c>
      <c r="K480">
        <v>22.76</v>
      </c>
      <c r="L480">
        <v>19.21</v>
      </c>
      <c r="M480">
        <v>5.3</v>
      </c>
      <c r="N480">
        <v>0.651</v>
      </c>
      <c r="O480">
        <v>21.65</v>
      </c>
      <c r="P480">
        <v>24.28</v>
      </c>
      <c r="Q480">
        <v>19.83</v>
      </c>
      <c r="R480">
        <v>4.54</v>
      </c>
    </row>
    <row r="481">
      <c r="A481" s="9">
        <v>39012</v>
      </c>
      <c r="B481" s="2" t="inlineStr">
        <is>
          <t xml:space="preserve">2006-10</t>
        </is>
      </c>
      <c r="C481" s="2" t="inlineStr">
        <is>
          <t xml:space="preserve">2006/07</t>
        </is>
      </c>
      <c r="D481">
        <v>3.478</v>
      </c>
      <c r="E481">
        <v>22.12</v>
      </c>
      <c r="F481">
        <v>26.67</v>
      </c>
      <c r="G481">
        <v>18.95</v>
      </c>
      <c r="H481">
        <v>3.8</v>
      </c>
      <c r="I481">
        <v>7.88</v>
      </c>
      <c r="J481">
        <v>20.74</v>
      </c>
      <c r="K481">
        <v>22.98</v>
      </c>
      <c r="L481">
        <v>18.96</v>
      </c>
      <c r="M481">
        <v>5.55</v>
      </c>
      <c r="N481">
        <v>2.131</v>
      </c>
      <c r="O481">
        <v>21.7</v>
      </c>
      <c r="P481">
        <v>24.14</v>
      </c>
      <c r="Q481">
        <v>19.68</v>
      </c>
      <c r="R481">
        <v>2.17</v>
      </c>
    </row>
    <row r="482">
      <c r="A482" s="9">
        <v>39013</v>
      </c>
      <c r="B482" s="2" t="inlineStr">
        <is>
          <t xml:space="preserve">2006-10</t>
        </is>
      </c>
      <c r="C482" s="2" t="inlineStr">
        <is>
          <t xml:space="preserve">2006/07</t>
        </is>
      </c>
      <c r="D482">
        <v>8.397</v>
      </c>
      <c r="E482">
        <v>20.85</v>
      </c>
      <c r="F482">
        <v>24.24</v>
      </c>
      <c r="G482">
        <v>18.55</v>
      </c>
      <c r="H482">
        <v>11.51</v>
      </c>
      <c r="I482">
        <v>5.98</v>
      </c>
      <c r="J482">
        <v>22.11</v>
      </c>
      <c r="K482">
        <v>26.45</v>
      </c>
      <c r="L482">
        <v>18.51</v>
      </c>
      <c r="M482">
        <v>7.32</v>
      </c>
      <c r="N482">
        <v>6.031</v>
      </c>
      <c r="O482">
        <v>22.55</v>
      </c>
      <c r="P482">
        <v>26.63</v>
      </c>
      <c r="Q482">
        <v>19.04</v>
      </c>
      <c r="R482">
        <v>6.85</v>
      </c>
    </row>
    <row r="483">
      <c r="A483" s="9">
        <v>39014</v>
      </c>
      <c r="B483" s="2" t="inlineStr">
        <is>
          <t xml:space="preserve">2006-10</t>
        </is>
      </c>
      <c r="C483" s="2" t="inlineStr">
        <is>
          <t xml:space="preserve">2006/07</t>
        </is>
      </c>
      <c r="D483">
        <v>10.198</v>
      </c>
      <c r="E483">
        <v>21.63</v>
      </c>
      <c r="F483">
        <v>26.25</v>
      </c>
      <c r="G483">
        <v>18.44</v>
      </c>
      <c r="H483">
        <v>8.3</v>
      </c>
      <c r="I483">
        <v>4.916</v>
      </c>
      <c r="J483">
        <v>21.8</v>
      </c>
      <c r="K483">
        <v>25.41</v>
      </c>
      <c r="L483">
        <v>19.33</v>
      </c>
      <c r="M483">
        <v>3.68</v>
      </c>
      <c r="N483">
        <v>6.738</v>
      </c>
      <c r="O483">
        <v>22.05</v>
      </c>
      <c r="P483">
        <v>25.43</v>
      </c>
      <c r="Q483">
        <v>19.91</v>
      </c>
      <c r="R483">
        <v>5.23</v>
      </c>
    </row>
    <row r="484">
      <c r="A484" s="9">
        <v>39015</v>
      </c>
      <c r="B484" s="2" t="inlineStr">
        <is>
          <t xml:space="preserve">2006-10</t>
        </is>
      </c>
      <c r="C484" s="2" t="inlineStr">
        <is>
          <t xml:space="preserve">2006/07</t>
        </is>
      </c>
      <c r="D484">
        <v>0.0</v>
      </c>
      <c r="E484">
        <v>22.1</v>
      </c>
      <c r="F484">
        <v>27.0</v>
      </c>
      <c r="G484">
        <v>18.71</v>
      </c>
      <c r="H484">
        <v>4.57</v>
      </c>
      <c r="I484">
        <v>1.256</v>
      </c>
      <c r="J484">
        <v>21.24</v>
      </c>
      <c r="K484">
        <v>24.69</v>
      </c>
      <c r="L484">
        <v>18.21</v>
      </c>
      <c r="M484">
        <v>2.9</v>
      </c>
      <c r="N484">
        <v>0.029</v>
      </c>
      <c r="O484">
        <v>22.06</v>
      </c>
      <c r="P484">
        <v>25.69</v>
      </c>
      <c r="Q484">
        <v>18.96</v>
      </c>
      <c r="R484">
        <v>1.42</v>
      </c>
    </row>
    <row r="485">
      <c r="A485" s="9">
        <v>39016</v>
      </c>
      <c r="B485" s="2" t="inlineStr">
        <is>
          <t xml:space="preserve">2006-10</t>
        </is>
      </c>
      <c r="C485" s="2" t="inlineStr">
        <is>
          <t xml:space="preserve">2006/07</t>
        </is>
      </c>
      <c r="D485">
        <v>16.714</v>
      </c>
      <c r="E485">
        <v>22.69</v>
      </c>
      <c r="F485">
        <v>27.52</v>
      </c>
      <c r="G485">
        <v>19.31</v>
      </c>
      <c r="H485">
        <v>5.29</v>
      </c>
      <c r="I485">
        <v>4.013</v>
      </c>
      <c r="J485">
        <v>22.43</v>
      </c>
      <c r="K485">
        <v>26.27</v>
      </c>
      <c r="L485">
        <v>19.03</v>
      </c>
      <c r="M485">
        <v>2.61</v>
      </c>
      <c r="N485">
        <v>0.705</v>
      </c>
      <c r="O485">
        <v>22.68</v>
      </c>
      <c r="P485">
        <v>26.88</v>
      </c>
      <c r="Q485">
        <v>19.94</v>
      </c>
      <c r="R485">
        <v>2.17</v>
      </c>
    </row>
    <row r="486">
      <c r="A486" s="9">
        <v>39017</v>
      </c>
      <c r="B486" s="2" t="inlineStr">
        <is>
          <t xml:space="preserve">2006-10</t>
        </is>
      </c>
      <c r="C486" s="2" t="inlineStr">
        <is>
          <t xml:space="preserve">2006/07</t>
        </is>
      </c>
      <c r="D486">
        <v>0.0</v>
      </c>
      <c r="E486">
        <v>22.81</v>
      </c>
      <c r="F486">
        <v>28.27</v>
      </c>
      <c r="G486">
        <v>17.7</v>
      </c>
      <c r="H486">
        <v>0.19</v>
      </c>
      <c r="I486">
        <v>0.0</v>
      </c>
      <c r="J486">
        <v>23.21</v>
      </c>
      <c r="K486">
        <v>27.94</v>
      </c>
      <c r="L486">
        <v>19.38</v>
      </c>
      <c r="M486">
        <v>0.14</v>
      </c>
      <c r="N486">
        <v>0.041</v>
      </c>
      <c r="O486">
        <v>23.51</v>
      </c>
      <c r="P486">
        <v>28.34</v>
      </c>
      <c r="Q486">
        <v>20.2</v>
      </c>
      <c r="R486">
        <v>0.28</v>
      </c>
    </row>
    <row r="487">
      <c r="A487" s="9">
        <v>39018</v>
      </c>
      <c r="B487" s="2" t="inlineStr">
        <is>
          <t xml:space="preserve">2006-10</t>
        </is>
      </c>
      <c r="C487" s="2" t="inlineStr">
        <is>
          <t xml:space="preserve">2006/07</t>
        </is>
      </c>
      <c r="D487">
        <v>0.237</v>
      </c>
      <c r="E487">
        <v>21.24</v>
      </c>
      <c r="F487">
        <v>24.75</v>
      </c>
      <c r="G487">
        <v>17.76</v>
      </c>
      <c r="H487">
        <v>2.64</v>
      </c>
      <c r="I487">
        <v>0.156</v>
      </c>
      <c r="J487">
        <v>21.61</v>
      </c>
      <c r="K487">
        <v>25.55</v>
      </c>
      <c r="L487">
        <v>18.36</v>
      </c>
      <c r="M487">
        <v>2.15</v>
      </c>
      <c r="N487">
        <v>1.514</v>
      </c>
      <c r="O487">
        <v>21.51</v>
      </c>
      <c r="P487">
        <v>24.38</v>
      </c>
      <c r="Q487">
        <v>18.07</v>
      </c>
      <c r="R487">
        <v>2.89</v>
      </c>
    </row>
    <row r="488">
      <c r="A488" s="9">
        <v>39019</v>
      </c>
      <c r="B488" s="2" t="inlineStr">
        <is>
          <t xml:space="preserve">2006-10</t>
        </is>
      </c>
      <c r="C488" s="2" t="inlineStr">
        <is>
          <t xml:space="preserve">2006/07</t>
        </is>
      </c>
      <c r="D488">
        <v>2.206</v>
      </c>
      <c r="E488">
        <v>19.16</v>
      </c>
      <c r="F488">
        <v>24.5</v>
      </c>
      <c r="G488">
        <v>15.83</v>
      </c>
      <c r="H488">
        <v>3.09</v>
      </c>
      <c r="I488">
        <v>4.334</v>
      </c>
      <c r="J488">
        <v>18.49</v>
      </c>
      <c r="K488">
        <v>22.16</v>
      </c>
      <c r="L488">
        <v>15.09</v>
      </c>
      <c r="M488">
        <v>2.9</v>
      </c>
      <c r="N488">
        <v>7.316</v>
      </c>
      <c r="O488">
        <v>18.33</v>
      </c>
      <c r="P488">
        <v>21.38</v>
      </c>
      <c r="Q488">
        <v>16.32</v>
      </c>
      <c r="R488">
        <v>2.72</v>
      </c>
    </row>
    <row r="489">
      <c r="A489" s="9">
        <v>39020</v>
      </c>
      <c r="B489" s="2" t="inlineStr">
        <is>
          <t xml:space="preserve">2006-10</t>
        </is>
      </c>
      <c r="C489" s="2" t="inlineStr">
        <is>
          <t xml:space="preserve">2006/07</t>
        </is>
      </c>
      <c r="D489">
        <v>0.0</v>
      </c>
      <c r="E489">
        <v>18.9</v>
      </c>
      <c r="F489">
        <v>23.83</v>
      </c>
      <c r="G489">
        <v>15.55</v>
      </c>
      <c r="H489">
        <v>0.11</v>
      </c>
      <c r="I489">
        <v>0.0</v>
      </c>
      <c r="J489">
        <v>18.29</v>
      </c>
      <c r="K489">
        <v>23.4</v>
      </c>
      <c r="L489">
        <v>14.31</v>
      </c>
      <c r="M489">
        <v>0.01</v>
      </c>
      <c r="N489">
        <v>0.0</v>
      </c>
      <c r="O489">
        <v>18.23</v>
      </c>
      <c r="P489">
        <v>22.09</v>
      </c>
      <c r="Q489">
        <v>15.15</v>
      </c>
      <c r="R489">
        <v>0.0</v>
      </c>
    </row>
    <row r="490">
      <c r="A490" s="9">
        <v>39021</v>
      </c>
      <c r="B490" s="2" t="inlineStr">
        <is>
          <t xml:space="preserve">2006-10</t>
        </is>
      </c>
      <c r="C490" s="2" t="inlineStr">
        <is>
          <t xml:space="preserve">2006/07</t>
        </is>
      </c>
      <c r="D490">
        <v>1.127</v>
      </c>
      <c r="E490">
        <v>19.81</v>
      </c>
      <c r="F490">
        <v>23.35</v>
      </c>
      <c r="G490">
        <v>16.2</v>
      </c>
      <c r="H490">
        <v>2.61</v>
      </c>
      <c r="I490">
        <v>0.069</v>
      </c>
      <c r="J490">
        <v>21.11</v>
      </c>
      <c r="K490">
        <v>26.41</v>
      </c>
      <c r="L490">
        <v>16.28</v>
      </c>
      <c r="M490">
        <v>0.58</v>
      </c>
      <c r="N490">
        <v>0.0</v>
      </c>
      <c r="O490">
        <v>20.84</v>
      </c>
      <c r="P490">
        <v>25.52</v>
      </c>
      <c r="Q490">
        <v>16.79</v>
      </c>
      <c r="R490">
        <v>0.53</v>
      </c>
    </row>
    <row r="491">
      <c r="A491" s="9">
        <v>39022</v>
      </c>
      <c r="B491" s="2" t="inlineStr">
        <is>
          <t xml:space="preserve">2006-11</t>
        </is>
      </c>
      <c r="C491" s="2" t="inlineStr">
        <is>
          <t xml:space="preserve">2006/07</t>
        </is>
      </c>
      <c r="D491">
        <v>1.105</v>
      </c>
      <c r="E491">
        <v>21.23</v>
      </c>
      <c r="F491">
        <v>25.5</v>
      </c>
      <c r="G491">
        <v>18.3</v>
      </c>
      <c r="H491">
        <v>9.56</v>
      </c>
      <c r="I491">
        <v>4.843</v>
      </c>
      <c r="J491">
        <v>21.56</v>
      </c>
      <c r="K491">
        <v>25.95</v>
      </c>
      <c r="L491">
        <v>18.67</v>
      </c>
      <c r="M491">
        <v>6.18</v>
      </c>
      <c r="N491">
        <v>7.775</v>
      </c>
      <c r="O491">
        <v>21.57</v>
      </c>
      <c r="P491">
        <v>25.86</v>
      </c>
      <c r="Q491">
        <v>18.78</v>
      </c>
      <c r="R491">
        <v>7.58</v>
      </c>
    </row>
    <row r="492">
      <c r="A492" s="9">
        <v>39023</v>
      </c>
      <c r="B492" s="2" t="inlineStr">
        <is>
          <t xml:space="preserve">2006-11</t>
        </is>
      </c>
      <c r="C492" s="2" t="inlineStr">
        <is>
          <t xml:space="preserve">2006/07</t>
        </is>
      </c>
      <c r="D492">
        <v>21.926</v>
      </c>
      <c r="E492">
        <v>21.29</v>
      </c>
      <c r="F492">
        <v>25.71</v>
      </c>
      <c r="G492">
        <v>18.29</v>
      </c>
      <c r="H492">
        <v>24.8</v>
      </c>
      <c r="I492">
        <v>5.285</v>
      </c>
      <c r="J492">
        <v>21.69</v>
      </c>
      <c r="K492">
        <v>24.9</v>
      </c>
      <c r="L492">
        <v>19.49</v>
      </c>
      <c r="M492">
        <v>7.0</v>
      </c>
      <c r="N492">
        <v>11.169</v>
      </c>
      <c r="O492">
        <v>21.92</v>
      </c>
      <c r="P492">
        <v>26.01</v>
      </c>
      <c r="Q492">
        <v>19.35</v>
      </c>
      <c r="R492">
        <v>13.09</v>
      </c>
    </row>
    <row r="493">
      <c r="A493" s="9">
        <v>39024</v>
      </c>
      <c r="B493" s="2" t="inlineStr">
        <is>
          <t xml:space="preserve">2006-11</t>
        </is>
      </c>
      <c r="C493" s="2" t="inlineStr">
        <is>
          <t xml:space="preserve">2006/07</t>
        </is>
      </c>
      <c r="D493">
        <v>10.974</v>
      </c>
      <c r="E493">
        <v>20.65</v>
      </c>
      <c r="F493">
        <v>24.17</v>
      </c>
      <c r="G493">
        <v>18.0</v>
      </c>
      <c r="H493">
        <v>6.29</v>
      </c>
      <c r="I493">
        <v>1.333</v>
      </c>
      <c r="J493">
        <v>21.1</v>
      </c>
      <c r="K493">
        <v>23.42</v>
      </c>
      <c r="L493">
        <v>19.75</v>
      </c>
      <c r="M493">
        <v>3.76</v>
      </c>
      <c r="N493">
        <v>1.849</v>
      </c>
      <c r="O493">
        <v>21.57</v>
      </c>
      <c r="P493">
        <v>23.98</v>
      </c>
      <c r="Q493">
        <v>20.66</v>
      </c>
      <c r="R493">
        <v>8.08</v>
      </c>
    </row>
    <row r="494">
      <c r="A494" s="9">
        <v>39025</v>
      </c>
      <c r="B494" s="2" t="inlineStr">
        <is>
          <t xml:space="preserve">2006-11</t>
        </is>
      </c>
      <c r="C494" s="2" t="inlineStr">
        <is>
          <t xml:space="preserve">2006/07</t>
        </is>
      </c>
      <c r="D494">
        <v>0.19</v>
      </c>
      <c r="E494">
        <v>20.37</v>
      </c>
      <c r="F494">
        <v>24.63</v>
      </c>
      <c r="G494">
        <v>17.72</v>
      </c>
      <c r="H494">
        <v>0.36</v>
      </c>
      <c r="I494">
        <v>3.619</v>
      </c>
      <c r="J494">
        <v>21.15</v>
      </c>
      <c r="K494">
        <v>24.96</v>
      </c>
      <c r="L494">
        <v>18.85</v>
      </c>
      <c r="M494">
        <v>2.39</v>
      </c>
      <c r="N494">
        <v>1.944</v>
      </c>
      <c r="O494">
        <v>21.54</v>
      </c>
      <c r="P494">
        <v>24.82</v>
      </c>
      <c r="Q494">
        <v>19.61</v>
      </c>
      <c r="R494">
        <v>6.52</v>
      </c>
    </row>
    <row r="495">
      <c r="A495" s="9">
        <v>39026</v>
      </c>
      <c r="B495" s="2" t="inlineStr">
        <is>
          <t xml:space="preserve">2006-11</t>
        </is>
      </c>
      <c r="C495" s="2" t="inlineStr">
        <is>
          <t xml:space="preserve">2006/07</t>
        </is>
      </c>
      <c r="D495">
        <v>0.066</v>
      </c>
      <c r="E495">
        <v>20.76</v>
      </c>
      <c r="F495">
        <v>25.54</v>
      </c>
      <c r="G495">
        <v>17.33</v>
      </c>
      <c r="H495">
        <v>0.98</v>
      </c>
      <c r="I495">
        <v>0.572</v>
      </c>
      <c r="J495">
        <v>20.95</v>
      </c>
      <c r="K495">
        <v>25.4</v>
      </c>
      <c r="L495">
        <v>17.98</v>
      </c>
      <c r="M495">
        <v>4.47</v>
      </c>
      <c r="N495">
        <v>7.507</v>
      </c>
      <c r="O495">
        <v>21.25</v>
      </c>
      <c r="P495">
        <v>25.17</v>
      </c>
      <c r="Q495">
        <v>18.96</v>
      </c>
      <c r="R495">
        <v>12.54</v>
      </c>
    </row>
    <row r="496">
      <c r="A496" s="9">
        <v>39027</v>
      </c>
      <c r="B496" s="2" t="inlineStr">
        <is>
          <t xml:space="preserve">2006-11</t>
        </is>
      </c>
      <c r="C496" s="2" t="inlineStr">
        <is>
          <t xml:space="preserve">2006/07</t>
        </is>
      </c>
      <c r="D496">
        <v>0.404</v>
      </c>
      <c r="E496">
        <v>21.29</v>
      </c>
      <c r="F496">
        <v>26.58</v>
      </c>
      <c r="G496">
        <v>17.42</v>
      </c>
      <c r="H496">
        <v>0.51</v>
      </c>
      <c r="I496">
        <v>0.0</v>
      </c>
      <c r="J496">
        <v>21.45</v>
      </c>
      <c r="K496">
        <v>26.25</v>
      </c>
      <c r="L496">
        <v>18.1</v>
      </c>
      <c r="M496">
        <v>0.03</v>
      </c>
      <c r="N496">
        <v>0.047</v>
      </c>
      <c r="O496">
        <v>21.77</v>
      </c>
      <c r="P496">
        <v>26.16</v>
      </c>
      <c r="Q496">
        <v>18.94</v>
      </c>
      <c r="R496">
        <v>0.05</v>
      </c>
    </row>
    <row r="497">
      <c r="A497" s="9">
        <v>39028</v>
      </c>
      <c r="B497" s="2" t="inlineStr">
        <is>
          <t xml:space="preserve">2006-11</t>
        </is>
      </c>
      <c r="C497" s="2" t="inlineStr">
        <is>
          <t xml:space="preserve">2006/07</t>
        </is>
      </c>
      <c r="D497">
        <v>0.0</v>
      </c>
      <c r="E497">
        <v>21.57</v>
      </c>
      <c r="F497">
        <v>26.9</v>
      </c>
      <c r="G497">
        <v>18.02</v>
      </c>
      <c r="H497">
        <v>0.11</v>
      </c>
      <c r="I497">
        <v>0.0</v>
      </c>
      <c r="J497">
        <v>21.35</v>
      </c>
      <c r="K497">
        <v>25.97</v>
      </c>
      <c r="L497">
        <v>17.82</v>
      </c>
      <c r="M497">
        <v>0.0</v>
      </c>
      <c r="N497">
        <v>0.0</v>
      </c>
      <c r="O497">
        <v>21.76</v>
      </c>
      <c r="P497">
        <v>25.94</v>
      </c>
      <c r="Q497">
        <v>18.86</v>
      </c>
      <c r="R497">
        <v>0.02</v>
      </c>
    </row>
    <row r="498">
      <c r="A498" s="9">
        <v>39029</v>
      </c>
      <c r="B498" s="2" t="inlineStr">
        <is>
          <t xml:space="preserve">2006-11</t>
        </is>
      </c>
      <c r="C498" s="2" t="inlineStr">
        <is>
          <t xml:space="preserve">2006/07</t>
        </is>
      </c>
      <c r="D498">
        <v>0.161</v>
      </c>
      <c r="E498">
        <v>21.35</v>
      </c>
      <c r="F498">
        <v>26.59</v>
      </c>
      <c r="G498">
        <v>17.59</v>
      </c>
      <c r="H498">
        <v>0.37</v>
      </c>
      <c r="I498">
        <v>0.0</v>
      </c>
      <c r="J498">
        <v>21.42</v>
      </c>
      <c r="K498">
        <v>26.13</v>
      </c>
      <c r="L498">
        <v>18.09</v>
      </c>
      <c r="M498">
        <v>0.16</v>
      </c>
      <c r="N498">
        <v>0.0</v>
      </c>
      <c r="O498">
        <v>21.39</v>
      </c>
      <c r="P498">
        <v>25.88</v>
      </c>
      <c r="Q498">
        <v>18.02</v>
      </c>
      <c r="R498">
        <v>0.19</v>
      </c>
    </row>
    <row r="499">
      <c r="A499" s="9">
        <v>39030</v>
      </c>
      <c r="B499" s="2" t="inlineStr">
        <is>
          <t xml:space="preserve">2006-11</t>
        </is>
      </c>
      <c r="C499" s="2" t="inlineStr">
        <is>
          <t xml:space="preserve">2006/07</t>
        </is>
      </c>
      <c r="D499">
        <v>0.042</v>
      </c>
      <c r="E499">
        <v>21.94</v>
      </c>
      <c r="F499">
        <v>27.04</v>
      </c>
      <c r="G499">
        <v>18.08</v>
      </c>
      <c r="H499">
        <v>0.46</v>
      </c>
      <c r="I499">
        <v>0.686</v>
      </c>
      <c r="J499">
        <v>22.11</v>
      </c>
      <c r="K499">
        <v>27.03</v>
      </c>
      <c r="L499">
        <v>17.81</v>
      </c>
      <c r="M499">
        <v>1.11</v>
      </c>
      <c r="N499">
        <v>0.04</v>
      </c>
      <c r="O499">
        <v>22.16</v>
      </c>
      <c r="P499">
        <v>26.95</v>
      </c>
      <c r="Q499">
        <v>18.62</v>
      </c>
      <c r="R499">
        <v>0.94</v>
      </c>
    </row>
    <row r="500">
      <c r="A500" s="9">
        <v>39031</v>
      </c>
      <c r="B500" s="2" t="inlineStr">
        <is>
          <t xml:space="preserve">2006-11</t>
        </is>
      </c>
      <c r="C500" s="2" t="inlineStr">
        <is>
          <t xml:space="preserve">2006/07</t>
        </is>
      </c>
      <c r="D500">
        <v>0.118</v>
      </c>
      <c r="E500">
        <v>22.22</v>
      </c>
      <c r="F500">
        <v>27.82</v>
      </c>
      <c r="G500">
        <v>17.76</v>
      </c>
      <c r="H500">
        <v>0.19</v>
      </c>
      <c r="I500">
        <v>3.748</v>
      </c>
      <c r="J500">
        <v>22.71</v>
      </c>
      <c r="K500">
        <v>27.15</v>
      </c>
      <c r="L500">
        <v>19.56</v>
      </c>
      <c r="M500">
        <v>3.81</v>
      </c>
      <c r="N500">
        <v>0.182</v>
      </c>
      <c r="O500">
        <v>22.68</v>
      </c>
      <c r="P500">
        <v>27.34</v>
      </c>
      <c r="Q500">
        <v>19.82</v>
      </c>
      <c r="R500">
        <v>1.75</v>
      </c>
    </row>
    <row r="501">
      <c r="A501" s="9">
        <v>39032</v>
      </c>
      <c r="B501" s="2" t="inlineStr">
        <is>
          <t xml:space="preserve">2006-11</t>
        </is>
      </c>
      <c r="C501" s="2" t="inlineStr">
        <is>
          <t xml:space="preserve">2006/07</t>
        </is>
      </c>
      <c r="D501">
        <v>1.232</v>
      </c>
      <c r="E501">
        <v>21.53</v>
      </c>
      <c r="F501">
        <v>27.02</v>
      </c>
      <c r="G501">
        <v>17.09</v>
      </c>
      <c r="H501">
        <v>10.21</v>
      </c>
      <c r="I501">
        <v>9.473</v>
      </c>
      <c r="J501">
        <v>22.39</v>
      </c>
      <c r="K501">
        <v>26.97</v>
      </c>
      <c r="L501">
        <v>18.63</v>
      </c>
      <c r="M501">
        <v>10.53</v>
      </c>
      <c r="N501">
        <v>0.189</v>
      </c>
      <c r="O501">
        <v>22.43</v>
      </c>
      <c r="P501">
        <v>26.64</v>
      </c>
      <c r="Q501">
        <v>19.51</v>
      </c>
      <c r="R501">
        <v>3.1</v>
      </c>
    </row>
    <row r="502">
      <c r="A502" s="9">
        <v>39033</v>
      </c>
      <c r="B502" s="2" t="inlineStr">
        <is>
          <t xml:space="preserve">2006-11</t>
        </is>
      </c>
      <c r="C502" s="2" t="inlineStr">
        <is>
          <t xml:space="preserve">2006/07</t>
        </is>
      </c>
      <c r="D502">
        <v>19.246</v>
      </c>
      <c r="E502">
        <v>20.67</v>
      </c>
      <c r="F502">
        <v>26.39</v>
      </c>
      <c r="G502">
        <v>15.63</v>
      </c>
      <c r="H502">
        <v>1.93</v>
      </c>
      <c r="I502">
        <v>17.399</v>
      </c>
      <c r="J502">
        <v>21.66</v>
      </c>
      <c r="K502">
        <v>25.78</v>
      </c>
      <c r="L502">
        <v>18.66</v>
      </c>
      <c r="M502">
        <v>9.79</v>
      </c>
      <c r="N502">
        <v>3.188</v>
      </c>
      <c r="O502">
        <v>21.3</v>
      </c>
      <c r="P502">
        <v>24.58</v>
      </c>
      <c r="Q502">
        <v>19.33</v>
      </c>
      <c r="R502">
        <v>2.88</v>
      </c>
    </row>
    <row r="503">
      <c r="A503" s="9">
        <v>39034</v>
      </c>
      <c r="B503" s="2" t="inlineStr">
        <is>
          <t xml:space="preserve">2006-11</t>
        </is>
      </c>
      <c r="C503" s="2" t="inlineStr">
        <is>
          <t xml:space="preserve">2006/07</t>
        </is>
      </c>
      <c r="D503">
        <v>0.0</v>
      </c>
      <c r="E503">
        <v>21.44</v>
      </c>
      <c r="F503">
        <v>26.76</v>
      </c>
      <c r="G503">
        <v>17.3</v>
      </c>
      <c r="H503">
        <v>0.02</v>
      </c>
      <c r="I503">
        <v>0.0</v>
      </c>
      <c r="J503">
        <v>21.72</v>
      </c>
      <c r="K503">
        <v>26.96</v>
      </c>
      <c r="L503">
        <v>17.78</v>
      </c>
      <c r="M503">
        <v>0.07</v>
      </c>
      <c r="N503">
        <v>0.031</v>
      </c>
      <c r="O503">
        <v>21.92</v>
      </c>
      <c r="P503">
        <v>26.46</v>
      </c>
      <c r="Q503">
        <v>19.18</v>
      </c>
      <c r="R503">
        <v>0.25</v>
      </c>
    </row>
    <row r="504">
      <c r="A504" s="9">
        <v>39035</v>
      </c>
      <c r="B504" s="2" t="inlineStr">
        <is>
          <t xml:space="preserve">2006-11</t>
        </is>
      </c>
      <c r="C504" s="2" t="inlineStr">
        <is>
          <t xml:space="preserve">2006/07</t>
        </is>
      </c>
      <c r="D504">
        <v>0.0</v>
      </c>
      <c r="E504">
        <v>21.92</v>
      </c>
      <c r="F504">
        <v>27.46</v>
      </c>
      <c r="G504">
        <v>17.66</v>
      </c>
      <c r="H504">
        <v>0.01</v>
      </c>
      <c r="I504">
        <v>0.0</v>
      </c>
      <c r="J504">
        <v>21.84</v>
      </c>
      <c r="K504">
        <v>27.03</v>
      </c>
      <c r="L504">
        <v>17.49</v>
      </c>
      <c r="M504">
        <v>0.06</v>
      </c>
      <c r="N504">
        <v>0.075</v>
      </c>
      <c r="O504">
        <v>22.28</v>
      </c>
      <c r="P504">
        <v>26.87</v>
      </c>
      <c r="Q504">
        <v>18.85</v>
      </c>
      <c r="R504">
        <v>0.19</v>
      </c>
    </row>
    <row r="505">
      <c r="A505" s="9">
        <v>39036</v>
      </c>
      <c r="B505" s="2" t="inlineStr">
        <is>
          <t xml:space="preserve">2006-11</t>
        </is>
      </c>
      <c r="C505" s="2" t="inlineStr">
        <is>
          <t xml:space="preserve">2006/07</t>
        </is>
      </c>
      <c r="D505">
        <v>0.0</v>
      </c>
      <c r="E505">
        <v>21.08</v>
      </c>
      <c r="F505">
        <v>26.71</v>
      </c>
      <c r="G505">
        <v>16.58</v>
      </c>
      <c r="H505">
        <v>0.0</v>
      </c>
      <c r="I505">
        <v>0.0</v>
      </c>
      <c r="J505">
        <v>21.2</v>
      </c>
      <c r="K505">
        <v>25.93</v>
      </c>
      <c r="L505">
        <v>18.0</v>
      </c>
      <c r="M505">
        <v>0.0</v>
      </c>
      <c r="N505">
        <v>0.0</v>
      </c>
      <c r="O505">
        <v>22.25</v>
      </c>
      <c r="P505">
        <v>27.18</v>
      </c>
      <c r="Q505">
        <v>18.57</v>
      </c>
      <c r="R505">
        <v>0.01</v>
      </c>
    </row>
    <row r="506">
      <c r="A506" s="9">
        <v>39037</v>
      </c>
      <c r="B506" s="2" t="inlineStr">
        <is>
          <t xml:space="preserve">2006-11</t>
        </is>
      </c>
      <c r="C506" s="2" t="inlineStr">
        <is>
          <t xml:space="preserve">2006/07</t>
        </is>
      </c>
      <c r="D506">
        <v>0.0</v>
      </c>
      <c r="E506">
        <v>21.32</v>
      </c>
      <c r="F506">
        <v>26.54</v>
      </c>
      <c r="G506">
        <v>16.9</v>
      </c>
      <c r="H506">
        <v>0.0</v>
      </c>
      <c r="I506">
        <v>0.0</v>
      </c>
      <c r="J506">
        <v>21.48</v>
      </c>
      <c r="K506">
        <v>25.79</v>
      </c>
      <c r="L506">
        <v>18.67</v>
      </c>
      <c r="M506">
        <v>0.04</v>
      </c>
      <c r="N506">
        <v>0.0</v>
      </c>
      <c r="O506">
        <v>21.89</v>
      </c>
      <c r="P506">
        <v>25.78</v>
      </c>
      <c r="Q506">
        <v>18.81</v>
      </c>
      <c r="R506">
        <v>0.34</v>
      </c>
    </row>
    <row r="507">
      <c r="A507" s="9">
        <v>39038</v>
      </c>
      <c r="B507" s="2" t="inlineStr">
        <is>
          <t xml:space="preserve">2006-11</t>
        </is>
      </c>
      <c r="C507" s="2" t="inlineStr">
        <is>
          <t xml:space="preserve">2006/07</t>
        </is>
      </c>
      <c r="D507">
        <v>0.0</v>
      </c>
      <c r="E507">
        <v>20.8</v>
      </c>
      <c r="F507">
        <v>24.42</v>
      </c>
      <c r="G507">
        <v>18.27</v>
      </c>
      <c r="H507">
        <v>0.02</v>
      </c>
      <c r="I507">
        <v>0.0</v>
      </c>
      <c r="J507">
        <v>20.36</v>
      </c>
      <c r="K507">
        <v>23.41</v>
      </c>
      <c r="L507">
        <v>18.2</v>
      </c>
      <c r="M507">
        <v>0.07</v>
      </c>
      <c r="N507">
        <v>0.0</v>
      </c>
      <c r="O507">
        <v>20.74</v>
      </c>
      <c r="P507">
        <v>23.52</v>
      </c>
      <c r="Q507">
        <v>17.94</v>
      </c>
      <c r="R507">
        <v>0.34</v>
      </c>
    </row>
    <row r="508">
      <c r="A508" s="9">
        <v>39039</v>
      </c>
      <c r="B508" s="2" t="inlineStr">
        <is>
          <t xml:space="preserve">2006-11</t>
        </is>
      </c>
      <c r="C508" s="2" t="inlineStr">
        <is>
          <t xml:space="preserve">2006/07</t>
        </is>
      </c>
      <c r="D508">
        <v>0.244</v>
      </c>
      <c r="E508">
        <v>20.15</v>
      </c>
      <c r="F508">
        <v>25.16</v>
      </c>
      <c r="G508">
        <v>17.27</v>
      </c>
      <c r="H508">
        <v>0.26</v>
      </c>
      <c r="I508">
        <v>0.051</v>
      </c>
      <c r="J508">
        <v>20.03</v>
      </c>
      <c r="K508">
        <v>24.61</v>
      </c>
      <c r="L508">
        <v>17.06</v>
      </c>
      <c r="M508">
        <v>0.11</v>
      </c>
      <c r="N508">
        <v>0.042</v>
      </c>
      <c r="O508">
        <v>19.92</v>
      </c>
      <c r="P508">
        <v>23.94</v>
      </c>
      <c r="Q508">
        <v>17.42</v>
      </c>
      <c r="R508">
        <v>0.18</v>
      </c>
    </row>
    <row r="509">
      <c r="A509" s="9">
        <v>39040</v>
      </c>
      <c r="B509" s="2" t="inlineStr">
        <is>
          <t xml:space="preserve">2006-11</t>
        </is>
      </c>
      <c r="C509" s="2" t="inlineStr">
        <is>
          <t xml:space="preserve">2006/07</t>
        </is>
      </c>
      <c r="D509">
        <v>0.052</v>
      </c>
      <c r="E509">
        <v>19.14</v>
      </c>
      <c r="F509">
        <v>24.14</v>
      </c>
      <c r="G509">
        <v>15.38</v>
      </c>
      <c r="H509">
        <v>1.2</v>
      </c>
      <c r="I509">
        <v>0.106</v>
      </c>
      <c r="J509">
        <v>19.2</v>
      </c>
      <c r="K509">
        <v>23.44</v>
      </c>
      <c r="L509">
        <v>15.97</v>
      </c>
      <c r="M509">
        <v>0.82</v>
      </c>
      <c r="N509">
        <v>0.426</v>
      </c>
      <c r="O509">
        <v>18.85</v>
      </c>
      <c r="P509">
        <v>22.32</v>
      </c>
      <c r="Q509">
        <v>16.38</v>
      </c>
      <c r="R509">
        <v>1.56</v>
      </c>
    </row>
    <row r="510">
      <c r="A510" s="9">
        <v>39041</v>
      </c>
      <c r="B510" s="2" t="inlineStr">
        <is>
          <t xml:space="preserve">2006-11</t>
        </is>
      </c>
      <c r="C510" s="2" t="inlineStr">
        <is>
          <t xml:space="preserve">2006/07</t>
        </is>
      </c>
      <c r="D510">
        <v>0.1</v>
      </c>
      <c r="E510">
        <v>16.1</v>
      </c>
      <c r="F510">
        <v>19.33</v>
      </c>
      <c r="G510">
        <v>14.38</v>
      </c>
      <c r="H510">
        <v>1.08</v>
      </c>
      <c r="I510">
        <v>1.626</v>
      </c>
      <c r="J510">
        <v>16.26</v>
      </c>
      <c r="K510">
        <v>20.0</v>
      </c>
      <c r="L510">
        <v>14.28</v>
      </c>
      <c r="M510">
        <v>1.18</v>
      </c>
      <c r="N510">
        <v>2.981</v>
      </c>
      <c r="O510">
        <v>16.41</v>
      </c>
      <c r="P510">
        <v>19.37</v>
      </c>
      <c r="Q510">
        <v>14.88</v>
      </c>
      <c r="R510">
        <v>1.45</v>
      </c>
    </row>
    <row r="511">
      <c r="A511" s="9">
        <v>39042</v>
      </c>
      <c r="B511" s="2" t="inlineStr">
        <is>
          <t xml:space="preserve">2006-11</t>
        </is>
      </c>
      <c r="C511" s="2" t="inlineStr">
        <is>
          <t xml:space="preserve">2006/07</t>
        </is>
      </c>
      <c r="D511">
        <v>0.0</v>
      </c>
      <c r="E511">
        <v>14.59</v>
      </c>
      <c r="F511">
        <v>18.21</v>
      </c>
      <c r="G511">
        <v>10.83</v>
      </c>
      <c r="H511">
        <v>0.04</v>
      </c>
      <c r="I511">
        <v>0.0</v>
      </c>
      <c r="J511">
        <v>14.53</v>
      </c>
      <c r="K511">
        <v>17.69</v>
      </c>
      <c r="L511">
        <v>11.46</v>
      </c>
      <c r="M511">
        <v>0.26</v>
      </c>
      <c r="N511">
        <v>0.0</v>
      </c>
      <c r="O511">
        <v>14.61</v>
      </c>
      <c r="P511">
        <v>16.94</v>
      </c>
      <c r="Q511">
        <v>12.14</v>
      </c>
      <c r="R511">
        <v>1.04</v>
      </c>
    </row>
    <row r="512">
      <c r="A512" s="9">
        <v>39043</v>
      </c>
      <c r="B512" s="2" t="inlineStr">
        <is>
          <t xml:space="preserve">2006-11</t>
        </is>
      </c>
      <c r="C512" s="2" t="inlineStr">
        <is>
          <t xml:space="preserve">2006/07</t>
        </is>
      </c>
      <c r="D512">
        <v>0.0</v>
      </c>
      <c r="E512">
        <v>12.63</v>
      </c>
      <c r="F512">
        <v>17.16</v>
      </c>
      <c r="G512">
        <v>10.02</v>
      </c>
      <c r="H512">
        <v>0.08</v>
      </c>
      <c r="I512">
        <v>0.041</v>
      </c>
      <c r="J512">
        <v>12.05</v>
      </c>
      <c r="K512">
        <v>15.65</v>
      </c>
      <c r="L512">
        <v>9.64</v>
      </c>
      <c r="M512">
        <v>0.26</v>
      </c>
      <c r="N512">
        <v>0.418</v>
      </c>
      <c r="O512">
        <v>12.15</v>
      </c>
      <c r="P512">
        <v>15.24</v>
      </c>
      <c r="Q512">
        <v>10.41</v>
      </c>
      <c r="R512">
        <v>0.89</v>
      </c>
    </row>
    <row r="513">
      <c r="A513" s="9">
        <v>39044</v>
      </c>
      <c r="B513" s="2" t="inlineStr">
        <is>
          <t xml:space="preserve">2006-11</t>
        </is>
      </c>
      <c r="C513" s="2" t="inlineStr">
        <is>
          <t xml:space="preserve">2006/07</t>
        </is>
      </c>
      <c r="D513">
        <v>0.0</v>
      </c>
      <c r="E513">
        <v>14.21</v>
      </c>
      <c r="F513">
        <v>19.72</v>
      </c>
      <c r="G513">
        <v>10.24</v>
      </c>
      <c r="H513">
        <v>0.0</v>
      </c>
      <c r="I513">
        <v>0.0</v>
      </c>
      <c r="J513">
        <v>13.03</v>
      </c>
      <c r="K513">
        <v>17.87</v>
      </c>
      <c r="L513">
        <v>9.49</v>
      </c>
      <c r="M513">
        <v>0.0</v>
      </c>
      <c r="N513">
        <v>0.0</v>
      </c>
      <c r="O513">
        <v>13.25</v>
      </c>
      <c r="P513">
        <v>17.13</v>
      </c>
      <c r="Q513">
        <v>10.88</v>
      </c>
      <c r="R513">
        <v>0.0</v>
      </c>
    </row>
    <row r="514">
      <c r="A514" s="9">
        <v>39045</v>
      </c>
      <c r="B514" s="2" t="inlineStr">
        <is>
          <t xml:space="preserve">2006-11</t>
        </is>
      </c>
      <c r="C514" s="2" t="inlineStr">
        <is>
          <t xml:space="preserve">2006/07</t>
        </is>
      </c>
      <c r="D514">
        <v>0.0</v>
      </c>
      <c r="E514">
        <v>16.17</v>
      </c>
      <c r="F514">
        <v>21.89</v>
      </c>
      <c r="G514">
        <v>12.16</v>
      </c>
      <c r="H514">
        <v>0.09</v>
      </c>
      <c r="I514">
        <v>0.0</v>
      </c>
      <c r="J514">
        <v>14.85</v>
      </c>
      <c r="K514">
        <v>19.75</v>
      </c>
      <c r="L514">
        <v>11.45</v>
      </c>
      <c r="M514">
        <v>0.02</v>
      </c>
      <c r="N514">
        <v>0.0</v>
      </c>
      <c r="O514">
        <v>15.04</v>
      </c>
      <c r="P514">
        <v>19.08</v>
      </c>
      <c r="Q514">
        <v>12.24</v>
      </c>
      <c r="R514">
        <v>0.02</v>
      </c>
    </row>
    <row r="515">
      <c r="A515" s="9">
        <v>39046</v>
      </c>
      <c r="B515" s="2" t="inlineStr">
        <is>
          <t xml:space="preserve">2006-11</t>
        </is>
      </c>
      <c r="C515" s="2" t="inlineStr">
        <is>
          <t xml:space="preserve">2006/07</t>
        </is>
      </c>
      <c r="D515">
        <v>0.0</v>
      </c>
      <c r="E515">
        <v>18.23</v>
      </c>
      <c r="F515">
        <v>24.71</v>
      </c>
      <c r="G515">
        <v>13.44</v>
      </c>
      <c r="H515">
        <v>0.21</v>
      </c>
      <c r="I515">
        <v>0.207</v>
      </c>
      <c r="J515">
        <v>16.97</v>
      </c>
      <c r="K515">
        <v>22.35</v>
      </c>
      <c r="L515">
        <v>13.02</v>
      </c>
      <c r="M515">
        <v>0.16</v>
      </c>
      <c r="N515">
        <v>0.333</v>
      </c>
      <c r="O515">
        <v>17.41</v>
      </c>
      <c r="P515">
        <v>22.11</v>
      </c>
      <c r="Q515">
        <v>14.03</v>
      </c>
      <c r="R515">
        <v>0.19</v>
      </c>
    </row>
    <row r="516">
      <c r="A516" s="9">
        <v>39047</v>
      </c>
      <c r="B516" s="2" t="inlineStr">
        <is>
          <t xml:space="preserve">2006-11</t>
        </is>
      </c>
      <c r="C516" s="2" t="inlineStr">
        <is>
          <t xml:space="preserve">2006/07</t>
        </is>
      </c>
      <c r="D516">
        <v>0.0</v>
      </c>
      <c r="E516">
        <v>20.1</v>
      </c>
      <c r="F516">
        <v>26.59</v>
      </c>
      <c r="G516">
        <v>15.33</v>
      </c>
      <c r="H516">
        <v>0.32</v>
      </c>
      <c r="I516">
        <v>0.0</v>
      </c>
      <c r="J516">
        <v>18.61</v>
      </c>
      <c r="K516">
        <v>23.2</v>
      </c>
      <c r="L516">
        <v>15.13</v>
      </c>
      <c r="M516">
        <v>0.23</v>
      </c>
      <c r="N516">
        <v>0.0</v>
      </c>
      <c r="O516">
        <v>18.91</v>
      </c>
      <c r="P516">
        <v>23.1</v>
      </c>
      <c r="Q516">
        <v>15.65</v>
      </c>
      <c r="R516">
        <v>0.57</v>
      </c>
    </row>
    <row r="517">
      <c r="A517" s="9">
        <v>39048</v>
      </c>
      <c r="B517" s="2" t="inlineStr">
        <is>
          <t xml:space="preserve">2006-11</t>
        </is>
      </c>
      <c r="C517" s="2" t="inlineStr">
        <is>
          <t xml:space="preserve">2006/07</t>
        </is>
      </c>
      <c r="D517">
        <v>0.058</v>
      </c>
      <c r="E517">
        <v>20.21</v>
      </c>
      <c r="F517">
        <v>26.08</v>
      </c>
      <c r="G517">
        <v>16.47</v>
      </c>
      <c r="H517">
        <v>0.69</v>
      </c>
      <c r="I517">
        <v>0.344</v>
      </c>
      <c r="J517">
        <v>19.97</v>
      </c>
      <c r="K517">
        <v>24.87</v>
      </c>
      <c r="L517">
        <v>17.01</v>
      </c>
      <c r="M517">
        <v>0.65</v>
      </c>
      <c r="N517">
        <v>0.985</v>
      </c>
      <c r="O517">
        <v>20.05</v>
      </c>
      <c r="P517">
        <v>24.31</v>
      </c>
      <c r="Q517">
        <v>17.41</v>
      </c>
      <c r="R517">
        <v>1.58</v>
      </c>
    </row>
    <row r="518">
      <c r="A518" s="9">
        <v>39049</v>
      </c>
      <c r="B518" s="2" t="inlineStr">
        <is>
          <t xml:space="preserve">2006-11</t>
        </is>
      </c>
      <c r="C518" s="2" t="inlineStr">
        <is>
          <t xml:space="preserve">2006/07</t>
        </is>
      </c>
      <c r="D518">
        <v>0.08</v>
      </c>
      <c r="E518">
        <v>20.41</v>
      </c>
      <c r="F518">
        <v>26.35</v>
      </c>
      <c r="G518">
        <v>16.65</v>
      </c>
      <c r="H518">
        <v>0.89</v>
      </c>
      <c r="I518">
        <v>0.085</v>
      </c>
      <c r="J518">
        <v>19.33</v>
      </c>
      <c r="K518">
        <v>24.3</v>
      </c>
      <c r="L518">
        <v>16.41</v>
      </c>
      <c r="M518">
        <v>0.58</v>
      </c>
      <c r="N518">
        <v>0.75</v>
      </c>
      <c r="O518">
        <v>19.29</v>
      </c>
      <c r="P518">
        <v>23.52</v>
      </c>
      <c r="Q518">
        <v>16.72</v>
      </c>
      <c r="R518">
        <v>1.38</v>
      </c>
    </row>
    <row r="519">
      <c r="A519" s="9">
        <v>39050</v>
      </c>
      <c r="B519" s="2" t="inlineStr">
        <is>
          <t xml:space="preserve">2006-11</t>
        </is>
      </c>
      <c r="C519" s="2" t="inlineStr">
        <is>
          <t xml:space="preserve">2006/07</t>
        </is>
      </c>
      <c r="D519">
        <v>0.0</v>
      </c>
      <c r="E519">
        <v>20.52</v>
      </c>
      <c r="F519">
        <v>27.39</v>
      </c>
      <c r="G519">
        <v>15.98</v>
      </c>
      <c r="H519">
        <v>0.01</v>
      </c>
      <c r="I519">
        <v>0.0</v>
      </c>
      <c r="J519">
        <v>19.99</v>
      </c>
      <c r="K519">
        <v>25.21</v>
      </c>
      <c r="L519">
        <v>16.62</v>
      </c>
      <c r="M519">
        <v>0.02</v>
      </c>
      <c r="N519">
        <v>0.038</v>
      </c>
      <c r="O519">
        <v>19.94</v>
      </c>
      <c r="P519">
        <v>24.34</v>
      </c>
      <c r="Q519">
        <v>17.29</v>
      </c>
      <c r="R519">
        <v>0.07</v>
      </c>
    </row>
    <row r="520">
      <c r="A520" s="9">
        <v>39051</v>
      </c>
      <c r="B520" s="2" t="inlineStr">
        <is>
          <t xml:space="preserve">2006-11</t>
        </is>
      </c>
      <c r="C520" s="2" t="inlineStr">
        <is>
          <t xml:space="preserve">2006/07</t>
        </is>
      </c>
      <c r="D520">
        <v>0.0</v>
      </c>
      <c r="E520">
        <v>20.47</v>
      </c>
      <c r="F520">
        <v>27.06</v>
      </c>
      <c r="G520">
        <v>15.28</v>
      </c>
      <c r="H520">
        <v>0.37</v>
      </c>
      <c r="I520">
        <v>0.0</v>
      </c>
      <c r="J520">
        <v>20.29</v>
      </c>
      <c r="K520">
        <v>25.87</v>
      </c>
      <c r="L520">
        <v>16.15</v>
      </c>
      <c r="M520">
        <v>0.69</v>
      </c>
      <c r="N520">
        <v>0.0</v>
      </c>
      <c r="O520">
        <v>20.37</v>
      </c>
      <c r="P520">
        <v>25.53</v>
      </c>
      <c r="Q520">
        <v>16.67</v>
      </c>
      <c r="R520">
        <v>1.88</v>
      </c>
    </row>
    <row r="521">
      <c r="A521" s="9">
        <v>39052</v>
      </c>
      <c r="B521" s="2" t="inlineStr">
        <is>
          <t xml:space="preserve">2006-12</t>
        </is>
      </c>
      <c r="C521" s="2" t="inlineStr">
        <is>
          <t xml:space="preserve">2006/07</t>
        </is>
      </c>
      <c r="D521">
        <v>0.324</v>
      </c>
      <c r="E521">
        <v>20.18</v>
      </c>
      <c r="F521">
        <v>24.37</v>
      </c>
      <c r="G521">
        <v>17.23</v>
      </c>
      <c r="H521">
        <v>1.33</v>
      </c>
      <c r="I521">
        <v>0.661</v>
      </c>
      <c r="J521">
        <v>20.75</v>
      </c>
      <c r="K521">
        <v>24.44</v>
      </c>
      <c r="L521">
        <v>17.97</v>
      </c>
      <c r="M521">
        <v>5.54</v>
      </c>
      <c r="N521">
        <v>5.913</v>
      </c>
      <c r="O521">
        <v>20.57</v>
      </c>
      <c r="P521">
        <v>23.47</v>
      </c>
      <c r="Q521">
        <v>18.69</v>
      </c>
      <c r="R521">
        <v>18.58</v>
      </c>
    </row>
    <row r="522">
      <c r="A522" s="9">
        <v>39053</v>
      </c>
      <c r="B522" s="2" t="inlineStr">
        <is>
          <t xml:space="preserve">2006-12</t>
        </is>
      </c>
      <c r="C522" s="2" t="inlineStr">
        <is>
          <t xml:space="preserve">2006/07</t>
        </is>
      </c>
      <c r="D522">
        <v>0.189</v>
      </c>
      <c r="E522">
        <v>21.23</v>
      </c>
      <c r="F522">
        <v>26.72</v>
      </c>
      <c r="G522">
        <v>17.63</v>
      </c>
      <c r="H522">
        <v>0.36</v>
      </c>
      <c r="I522">
        <v>0.12</v>
      </c>
      <c r="J522">
        <v>20.7</v>
      </c>
      <c r="K522">
        <v>24.41</v>
      </c>
      <c r="L522">
        <v>18.37</v>
      </c>
      <c r="M522">
        <v>1.15</v>
      </c>
      <c r="N522">
        <v>1.134</v>
      </c>
      <c r="O522">
        <v>20.8</v>
      </c>
      <c r="P522">
        <v>24.03</v>
      </c>
      <c r="Q522">
        <v>18.65</v>
      </c>
      <c r="R522">
        <v>4.63</v>
      </c>
    </row>
    <row r="523">
      <c r="A523" s="9">
        <v>39054</v>
      </c>
      <c r="B523" s="2" t="inlineStr">
        <is>
          <t xml:space="preserve">2006-12</t>
        </is>
      </c>
      <c r="C523" s="2" t="inlineStr">
        <is>
          <t xml:space="preserve">2006/07</t>
        </is>
      </c>
      <c r="D523">
        <v>0.0</v>
      </c>
      <c r="E523">
        <v>19.97</v>
      </c>
      <c r="F523">
        <v>26.11</v>
      </c>
      <c r="G523">
        <v>15.35</v>
      </c>
      <c r="H523">
        <v>0.3</v>
      </c>
      <c r="I523">
        <v>0.093</v>
      </c>
      <c r="J523">
        <v>19.59</v>
      </c>
      <c r="K523">
        <v>23.57</v>
      </c>
      <c r="L523">
        <v>17.18</v>
      </c>
      <c r="M523">
        <v>1.12</v>
      </c>
      <c r="N523">
        <v>0.812</v>
      </c>
      <c r="O523">
        <v>19.61</v>
      </c>
      <c r="P523">
        <v>23.26</v>
      </c>
      <c r="Q523">
        <v>17.32</v>
      </c>
      <c r="R523">
        <v>4.42</v>
      </c>
    </row>
    <row r="524">
      <c r="A524" s="9">
        <v>39055</v>
      </c>
      <c r="B524" s="2" t="inlineStr">
        <is>
          <t xml:space="preserve">2006-12</t>
        </is>
      </c>
      <c r="C524" s="2" t="inlineStr">
        <is>
          <t xml:space="preserve">2006/07</t>
        </is>
      </c>
      <c r="D524">
        <v>0.031</v>
      </c>
      <c r="E524">
        <v>19.1</v>
      </c>
      <c r="F524">
        <v>24.57</v>
      </c>
      <c r="G524">
        <v>16.08</v>
      </c>
      <c r="H524">
        <v>2.72</v>
      </c>
      <c r="I524">
        <v>0.082</v>
      </c>
      <c r="J524">
        <v>19.09</v>
      </c>
      <c r="K524">
        <v>22.61</v>
      </c>
      <c r="L524">
        <v>17.23</v>
      </c>
      <c r="M524">
        <v>2.18</v>
      </c>
      <c r="N524">
        <v>0.798</v>
      </c>
      <c r="O524">
        <v>19.39</v>
      </c>
      <c r="P524">
        <v>22.63</v>
      </c>
      <c r="Q524">
        <v>17.51</v>
      </c>
      <c r="R524">
        <v>5.18</v>
      </c>
    </row>
    <row r="525">
      <c r="A525" s="9">
        <v>39056</v>
      </c>
      <c r="B525" s="2" t="inlineStr">
        <is>
          <t xml:space="preserve">2006-12</t>
        </is>
      </c>
      <c r="C525" s="2" t="inlineStr">
        <is>
          <t xml:space="preserve">2006/07</t>
        </is>
      </c>
      <c r="D525">
        <v>15.65</v>
      </c>
      <c r="E525">
        <v>18.66</v>
      </c>
      <c r="F525">
        <v>23.39</v>
      </c>
      <c r="G525">
        <v>15.39</v>
      </c>
      <c r="H525">
        <v>14.67</v>
      </c>
      <c r="I525">
        <v>2.495</v>
      </c>
      <c r="J525">
        <v>19.49</v>
      </c>
      <c r="K525">
        <v>23.86</v>
      </c>
      <c r="L525">
        <v>16.84</v>
      </c>
      <c r="M525">
        <v>9.0</v>
      </c>
      <c r="N525">
        <v>13.487</v>
      </c>
      <c r="O525">
        <v>19.63</v>
      </c>
      <c r="P525">
        <v>23.11</v>
      </c>
      <c r="Q525">
        <v>17.28</v>
      </c>
      <c r="R525">
        <v>12.8</v>
      </c>
    </row>
    <row r="526">
      <c r="A526" s="9">
        <v>39057</v>
      </c>
      <c r="B526" s="2" t="inlineStr">
        <is>
          <t xml:space="preserve">2006-12</t>
        </is>
      </c>
      <c r="C526" s="2" t="inlineStr">
        <is>
          <t xml:space="preserve">2006/07</t>
        </is>
      </c>
      <c r="D526">
        <v>0.204</v>
      </c>
      <c r="E526">
        <v>18.34</v>
      </c>
      <c r="F526">
        <v>24.04</v>
      </c>
      <c r="G526">
        <v>14.0</v>
      </c>
      <c r="H526">
        <v>1.23</v>
      </c>
      <c r="I526">
        <v>8.789</v>
      </c>
      <c r="J526">
        <v>18.52</v>
      </c>
      <c r="K526">
        <v>23.04</v>
      </c>
      <c r="L526">
        <v>16.09</v>
      </c>
      <c r="M526">
        <v>6.05</v>
      </c>
      <c r="N526">
        <v>14.91</v>
      </c>
      <c r="O526">
        <v>18.66</v>
      </c>
      <c r="P526">
        <v>22.34</v>
      </c>
      <c r="Q526">
        <v>16.69</v>
      </c>
      <c r="R526">
        <v>7.01</v>
      </c>
    </row>
    <row r="527">
      <c r="A527" s="9">
        <v>39058</v>
      </c>
      <c r="B527" s="2" t="inlineStr">
        <is>
          <t xml:space="preserve">2006-12</t>
        </is>
      </c>
      <c r="C527" s="2" t="inlineStr">
        <is>
          <t xml:space="preserve">2006/07</t>
        </is>
      </c>
      <c r="D527">
        <v>4.111</v>
      </c>
      <c r="E527">
        <v>20.41</v>
      </c>
      <c r="F527">
        <v>25.82</v>
      </c>
      <c r="G527">
        <v>16.62</v>
      </c>
      <c r="H527">
        <v>4.14</v>
      </c>
      <c r="I527">
        <v>3.178</v>
      </c>
      <c r="J527">
        <v>19.71</v>
      </c>
      <c r="K527">
        <v>24.58</v>
      </c>
      <c r="L527">
        <v>16.31</v>
      </c>
      <c r="M527">
        <v>4.82</v>
      </c>
      <c r="N527">
        <v>3.902</v>
      </c>
      <c r="O527">
        <v>19.91</v>
      </c>
      <c r="P527">
        <v>24.08</v>
      </c>
      <c r="Q527">
        <v>16.84</v>
      </c>
      <c r="R527">
        <v>6.17</v>
      </c>
    </row>
    <row r="528">
      <c r="A528" s="9">
        <v>39059</v>
      </c>
      <c r="B528" s="2" t="inlineStr">
        <is>
          <t xml:space="preserve">2006-12</t>
        </is>
      </c>
      <c r="C528" s="2" t="inlineStr">
        <is>
          <t xml:space="preserve">2006/07</t>
        </is>
      </c>
      <c r="D528">
        <v>1.689</v>
      </c>
      <c r="E528">
        <v>20.55</v>
      </c>
      <c r="F528">
        <v>25.25</v>
      </c>
      <c r="G528">
        <v>17.89</v>
      </c>
      <c r="H528">
        <v>6.3</v>
      </c>
      <c r="I528">
        <v>1.517</v>
      </c>
      <c r="J528">
        <v>19.61</v>
      </c>
      <c r="K528">
        <v>23.43</v>
      </c>
      <c r="L528">
        <v>17.36</v>
      </c>
      <c r="M528">
        <v>6.84</v>
      </c>
      <c r="N528">
        <v>15.292</v>
      </c>
      <c r="O528">
        <v>19.97</v>
      </c>
      <c r="P528">
        <v>23.29</v>
      </c>
      <c r="Q528">
        <v>18.24</v>
      </c>
      <c r="R528">
        <v>10.77</v>
      </c>
    </row>
    <row r="529">
      <c r="A529" s="9">
        <v>39060</v>
      </c>
      <c r="B529" s="2" t="inlineStr">
        <is>
          <t xml:space="preserve">2006-12</t>
        </is>
      </c>
      <c r="C529" s="2" t="inlineStr">
        <is>
          <t xml:space="preserve">2006/07</t>
        </is>
      </c>
      <c r="D529">
        <v>0.33</v>
      </c>
      <c r="E529">
        <v>20.09</v>
      </c>
      <c r="F529">
        <v>25.22</v>
      </c>
      <c r="G529">
        <v>17.36</v>
      </c>
      <c r="H529">
        <v>5.05</v>
      </c>
      <c r="I529">
        <v>5.627</v>
      </c>
      <c r="J529">
        <v>19.45</v>
      </c>
      <c r="K529">
        <v>23.38</v>
      </c>
      <c r="L529">
        <v>17.32</v>
      </c>
      <c r="M529">
        <v>6.74</v>
      </c>
      <c r="N529">
        <v>10.747</v>
      </c>
      <c r="O529">
        <v>19.77</v>
      </c>
      <c r="P529">
        <v>23.26</v>
      </c>
      <c r="Q529">
        <v>17.92</v>
      </c>
      <c r="R529">
        <v>10.65</v>
      </c>
    </row>
    <row r="530">
      <c r="A530" s="9">
        <v>39061</v>
      </c>
      <c r="B530" s="2" t="inlineStr">
        <is>
          <t xml:space="preserve">2006-12</t>
        </is>
      </c>
      <c r="C530" s="2" t="inlineStr">
        <is>
          <t xml:space="preserve">2006/07</t>
        </is>
      </c>
      <c r="D530">
        <v>0.702</v>
      </c>
      <c r="E530">
        <v>19.69</v>
      </c>
      <c r="F530">
        <v>24.27</v>
      </c>
      <c r="G530">
        <v>16.63</v>
      </c>
      <c r="H530">
        <v>4.37</v>
      </c>
      <c r="I530">
        <v>2.904</v>
      </c>
      <c r="J530">
        <v>19.13</v>
      </c>
      <c r="K530">
        <v>23.31</v>
      </c>
      <c r="L530">
        <v>16.56</v>
      </c>
      <c r="M530">
        <v>3.72</v>
      </c>
      <c r="N530">
        <v>7.166</v>
      </c>
      <c r="O530">
        <v>19.25</v>
      </c>
      <c r="P530">
        <v>23.07</v>
      </c>
      <c r="Q530">
        <v>17.09</v>
      </c>
      <c r="R530">
        <v>6.9</v>
      </c>
    </row>
    <row r="531">
      <c r="A531" s="9">
        <v>39062</v>
      </c>
      <c r="B531" s="2" t="inlineStr">
        <is>
          <t xml:space="preserve">2006-12</t>
        </is>
      </c>
      <c r="C531" s="2" t="inlineStr">
        <is>
          <t xml:space="preserve">2006/07</t>
        </is>
      </c>
      <c r="D531">
        <v>0.0</v>
      </c>
      <c r="E531">
        <v>20.53</v>
      </c>
      <c r="F531">
        <v>25.97</v>
      </c>
      <c r="G531">
        <v>17.26</v>
      </c>
      <c r="H531">
        <v>0.17</v>
      </c>
      <c r="I531">
        <v>0.0</v>
      </c>
      <c r="J531">
        <v>20.5</v>
      </c>
      <c r="K531">
        <v>25.51</v>
      </c>
      <c r="L531">
        <v>16.98</v>
      </c>
      <c r="M531">
        <v>0.15</v>
      </c>
      <c r="N531">
        <v>0.0</v>
      </c>
      <c r="O531">
        <v>20.85</v>
      </c>
      <c r="P531">
        <v>25.11</v>
      </c>
      <c r="Q531">
        <v>18.11</v>
      </c>
      <c r="R531">
        <v>0.37</v>
      </c>
    </row>
    <row r="532">
      <c r="A532" s="9">
        <v>39063</v>
      </c>
      <c r="B532" s="2" t="inlineStr">
        <is>
          <t xml:space="preserve">2006-12</t>
        </is>
      </c>
      <c r="C532" s="2" t="inlineStr">
        <is>
          <t xml:space="preserve">2006/07</t>
        </is>
      </c>
      <c r="D532">
        <v>0.574</v>
      </c>
      <c r="E532">
        <v>19.98</v>
      </c>
      <c r="F532">
        <v>25.18</v>
      </c>
      <c r="G532">
        <v>16.7</v>
      </c>
      <c r="H532">
        <v>1.81</v>
      </c>
      <c r="I532">
        <v>1.038</v>
      </c>
      <c r="J532">
        <v>20.3</v>
      </c>
      <c r="K532">
        <v>24.99</v>
      </c>
      <c r="L532">
        <v>17.23</v>
      </c>
      <c r="M532">
        <v>1.38</v>
      </c>
      <c r="N532">
        <v>1.739</v>
      </c>
      <c r="O532">
        <v>20.53</v>
      </c>
      <c r="P532">
        <v>24.65</v>
      </c>
      <c r="Q532">
        <v>18.12</v>
      </c>
      <c r="R532">
        <v>2.01</v>
      </c>
    </row>
    <row r="533">
      <c r="A533" s="9">
        <v>39064</v>
      </c>
      <c r="B533" s="2" t="inlineStr">
        <is>
          <t xml:space="preserve">2006-12</t>
        </is>
      </c>
      <c r="C533" s="2" t="inlineStr">
        <is>
          <t xml:space="preserve">2006/07</t>
        </is>
      </c>
      <c r="D533">
        <v>0.233</v>
      </c>
      <c r="E533">
        <v>20.5</v>
      </c>
      <c r="F533">
        <v>26.27</v>
      </c>
      <c r="G533">
        <v>16.41</v>
      </c>
      <c r="H533">
        <v>0.97</v>
      </c>
      <c r="I533">
        <v>1.499</v>
      </c>
      <c r="J533">
        <v>20.22</v>
      </c>
      <c r="K533">
        <v>24.93</v>
      </c>
      <c r="L533">
        <v>17.0</v>
      </c>
      <c r="M533">
        <v>2.0</v>
      </c>
      <c r="N533">
        <v>3.099</v>
      </c>
      <c r="O533">
        <v>19.67</v>
      </c>
      <c r="P533">
        <v>24.16</v>
      </c>
      <c r="Q533">
        <v>16.7</v>
      </c>
      <c r="R533">
        <v>3.92</v>
      </c>
    </row>
    <row r="534">
      <c r="A534" s="9">
        <v>39065</v>
      </c>
      <c r="B534" s="2" t="inlineStr">
        <is>
          <t xml:space="preserve">2006-12</t>
        </is>
      </c>
      <c r="C534" s="2" t="inlineStr">
        <is>
          <t xml:space="preserve">2006/07</t>
        </is>
      </c>
      <c r="D534">
        <v>0.75</v>
      </c>
      <c r="E534">
        <v>20.46</v>
      </c>
      <c r="F534">
        <v>25.29</v>
      </c>
      <c r="G534">
        <v>17.28</v>
      </c>
      <c r="H534">
        <v>3.51</v>
      </c>
      <c r="I534">
        <v>2.999</v>
      </c>
      <c r="J534">
        <v>20.58</v>
      </c>
      <c r="K534">
        <v>25.31</v>
      </c>
      <c r="L534">
        <v>16.78</v>
      </c>
      <c r="M534">
        <v>3.17</v>
      </c>
      <c r="N534">
        <v>5.287</v>
      </c>
      <c r="O534">
        <v>20.01</v>
      </c>
      <c r="P534">
        <v>23.9</v>
      </c>
      <c r="Q534">
        <v>16.92</v>
      </c>
      <c r="R534">
        <v>5.26</v>
      </c>
    </row>
    <row r="535">
      <c r="A535" s="9">
        <v>39066</v>
      </c>
      <c r="B535" s="2" t="inlineStr">
        <is>
          <t xml:space="preserve">2006-12</t>
        </is>
      </c>
      <c r="C535" s="2" t="inlineStr">
        <is>
          <t xml:space="preserve">2006/07</t>
        </is>
      </c>
      <c r="D535">
        <v>1.677</v>
      </c>
      <c r="E535">
        <v>21.12</v>
      </c>
      <c r="F535">
        <v>27.24</v>
      </c>
      <c r="G535">
        <v>17.09</v>
      </c>
      <c r="H535">
        <v>0.83</v>
      </c>
      <c r="I535">
        <v>0.544</v>
      </c>
      <c r="J535">
        <v>21.7</v>
      </c>
      <c r="K535">
        <v>26.49</v>
      </c>
      <c r="L535">
        <v>18.05</v>
      </c>
      <c r="M535">
        <v>1.0</v>
      </c>
      <c r="N535">
        <v>0.857</v>
      </c>
      <c r="O535">
        <v>21.56</v>
      </c>
      <c r="P535">
        <v>25.94</v>
      </c>
      <c r="Q535">
        <v>18.35</v>
      </c>
      <c r="R535">
        <v>2.02</v>
      </c>
    </row>
    <row r="536">
      <c r="A536" s="9">
        <v>39067</v>
      </c>
      <c r="B536" s="2" t="inlineStr">
        <is>
          <t xml:space="preserve">2006-12</t>
        </is>
      </c>
      <c r="C536" s="2" t="inlineStr">
        <is>
          <t xml:space="preserve">2006/07</t>
        </is>
      </c>
      <c r="D536">
        <v>0.0</v>
      </c>
      <c r="E536">
        <v>20.19</v>
      </c>
      <c r="F536">
        <v>25.76</v>
      </c>
      <c r="G536">
        <v>15.4</v>
      </c>
      <c r="H536">
        <v>0.02</v>
      </c>
      <c r="I536">
        <v>0.152</v>
      </c>
      <c r="J536">
        <v>21.8</v>
      </c>
      <c r="K536">
        <v>25.85</v>
      </c>
      <c r="L536">
        <v>19.35</v>
      </c>
      <c r="M536">
        <v>0.09</v>
      </c>
      <c r="N536">
        <v>0.0</v>
      </c>
      <c r="O536">
        <v>21.58</v>
      </c>
      <c r="P536">
        <v>25.6</v>
      </c>
      <c r="Q536">
        <v>18.94</v>
      </c>
      <c r="R536">
        <v>0.07</v>
      </c>
    </row>
    <row r="537">
      <c r="A537" s="9">
        <v>39068</v>
      </c>
      <c r="B537" s="2" t="inlineStr">
        <is>
          <t xml:space="preserve">2006-12</t>
        </is>
      </c>
      <c r="C537" s="2" t="inlineStr">
        <is>
          <t xml:space="preserve">2006/07</t>
        </is>
      </c>
      <c r="D537">
        <v>0.0</v>
      </c>
      <c r="E537">
        <v>21.39</v>
      </c>
      <c r="F537">
        <v>27.14</v>
      </c>
      <c r="G537">
        <v>17.31</v>
      </c>
      <c r="H537">
        <v>0.51</v>
      </c>
      <c r="I537">
        <v>0.0</v>
      </c>
      <c r="J537">
        <v>21.51</v>
      </c>
      <c r="K537">
        <v>26.21</v>
      </c>
      <c r="L537">
        <v>18.14</v>
      </c>
      <c r="M537">
        <v>0.45</v>
      </c>
      <c r="N537">
        <v>0.0</v>
      </c>
      <c r="O537">
        <v>21.35</v>
      </c>
      <c r="P537">
        <v>25.71</v>
      </c>
      <c r="Q537">
        <v>18.35</v>
      </c>
      <c r="R537">
        <v>1.68</v>
      </c>
    </row>
    <row r="538">
      <c r="A538" s="9">
        <v>39069</v>
      </c>
      <c r="B538" s="2" t="inlineStr">
        <is>
          <t xml:space="preserve">2006-12</t>
        </is>
      </c>
      <c r="C538" s="2" t="inlineStr">
        <is>
          <t xml:space="preserve">2006/07</t>
        </is>
      </c>
      <c r="D538">
        <v>0.148</v>
      </c>
      <c r="E538">
        <v>21.19</v>
      </c>
      <c r="F538">
        <v>27.57</v>
      </c>
      <c r="G538">
        <v>17.24</v>
      </c>
      <c r="H538">
        <v>1.01</v>
      </c>
      <c r="I538">
        <v>0.145</v>
      </c>
      <c r="J538">
        <v>21.34</v>
      </c>
      <c r="K538">
        <v>26.86</v>
      </c>
      <c r="L538">
        <v>17.92</v>
      </c>
      <c r="M538">
        <v>1.97</v>
      </c>
      <c r="N538">
        <v>1.508</v>
      </c>
      <c r="O538">
        <v>21.09</v>
      </c>
      <c r="P538">
        <v>25.1</v>
      </c>
      <c r="Q538">
        <v>18.84</v>
      </c>
      <c r="R538">
        <v>6.89</v>
      </c>
    </row>
    <row r="539">
      <c r="A539" s="9">
        <v>39070</v>
      </c>
      <c r="B539" s="2" t="inlineStr">
        <is>
          <t xml:space="preserve">2006-12</t>
        </is>
      </c>
      <c r="C539" s="2" t="inlineStr">
        <is>
          <t xml:space="preserve">2006/07</t>
        </is>
      </c>
      <c r="D539">
        <v>0.046</v>
      </c>
      <c r="E539">
        <v>20.66</v>
      </c>
      <c r="F539">
        <v>26.33</v>
      </c>
      <c r="G539">
        <v>16.58</v>
      </c>
      <c r="H539">
        <v>1.22</v>
      </c>
      <c r="I539">
        <v>0.24</v>
      </c>
      <c r="J539">
        <v>20.59</v>
      </c>
      <c r="K539">
        <v>25.07</v>
      </c>
      <c r="L539">
        <v>17.26</v>
      </c>
      <c r="M539">
        <v>2.5</v>
      </c>
      <c r="N539">
        <v>1.579</v>
      </c>
      <c r="O539">
        <v>20.45</v>
      </c>
      <c r="P539">
        <v>24.04</v>
      </c>
      <c r="Q539">
        <v>18.19</v>
      </c>
      <c r="R539">
        <v>7.6</v>
      </c>
    </row>
    <row r="540">
      <c r="A540" s="9">
        <v>39071</v>
      </c>
      <c r="B540" s="2" t="inlineStr">
        <is>
          <t xml:space="preserve">2006-12</t>
        </is>
      </c>
      <c r="C540" s="2" t="inlineStr">
        <is>
          <t xml:space="preserve">2006/07</t>
        </is>
      </c>
      <c r="D540">
        <v>1.196</v>
      </c>
      <c r="E540">
        <v>20.29</v>
      </c>
      <c r="F540">
        <v>25.97</v>
      </c>
      <c r="G540">
        <v>15.94</v>
      </c>
      <c r="H540">
        <v>0.91</v>
      </c>
      <c r="I540">
        <v>3.165</v>
      </c>
      <c r="J540">
        <v>20.28</v>
      </c>
      <c r="K540">
        <v>25.01</v>
      </c>
      <c r="L540">
        <v>16.96</v>
      </c>
      <c r="M540">
        <v>3.12</v>
      </c>
      <c r="N540">
        <v>1.896</v>
      </c>
      <c r="O540">
        <v>20.22</v>
      </c>
      <c r="P540">
        <v>23.86</v>
      </c>
      <c r="Q540">
        <v>18.13</v>
      </c>
      <c r="R540">
        <v>4.97</v>
      </c>
    </row>
    <row r="541">
      <c r="A541" s="9">
        <v>39072</v>
      </c>
      <c r="B541" s="2" t="inlineStr">
        <is>
          <t xml:space="preserve">2006-12</t>
        </is>
      </c>
      <c r="C541" s="2" t="inlineStr">
        <is>
          <t xml:space="preserve">2006/07</t>
        </is>
      </c>
      <c r="D541">
        <v>0.0</v>
      </c>
      <c r="E541">
        <v>21.73</v>
      </c>
      <c r="F541">
        <v>28.54</v>
      </c>
      <c r="G541">
        <v>16.79</v>
      </c>
      <c r="H541">
        <v>0.08</v>
      </c>
      <c r="I541">
        <v>0.0</v>
      </c>
      <c r="J541">
        <v>21.6</v>
      </c>
      <c r="K541">
        <v>27.05</v>
      </c>
      <c r="L541">
        <v>16.91</v>
      </c>
      <c r="M541">
        <v>1.02</v>
      </c>
      <c r="N541">
        <v>0.0</v>
      </c>
      <c r="O541">
        <v>21.14</v>
      </c>
      <c r="P541">
        <v>26.28</v>
      </c>
      <c r="Q541">
        <v>17.72</v>
      </c>
      <c r="R541">
        <v>1.18</v>
      </c>
    </row>
    <row r="542">
      <c r="A542" s="9">
        <v>39073</v>
      </c>
      <c r="B542" s="2" t="inlineStr">
        <is>
          <t xml:space="preserve">2006-12</t>
        </is>
      </c>
      <c r="C542" s="2" t="inlineStr">
        <is>
          <t xml:space="preserve">2006/07</t>
        </is>
      </c>
      <c r="D542">
        <v>0.217</v>
      </c>
      <c r="E542">
        <v>21.69</v>
      </c>
      <c r="F542">
        <v>28.17</v>
      </c>
      <c r="G542">
        <v>16.14</v>
      </c>
      <c r="H542">
        <v>1.23</v>
      </c>
      <c r="I542">
        <v>3.425</v>
      </c>
      <c r="J542">
        <v>22.0</v>
      </c>
      <c r="K542">
        <v>27.45</v>
      </c>
      <c r="L542">
        <v>17.65</v>
      </c>
      <c r="M542">
        <v>2.51</v>
      </c>
      <c r="N542">
        <v>5.965</v>
      </c>
      <c r="O542">
        <v>21.66</v>
      </c>
      <c r="P542">
        <v>26.86</v>
      </c>
      <c r="Q542">
        <v>18.09</v>
      </c>
      <c r="R542">
        <v>2.63</v>
      </c>
    </row>
    <row r="543">
      <c r="A543" s="9">
        <v>39074</v>
      </c>
      <c r="B543" s="2" t="inlineStr">
        <is>
          <t xml:space="preserve">2006-12</t>
        </is>
      </c>
      <c r="C543" s="2" t="inlineStr">
        <is>
          <t xml:space="preserve">2006/07</t>
        </is>
      </c>
      <c r="D543">
        <v>3.356</v>
      </c>
      <c r="E543">
        <v>22.0</v>
      </c>
      <c r="F543">
        <v>27.88</v>
      </c>
      <c r="G543">
        <v>18.88</v>
      </c>
      <c r="H543">
        <v>1.56</v>
      </c>
      <c r="I543">
        <v>1.252</v>
      </c>
      <c r="J543">
        <v>20.43</v>
      </c>
      <c r="K543">
        <v>24.0</v>
      </c>
      <c r="L543">
        <v>17.32</v>
      </c>
      <c r="M543">
        <v>1.21</v>
      </c>
      <c r="N543">
        <v>1.077</v>
      </c>
      <c r="O543">
        <v>20.92</v>
      </c>
      <c r="P543">
        <v>24.17</v>
      </c>
      <c r="Q543">
        <v>18.39</v>
      </c>
      <c r="R543">
        <v>0.74</v>
      </c>
    </row>
    <row r="544">
      <c r="A544" s="9">
        <v>39075</v>
      </c>
      <c r="B544" s="2" t="inlineStr">
        <is>
          <t xml:space="preserve">2006-12</t>
        </is>
      </c>
      <c r="C544" s="2" t="inlineStr">
        <is>
          <t xml:space="preserve">2006/07</t>
        </is>
      </c>
      <c r="D544">
        <v>0.0</v>
      </c>
      <c r="E544">
        <v>22.98</v>
      </c>
      <c r="F544">
        <v>29.28</v>
      </c>
      <c r="G544">
        <v>17.6</v>
      </c>
      <c r="H544">
        <v>0.0</v>
      </c>
      <c r="I544">
        <v>0.0</v>
      </c>
      <c r="J544">
        <v>22.27</v>
      </c>
      <c r="K544">
        <v>27.75</v>
      </c>
      <c r="L544">
        <v>17.42</v>
      </c>
      <c r="M544">
        <v>0.01</v>
      </c>
      <c r="N544">
        <v>0.0</v>
      </c>
      <c r="O544">
        <v>23.15</v>
      </c>
      <c r="P544">
        <v>27.79</v>
      </c>
      <c r="Q544">
        <v>19.77</v>
      </c>
      <c r="R544">
        <v>0.15</v>
      </c>
    </row>
    <row r="545">
      <c r="A545" s="9">
        <v>39076</v>
      </c>
      <c r="B545" s="2" t="inlineStr">
        <is>
          <t xml:space="preserve">2006-12</t>
        </is>
      </c>
      <c r="C545" s="2" t="inlineStr">
        <is>
          <t xml:space="preserve">2006/07</t>
        </is>
      </c>
      <c r="D545">
        <v>0.0</v>
      </c>
      <c r="E545">
        <v>22.24</v>
      </c>
      <c r="F545">
        <v>28.13</v>
      </c>
      <c r="G545">
        <v>17.36</v>
      </c>
      <c r="H545">
        <v>1.8</v>
      </c>
      <c r="I545">
        <v>0.0</v>
      </c>
      <c r="J545">
        <v>21.52</v>
      </c>
      <c r="K545">
        <v>26.28</v>
      </c>
      <c r="L545">
        <v>18.41</v>
      </c>
      <c r="M545">
        <v>0.11</v>
      </c>
      <c r="N545">
        <v>0.0</v>
      </c>
      <c r="O545">
        <v>21.91</v>
      </c>
      <c r="P545">
        <v>25.24</v>
      </c>
      <c r="Q545">
        <v>20.22</v>
      </c>
      <c r="R545">
        <v>0.62</v>
      </c>
    </row>
    <row r="546">
      <c r="A546" s="9">
        <v>39077</v>
      </c>
      <c r="B546" s="2" t="inlineStr">
        <is>
          <t xml:space="preserve">2006-12</t>
        </is>
      </c>
      <c r="C546" s="2" t="inlineStr">
        <is>
          <t xml:space="preserve">2006/07</t>
        </is>
      </c>
      <c r="D546">
        <v>0.738</v>
      </c>
      <c r="E546">
        <v>16.72</v>
      </c>
      <c r="F546">
        <v>19.69</v>
      </c>
      <c r="G546">
        <v>12.59</v>
      </c>
      <c r="H546">
        <v>6.67</v>
      </c>
      <c r="I546">
        <v>0.0</v>
      </c>
      <c r="J546">
        <v>16.39</v>
      </c>
      <c r="K546">
        <v>19.31</v>
      </c>
      <c r="L546">
        <v>13.43</v>
      </c>
      <c r="M546">
        <v>0.27</v>
      </c>
      <c r="N546">
        <v>0.256</v>
      </c>
      <c r="O546">
        <v>16.07</v>
      </c>
      <c r="P546">
        <v>19.93</v>
      </c>
      <c r="Q546">
        <v>14.01</v>
      </c>
      <c r="R546">
        <v>0.39</v>
      </c>
    </row>
    <row r="547">
      <c r="A547" s="9">
        <v>39078</v>
      </c>
      <c r="B547" s="2" t="inlineStr">
        <is>
          <t xml:space="preserve">2006-12</t>
        </is>
      </c>
      <c r="C547" s="2" t="inlineStr">
        <is>
          <t xml:space="preserve">2006/07</t>
        </is>
      </c>
      <c r="D547">
        <v>0.0</v>
      </c>
      <c r="E547">
        <v>15.06</v>
      </c>
      <c r="F547">
        <v>20.14</v>
      </c>
      <c r="G547">
        <v>12.54</v>
      </c>
      <c r="H547">
        <v>0.07</v>
      </c>
      <c r="I547">
        <v>0.438</v>
      </c>
      <c r="J547">
        <v>14.18</v>
      </c>
      <c r="K547">
        <v>19.14</v>
      </c>
      <c r="L547">
        <v>11.31</v>
      </c>
      <c r="M547">
        <v>0.27</v>
      </c>
      <c r="N547">
        <v>0.765</v>
      </c>
      <c r="O547">
        <v>13.97</v>
      </c>
      <c r="P547">
        <v>18.1</v>
      </c>
      <c r="Q547">
        <v>11.57</v>
      </c>
      <c r="R547">
        <v>0.3</v>
      </c>
    </row>
    <row r="548">
      <c r="A548" s="9">
        <v>39079</v>
      </c>
      <c r="B548" s="2" t="inlineStr">
        <is>
          <t xml:space="preserve">2006-12</t>
        </is>
      </c>
      <c r="C548" s="2" t="inlineStr">
        <is>
          <t xml:space="preserve">2006/07</t>
        </is>
      </c>
      <c r="D548">
        <v>0.0</v>
      </c>
      <c r="E548">
        <v>18.41</v>
      </c>
      <c r="F548">
        <v>26.17</v>
      </c>
      <c r="G548">
        <v>11.79</v>
      </c>
      <c r="H548">
        <v>0.03</v>
      </c>
      <c r="I548">
        <v>0.0</v>
      </c>
      <c r="J548">
        <v>17.77</v>
      </c>
      <c r="K548">
        <v>26.06</v>
      </c>
      <c r="L548">
        <v>10.7</v>
      </c>
      <c r="M548">
        <v>0.07</v>
      </c>
      <c r="N548">
        <v>0.0</v>
      </c>
      <c r="O548">
        <v>16.66</v>
      </c>
      <c r="P548">
        <v>23.36</v>
      </c>
      <c r="Q548">
        <v>11.04</v>
      </c>
      <c r="R548">
        <v>0.05</v>
      </c>
    </row>
    <row r="549">
      <c r="A549" s="9">
        <v>39080</v>
      </c>
      <c r="B549" s="2" t="inlineStr">
        <is>
          <t xml:space="preserve">2006-12</t>
        </is>
      </c>
      <c r="C549" s="2" t="inlineStr">
        <is>
          <t xml:space="preserve">2006/07</t>
        </is>
      </c>
      <c r="D549">
        <v>0.0</v>
      </c>
      <c r="E549">
        <v>20.2</v>
      </c>
      <c r="F549">
        <v>25.41</v>
      </c>
      <c r="G549">
        <v>16.26</v>
      </c>
      <c r="H549">
        <v>0.06</v>
      </c>
      <c r="I549">
        <v>0.204</v>
      </c>
      <c r="J549">
        <v>20.15</v>
      </c>
      <c r="K549">
        <v>26.74</v>
      </c>
      <c r="L549">
        <v>15.35</v>
      </c>
      <c r="M549">
        <v>0.11</v>
      </c>
      <c r="N549">
        <v>0.334</v>
      </c>
      <c r="O549">
        <v>19.47</v>
      </c>
      <c r="P549">
        <v>24.52</v>
      </c>
      <c r="Q549">
        <v>15.97</v>
      </c>
      <c r="R549">
        <v>0.15</v>
      </c>
    </row>
    <row r="550">
      <c r="A550" s="9">
        <v>39081</v>
      </c>
      <c r="B550" s="2" t="inlineStr">
        <is>
          <t xml:space="preserve">2006-12</t>
        </is>
      </c>
      <c r="C550" s="2" t="inlineStr">
        <is>
          <t xml:space="preserve">2006/07</t>
        </is>
      </c>
      <c r="D550">
        <v>0.0</v>
      </c>
      <c r="E550">
        <v>21.43</v>
      </c>
      <c r="F550">
        <v>29.35</v>
      </c>
      <c r="G550">
        <v>15.81</v>
      </c>
      <c r="H550">
        <v>0.03</v>
      </c>
      <c r="I550">
        <v>0.0</v>
      </c>
      <c r="J550">
        <v>22.13</v>
      </c>
      <c r="K550">
        <v>28.23</v>
      </c>
      <c r="L550">
        <v>17.18</v>
      </c>
      <c r="M550">
        <v>0.0</v>
      </c>
      <c r="N550">
        <v>0.0</v>
      </c>
      <c r="O550">
        <v>21.66</v>
      </c>
      <c r="P550">
        <v>26.71</v>
      </c>
      <c r="Q550">
        <v>18.31</v>
      </c>
      <c r="R550">
        <v>0.0</v>
      </c>
    </row>
    <row r="551">
      <c r="A551" s="9">
        <v>39082</v>
      </c>
      <c r="B551" s="2" t="inlineStr">
        <is>
          <t xml:space="preserve">2006-12</t>
        </is>
      </c>
      <c r="C551" s="2" t="inlineStr">
        <is>
          <t xml:space="preserve">2006/07</t>
        </is>
      </c>
      <c r="D551">
        <v>0.085</v>
      </c>
      <c r="E551">
        <v>21.11</v>
      </c>
      <c r="F551">
        <v>28.33</v>
      </c>
      <c r="G551">
        <v>15.13</v>
      </c>
      <c r="H551">
        <v>0.17</v>
      </c>
      <c r="I551">
        <v>0.0</v>
      </c>
      <c r="J551">
        <v>22.23</v>
      </c>
      <c r="K551">
        <v>28.05</v>
      </c>
      <c r="L551">
        <v>18.21</v>
      </c>
      <c r="M551">
        <v>0.01</v>
      </c>
      <c r="N551">
        <v>0.0</v>
      </c>
      <c r="O551">
        <v>21.43</v>
      </c>
      <c r="P551">
        <v>25.82</v>
      </c>
      <c r="Q551">
        <v>18.95</v>
      </c>
      <c r="R551">
        <v>0.04</v>
      </c>
    </row>
    <row r="552">
      <c r="A552" s="9">
        <v>39083</v>
      </c>
      <c r="B552" s="2" t="inlineStr">
        <is>
          <t xml:space="preserve">2007-01</t>
        </is>
      </c>
      <c r="C552" s="2" t="inlineStr">
        <is>
          <t xml:space="preserve">2006/07</t>
        </is>
      </c>
      <c r="D552">
        <v>0.0</v>
      </c>
      <c r="E552">
        <v>21.15</v>
      </c>
      <c r="F552">
        <v>27.83</v>
      </c>
      <c r="G552">
        <v>15.65</v>
      </c>
      <c r="H552">
        <v>0.34</v>
      </c>
      <c r="I552">
        <v>0.0</v>
      </c>
      <c r="J552">
        <v>21.53</v>
      </c>
      <c r="K552">
        <v>27.36</v>
      </c>
      <c r="L552">
        <v>17.83</v>
      </c>
      <c r="M552">
        <v>0.63</v>
      </c>
      <c r="N552">
        <v>0.0</v>
      </c>
      <c r="O552">
        <v>20.87</v>
      </c>
      <c r="P552">
        <v>24.88</v>
      </c>
      <c r="Q552">
        <v>18.2</v>
      </c>
      <c r="R552">
        <v>2.42</v>
      </c>
    </row>
    <row r="553">
      <c r="A553" s="9">
        <v>39084</v>
      </c>
      <c r="B553" s="2" t="inlineStr">
        <is>
          <t xml:space="preserve">2007-01</t>
        </is>
      </c>
      <c r="C553" s="2" t="inlineStr">
        <is>
          <t xml:space="preserve">2006/07</t>
        </is>
      </c>
      <c r="D553">
        <v>0.0</v>
      </c>
      <c r="E553">
        <v>20.73</v>
      </c>
      <c r="F553">
        <v>27.14</v>
      </c>
      <c r="G553">
        <v>16.71</v>
      </c>
      <c r="H553">
        <v>0.59</v>
      </c>
      <c r="I553">
        <v>0.166</v>
      </c>
      <c r="J553">
        <v>21.03</v>
      </c>
      <c r="K553">
        <v>26.42</v>
      </c>
      <c r="L553">
        <v>17.83</v>
      </c>
      <c r="M553">
        <v>1.48</v>
      </c>
      <c r="N553">
        <v>0.805</v>
      </c>
      <c r="O553">
        <v>20.55</v>
      </c>
      <c r="P553">
        <v>24.3</v>
      </c>
      <c r="Q553">
        <v>18.37</v>
      </c>
      <c r="R553">
        <v>4.89</v>
      </c>
    </row>
    <row r="554">
      <c r="A554" s="9">
        <v>39085</v>
      </c>
      <c r="B554" s="2" t="inlineStr">
        <is>
          <t xml:space="preserve">2007-01</t>
        </is>
      </c>
      <c r="C554" s="2" t="inlineStr">
        <is>
          <t xml:space="preserve">2006/07</t>
        </is>
      </c>
      <c r="D554">
        <v>0.0</v>
      </c>
      <c r="E554">
        <v>20.51</v>
      </c>
      <c r="F554">
        <v>27.15</v>
      </c>
      <c r="G554">
        <v>15.94</v>
      </c>
      <c r="H554">
        <v>0.12</v>
      </c>
      <c r="I554">
        <v>0.598</v>
      </c>
      <c r="J554">
        <v>20.89</v>
      </c>
      <c r="K554">
        <v>26.47</v>
      </c>
      <c r="L554">
        <v>17.2</v>
      </c>
      <c r="M554">
        <v>1.08</v>
      </c>
      <c r="N554">
        <v>0.97</v>
      </c>
      <c r="O554">
        <v>20.37</v>
      </c>
      <c r="P554">
        <v>24.18</v>
      </c>
      <c r="Q554">
        <v>18.03</v>
      </c>
      <c r="R554">
        <v>3.59</v>
      </c>
    </row>
    <row r="555">
      <c r="A555" s="9">
        <v>39086</v>
      </c>
      <c r="B555" s="2" t="inlineStr">
        <is>
          <t xml:space="preserve">2007-01</t>
        </is>
      </c>
      <c r="C555" s="2" t="inlineStr">
        <is>
          <t xml:space="preserve">2006/07</t>
        </is>
      </c>
      <c r="D555">
        <v>0.0</v>
      </c>
      <c r="E555">
        <v>20.34</v>
      </c>
      <c r="F555">
        <v>28.01</v>
      </c>
      <c r="G555">
        <v>14.6</v>
      </c>
      <c r="H555">
        <v>0.0</v>
      </c>
      <c r="I555">
        <v>0.0</v>
      </c>
      <c r="J555">
        <v>20.86</v>
      </c>
      <c r="K555">
        <v>27.52</v>
      </c>
      <c r="L555">
        <v>16.58</v>
      </c>
      <c r="M555">
        <v>0.0</v>
      </c>
      <c r="N555">
        <v>0.0</v>
      </c>
      <c r="O555">
        <v>20.0</v>
      </c>
      <c r="P555">
        <v>24.94</v>
      </c>
      <c r="Q555">
        <v>16.28</v>
      </c>
      <c r="R555">
        <v>0.01</v>
      </c>
    </row>
    <row r="556">
      <c r="A556" s="9">
        <v>39087</v>
      </c>
      <c r="B556" s="2" t="inlineStr">
        <is>
          <t xml:space="preserve">2007-01</t>
        </is>
      </c>
      <c r="C556" s="2" t="inlineStr">
        <is>
          <t xml:space="preserve">2006/07</t>
        </is>
      </c>
      <c r="D556">
        <v>0.0</v>
      </c>
      <c r="E556">
        <v>21.03</v>
      </c>
      <c r="F556">
        <v>28.87</v>
      </c>
      <c r="G556">
        <v>14.06</v>
      </c>
      <c r="H556">
        <v>0.0</v>
      </c>
      <c r="I556">
        <v>0.0</v>
      </c>
      <c r="J556">
        <v>21.53</v>
      </c>
      <c r="K556">
        <v>28.51</v>
      </c>
      <c r="L556">
        <v>16.1</v>
      </c>
      <c r="M556">
        <v>0.0</v>
      </c>
      <c r="N556">
        <v>0.0</v>
      </c>
      <c r="O556">
        <v>20.77</v>
      </c>
      <c r="P556">
        <v>26.19</v>
      </c>
      <c r="Q556">
        <v>17.48</v>
      </c>
      <c r="R556">
        <v>0.0</v>
      </c>
    </row>
    <row r="557">
      <c r="A557" s="9">
        <v>39088</v>
      </c>
      <c r="B557" s="2" t="inlineStr">
        <is>
          <t xml:space="preserve">2007-01</t>
        </is>
      </c>
      <c r="C557" s="2" t="inlineStr">
        <is>
          <t xml:space="preserve">2006/07</t>
        </is>
      </c>
      <c r="D557">
        <v>0.0</v>
      </c>
      <c r="E557">
        <v>21.55</v>
      </c>
      <c r="F557">
        <v>28.51</v>
      </c>
      <c r="G557">
        <v>16.27</v>
      </c>
      <c r="H557">
        <v>0.0</v>
      </c>
      <c r="I557">
        <v>0.0</v>
      </c>
      <c r="J557">
        <v>21.53</v>
      </c>
      <c r="K557">
        <v>27.97</v>
      </c>
      <c r="L557">
        <v>15.78</v>
      </c>
      <c r="M557">
        <v>0.0</v>
      </c>
      <c r="N557">
        <v>0.0</v>
      </c>
      <c r="O557">
        <v>20.61</v>
      </c>
      <c r="P557">
        <v>25.65</v>
      </c>
      <c r="Q557">
        <v>16.51</v>
      </c>
      <c r="R557">
        <v>0.0</v>
      </c>
    </row>
    <row r="558">
      <c r="A558" s="9">
        <v>39089</v>
      </c>
      <c r="B558" s="2" t="inlineStr">
        <is>
          <t xml:space="preserve">2007-01</t>
        </is>
      </c>
      <c r="C558" s="2" t="inlineStr">
        <is>
          <t xml:space="preserve">2006/07</t>
        </is>
      </c>
      <c r="D558">
        <v>0.0</v>
      </c>
      <c r="E558">
        <v>20.71</v>
      </c>
      <c r="F558">
        <v>28.12</v>
      </c>
      <c r="G558">
        <v>14.93</v>
      </c>
      <c r="H558">
        <v>0.11</v>
      </c>
      <c r="I558">
        <v>0.0</v>
      </c>
      <c r="J558">
        <v>21.68</v>
      </c>
      <c r="K558">
        <v>27.71</v>
      </c>
      <c r="L558">
        <v>17.42</v>
      </c>
      <c r="M558">
        <v>0.45</v>
      </c>
      <c r="N558">
        <v>0.0</v>
      </c>
      <c r="O558">
        <v>20.74</v>
      </c>
      <c r="P558">
        <v>25.23</v>
      </c>
      <c r="Q558">
        <v>17.98</v>
      </c>
      <c r="R558">
        <v>0.9</v>
      </c>
    </row>
    <row r="559">
      <c r="A559" s="9">
        <v>39090</v>
      </c>
      <c r="B559" s="2" t="inlineStr">
        <is>
          <t xml:space="preserve">2007-01</t>
        </is>
      </c>
      <c r="C559" s="2" t="inlineStr">
        <is>
          <t xml:space="preserve">2006/07</t>
        </is>
      </c>
      <c r="D559">
        <v>0.0</v>
      </c>
      <c r="E559">
        <v>20.33</v>
      </c>
      <c r="F559">
        <v>26.75</v>
      </c>
      <c r="G559">
        <v>16.18</v>
      </c>
      <c r="H559">
        <v>1.17</v>
      </c>
      <c r="I559">
        <v>2.18</v>
      </c>
      <c r="J559">
        <v>20.1</v>
      </c>
      <c r="K559">
        <v>24.57</v>
      </c>
      <c r="L559">
        <v>17.27</v>
      </c>
      <c r="M559">
        <v>3.95</v>
      </c>
      <c r="N559">
        <v>3.599</v>
      </c>
      <c r="O559">
        <v>19.9</v>
      </c>
      <c r="P559">
        <v>24.03</v>
      </c>
      <c r="Q559">
        <v>17.61</v>
      </c>
      <c r="R559">
        <v>10.58</v>
      </c>
    </row>
    <row r="560">
      <c r="A560" s="9">
        <v>39091</v>
      </c>
      <c r="B560" s="2" t="inlineStr">
        <is>
          <t xml:space="preserve">2007-01</t>
        </is>
      </c>
      <c r="C560" s="2" t="inlineStr">
        <is>
          <t xml:space="preserve">2006/07</t>
        </is>
      </c>
      <c r="D560">
        <v>0.505</v>
      </c>
      <c r="E560">
        <v>19.5</v>
      </c>
      <c r="F560">
        <v>25.65</v>
      </c>
      <c r="G560">
        <v>16.1</v>
      </c>
      <c r="H560">
        <v>0.83</v>
      </c>
      <c r="I560">
        <v>1.023</v>
      </c>
      <c r="J560">
        <v>19.58</v>
      </c>
      <c r="K560">
        <v>24.11</v>
      </c>
      <c r="L560">
        <v>16.82</v>
      </c>
      <c r="M560">
        <v>2.79</v>
      </c>
      <c r="N560">
        <v>1.954</v>
      </c>
      <c r="O560">
        <v>19.5</v>
      </c>
      <c r="P560">
        <v>23.08</v>
      </c>
      <c r="Q560">
        <v>17.5</v>
      </c>
      <c r="R560">
        <v>8.78</v>
      </c>
    </row>
    <row r="561">
      <c r="A561" s="9">
        <v>39092</v>
      </c>
      <c r="B561" s="2" t="inlineStr">
        <is>
          <t xml:space="preserve">2007-01</t>
        </is>
      </c>
      <c r="C561" s="2" t="inlineStr">
        <is>
          <t xml:space="preserve">2006/07</t>
        </is>
      </c>
      <c r="D561">
        <v>0.0</v>
      </c>
      <c r="E561">
        <v>19.01</v>
      </c>
      <c r="F561">
        <v>25.03</v>
      </c>
      <c r="G561">
        <v>15.05</v>
      </c>
      <c r="H561">
        <v>1.51</v>
      </c>
      <c r="I561">
        <v>0.803</v>
      </c>
      <c r="J561">
        <v>19.34</v>
      </c>
      <c r="K561">
        <v>23.69</v>
      </c>
      <c r="L561">
        <v>16.65</v>
      </c>
      <c r="M561">
        <v>4.18</v>
      </c>
      <c r="N561">
        <v>1.551</v>
      </c>
      <c r="O561">
        <v>19.14</v>
      </c>
      <c r="P561">
        <v>22.28</v>
      </c>
      <c r="Q561">
        <v>17.48</v>
      </c>
      <c r="R561">
        <v>12.2</v>
      </c>
    </row>
    <row r="562">
      <c r="A562" s="9">
        <v>39093</v>
      </c>
      <c r="B562" s="2" t="inlineStr">
        <is>
          <t xml:space="preserve">2007-01</t>
        </is>
      </c>
      <c r="C562" s="2" t="inlineStr">
        <is>
          <t xml:space="preserve">2006/07</t>
        </is>
      </c>
      <c r="D562">
        <v>0.023</v>
      </c>
      <c r="E562">
        <v>19.57</v>
      </c>
      <c r="F562">
        <v>26.57</v>
      </c>
      <c r="G562">
        <v>14.91</v>
      </c>
      <c r="H562">
        <v>1.54</v>
      </c>
      <c r="I562">
        <v>3.583</v>
      </c>
      <c r="J562">
        <v>19.55</v>
      </c>
      <c r="K562">
        <v>25.26</v>
      </c>
      <c r="L562">
        <v>16.43</v>
      </c>
      <c r="M562">
        <v>6.0</v>
      </c>
      <c r="N562">
        <v>6.348</v>
      </c>
      <c r="O562">
        <v>19.38</v>
      </c>
      <c r="P562">
        <v>22.85</v>
      </c>
      <c r="Q562">
        <v>17.52</v>
      </c>
      <c r="R562">
        <v>17.5</v>
      </c>
    </row>
    <row r="563">
      <c r="A563" s="9">
        <v>39094</v>
      </c>
      <c r="B563" s="2" t="inlineStr">
        <is>
          <t xml:space="preserve">2007-01</t>
        </is>
      </c>
      <c r="C563" s="2" t="inlineStr">
        <is>
          <t xml:space="preserve">2006/07</t>
        </is>
      </c>
      <c r="D563">
        <v>0.0</v>
      </c>
      <c r="E563">
        <v>19.64</v>
      </c>
      <c r="F563">
        <v>26.54</v>
      </c>
      <c r="G563">
        <v>15.22</v>
      </c>
      <c r="H563">
        <v>0.88</v>
      </c>
      <c r="I563">
        <v>0.0</v>
      </c>
      <c r="J563">
        <v>20.14</v>
      </c>
      <c r="K563">
        <v>26.07</v>
      </c>
      <c r="L563">
        <v>15.99</v>
      </c>
      <c r="M563">
        <v>0.18</v>
      </c>
      <c r="N563">
        <v>0.137</v>
      </c>
      <c r="O563">
        <v>19.82</v>
      </c>
      <c r="P563">
        <v>24.26</v>
      </c>
      <c r="Q563">
        <v>16.72</v>
      </c>
      <c r="R563">
        <v>0.6</v>
      </c>
    </row>
    <row r="564">
      <c r="A564" s="9">
        <v>39095</v>
      </c>
      <c r="B564" s="2" t="inlineStr">
        <is>
          <t xml:space="preserve">2007-01</t>
        </is>
      </c>
      <c r="C564" s="2" t="inlineStr">
        <is>
          <t xml:space="preserve">2006/07</t>
        </is>
      </c>
      <c r="D564">
        <v>0.0</v>
      </c>
      <c r="E564">
        <v>20.45</v>
      </c>
      <c r="F564">
        <v>28.0</v>
      </c>
      <c r="G564">
        <v>15.05</v>
      </c>
      <c r="H564">
        <v>0.02</v>
      </c>
      <c r="I564">
        <v>0.0</v>
      </c>
      <c r="J564">
        <v>20.46</v>
      </c>
      <c r="K564">
        <v>26.03</v>
      </c>
      <c r="L564">
        <v>16.61</v>
      </c>
      <c r="M564">
        <v>0.15</v>
      </c>
      <c r="N564">
        <v>0.0</v>
      </c>
      <c r="O564">
        <v>19.91</v>
      </c>
      <c r="P564">
        <v>24.24</v>
      </c>
      <c r="Q564">
        <v>16.43</v>
      </c>
      <c r="R564">
        <v>0.68</v>
      </c>
    </row>
    <row r="565">
      <c r="A565" s="9">
        <v>39096</v>
      </c>
      <c r="B565" s="2" t="inlineStr">
        <is>
          <t xml:space="preserve">2007-01</t>
        </is>
      </c>
      <c r="C565" s="2" t="inlineStr">
        <is>
          <t xml:space="preserve">2006/07</t>
        </is>
      </c>
      <c r="D565">
        <v>0.0</v>
      </c>
      <c r="E565">
        <v>20.74</v>
      </c>
      <c r="F565">
        <v>28.03</v>
      </c>
      <c r="G565">
        <v>15.3</v>
      </c>
      <c r="H565">
        <v>0.03</v>
      </c>
      <c r="I565">
        <v>0.047</v>
      </c>
      <c r="J565">
        <v>20.71</v>
      </c>
      <c r="K565">
        <v>26.65</v>
      </c>
      <c r="L565">
        <v>16.51</v>
      </c>
      <c r="M565">
        <v>0.27</v>
      </c>
      <c r="N565">
        <v>0.219</v>
      </c>
      <c r="O565">
        <v>19.99</v>
      </c>
      <c r="P565">
        <v>24.4</v>
      </c>
      <c r="Q565">
        <v>16.76</v>
      </c>
      <c r="R565">
        <v>0.97</v>
      </c>
    </row>
    <row r="566">
      <c r="A566" s="9">
        <v>39097</v>
      </c>
      <c r="B566" s="2" t="inlineStr">
        <is>
          <t xml:space="preserve">2007-01</t>
        </is>
      </c>
      <c r="C566" s="2" t="inlineStr">
        <is>
          <t xml:space="preserve">2006/07</t>
        </is>
      </c>
      <c r="D566">
        <v>0.0</v>
      </c>
      <c r="E566">
        <v>20.87</v>
      </c>
      <c r="F566">
        <v>28.35</v>
      </c>
      <c r="G566">
        <v>15.27</v>
      </c>
      <c r="H566">
        <v>0.01</v>
      </c>
      <c r="I566">
        <v>0.0</v>
      </c>
      <c r="J566">
        <v>21.4</v>
      </c>
      <c r="K566">
        <v>27.57</v>
      </c>
      <c r="L566">
        <v>16.72</v>
      </c>
      <c r="M566">
        <v>0.02</v>
      </c>
      <c r="N566">
        <v>0.0</v>
      </c>
      <c r="O566">
        <v>20.43</v>
      </c>
      <c r="P566">
        <v>24.72</v>
      </c>
      <c r="Q566">
        <v>17.41</v>
      </c>
      <c r="R566">
        <v>0.1</v>
      </c>
    </row>
    <row r="567">
      <c r="A567" s="9">
        <v>39098</v>
      </c>
      <c r="B567" s="2" t="inlineStr">
        <is>
          <t xml:space="preserve">2007-01</t>
        </is>
      </c>
      <c r="C567" s="2" t="inlineStr">
        <is>
          <t xml:space="preserve">2006/07</t>
        </is>
      </c>
      <c r="D567">
        <v>0.0</v>
      </c>
      <c r="E567">
        <v>20.79</v>
      </c>
      <c r="F567">
        <v>27.78</v>
      </c>
      <c r="G567">
        <v>16.28</v>
      </c>
      <c r="H567">
        <v>1.57</v>
      </c>
      <c r="I567">
        <v>0.0</v>
      </c>
      <c r="J567">
        <v>21.0</v>
      </c>
      <c r="K567">
        <v>26.79</v>
      </c>
      <c r="L567">
        <v>17.28</v>
      </c>
      <c r="M567">
        <v>1.62</v>
      </c>
      <c r="N567">
        <v>0.078</v>
      </c>
      <c r="O567">
        <v>20.59</v>
      </c>
      <c r="P567">
        <v>24.91</v>
      </c>
      <c r="Q567">
        <v>17.81</v>
      </c>
      <c r="R567">
        <v>3.51</v>
      </c>
    </row>
    <row r="568">
      <c r="A568" s="9">
        <v>39099</v>
      </c>
      <c r="B568" s="2" t="inlineStr">
        <is>
          <t xml:space="preserve">2007-01</t>
        </is>
      </c>
      <c r="C568" s="2" t="inlineStr">
        <is>
          <t xml:space="preserve">2006/07</t>
        </is>
      </c>
      <c r="D568">
        <v>1.659</v>
      </c>
      <c r="E568">
        <v>19.47</v>
      </c>
      <c r="F568">
        <v>25.2</v>
      </c>
      <c r="G568">
        <v>16.13</v>
      </c>
      <c r="H568">
        <v>7.18</v>
      </c>
      <c r="I568">
        <v>0.164</v>
      </c>
      <c r="J568">
        <v>19.65</v>
      </c>
      <c r="K568">
        <v>24.62</v>
      </c>
      <c r="L568">
        <v>16.7</v>
      </c>
      <c r="M568">
        <v>5.71</v>
      </c>
      <c r="N568">
        <v>13.761</v>
      </c>
      <c r="O568">
        <v>19.46</v>
      </c>
      <c r="P568">
        <v>22.89</v>
      </c>
      <c r="Q568">
        <v>17.59</v>
      </c>
      <c r="R568">
        <v>13.21</v>
      </c>
    </row>
    <row r="569">
      <c r="A569" s="9">
        <v>39100</v>
      </c>
      <c r="B569" s="2" t="inlineStr">
        <is>
          <t xml:space="preserve">2007-01</t>
        </is>
      </c>
      <c r="C569" s="2" t="inlineStr">
        <is>
          <t xml:space="preserve">2006/07</t>
        </is>
      </c>
      <c r="D569">
        <v>0.0</v>
      </c>
      <c r="E569">
        <v>19.04</v>
      </c>
      <c r="F569">
        <v>25.26</v>
      </c>
      <c r="G569">
        <v>15.12</v>
      </c>
      <c r="H569">
        <v>0.65</v>
      </c>
      <c r="I569">
        <v>0.0</v>
      </c>
      <c r="J569">
        <v>19.13</v>
      </c>
      <c r="K569">
        <v>24.07</v>
      </c>
      <c r="L569">
        <v>16.02</v>
      </c>
      <c r="M569">
        <v>0.65</v>
      </c>
      <c r="N569">
        <v>0.388</v>
      </c>
      <c r="O569">
        <v>18.97</v>
      </c>
      <c r="P569">
        <v>22.36</v>
      </c>
      <c r="Q569">
        <v>16.49</v>
      </c>
      <c r="R569">
        <v>2.6</v>
      </c>
    </row>
    <row r="570">
      <c r="A570" s="9">
        <v>39101</v>
      </c>
      <c r="B570" s="2" t="inlineStr">
        <is>
          <t xml:space="preserve">2007-01</t>
        </is>
      </c>
      <c r="C570" s="2" t="inlineStr">
        <is>
          <t xml:space="preserve">2006/07</t>
        </is>
      </c>
      <c r="D570">
        <v>0.0</v>
      </c>
      <c r="E570">
        <v>19.42</v>
      </c>
      <c r="F570">
        <v>26.11</v>
      </c>
      <c r="G570">
        <v>14.82</v>
      </c>
      <c r="H570">
        <v>0.13</v>
      </c>
      <c r="I570">
        <v>0.137</v>
      </c>
      <c r="J570">
        <v>19.61</v>
      </c>
      <c r="K570">
        <v>25.35</v>
      </c>
      <c r="L570">
        <v>15.91</v>
      </c>
      <c r="M570">
        <v>0.18</v>
      </c>
      <c r="N570">
        <v>0.248</v>
      </c>
      <c r="O570">
        <v>19.09</v>
      </c>
      <c r="P570">
        <v>23.65</v>
      </c>
      <c r="Q570">
        <v>16.29</v>
      </c>
      <c r="R570">
        <v>0.38</v>
      </c>
    </row>
    <row r="571">
      <c r="A571" s="9">
        <v>39102</v>
      </c>
      <c r="B571" s="2" t="inlineStr">
        <is>
          <t xml:space="preserve">2007-01</t>
        </is>
      </c>
      <c r="C571" s="2" t="inlineStr">
        <is>
          <t xml:space="preserve">2006/07</t>
        </is>
      </c>
      <c r="D571">
        <v>0.0</v>
      </c>
      <c r="E571">
        <v>20.05</v>
      </c>
      <c r="F571">
        <v>27.97</v>
      </c>
      <c r="G571">
        <v>14.76</v>
      </c>
      <c r="H571">
        <v>0.01</v>
      </c>
      <c r="I571">
        <v>0.0</v>
      </c>
      <c r="J571">
        <v>20.2</v>
      </c>
      <c r="K571">
        <v>26.67</v>
      </c>
      <c r="L571">
        <v>15.27</v>
      </c>
      <c r="M571">
        <v>0.01</v>
      </c>
      <c r="N571">
        <v>0.0</v>
      </c>
      <c r="O571">
        <v>19.41</v>
      </c>
      <c r="P571">
        <v>24.31</v>
      </c>
      <c r="Q571">
        <v>15.65</v>
      </c>
      <c r="R571">
        <v>0.14</v>
      </c>
    </row>
    <row r="572">
      <c r="A572" s="9">
        <v>39103</v>
      </c>
      <c r="B572" s="2" t="inlineStr">
        <is>
          <t xml:space="preserve">2007-01</t>
        </is>
      </c>
      <c r="C572" s="2" t="inlineStr">
        <is>
          <t xml:space="preserve">2006/07</t>
        </is>
      </c>
      <c r="D572">
        <v>0.025</v>
      </c>
      <c r="E572">
        <v>20.66</v>
      </c>
      <c r="F572">
        <v>28.64</v>
      </c>
      <c r="G572">
        <v>14.45</v>
      </c>
      <c r="H572">
        <v>0.03</v>
      </c>
      <c r="I572">
        <v>0.0</v>
      </c>
      <c r="J572">
        <v>21.04</v>
      </c>
      <c r="K572">
        <v>27.23</v>
      </c>
      <c r="L572">
        <v>16.12</v>
      </c>
      <c r="M572">
        <v>0.01</v>
      </c>
      <c r="N572">
        <v>0.0</v>
      </c>
      <c r="O572">
        <v>20.05</v>
      </c>
      <c r="P572">
        <v>24.73</v>
      </c>
      <c r="Q572">
        <v>16.7</v>
      </c>
      <c r="R572">
        <v>0.01</v>
      </c>
    </row>
    <row r="573">
      <c r="A573" s="9">
        <v>39104</v>
      </c>
      <c r="B573" s="2" t="inlineStr">
        <is>
          <t xml:space="preserve">2007-01</t>
        </is>
      </c>
      <c r="C573" s="2" t="inlineStr">
        <is>
          <t xml:space="preserve">2006/07</t>
        </is>
      </c>
      <c r="D573">
        <v>0.0</v>
      </c>
      <c r="E573">
        <v>21.25</v>
      </c>
      <c r="F573">
        <v>29.5</v>
      </c>
      <c r="G573">
        <v>14.31</v>
      </c>
      <c r="H573">
        <v>0.01</v>
      </c>
      <c r="I573">
        <v>0.0</v>
      </c>
      <c r="J573">
        <v>21.99</v>
      </c>
      <c r="K573">
        <v>28.34</v>
      </c>
      <c r="L573">
        <v>17.06</v>
      </c>
      <c r="M573">
        <v>0.0</v>
      </c>
      <c r="N573">
        <v>0.0</v>
      </c>
      <c r="O573">
        <v>20.53</v>
      </c>
      <c r="P573">
        <v>25.64</v>
      </c>
      <c r="Q573">
        <v>17.29</v>
      </c>
      <c r="R573">
        <v>0.0</v>
      </c>
    </row>
    <row r="574">
      <c r="A574" s="9">
        <v>39105</v>
      </c>
      <c r="B574" s="2" t="inlineStr">
        <is>
          <t xml:space="preserve">2007-01</t>
        </is>
      </c>
      <c r="C574" s="2" t="inlineStr">
        <is>
          <t xml:space="preserve">2006/07</t>
        </is>
      </c>
      <c r="D574">
        <v>0.0</v>
      </c>
      <c r="E574">
        <v>21.52</v>
      </c>
      <c r="F574">
        <v>29.1</v>
      </c>
      <c r="G574">
        <v>15.38</v>
      </c>
      <c r="H574">
        <v>0.03</v>
      </c>
      <c r="I574">
        <v>0.0</v>
      </c>
      <c r="J574">
        <v>21.43</v>
      </c>
      <c r="K574">
        <v>27.73</v>
      </c>
      <c r="L574">
        <v>15.99</v>
      </c>
      <c r="M574">
        <v>0.0</v>
      </c>
      <c r="N574">
        <v>0.0</v>
      </c>
      <c r="O574">
        <v>20.65</v>
      </c>
      <c r="P574">
        <v>25.28</v>
      </c>
      <c r="Q574">
        <v>17.22</v>
      </c>
      <c r="R574">
        <v>0.01</v>
      </c>
    </row>
    <row r="575">
      <c r="A575" s="9">
        <v>39106</v>
      </c>
      <c r="B575" s="2" t="inlineStr">
        <is>
          <t xml:space="preserve">2007-01</t>
        </is>
      </c>
      <c r="C575" s="2" t="inlineStr">
        <is>
          <t xml:space="preserve">2006/07</t>
        </is>
      </c>
      <c r="D575">
        <v>0.025</v>
      </c>
      <c r="E575">
        <v>21.95</v>
      </c>
      <c r="F575">
        <v>29.95</v>
      </c>
      <c r="G575">
        <v>15.85</v>
      </c>
      <c r="H575">
        <v>0.13</v>
      </c>
      <c r="I575">
        <v>0.0</v>
      </c>
      <c r="J575">
        <v>22.64</v>
      </c>
      <c r="K575">
        <v>29.19</v>
      </c>
      <c r="L575">
        <v>17.12</v>
      </c>
      <c r="M575">
        <v>0.14</v>
      </c>
      <c r="N575">
        <v>0.0</v>
      </c>
      <c r="O575">
        <v>21.41</v>
      </c>
      <c r="P575">
        <v>26.23</v>
      </c>
      <c r="Q575">
        <v>18.18</v>
      </c>
      <c r="R575">
        <v>0.15</v>
      </c>
    </row>
    <row r="576">
      <c r="A576" s="9">
        <v>39107</v>
      </c>
      <c r="B576" s="2" t="inlineStr">
        <is>
          <t xml:space="preserve">2007-01</t>
        </is>
      </c>
      <c r="C576" s="2" t="inlineStr">
        <is>
          <t xml:space="preserve">2006/07</t>
        </is>
      </c>
      <c r="D576">
        <v>0.183</v>
      </c>
      <c r="E576">
        <v>20.93</v>
      </c>
      <c r="F576">
        <v>27.67</v>
      </c>
      <c r="G576">
        <v>16.45</v>
      </c>
      <c r="H576">
        <v>0.87</v>
      </c>
      <c r="I576">
        <v>1.377</v>
      </c>
      <c r="J576">
        <v>20.07</v>
      </c>
      <c r="K576">
        <v>23.74</v>
      </c>
      <c r="L576">
        <v>16.6</v>
      </c>
      <c r="M576">
        <v>1.93</v>
      </c>
      <c r="N576">
        <v>2.051</v>
      </c>
      <c r="O576">
        <v>19.89</v>
      </c>
      <c r="P576">
        <v>22.5</v>
      </c>
      <c r="Q576">
        <v>17.87</v>
      </c>
      <c r="R576">
        <v>2.42</v>
      </c>
    </row>
    <row r="577">
      <c r="A577" s="9">
        <v>39108</v>
      </c>
      <c r="B577" s="2" t="inlineStr">
        <is>
          <t xml:space="preserve">2007-01</t>
        </is>
      </c>
      <c r="C577" s="2" t="inlineStr">
        <is>
          <t xml:space="preserve">2006/07</t>
        </is>
      </c>
      <c r="D577">
        <v>0.208</v>
      </c>
      <c r="E577">
        <v>19.44</v>
      </c>
      <c r="F577">
        <v>25.93</v>
      </c>
      <c r="G577">
        <v>15.14</v>
      </c>
      <c r="H577">
        <v>4.95</v>
      </c>
      <c r="I577">
        <v>1.959</v>
      </c>
      <c r="J577">
        <v>18.53</v>
      </c>
      <c r="K577">
        <v>23.29</v>
      </c>
      <c r="L577">
        <v>14.79</v>
      </c>
      <c r="M577">
        <v>2.0</v>
      </c>
      <c r="N577">
        <v>3.362</v>
      </c>
      <c r="O577">
        <v>18.16</v>
      </c>
      <c r="P577">
        <v>21.37</v>
      </c>
      <c r="Q577">
        <v>15.42</v>
      </c>
      <c r="R577">
        <v>3.1</v>
      </c>
    </row>
    <row r="578">
      <c r="A578" s="9">
        <v>39109</v>
      </c>
      <c r="B578" s="2" t="inlineStr">
        <is>
          <t xml:space="preserve">2007-01</t>
        </is>
      </c>
      <c r="C578" s="2" t="inlineStr">
        <is>
          <t xml:space="preserve">2006/07</t>
        </is>
      </c>
      <c r="D578">
        <v>0.056</v>
      </c>
      <c r="E578">
        <v>20.77</v>
      </c>
      <c r="F578">
        <v>28.82</v>
      </c>
      <c r="G578">
        <v>15.82</v>
      </c>
      <c r="H578">
        <v>0.16</v>
      </c>
      <c r="I578">
        <v>0.507</v>
      </c>
      <c r="J578">
        <v>21.05</v>
      </c>
      <c r="K578">
        <v>27.88</v>
      </c>
      <c r="L578">
        <v>16.04</v>
      </c>
      <c r="M578">
        <v>0.35</v>
      </c>
      <c r="N578">
        <v>0.741</v>
      </c>
      <c r="O578">
        <v>20.34</v>
      </c>
      <c r="P578">
        <v>25.76</v>
      </c>
      <c r="Q578">
        <v>16.41</v>
      </c>
      <c r="R578">
        <v>0.56</v>
      </c>
    </row>
    <row r="579">
      <c r="A579" s="9">
        <v>39110</v>
      </c>
      <c r="B579" s="2" t="inlineStr">
        <is>
          <t xml:space="preserve">2007-01</t>
        </is>
      </c>
      <c r="C579" s="2" t="inlineStr">
        <is>
          <t xml:space="preserve">2006/07</t>
        </is>
      </c>
      <c r="D579">
        <v>0.0</v>
      </c>
      <c r="E579">
        <v>19.91</v>
      </c>
      <c r="F579">
        <v>26.96</v>
      </c>
      <c r="G579">
        <v>15.03</v>
      </c>
      <c r="H579">
        <v>0.11</v>
      </c>
      <c r="I579">
        <v>0.0</v>
      </c>
      <c r="J579">
        <v>20.23</v>
      </c>
      <c r="K579">
        <v>25.43</v>
      </c>
      <c r="L579">
        <v>16.58</v>
      </c>
      <c r="M579">
        <v>0.48</v>
      </c>
      <c r="N579">
        <v>0.0</v>
      </c>
      <c r="O579">
        <v>19.76</v>
      </c>
      <c r="P579">
        <v>23.81</v>
      </c>
      <c r="Q579">
        <v>16.87</v>
      </c>
      <c r="R579">
        <v>1.25</v>
      </c>
    </row>
    <row r="580">
      <c r="A580" s="9">
        <v>39111</v>
      </c>
      <c r="B580" s="2" t="inlineStr">
        <is>
          <t xml:space="preserve">2007-01</t>
        </is>
      </c>
      <c r="C580" s="2" t="inlineStr">
        <is>
          <t xml:space="preserve">2006/07</t>
        </is>
      </c>
      <c r="D580">
        <v>0.031</v>
      </c>
      <c r="E580">
        <v>19.76</v>
      </c>
      <c r="F580">
        <v>27.11</v>
      </c>
      <c r="G580">
        <v>14.74</v>
      </c>
      <c r="H580">
        <v>0.99</v>
      </c>
      <c r="I580">
        <v>4.476</v>
      </c>
      <c r="J580">
        <v>20.07</v>
      </c>
      <c r="K580">
        <v>26.18</v>
      </c>
      <c r="L580">
        <v>16.02</v>
      </c>
      <c r="M580">
        <v>4.26</v>
      </c>
      <c r="N580">
        <v>6.949</v>
      </c>
      <c r="O580">
        <v>19.43</v>
      </c>
      <c r="P580">
        <v>23.76</v>
      </c>
      <c r="Q580">
        <v>16.7</v>
      </c>
      <c r="R580">
        <v>5.58</v>
      </c>
    </row>
    <row r="581">
      <c r="A581" s="9">
        <v>39112</v>
      </c>
      <c r="B581" s="2" t="inlineStr">
        <is>
          <t xml:space="preserve">2007-01</t>
        </is>
      </c>
      <c r="C581" s="2" t="inlineStr">
        <is>
          <t xml:space="preserve">2006/07</t>
        </is>
      </c>
      <c r="D581">
        <v>0.0</v>
      </c>
      <c r="E581">
        <v>20.61</v>
      </c>
      <c r="F581">
        <v>28.98</v>
      </c>
      <c r="G581">
        <v>14.68</v>
      </c>
      <c r="H581">
        <v>0.36</v>
      </c>
      <c r="I581">
        <v>0.477</v>
      </c>
      <c r="J581">
        <v>20.69</v>
      </c>
      <c r="K581">
        <v>27.6</v>
      </c>
      <c r="L581">
        <v>15.93</v>
      </c>
      <c r="M581">
        <v>0.37</v>
      </c>
      <c r="N581">
        <v>0.833</v>
      </c>
      <c r="O581">
        <v>19.75</v>
      </c>
      <c r="P581">
        <v>24.48</v>
      </c>
      <c r="Q581">
        <v>16.58</v>
      </c>
      <c r="R581">
        <v>0.63</v>
      </c>
    </row>
    <row r="582">
      <c r="A582" s="9">
        <v>39113</v>
      </c>
      <c r="B582" s="2" t="inlineStr">
        <is>
          <t xml:space="preserve">2007-01</t>
        </is>
      </c>
      <c r="C582" s="2" t="inlineStr">
        <is>
          <t xml:space="preserve">2006/07</t>
        </is>
      </c>
      <c r="D582">
        <v>0.025</v>
      </c>
      <c r="E582">
        <v>21.72</v>
      </c>
      <c r="F582">
        <v>29.78</v>
      </c>
      <c r="G582">
        <v>16.23</v>
      </c>
      <c r="H582">
        <v>0.03</v>
      </c>
      <c r="I582">
        <v>0.0</v>
      </c>
      <c r="J582">
        <v>21.32</v>
      </c>
      <c r="K582">
        <v>27.98</v>
      </c>
      <c r="L582">
        <v>15.9</v>
      </c>
      <c r="M582">
        <v>0.02</v>
      </c>
      <c r="N582">
        <v>0.0</v>
      </c>
      <c r="O582">
        <v>20.35</v>
      </c>
      <c r="P582">
        <v>25.54</v>
      </c>
      <c r="Q582">
        <v>16.53</v>
      </c>
      <c r="R582">
        <v>0.01</v>
      </c>
    </row>
    <row r="583">
      <c r="A583" s="9">
        <v>39114</v>
      </c>
      <c r="B583" s="2" t="inlineStr">
        <is>
          <t xml:space="preserve">2007-02</t>
        </is>
      </c>
      <c r="C583" s="2" t="inlineStr">
        <is>
          <t xml:space="preserve">2006/07</t>
        </is>
      </c>
      <c r="D583">
        <v>0.025</v>
      </c>
      <c r="E583">
        <v>22.69</v>
      </c>
      <c r="F583">
        <v>31.63</v>
      </c>
      <c r="G583">
        <v>14.89</v>
      </c>
      <c r="H583">
        <v>0.03</v>
      </c>
      <c r="I583">
        <v>0.0</v>
      </c>
      <c r="J583">
        <v>22.15</v>
      </c>
      <c r="K583">
        <v>29.74</v>
      </c>
      <c r="L583">
        <v>16.53</v>
      </c>
      <c r="M583">
        <v>0.01</v>
      </c>
      <c r="N583">
        <v>0.0</v>
      </c>
      <c r="O583">
        <v>21.78</v>
      </c>
      <c r="P583">
        <v>28.47</v>
      </c>
      <c r="Q583">
        <v>15.55</v>
      </c>
      <c r="R583">
        <v>0.01</v>
      </c>
    </row>
    <row r="584">
      <c r="A584" s="9">
        <v>39115</v>
      </c>
      <c r="B584" s="2" t="inlineStr">
        <is>
          <t xml:space="preserve">2007-02</t>
        </is>
      </c>
      <c r="C584" s="2" t="inlineStr">
        <is>
          <t xml:space="preserve">2006/07</t>
        </is>
      </c>
      <c r="D584">
        <v>0.025</v>
      </c>
      <c r="E584">
        <v>24.22</v>
      </c>
      <c r="F584">
        <v>33.15</v>
      </c>
      <c r="G584">
        <v>16.6</v>
      </c>
      <c r="H584">
        <v>0.02</v>
      </c>
      <c r="I584">
        <v>0.0</v>
      </c>
      <c r="J584">
        <v>22.41</v>
      </c>
      <c r="K584">
        <v>30.76</v>
      </c>
      <c r="L584">
        <v>15.99</v>
      </c>
      <c r="M584">
        <v>0.01</v>
      </c>
      <c r="N584">
        <v>0.0</v>
      </c>
      <c r="O584">
        <v>22.5</v>
      </c>
      <c r="P584">
        <v>29.19</v>
      </c>
      <c r="Q584">
        <v>16.3</v>
      </c>
      <c r="R584">
        <v>0.01</v>
      </c>
    </row>
    <row r="585">
      <c r="A585" s="9">
        <v>39116</v>
      </c>
      <c r="B585" s="2" t="inlineStr">
        <is>
          <t xml:space="preserve">2007-02</t>
        </is>
      </c>
      <c r="C585" s="2" t="inlineStr">
        <is>
          <t xml:space="preserve">2006/07</t>
        </is>
      </c>
      <c r="D585">
        <v>0.0</v>
      </c>
      <c r="E585">
        <v>22.67</v>
      </c>
      <c r="F585">
        <v>29.91</v>
      </c>
      <c r="G585">
        <v>17.02</v>
      </c>
      <c r="H585">
        <v>0.02</v>
      </c>
      <c r="I585">
        <v>0.0</v>
      </c>
      <c r="J585">
        <v>22.22</v>
      </c>
      <c r="K585">
        <v>28.49</v>
      </c>
      <c r="L585">
        <v>17.66</v>
      </c>
      <c r="M585">
        <v>0.01</v>
      </c>
      <c r="N585">
        <v>0.0</v>
      </c>
      <c r="O585">
        <v>21.08</v>
      </c>
      <c r="P585">
        <v>25.89</v>
      </c>
      <c r="Q585">
        <v>17.24</v>
      </c>
      <c r="R585">
        <v>0.01</v>
      </c>
    </row>
    <row r="586">
      <c r="A586" s="9">
        <v>39117</v>
      </c>
      <c r="B586" s="2" t="inlineStr">
        <is>
          <t xml:space="preserve">2007-02</t>
        </is>
      </c>
      <c r="C586" s="2" t="inlineStr">
        <is>
          <t xml:space="preserve">2006/07</t>
        </is>
      </c>
      <c r="D586">
        <v>0.025</v>
      </c>
      <c r="E586">
        <v>22.03</v>
      </c>
      <c r="F586">
        <v>30.43</v>
      </c>
      <c r="G586">
        <v>16.23</v>
      </c>
      <c r="H586">
        <v>0.05</v>
      </c>
      <c r="I586">
        <v>0.0</v>
      </c>
      <c r="J586">
        <v>22.09</v>
      </c>
      <c r="K586">
        <v>28.98</v>
      </c>
      <c r="L586">
        <v>17.02</v>
      </c>
      <c r="M586">
        <v>0.18</v>
      </c>
      <c r="N586">
        <v>0.0</v>
      </c>
      <c r="O586">
        <v>20.63</v>
      </c>
      <c r="P586">
        <v>25.97</v>
      </c>
      <c r="Q586">
        <v>17.07</v>
      </c>
      <c r="R586">
        <v>0.37</v>
      </c>
    </row>
    <row r="587">
      <c r="A587" s="9">
        <v>39118</v>
      </c>
      <c r="B587" s="2" t="inlineStr">
        <is>
          <t xml:space="preserve">2007-02</t>
        </is>
      </c>
      <c r="C587" s="2" t="inlineStr">
        <is>
          <t xml:space="preserve">2006/07</t>
        </is>
      </c>
      <c r="D587">
        <v>0.0</v>
      </c>
      <c r="E587">
        <v>21.65</v>
      </c>
      <c r="F587">
        <v>29.86</v>
      </c>
      <c r="G587">
        <v>15.22</v>
      </c>
      <c r="H587">
        <v>0.41</v>
      </c>
      <c r="I587">
        <v>0.097</v>
      </c>
      <c r="J587">
        <v>21.47</v>
      </c>
      <c r="K587">
        <v>28.1</v>
      </c>
      <c r="L587">
        <v>16.88</v>
      </c>
      <c r="M587">
        <v>1.48</v>
      </c>
      <c r="N587">
        <v>0.449</v>
      </c>
      <c r="O587">
        <v>20.13</v>
      </c>
      <c r="P587">
        <v>24.75</v>
      </c>
      <c r="Q587">
        <v>17.12</v>
      </c>
      <c r="R587">
        <v>4.49</v>
      </c>
    </row>
    <row r="588">
      <c r="A588" s="9">
        <v>39119</v>
      </c>
      <c r="B588" s="2" t="inlineStr">
        <is>
          <t xml:space="preserve">2007-02</t>
        </is>
      </c>
      <c r="C588" s="2" t="inlineStr">
        <is>
          <t xml:space="preserve">2006/07</t>
        </is>
      </c>
      <c r="D588">
        <v>0.039</v>
      </c>
      <c r="E588">
        <v>20.91</v>
      </c>
      <c r="F588">
        <v>28.02</v>
      </c>
      <c r="G588">
        <v>16.71</v>
      </c>
      <c r="H588">
        <v>1.36</v>
      </c>
      <c r="I588">
        <v>1.712</v>
      </c>
      <c r="J588">
        <v>20.2</v>
      </c>
      <c r="K588">
        <v>26.02</v>
      </c>
      <c r="L588">
        <v>16.3</v>
      </c>
      <c r="M588">
        <v>2.4</v>
      </c>
      <c r="N588">
        <v>3.042</v>
      </c>
      <c r="O588">
        <v>19.46</v>
      </c>
      <c r="P588">
        <v>23.8</v>
      </c>
      <c r="Q588">
        <v>16.52</v>
      </c>
      <c r="R588">
        <v>5.82</v>
      </c>
    </row>
    <row r="589">
      <c r="A589" s="9">
        <v>39120</v>
      </c>
      <c r="B589" s="2" t="inlineStr">
        <is>
          <t xml:space="preserve">2007-02</t>
        </is>
      </c>
      <c r="C589" s="2" t="inlineStr">
        <is>
          <t xml:space="preserve">2006/07</t>
        </is>
      </c>
      <c r="D589">
        <v>0.0</v>
      </c>
      <c r="E589">
        <v>21.04</v>
      </c>
      <c r="F589">
        <v>28.84</v>
      </c>
      <c r="G589">
        <v>15.48</v>
      </c>
      <c r="H589">
        <v>0.42</v>
      </c>
      <c r="I589">
        <v>0.155</v>
      </c>
      <c r="J589">
        <v>20.47</v>
      </c>
      <c r="K589">
        <v>27.01</v>
      </c>
      <c r="L589">
        <v>15.41</v>
      </c>
      <c r="M589">
        <v>1.26</v>
      </c>
      <c r="N589">
        <v>0.728</v>
      </c>
      <c r="O589">
        <v>19.13</v>
      </c>
      <c r="P589">
        <v>23.83</v>
      </c>
      <c r="Q589">
        <v>15.84</v>
      </c>
      <c r="R589">
        <v>4.24</v>
      </c>
    </row>
    <row r="590">
      <c r="A590" s="9">
        <v>39121</v>
      </c>
      <c r="B590" s="2" t="inlineStr">
        <is>
          <t xml:space="preserve">2007-02</t>
        </is>
      </c>
      <c r="C590" s="2" t="inlineStr">
        <is>
          <t xml:space="preserve">2006/07</t>
        </is>
      </c>
      <c r="D590">
        <v>0.155</v>
      </c>
      <c r="E590">
        <v>21.69</v>
      </c>
      <c r="F590">
        <v>29.37</v>
      </c>
      <c r="G590">
        <v>16.16</v>
      </c>
      <c r="H590">
        <v>0.36</v>
      </c>
      <c r="I590">
        <v>0.128</v>
      </c>
      <c r="J590">
        <v>21.35</v>
      </c>
      <c r="K590">
        <v>27.95</v>
      </c>
      <c r="L590">
        <v>16.21</v>
      </c>
      <c r="M590">
        <v>0.79</v>
      </c>
      <c r="N590">
        <v>0.518</v>
      </c>
      <c r="O590">
        <v>19.91</v>
      </c>
      <c r="P590">
        <v>24.68</v>
      </c>
      <c r="Q590">
        <v>16.4</v>
      </c>
      <c r="R590">
        <v>2.8</v>
      </c>
    </row>
    <row r="591">
      <c r="A591" s="9">
        <v>39122</v>
      </c>
      <c r="B591" s="2" t="inlineStr">
        <is>
          <t xml:space="preserve">2007-02</t>
        </is>
      </c>
      <c r="C591" s="2" t="inlineStr">
        <is>
          <t xml:space="preserve">2006/07</t>
        </is>
      </c>
      <c r="D591">
        <v>0.0</v>
      </c>
      <c r="E591">
        <v>22.02</v>
      </c>
      <c r="F591">
        <v>30.16</v>
      </c>
      <c r="G591">
        <v>16.41</v>
      </c>
      <c r="H591">
        <v>0.03</v>
      </c>
      <c r="I591">
        <v>0.035</v>
      </c>
      <c r="J591">
        <v>21.99</v>
      </c>
      <c r="K591">
        <v>28.63</v>
      </c>
      <c r="L591">
        <v>16.78</v>
      </c>
      <c r="M591">
        <v>0.49</v>
      </c>
      <c r="N591">
        <v>0.161</v>
      </c>
      <c r="O591">
        <v>20.7</v>
      </c>
      <c r="P591">
        <v>25.9</v>
      </c>
      <c r="Q591">
        <v>17.2</v>
      </c>
      <c r="R591">
        <v>1.58</v>
      </c>
    </row>
    <row r="592">
      <c r="A592" s="9">
        <v>39123</v>
      </c>
      <c r="B592" s="2" t="inlineStr">
        <is>
          <t xml:space="preserve">2007-02</t>
        </is>
      </c>
      <c r="C592" s="2" t="inlineStr">
        <is>
          <t xml:space="preserve">2006/07</t>
        </is>
      </c>
      <c r="D592">
        <v>0.0</v>
      </c>
      <c r="E592">
        <v>21.12</v>
      </c>
      <c r="F592">
        <v>30.17</v>
      </c>
      <c r="G592">
        <v>14.26</v>
      </c>
      <c r="H592">
        <v>0.1</v>
      </c>
      <c r="I592">
        <v>0.075</v>
      </c>
      <c r="J592">
        <v>21.75</v>
      </c>
      <c r="K592">
        <v>28.66</v>
      </c>
      <c r="L592">
        <v>16.12</v>
      </c>
      <c r="M592">
        <v>0.93</v>
      </c>
      <c r="N592">
        <v>0.345</v>
      </c>
      <c r="O592">
        <v>20.09</v>
      </c>
      <c r="P592">
        <v>25.4</v>
      </c>
      <c r="Q592">
        <v>16.5</v>
      </c>
      <c r="R592">
        <v>1.8</v>
      </c>
    </row>
    <row r="593">
      <c r="A593" s="9">
        <v>39124</v>
      </c>
      <c r="B593" s="2" t="inlineStr">
        <is>
          <t xml:space="preserve">2007-02</t>
        </is>
      </c>
      <c r="C593" s="2" t="inlineStr">
        <is>
          <t xml:space="preserve">2006/07</t>
        </is>
      </c>
      <c r="D593">
        <v>0.0</v>
      </c>
      <c r="E593">
        <v>21.06</v>
      </c>
      <c r="F593">
        <v>30.45</v>
      </c>
      <c r="G593">
        <v>12.97</v>
      </c>
      <c r="H593">
        <v>0.02</v>
      </c>
      <c r="I593">
        <v>2.538</v>
      </c>
      <c r="J593">
        <v>21.55</v>
      </c>
      <c r="K593">
        <v>28.32</v>
      </c>
      <c r="L593">
        <v>16.24</v>
      </c>
      <c r="M593">
        <v>2.98</v>
      </c>
      <c r="N593">
        <v>0.0</v>
      </c>
      <c r="O593">
        <v>20.4</v>
      </c>
      <c r="P593">
        <v>25.9</v>
      </c>
      <c r="Q593">
        <v>16.95</v>
      </c>
      <c r="R593">
        <v>0.24</v>
      </c>
    </row>
    <row r="594">
      <c r="A594" s="9">
        <v>39125</v>
      </c>
      <c r="B594" s="2" t="inlineStr">
        <is>
          <t xml:space="preserve">2007-02</t>
        </is>
      </c>
      <c r="C594" s="2" t="inlineStr">
        <is>
          <t xml:space="preserve">2006/07</t>
        </is>
      </c>
      <c r="D594">
        <v>0.025</v>
      </c>
      <c r="E594">
        <v>22.53</v>
      </c>
      <c r="F594">
        <v>30.84</v>
      </c>
      <c r="G594">
        <v>14.84</v>
      </c>
      <c r="H594">
        <v>0.04</v>
      </c>
      <c r="I594">
        <v>0.0</v>
      </c>
      <c r="J594">
        <v>22.27</v>
      </c>
      <c r="K594">
        <v>29.36</v>
      </c>
      <c r="L594">
        <v>16.25</v>
      </c>
      <c r="M594">
        <v>0.01</v>
      </c>
      <c r="N594">
        <v>0.0</v>
      </c>
      <c r="O594">
        <v>20.89</v>
      </c>
      <c r="P594">
        <v>26.45</v>
      </c>
      <c r="Q594">
        <v>16.95</v>
      </c>
      <c r="R594">
        <v>0.01</v>
      </c>
    </row>
    <row r="595">
      <c r="A595" s="9">
        <v>39126</v>
      </c>
      <c r="B595" s="2" t="inlineStr">
        <is>
          <t xml:space="preserve">2007-02</t>
        </is>
      </c>
      <c r="C595" s="2" t="inlineStr">
        <is>
          <t xml:space="preserve">2006/07</t>
        </is>
      </c>
      <c r="D595">
        <v>0.0</v>
      </c>
      <c r="E595">
        <v>23.93</v>
      </c>
      <c r="F595">
        <v>33.16</v>
      </c>
      <c r="G595">
        <v>16.2</v>
      </c>
      <c r="H595">
        <v>0.01</v>
      </c>
      <c r="I595">
        <v>0.0</v>
      </c>
      <c r="J595">
        <v>23.26</v>
      </c>
      <c r="K595">
        <v>31.48</v>
      </c>
      <c r="L595">
        <v>16.7</v>
      </c>
      <c r="M595">
        <v>0.0</v>
      </c>
      <c r="N595">
        <v>0.0</v>
      </c>
      <c r="O595">
        <v>22.34</v>
      </c>
      <c r="P595">
        <v>29.23</v>
      </c>
      <c r="Q595">
        <v>16.07</v>
      </c>
      <c r="R595">
        <v>0.0</v>
      </c>
    </row>
    <row r="596">
      <c r="A596" s="9">
        <v>39127</v>
      </c>
      <c r="B596" s="2" t="inlineStr">
        <is>
          <t xml:space="preserve">2007-02</t>
        </is>
      </c>
      <c r="C596" s="2" t="inlineStr">
        <is>
          <t xml:space="preserve">2006/07</t>
        </is>
      </c>
      <c r="D596">
        <v>0.0</v>
      </c>
      <c r="E596">
        <v>24.34</v>
      </c>
      <c r="F596">
        <v>33.52</v>
      </c>
      <c r="G596">
        <v>17.22</v>
      </c>
      <c r="H596">
        <v>0.01</v>
      </c>
      <c r="I596">
        <v>0.0</v>
      </c>
      <c r="J596">
        <v>23.19</v>
      </c>
      <c r="K596">
        <v>31.73</v>
      </c>
      <c r="L596">
        <v>16.27</v>
      </c>
      <c r="M596">
        <v>0.0</v>
      </c>
      <c r="N596">
        <v>0.0</v>
      </c>
      <c r="O596">
        <v>22.11</v>
      </c>
      <c r="P596">
        <v>28.95</v>
      </c>
      <c r="Q596">
        <v>16.5</v>
      </c>
      <c r="R596">
        <v>0.0</v>
      </c>
    </row>
    <row r="597">
      <c r="A597" s="9">
        <v>39128</v>
      </c>
      <c r="B597" s="2" t="inlineStr">
        <is>
          <t xml:space="preserve">2007-02</t>
        </is>
      </c>
      <c r="C597" s="2" t="inlineStr">
        <is>
          <t xml:space="preserve">2006/07</t>
        </is>
      </c>
      <c r="D597">
        <v>0.0</v>
      </c>
      <c r="E597">
        <v>24.08</v>
      </c>
      <c r="F597">
        <v>32.92</v>
      </c>
      <c r="G597">
        <v>16.76</v>
      </c>
      <c r="H597">
        <v>0.14</v>
      </c>
      <c r="I597">
        <v>0.0</v>
      </c>
      <c r="J597">
        <v>23.11</v>
      </c>
      <c r="K597">
        <v>31.14</v>
      </c>
      <c r="L597">
        <v>16.62</v>
      </c>
      <c r="M597">
        <v>0.13</v>
      </c>
      <c r="N597">
        <v>0.0</v>
      </c>
      <c r="O597">
        <v>21.39</v>
      </c>
      <c r="P597">
        <v>28.1</v>
      </c>
      <c r="Q597">
        <v>16.07</v>
      </c>
      <c r="R597">
        <v>0.11</v>
      </c>
    </row>
    <row r="598">
      <c r="A598" s="9">
        <v>39129</v>
      </c>
      <c r="B598" s="2" t="inlineStr">
        <is>
          <t xml:space="preserve">2007-02</t>
        </is>
      </c>
      <c r="C598" s="2" t="inlineStr">
        <is>
          <t xml:space="preserve">2006/07</t>
        </is>
      </c>
      <c r="D598">
        <v>0.04</v>
      </c>
      <c r="E598">
        <v>21.46</v>
      </c>
      <c r="F598">
        <v>28.27</v>
      </c>
      <c r="G598">
        <v>16.79</v>
      </c>
      <c r="H598">
        <v>1.51</v>
      </c>
      <c r="I598">
        <v>0.382</v>
      </c>
      <c r="J598">
        <v>21.24</v>
      </c>
      <c r="K598">
        <v>27.65</v>
      </c>
      <c r="L598">
        <v>16.51</v>
      </c>
      <c r="M598">
        <v>2.02</v>
      </c>
      <c r="N598">
        <v>0.561</v>
      </c>
      <c r="O598">
        <v>20.25</v>
      </c>
      <c r="P598">
        <v>25.27</v>
      </c>
      <c r="Q598">
        <v>16.39</v>
      </c>
      <c r="R598">
        <v>3.25</v>
      </c>
    </row>
    <row r="599">
      <c r="A599" s="9">
        <v>39130</v>
      </c>
      <c r="B599" s="2" t="inlineStr">
        <is>
          <t xml:space="preserve">2007-02</t>
        </is>
      </c>
      <c r="C599" s="2" t="inlineStr">
        <is>
          <t xml:space="preserve">2006/07</t>
        </is>
      </c>
      <c r="D599">
        <v>0.963</v>
      </c>
      <c r="E599">
        <v>19.86</v>
      </c>
      <c r="F599">
        <v>26.27</v>
      </c>
      <c r="G599">
        <v>16.5</v>
      </c>
      <c r="H599">
        <v>7.39</v>
      </c>
      <c r="I599">
        <v>3.566</v>
      </c>
      <c r="J599">
        <v>18.75</v>
      </c>
      <c r="K599">
        <v>24.86</v>
      </c>
      <c r="L599">
        <v>14.82</v>
      </c>
      <c r="M599">
        <v>4.34</v>
      </c>
      <c r="N599">
        <v>5.95</v>
      </c>
      <c r="O599">
        <v>17.95</v>
      </c>
      <c r="P599">
        <v>21.89</v>
      </c>
      <c r="Q599">
        <v>15.26</v>
      </c>
      <c r="R599">
        <v>8.3</v>
      </c>
    </row>
    <row r="600">
      <c r="A600" s="9">
        <v>39131</v>
      </c>
      <c r="B600" s="2" t="inlineStr">
        <is>
          <t xml:space="preserve">2007-02</t>
        </is>
      </c>
      <c r="C600" s="2" t="inlineStr">
        <is>
          <t xml:space="preserve">2006/07</t>
        </is>
      </c>
      <c r="D600">
        <v>0.738</v>
      </c>
      <c r="E600">
        <v>16.74</v>
      </c>
      <c r="F600">
        <v>22.6</v>
      </c>
      <c r="G600">
        <v>11.39</v>
      </c>
      <c r="H600">
        <v>1.16</v>
      </c>
      <c r="I600">
        <v>3.946</v>
      </c>
      <c r="J600">
        <v>16.19</v>
      </c>
      <c r="K600">
        <v>20.24</v>
      </c>
      <c r="L600">
        <v>12.01</v>
      </c>
      <c r="M600">
        <v>3.2</v>
      </c>
      <c r="N600">
        <v>5.815</v>
      </c>
      <c r="O600">
        <v>14.9</v>
      </c>
      <c r="P600">
        <v>17.27</v>
      </c>
      <c r="Q600">
        <v>10.9</v>
      </c>
      <c r="R600">
        <v>4.27</v>
      </c>
    </row>
    <row r="601">
      <c r="A601" s="9">
        <v>39132</v>
      </c>
      <c r="B601" s="2" t="inlineStr">
        <is>
          <t xml:space="preserve">2007-02</t>
        </is>
      </c>
      <c r="C601" s="2" t="inlineStr">
        <is>
          <t xml:space="preserve">2006/07</t>
        </is>
      </c>
      <c r="D601">
        <v>0.0</v>
      </c>
      <c r="E601">
        <v>16.54</v>
      </c>
      <c r="F601">
        <v>23.52</v>
      </c>
      <c r="G601">
        <v>12.03</v>
      </c>
      <c r="H601">
        <v>1.44</v>
      </c>
      <c r="I601">
        <v>0.139</v>
      </c>
      <c r="J601">
        <v>15.8</v>
      </c>
      <c r="K601">
        <v>21.81</v>
      </c>
      <c r="L601">
        <v>11.38</v>
      </c>
      <c r="M601">
        <v>0.34</v>
      </c>
      <c r="N601">
        <v>0.33</v>
      </c>
      <c r="O601">
        <v>14.49</v>
      </c>
      <c r="P601">
        <v>19.19</v>
      </c>
      <c r="Q601">
        <v>10.88</v>
      </c>
      <c r="R601">
        <v>0.63</v>
      </c>
    </row>
    <row r="602">
      <c r="A602" s="9">
        <v>39133</v>
      </c>
      <c r="B602" s="2" t="inlineStr">
        <is>
          <t xml:space="preserve">2007-02</t>
        </is>
      </c>
      <c r="C602" s="2" t="inlineStr">
        <is>
          <t xml:space="preserve">2006/07</t>
        </is>
      </c>
      <c r="D602">
        <v>0.0</v>
      </c>
      <c r="E602">
        <v>19.77</v>
      </c>
      <c r="F602">
        <v>30.19</v>
      </c>
      <c r="G602">
        <v>12.28</v>
      </c>
      <c r="H602">
        <v>0.0</v>
      </c>
      <c r="I602">
        <v>0.0</v>
      </c>
      <c r="J602">
        <v>19.0</v>
      </c>
      <c r="K602">
        <v>27.92</v>
      </c>
      <c r="L602">
        <v>12.32</v>
      </c>
      <c r="M602">
        <v>0.0</v>
      </c>
      <c r="N602">
        <v>0.0</v>
      </c>
      <c r="O602">
        <v>17.52</v>
      </c>
      <c r="P602">
        <v>24.69</v>
      </c>
      <c r="Q602">
        <v>12.3</v>
      </c>
      <c r="R602">
        <v>0.0</v>
      </c>
    </row>
    <row r="603">
      <c r="A603" s="9">
        <v>39134</v>
      </c>
      <c r="B603" s="2" t="inlineStr">
        <is>
          <t xml:space="preserve">2007-02</t>
        </is>
      </c>
      <c r="C603" s="2" t="inlineStr">
        <is>
          <t xml:space="preserve">2006/07</t>
        </is>
      </c>
      <c r="D603">
        <v>0.025</v>
      </c>
      <c r="E603">
        <v>22.49</v>
      </c>
      <c r="F603">
        <v>31.48</v>
      </c>
      <c r="G603">
        <v>14.14</v>
      </c>
      <c r="H603">
        <v>0.03</v>
      </c>
      <c r="I603">
        <v>0.0</v>
      </c>
      <c r="J603">
        <v>22.06</v>
      </c>
      <c r="K603">
        <v>31.14</v>
      </c>
      <c r="L603">
        <v>13.91</v>
      </c>
      <c r="M603">
        <v>0.01</v>
      </c>
      <c r="N603">
        <v>0.0</v>
      </c>
      <c r="O603">
        <v>20.63</v>
      </c>
      <c r="P603">
        <v>28.51</v>
      </c>
      <c r="Q603">
        <v>13.99</v>
      </c>
      <c r="R603">
        <v>0.01</v>
      </c>
    </row>
    <row r="604">
      <c r="A604" s="9">
        <v>39135</v>
      </c>
      <c r="B604" s="2" t="inlineStr">
        <is>
          <t xml:space="preserve">2007-02</t>
        </is>
      </c>
      <c r="C604" s="2" t="inlineStr">
        <is>
          <t xml:space="preserve">2006/07</t>
        </is>
      </c>
      <c r="D604">
        <v>0.025</v>
      </c>
      <c r="E604">
        <v>22.94</v>
      </c>
      <c r="F604">
        <v>30.56</v>
      </c>
      <c r="G604">
        <v>17.53</v>
      </c>
      <c r="H604">
        <v>0.03</v>
      </c>
      <c r="I604">
        <v>0.0</v>
      </c>
      <c r="J604">
        <v>22.5</v>
      </c>
      <c r="K604">
        <v>29.72</v>
      </c>
      <c r="L604">
        <v>17.22</v>
      </c>
      <c r="M604">
        <v>0.04</v>
      </c>
      <c r="N604">
        <v>0.0</v>
      </c>
      <c r="O604">
        <v>21.36</v>
      </c>
      <c r="P604">
        <v>27.4</v>
      </c>
      <c r="Q604">
        <v>17.17</v>
      </c>
      <c r="R604">
        <v>0.13</v>
      </c>
    </row>
    <row r="605">
      <c r="A605" s="9">
        <v>39136</v>
      </c>
      <c r="B605" s="2" t="inlineStr">
        <is>
          <t xml:space="preserve">2007-02</t>
        </is>
      </c>
      <c r="C605" s="2" t="inlineStr">
        <is>
          <t xml:space="preserve">2006/07</t>
        </is>
      </c>
      <c r="D605">
        <v>0.0</v>
      </c>
      <c r="E605">
        <v>21.35</v>
      </c>
      <c r="F605">
        <v>30.01</v>
      </c>
      <c r="G605">
        <v>14.64</v>
      </c>
      <c r="H605">
        <v>0.0</v>
      </c>
      <c r="I605">
        <v>0.0</v>
      </c>
      <c r="J605">
        <v>21.57</v>
      </c>
      <c r="K605">
        <v>28.34</v>
      </c>
      <c r="L605">
        <v>16.85</v>
      </c>
      <c r="M605">
        <v>0.03</v>
      </c>
      <c r="N605">
        <v>0.0</v>
      </c>
      <c r="O605">
        <v>20.28</v>
      </c>
      <c r="P605">
        <v>25.48</v>
      </c>
      <c r="Q605">
        <v>16.46</v>
      </c>
      <c r="R605">
        <v>0.19</v>
      </c>
    </row>
    <row r="606">
      <c r="A606" s="9">
        <v>39137</v>
      </c>
      <c r="B606" s="2" t="inlineStr">
        <is>
          <t xml:space="preserve">2007-02</t>
        </is>
      </c>
      <c r="C606" s="2" t="inlineStr">
        <is>
          <t xml:space="preserve">2006/07</t>
        </is>
      </c>
      <c r="D606">
        <v>0.0</v>
      </c>
      <c r="E606">
        <v>22.43</v>
      </c>
      <c r="F606">
        <v>31.7</v>
      </c>
      <c r="G606">
        <v>14.91</v>
      </c>
      <c r="H606">
        <v>0.0</v>
      </c>
      <c r="I606">
        <v>0.0</v>
      </c>
      <c r="J606">
        <v>22.38</v>
      </c>
      <c r="K606">
        <v>31.06</v>
      </c>
      <c r="L606">
        <v>15.6</v>
      </c>
      <c r="M606">
        <v>0.01</v>
      </c>
      <c r="N606">
        <v>0.0</v>
      </c>
      <c r="O606">
        <v>21.04</v>
      </c>
      <c r="P606">
        <v>28.0</v>
      </c>
      <c r="Q606">
        <v>16.03</v>
      </c>
      <c r="R606">
        <v>0.15</v>
      </c>
    </row>
    <row r="607">
      <c r="A607" s="9">
        <v>39138</v>
      </c>
      <c r="B607" s="2" t="inlineStr">
        <is>
          <t xml:space="preserve">2007-02</t>
        </is>
      </c>
      <c r="C607" s="2" t="inlineStr">
        <is>
          <t xml:space="preserve">2006/07</t>
        </is>
      </c>
      <c r="D607">
        <v>0.0</v>
      </c>
      <c r="E607">
        <v>23.74</v>
      </c>
      <c r="F607">
        <v>33.71</v>
      </c>
      <c r="G607">
        <v>15.13</v>
      </c>
      <c r="H607">
        <v>0.0</v>
      </c>
      <c r="I607">
        <v>0.0</v>
      </c>
      <c r="J607">
        <v>23.44</v>
      </c>
      <c r="K607">
        <v>31.82</v>
      </c>
      <c r="L607">
        <v>16.55</v>
      </c>
      <c r="M607">
        <v>0.0</v>
      </c>
      <c r="N607">
        <v>0.0</v>
      </c>
      <c r="O607">
        <v>22.54</v>
      </c>
      <c r="P607">
        <v>30.15</v>
      </c>
      <c r="Q607">
        <v>14.82</v>
      </c>
      <c r="R607">
        <v>0.0</v>
      </c>
    </row>
    <row r="608">
      <c r="A608" s="9">
        <v>39139</v>
      </c>
      <c r="B608" s="2" t="inlineStr">
        <is>
          <t xml:space="preserve">2007-02</t>
        </is>
      </c>
      <c r="C608" s="2" t="inlineStr">
        <is>
          <t xml:space="preserve">2006/07</t>
        </is>
      </c>
      <c r="D608">
        <v>0.0</v>
      </c>
      <c r="E608">
        <v>24.51</v>
      </c>
      <c r="F608">
        <v>33.85</v>
      </c>
      <c r="G608">
        <v>16.49</v>
      </c>
      <c r="H608">
        <v>0.0</v>
      </c>
      <c r="I608">
        <v>0.0</v>
      </c>
      <c r="J608">
        <v>23.6</v>
      </c>
      <c r="K608">
        <v>32.54</v>
      </c>
      <c r="L608">
        <v>16.43</v>
      </c>
      <c r="M608">
        <v>0.0</v>
      </c>
      <c r="N608">
        <v>0.0</v>
      </c>
      <c r="O608">
        <v>22.54</v>
      </c>
      <c r="P608">
        <v>29.9</v>
      </c>
      <c r="Q608">
        <v>17.07</v>
      </c>
      <c r="R608">
        <v>0.0</v>
      </c>
    </row>
    <row r="609">
      <c r="A609" s="9">
        <v>39140</v>
      </c>
      <c r="B609" s="2" t="inlineStr">
        <is>
          <t xml:space="preserve">2007-02</t>
        </is>
      </c>
      <c r="C609" s="2" t="inlineStr">
        <is>
          <t xml:space="preserve">2006/07</t>
        </is>
      </c>
      <c r="D609">
        <v>0.0</v>
      </c>
      <c r="E609">
        <v>24.86</v>
      </c>
      <c r="F609">
        <v>34.35</v>
      </c>
      <c r="G609">
        <v>17.07</v>
      </c>
      <c r="H609">
        <v>0.0</v>
      </c>
      <c r="I609">
        <v>0.0</v>
      </c>
      <c r="J609">
        <v>24.41</v>
      </c>
      <c r="K609">
        <v>33.73</v>
      </c>
      <c r="L609">
        <v>16.99</v>
      </c>
      <c r="M609">
        <v>0.0</v>
      </c>
      <c r="N609">
        <v>0.0</v>
      </c>
      <c r="O609">
        <v>23.0</v>
      </c>
      <c r="P609">
        <v>30.86</v>
      </c>
      <c r="Q609">
        <v>17.26</v>
      </c>
      <c r="R609">
        <v>0.0</v>
      </c>
    </row>
    <row r="610">
      <c r="A610" s="9">
        <v>39141</v>
      </c>
      <c r="B610" s="2" t="inlineStr">
        <is>
          <t xml:space="preserve">2007-02</t>
        </is>
      </c>
      <c r="C610" s="2" t="inlineStr">
        <is>
          <t xml:space="preserve">2006/07</t>
        </is>
      </c>
      <c r="D610">
        <v>0.0</v>
      </c>
      <c r="E610">
        <v>25.08</v>
      </c>
      <c r="F610">
        <v>33.84</v>
      </c>
      <c r="G610">
        <v>17.67</v>
      </c>
      <c r="H610">
        <v>0.0</v>
      </c>
      <c r="I610">
        <v>0.109</v>
      </c>
      <c r="J610">
        <v>25.18</v>
      </c>
      <c r="K610">
        <v>33.95</v>
      </c>
      <c r="L610">
        <v>17.83</v>
      </c>
      <c r="M610">
        <v>0.07</v>
      </c>
      <c r="N610">
        <v>0.164</v>
      </c>
      <c r="O610">
        <v>23.52</v>
      </c>
      <c r="P610">
        <v>31.29</v>
      </c>
      <c r="Q610">
        <v>17.9</v>
      </c>
      <c r="R610">
        <v>0.07</v>
      </c>
    </row>
    <row r="611">
      <c r="A611" s="9">
        <v>39142</v>
      </c>
      <c r="B611" s="2" t="inlineStr">
        <is>
          <t xml:space="preserve">2007-03</t>
        </is>
      </c>
      <c r="C611" s="2" t="inlineStr">
        <is>
          <t xml:space="preserve">2006/07</t>
        </is>
      </c>
      <c r="D611">
        <v>0.0</v>
      </c>
      <c r="E611">
        <v>24.62</v>
      </c>
      <c r="F611">
        <v>33.66</v>
      </c>
      <c r="G611">
        <v>17.02</v>
      </c>
      <c r="H611">
        <v>0.0</v>
      </c>
      <c r="I611">
        <v>0.0</v>
      </c>
      <c r="J611">
        <v>25.4</v>
      </c>
      <c r="K611">
        <v>33.32</v>
      </c>
      <c r="L611">
        <v>19.39</v>
      </c>
      <c r="M611">
        <v>0.0</v>
      </c>
      <c r="N611">
        <v>0.0</v>
      </c>
      <c r="O611">
        <v>24.49</v>
      </c>
      <c r="P611">
        <v>31.74</v>
      </c>
      <c r="Q611">
        <v>18.34</v>
      </c>
      <c r="R611">
        <v>0.0</v>
      </c>
    </row>
    <row r="612">
      <c r="A612" s="9">
        <v>39143</v>
      </c>
      <c r="B612" s="2" t="inlineStr">
        <is>
          <t xml:space="preserve">2007-03</t>
        </is>
      </c>
      <c r="C612" s="2" t="inlineStr">
        <is>
          <t xml:space="preserve">2006/07</t>
        </is>
      </c>
      <c r="D612">
        <v>0.024</v>
      </c>
      <c r="E612">
        <v>24.86</v>
      </c>
      <c r="F612">
        <v>34.7</v>
      </c>
      <c r="G612">
        <v>16.4</v>
      </c>
      <c r="H612">
        <v>0.02</v>
      </c>
      <c r="I612">
        <v>0.0</v>
      </c>
      <c r="J612">
        <v>25.01</v>
      </c>
      <c r="K612">
        <v>33.92</v>
      </c>
      <c r="L612">
        <v>17.31</v>
      </c>
      <c r="M612">
        <v>0.01</v>
      </c>
      <c r="N612">
        <v>0.0</v>
      </c>
      <c r="O612">
        <v>23.59</v>
      </c>
      <c r="P612">
        <v>31.31</v>
      </c>
      <c r="Q612">
        <v>17.21</v>
      </c>
      <c r="R612">
        <v>0.01</v>
      </c>
    </row>
    <row r="613">
      <c r="A613" s="9">
        <v>39144</v>
      </c>
      <c r="B613" s="2" t="inlineStr">
        <is>
          <t xml:space="preserve">2007-03</t>
        </is>
      </c>
      <c r="C613" s="2" t="inlineStr">
        <is>
          <t xml:space="preserve">2006/07</t>
        </is>
      </c>
      <c r="D613">
        <v>0.0</v>
      </c>
      <c r="E613">
        <v>24.69</v>
      </c>
      <c r="F613">
        <v>34.74</v>
      </c>
      <c r="G613">
        <v>16.31</v>
      </c>
      <c r="H613">
        <v>0.0</v>
      </c>
      <c r="I613">
        <v>0.0</v>
      </c>
      <c r="J613">
        <v>24.45</v>
      </c>
      <c r="K613">
        <v>33.05</v>
      </c>
      <c r="L613">
        <v>17.67</v>
      </c>
      <c r="M613">
        <v>0.0</v>
      </c>
      <c r="N613">
        <v>0.0</v>
      </c>
      <c r="O613">
        <v>22.77</v>
      </c>
      <c r="P613">
        <v>29.75</v>
      </c>
      <c r="Q613">
        <v>18.03</v>
      </c>
      <c r="R613">
        <v>0.0</v>
      </c>
    </row>
    <row r="614">
      <c r="A614" s="9">
        <v>39145</v>
      </c>
      <c r="B614" s="2" t="inlineStr">
        <is>
          <t xml:space="preserve">2007-03</t>
        </is>
      </c>
      <c r="C614" s="2" t="inlineStr">
        <is>
          <t xml:space="preserve">2006/07</t>
        </is>
      </c>
      <c r="D614">
        <v>0.0</v>
      </c>
      <c r="E614">
        <v>22.51</v>
      </c>
      <c r="F614">
        <v>30.86</v>
      </c>
      <c r="G614">
        <v>17.23</v>
      </c>
      <c r="H614">
        <v>0.09</v>
      </c>
      <c r="I614">
        <v>0.0</v>
      </c>
      <c r="J614">
        <v>21.96</v>
      </c>
      <c r="K614">
        <v>28.38</v>
      </c>
      <c r="L614">
        <v>17.89</v>
      </c>
      <c r="M614">
        <v>0.14</v>
      </c>
      <c r="N614">
        <v>0.0</v>
      </c>
      <c r="O614">
        <v>21.1</v>
      </c>
      <c r="P614">
        <v>26.18</v>
      </c>
      <c r="Q614">
        <v>17.2</v>
      </c>
      <c r="R614">
        <v>0.21</v>
      </c>
    </row>
    <row r="615">
      <c r="A615" s="9">
        <v>39146</v>
      </c>
      <c r="B615" s="2" t="inlineStr">
        <is>
          <t xml:space="preserve">2007-03</t>
        </is>
      </c>
      <c r="C615" s="2" t="inlineStr">
        <is>
          <t xml:space="preserve">2006/07</t>
        </is>
      </c>
      <c r="D615">
        <v>0.439</v>
      </c>
      <c r="E615">
        <v>20.04</v>
      </c>
      <c r="F615">
        <v>25.85</v>
      </c>
      <c r="G615">
        <v>16.59</v>
      </c>
      <c r="H615">
        <v>6.61</v>
      </c>
      <c r="I615">
        <v>1.913</v>
      </c>
      <c r="J615">
        <v>20.02</v>
      </c>
      <c r="K615">
        <v>25.59</v>
      </c>
      <c r="L615">
        <v>16.85</v>
      </c>
      <c r="M615">
        <v>2.61</v>
      </c>
      <c r="N615">
        <v>2.907</v>
      </c>
      <c r="O615">
        <v>19.44</v>
      </c>
      <c r="P615">
        <v>23.81</v>
      </c>
      <c r="Q615">
        <v>17.32</v>
      </c>
      <c r="R615">
        <v>5.2</v>
      </c>
    </row>
    <row r="616">
      <c r="A616" s="9">
        <v>39147</v>
      </c>
      <c r="B616" s="2" t="inlineStr">
        <is>
          <t xml:space="preserve">2007-03</t>
        </is>
      </c>
      <c r="C616" s="2" t="inlineStr">
        <is>
          <t xml:space="preserve">2006/07</t>
        </is>
      </c>
      <c r="D616">
        <v>0.943</v>
      </c>
      <c r="E616">
        <v>18.93</v>
      </c>
      <c r="F616">
        <v>24.91</v>
      </c>
      <c r="G616">
        <v>16.06</v>
      </c>
      <c r="H616">
        <v>7.9</v>
      </c>
      <c r="I616">
        <v>0.508</v>
      </c>
      <c r="J616">
        <v>17.72</v>
      </c>
      <c r="K616">
        <v>23.26</v>
      </c>
      <c r="L616">
        <v>13.78</v>
      </c>
      <c r="M616">
        <v>0.97</v>
      </c>
      <c r="N616">
        <v>1.084</v>
      </c>
      <c r="O616">
        <v>17.2</v>
      </c>
      <c r="P616">
        <v>21.05</v>
      </c>
      <c r="Q616">
        <v>14.64</v>
      </c>
      <c r="R616">
        <v>1.69</v>
      </c>
    </row>
    <row r="617">
      <c r="A617" s="9">
        <v>39148</v>
      </c>
      <c r="B617" s="2" t="inlineStr">
        <is>
          <t xml:space="preserve">2007-03</t>
        </is>
      </c>
      <c r="C617" s="2" t="inlineStr">
        <is>
          <t xml:space="preserve">2006/07</t>
        </is>
      </c>
      <c r="D617">
        <v>0.127</v>
      </c>
      <c r="E617">
        <v>19.95</v>
      </c>
      <c r="F617">
        <v>27.34</v>
      </c>
      <c r="G617">
        <v>15.27</v>
      </c>
      <c r="H617">
        <v>0.97</v>
      </c>
      <c r="I617">
        <v>0.878</v>
      </c>
      <c r="J617">
        <v>19.9</v>
      </c>
      <c r="K617">
        <v>27.19</v>
      </c>
      <c r="L617">
        <v>14.93</v>
      </c>
      <c r="M617">
        <v>0.62</v>
      </c>
      <c r="N617">
        <v>1.332</v>
      </c>
      <c r="O617">
        <v>18.69</v>
      </c>
      <c r="P617">
        <v>24.23</v>
      </c>
      <c r="Q617">
        <v>15.33</v>
      </c>
      <c r="R617">
        <v>0.69</v>
      </c>
    </row>
    <row r="618">
      <c r="A618" s="9">
        <v>39149</v>
      </c>
      <c r="B618" s="2" t="inlineStr">
        <is>
          <t xml:space="preserve">2007-03</t>
        </is>
      </c>
      <c r="C618" s="2" t="inlineStr">
        <is>
          <t xml:space="preserve">2006/07</t>
        </is>
      </c>
      <c r="D618">
        <v>0.0</v>
      </c>
      <c r="E618">
        <v>21.87</v>
      </c>
      <c r="F618">
        <v>29.79</v>
      </c>
      <c r="G618">
        <v>15.3</v>
      </c>
      <c r="H618">
        <v>0.0</v>
      </c>
      <c r="I618">
        <v>0.107</v>
      </c>
      <c r="J618">
        <v>21.96</v>
      </c>
      <c r="K618">
        <v>29.54</v>
      </c>
      <c r="L618">
        <v>15.43</v>
      </c>
      <c r="M618">
        <v>0.07</v>
      </c>
      <c r="N618">
        <v>0.162</v>
      </c>
      <c r="O618">
        <v>20.2</v>
      </c>
      <c r="P618">
        <v>26.52</v>
      </c>
      <c r="Q618">
        <v>15.13</v>
      </c>
      <c r="R618">
        <v>0.07</v>
      </c>
    </row>
    <row r="619">
      <c r="A619" s="9">
        <v>39150</v>
      </c>
      <c r="B619" s="2" t="inlineStr">
        <is>
          <t xml:space="preserve">2007-03</t>
        </is>
      </c>
      <c r="C619" s="2" t="inlineStr">
        <is>
          <t xml:space="preserve">2006/07</t>
        </is>
      </c>
      <c r="D619">
        <v>0.0</v>
      </c>
      <c r="E619">
        <v>23.13</v>
      </c>
      <c r="F619">
        <v>31.09</v>
      </c>
      <c r="G619">
        <v>17.06</v>
      </c>
      <c r="H619">
        <v>0.01</v>
      </c>
      <c r="I619">
        <v>0.0</v>
      </c>
      <c r="J619">
        <v>23.52</v>
      </c>
      <c r="K619">
        <v>30.84</v>
      </c>
      <c r="L619">
        <v>17.72</v>
      </c>
      <c r="M619">
        <v>0.08</v>
      </c>
      <c r="N619">
        <v>0.0</v>
      </c>
      <c r="O619">
        <v>21.62</v>
      </c>
      <c r="P619">
        <v>27.86</v>
      </c>
      <c r="Q619">
        <v>17.21</v>
      </c>
      <c r="R619">
        <v>0.14</v>
      </c>
    </row>
    <row r="620">
      <c r="A620" s="9">
        <v>39151</v>
      </c>
      <c r="B620" s="2" t="inlineStr">
        <is>
          <t xml:space="preserve">2007-03</t>
        </is>
      </c>
      <c r="C620" s="2" t="inlineStr">
        <is>
          <t xml:space="preserve">2006/07</t>
        </is>
      </c>
      <c r="D620">
        <v>0.0</v>
      </c>
      <c r="E620">
        <v>23.42</v>
      </c>
      <c r="F620">
        <v>31.73</v>
      </c>
      <c r="G620">
        <v>17.35</v>
      </c>
      <c r="H620">
        <v>0.11</v>
      </c>
      <c r="I620">
        <v>0.053</v>
      </c>
      <c r="J620">
        <v>23.61</v>
      </c>
      <c r="K620">
        <v>30.99</v>
      </c>
      <c r="L620">
        <v>17.85</v>
      </c>
      <c r="M620">
        <v>1.17</v>
      </c>
      <c r="N620">
        <v>0.246</v>
      </c>
      <c r="O620">
        <v>21.89</v>
      </c>
      <c r="P620">
        <v>28.18</v>
      </c>
      <c r="Q620">
        <v>18.04</v>
      </c>
      <c r="R620">
        <v>3.93</v>
      </c>
    </row>
    <row r="621">
      <c r="A621" s="9">
        <v>39152</v>
      </c>
      <c r="B621" s="2" t="inlineStr">
        <is>
          <t xml:space="preserve">2007-03</t>
        </is>
      </c>
      <c r="C621" s="2" t="inlineStr">
        <is>
          <t xml:space="preserve">2006/07</t>
        </is>
      </c>
      <c r="D621">
        <v>0.0</v>
      </c>
      <c r="E621">
        <v>23.39</v>
      </c>
      <c r="F621">
        <v>31.49</v>
      </c>
      <c r="G621">
        <v>17.08</v>
      </c>
      <c r="H621">
        <v>0.2</v>
      </c>
      <c r="I621">
        <v>0.288</v>
      </c>
      <c r="J621">
        <v>23.3</v>
      </c>
      <c r="K621">
        <v>30.64</v>
      </c>
      <c r="L621">
        <v>17.98</v>
      </c>
      <c r="M621">
        <v>1.31</v>
      </c>
      <c r="N621">
        <v>1.134</v>
      </c>
      <c r="O621">
        <v>21.47</v>
      </c>
      <c r="P621">
        <v>27.23</v>
      </c>
      <c r="Q621">
        <v>17.88</v>
      </c>
      <c r="R621">
        <v>5.17</v>
      </c>
    </row>
    <row r="622">
      <c r="A622" s="9">
        <v>39153</v>
      </c>
      <c r="B622" s="2" t="inlineStr">
        <is>
          <t xml:space="preserve">2007-03</t>
        </is>
      </c>
      <c r="C622" s="2" t="inlineStr">
        <is>
          <t xml:space="preserve">2006/07</t>
        </is>
      </c>
      <c r="D622">
        <v>0.0</v>
      </c>
      <c r="E622">
        <v>22.72</v>
      </c>
      <c r="F622">
        <v>31.44</v>
      </c>
      <c r="G622">
        <v>15.82</v>
      </c>
      <c r="H622">
        <v>0.0</v>
      </c>
      <c r="I622">
        <v>0.0</v>
      </c>
      <c r="J622">
        <v>22.97</v>
      </c>
      <c r="K622">
        <v>30.66</v>
      </c>
      <c r="L622">
        <v>17.9</v>
      </c>
      <c r="M622">
        <v>0.01</v>
      </c>
      <c r="N622">
        <v>0.0</v>
      </c>
      <c r="O622">
        <v>21.24</v>
      </c>
      <c r="P622">
        <v>27.12</v>
      </c>
      <c r="Q622">
        <v>17.39</v>
      </c>
      <c r="R622">
        <v>0.01</v>
      </c>
    </row>
    <row r="623">
      <c r="A623" s="9">
        <v>39154</v>
      </c>
      <c r="B623" s="2" t="inlineStr">
        <is>
          <t xml:space="preserve">2007-03</t>
        </is>
      </c>
      <c r="C623" s="2" t="inlineStr">
        <is>
          <t xml:space="preserve">2006/07</t>
        </is>
      </c>
      <c r="D623">
        <v>0.0</v>
      </c>
      <c r="E623">
        <v>23.15</v>
      </c>
      <c r="F623">
        <v>31.75</v>
      </c>
      <c r="G623">
        <v>16.46</v>
      </c>
      <c r="H623">
        <v>0.11</v>
      </c>
      <c r="I623">
        <v>0.0</v>
      </c>
      <c r="J623">
        <v>22.72</v>
      </c>
      <c r="K623">
        <v>30.17</v>
      </c>
      <c r="L623">
        <v>17.43</v>
      </c>
      <c r="M623">
        <v>0.03</v>
      </c>
      <c r="N623">
        <v>0.0</v>
      </c>
      <c r="O623">
        <v>21.21</v>
      </c>
      <c r="P623">
        <v>27.22</v>
      </c>
      <c r="Q623">
        <v>16.85</v>
      </c>
      <c r="R623">
        <v>0.1</v>
      </c>
    </row>
    <row r="624">
      <c r="A624" s="9">
        <v>39155</v>
      </c>
      <c r="B624" s="2" t="inlineStr">
        <is>
          <t xml:space="preserve">2007-03</t>
        </is>
      </c>
      <c r="C624" s="2" t="inlineStr">
        <is>
          <t xml:space="preserve">2006/07</t>
        </is>
      </c>
      <c r="D624">
        <v>0.101</v>
      </c>
      <c r="E624">
        <v>23.61</v>
      </c>
      <c r="F624">
        <v>30.93</v>
      </c>
      <c r="G624">
        <v>17.84</v>
      </c>
      <c r="H624">
        <v>0.08</v>
      </c>
      <c r="I624">
        <v>0.0</v>
      </c>
      <c r="J624">
        <v>23.7</v>
      </c>
      <c r="K624">
        <v>30.37</v>
      </c>
      <c r="L624">
        <v>17.79</v>
      </c>
      <c r="M624">
        <v>0.07</v>
      </c>
      <c r="N624">
        <v>0.0</v>
      </c>
      <c r="O624">
        <v>22.19</v>
      </c>
      <c r="P624">
        <v>28.63</v>
      </c>
      <c r="Q624">
        <v>17.43</v>
      </c>
      <c r="R624">
        <v>0.05</v>
      </c>
    </row>
    <row r="625">
      <c r="A625" s="9">
        <v>39156</v>
      </c>
      <c r="B625" s="2" t="inlineStr">
        <is>
          <t xml:space="preserve">2007-03</t>
        </is>
      </c>
      <c r="C625" s="2" t="inlineStr">
        <is>
          <t xml:space="preserve">2006/07</t>
        </is>
      </c>
      <c r="D625">
        <v>0.099</v>
      </c>
      <c r="E625">
        <v>24.59</v>
      </c>
      <c r="F625">
        <v>32.83</v>
      </c>
      <c r="G625">
        <v>17.43</v>
      </c>
      <c r="H625">
        <v>0.07</v>
      </c>
      <c r="I625">
        <v>0.0</v>
      </c>
      <c r="J625">
        <v>24.66</v>
      </c>
      <c r="K625">
        <v>31.58</v>
      </c>
      <c r="L625">
        <v>19.41</v>
      </c>
      <c r="M625">
        <v>0.04</v>
      </c>
      <c r="N625">
        <v>0.0</v>
      </c>
      <c r="O625">
        <v>23.31</v>
      </c>
      <c r="P625">
        <v>30.14</v>
      </c>
      <c r="Q625">
        <v>18.84</v>
      </c>
      <c r="R625">
        <v>0.06</v>
      </c>
    </row>
    <row r="626">
      <c r="A626" s="9">
        <v>39157</v>
      </c>
      <c r="B626" s="2" t="inlineStr">
        <is>
          <t xml:space="preserve">2007-03</t>
        </is>
      </c>
      <c r="C626" s="2" t="inlineStr">
        <is>
          <t xml:space="preserve">2006/07</t>
        </is>
      </c>
      <c r="D626">
        <v>0.037</v>
      </c>
      <c r="E626">
        <v>24.18</v>
      </c>
      <c r="F626">
        <v>32.45</v>
      </c>
      <c r="G626">
        <v>18.69</v>
      </c>
      <c r="H626">
        <v>1.1</v>
      </c>
      <c r="I626">
        <v>0.0</v>
      </c>
      <c r="J626">
        <v>24.25</v>
      </c>
      <c r="K626">
        <v>31.9</v>
      </c>
      <c r="L626">
        <v>18.57</v>
      </c>
      <c r="M626">
        <v>0.56</v>
      </c>
      <c r="N626">
        <v>0.0</v>
      </c>
      <c r="O626">
        <v>22.75</v>
      </c>
      <c r="P626">
        <v>29.11</v>
      </c>
      <c r="Q626">
        <v>18.79</v>
      </c>
      <c r="R626">
        <v>1.57</v>
      </c>
    </row>
    <row r="627">
      <c r="A627" s="9">
        <v>39158</v>
      </c>
      <c r="B627" s="2" t="inlineStr">
        <is>
          <t xml:space="preserve">2007-03</t>
        </is>
      </c>
      <c r="C627" s="2" t="inlineStr">
        <is>
          <t xml:space="preserve">2006/07</t>
        </is>
      </c>
      <c r="D627">
        <v>1.497</v>
      </c>
      <c r="E627">
        <v>20.66</v>
      </c>
      <c r="F627">
        <v>27.38</v>
      </c>
      <c r="G627">
        <v>16.42</v>
      </c>
      <c r="H627">
        <v>4.66</v>
      </c>
      <c r="I627">
        <v>1.863</v>
      </c>
      <c r="J627">
        <v>21.53</v>
      </c>
      <c r="K627">
        <v>27.72</v>
      </c>
      <c r="L627">
        <v>17.32</v>
      </c>
      <c r="M627">
        <v>3.69</v>
      </c>
      <c r="N627">
        <v>3.359</v>
      </c>
      <c r="O627">
        <v>20.57</v>
      </c>
      <c r="P627">
        <v>25.63</v>
      </c>
      <c r="Q627">
        <v>17.04</v>
      </c>
      <c r="R627">
        <v>7.67</v>
      </c>
    </row>
    <row r="628">
      <c r="A628" s="9">
        <v>39159</v>
      </c>
      <c r="B628" s="2" t="inlineStr">
        <is>
          <t xml:space="preserve">2007-03</t>
        </is>
      </c>
      <c r="C628" s="2" t="inlineStr">
        <is>
          <t xml:space="preserve">2006/07</t>
        </is>
      </c>
      <c r="D628">
        <v>0.021</v>
      </c>
      <c r="E628">
        <v>20.15</v>
      </c>
      <c r="F628">
        <v>27.69</v>
      </c>
      <c r="G628">
        <v>15.54</v>
      </c>
      <c r="H628">
        <v>0.73</v>
      </c>
      <c r="I628">
        <v>2.568</v>
      </c>
      <c r="J628">
        <v>20.62</v>
      </c>
      <c r="K628">
        <v>27.88</v>
      </c>
      <c r="L628">
        <v>16.38</v>
      </c>
      <c r="M628">
        <v>2.56</v>
      </c>
      <c r="N628">
        <v>4.037</v>
      </c>
      <c r="O628">
        <v>19.38</v>
      </c>
      <c r="P628">
        <v>25.27</v>
      </c>
      <c r="Q628">
        <v>16.36</v>
      </c>
      <c r="R628">
        <v>3.7</v>
      </c>
    </row>
    <row r="629">
      <c r="A629" s="9">
        <v>39160</v>
      </c>
      <c r="B629" s="2" t="inlineStr">
        <is>
          <t xml:space="preserve">2007-03</t>
        </is>
      </c>
      <c r="C629" s="2" t="inlineStr">
        <is>
          <t xml:space="preserve">2006/07</t>
        </is>
      </c>
      <c r="D629">
        <v>0.0</v>
      </c>
      <c r="E629">
        <v>21.02</v>
      </c>
      <c r="F629">
        <v>30.24</v>
      </c>
      <c r="G629">
        <v>14.96</v>
      </c>
      <c r="H629">
        <v>0.0</v>
      </c>
      <c r="I629">
        <v>0.0</v>
      </c>
      <c r="J629">
        <v>20.55</v>
      </c>
      <c r="K629">
        <v>28.46</v>
      </c>
      <c r="L629">
        <v>15.84</v>
      </c>
      <c r="M629">
        <v>0.01</v>
      </c>
      <c r="N629">
        <v>0.0</v>
      </c>
      <c r="O629">
        <v>18.97</v>
      </c>
      <c r="P629">
        <v>24.97</v>
      </c>
      <c r="Q629">
        <v>14.96</v>
      </c>
      <c r="R629">
        <v>0.07</v>
      </c>
    </row>
    <row r="630">
      <c r="A630" s="9">
        <v>39161</v>
      </c>
      <c r="B630" s="2" t="inlineStr">
        <is>
          <t xml:space="preserve">2007-03</t>
        </is>
      </c>
      <c r="C630" s="2" t="inlineStr">
        <is>
          <t xml:space="preserve">2006/07</t>
        </is>
      </c>
      <c r="D630">
        <v>0.0</v>
      </c>
      <c r="E630">
        <v>21.55</v>
      </c>
      <c r="F630">
        <v>30.16</v>
      </c>
      <c r="G630">
        <v>14.25</v>
      </c>
      <c r="H630">
        <v>0.15</v>
      </c>
      <c r="I630">
        <v>0.0</v>
      </c>
      <c r="J630">
        <v>21.58</v>
      </c>
      <c r="K630">
        <v>29.8</v>
      </c>
      <c r="L630">
        <v>15.14</v>
      </c>
      <c r="M630">
        <v>0.12</v>
      </c>
      <c r="N630">
        <v>0.0</v>
      </c>
      <c r="O630">
        <v>20.28</v>
      </c>
      <c r="P630">
        <v>26.85</v>
      </c>
      <c r="Q630">
        <v>15.19</v>
      </c>
      <c r="R630">
        <v>0.39</v>
      </c>
    </row>
    <row r="631">
      <c r="A631" s="9">
        <v>39162</v>
      </c>
      <c r="B631" s="2" t="inlineStr">
        <is>
          <t xml:space="preserve">2007-03</t>
        </is>
      </c>
      <c r="C631" s="2" t="inlineStr">
        <is>
          <t xml:space="preserve">2006/07</t>
        </is>
      </c>
      <c r="D631">
        <v>0.0</v>
      </c>
      <c r="E631">
        <v>22.51</v>
      </c>
      <c r="F631">
        <v>30.05</v>
      </c>
      <c r="G631">
        <v>16.73</v>
      </c>
      <c r="H631">
        <v>0.38</v>
      </c>
      <c r="I631">
        <v>0.253</v>
      </c>
      <c r="J631">
        <v>22.7</v>
      </c>
      <c r="K631">
        <v>29.91</v>
      </c>
      <c r="L631">
        <v>17.73</v>
      </c>
      <c r="M631">
        <v>0.66</v>
      </c>
      <c r="N631">
        <v>0.413</v>
      </c>
      <c r="O631">
        <v>21.47</v>
      </c>
      <c r="P631">
        <v>27.21</v>
      </c>
      <c r="Q631">
        <v>17.59</v>
      </c>
      <c r="R631">
        <v>2.05</v>
      </c>
    </row>
    <row r="632">
      <c r="A632" s="9">
        <v>39163</v>
      </c>
      <c r="B632" s="2" t="inlineStr">
        <is>
          <t xml:space="preserve">2007-03</t>
        </is>
      </c>
      <c r="C632" s="2" t="inlineStr">
        <is>
          <t xml:space="preserve">2006/07</t>
        </is>
      </c>
      <c r="D632">
        <v>0.0</v>
      </c>
      <c r="E632">
        <v>22.43</v>
      </c>
      <c r="F632">
        <v>30.58</v>
      </c>
      <c r="G632">
        <v>16.85</v>
      </c>
      <c r="H632">
        <v>0.34</v>
      </c>
      <c r="I632">
        <v>0.71</v>
      </c>
      <c r="J632">
        <v>22.4</v>
      </c>
      <c r="K632">
        <v>29.64</v>
      </c>
      <c r="L632">
        <v>17.31</v>
      </c>
      <c r="M632">
        <v>1.51</v>
      </c>
      <c r="N632">
        <v>1.195</v>
      </c>
      <c r="O632">
        <v>21.11</v>
      </c>
      <c r="P632">
        <v>26.49</v>
      </c>
      <c r="Q632">
        <v>17.34</v>
      </c>
      <c r="R632">
        <v>4.4</v>
      </c>
    </row>
    <row r="633">
      <c r="A633" s="9">
        <v>39164</v>
      </c>
      <c r="B633" s="2" t="inlineStr">
        <is>
          <t xml:space="preserve">2007-03</t>
        </is>
      </c>
      <c r="C633" s="2" t="inlineStr">
        <is>
          <t xml:space="preserve">2006/07</t>
        </is>
      </c>
      <c r="D633">
        <v>0.026</v>
      </c>
      <c r="E633">
        <v>22.24</v>
      </c>
      <c r="F633">
        <v>29.75</v>
      </c>
      <c r="G633">
        <v>17.19</v>
      </c>
      <c r="H633">
        <v>0.25</v>
      </c>
      <c r="I633">
        <v>0.354</v>
      </c>
      <c r="J633">
        <v>21.77</v>
      </c>
      <c r="K633">
        <v>28.24</v>
      </c>
      <c r="L633">
        <v>17.73</v>
      </c>
      <c r="M633">
        <v>0.59</v>
      </c>
      <c r="N633">
        <v>0.476</v>
      </c>
      <c r="O633">
        <v>20.69</v>
      </c>
      <c r="P633">
        <v>25.78</v>
      </c>
      <c r="Q633">
        <v>17.46</v>
      </c>
      <c r="R633">
        <v>1.44</v>
      </c>
    </row>
    <row r="634">
      <c r="A634" s="9">
        <v>39165</v>
      </c>
      <c r="B634" s="2" t="inlineStr">
        <is>
          <t xml:space="preserve">2007-03</t>
        </is>
      </c>
      <c r="C634" s="2" t="inlineStr">
        <is>
          <t xml:space="preserve">2006/07</t>
        </is>
      </c>
      <c r="D634">
        <v>0.418</v>
      </c>
      <c r="E634">
        <v>22.37</v>
      </c>
      <c r="F634">
        <v>30.22</v>
      </c>
      <c r="G634">
        <v>17.04</v>
      </c>
      <c r="H634">
        <v>0.73</v>
      </c>
      <c r="I634">
        <v>0.0</v>
      </c>
      <c r="J634">
        <v>22.1</v>
      </c>
      <c r="K634">
        <v>29.83</v>
      </c>
      <c r="L634">
        <v>16.87</v>
      </c>
      <c r="M634">
        <v>0.17</v>
      </c>
      <c r="N634">
        <v>0.0</v>
      </c>
      <c r="O634">
        <v>21.19</v>
      </c>
      <c r="P634">
        <v>27.11</v>
      </c>
      <c r="Q634">
        <v>16.9</v>
      </c>
      <c r="R634">
        <v>0.4</v>
      </c>
    </row>
    <row r="635">
      <c r="A635" s="9">
        <v>39166</v>
      </c>
      <c r="B635" s="2" t="inlineStr">
        <is>
          <t xml:space="preserve">2007-03</t>
        </is>
      </c>
      <c r="C635" s="2" t="inlineStr">
        <is>
          <t xml:space="preserve">2006/07</t>
        </is>
      </c>
      <c r="D635">
        <v>0.0</v>
      </c>
      <c r="E635">
        <v>21.48</v>
      </c>
      <c r="F635">
        <v>29.13</v>
      </c>
      <c r="G635">
        <v>16.63</v>
      </c>
      <c r="H635">
        <v>0.31</v>
      </c>
      <c r="I635">
        <v>0.087</v>
      </c>
      <c r="J635">
        <v>21.41</v>
      </c>
      <c r="K635">
        <v>28.54</v>
      </c>
      <c r="L635">
        <v>16.86</v>
      </c>
      <c r="M635">
        <v>0.53</v>
      </c>
      <c r="N635">
        <v>0.35</v>
      </c>
      <c r="O635">
        <v>20.45</v>
      </c>
      <c r="P635">
        <v>25.66</v>
      </c>
      <c r="Q635">
        <v>17.06</v>
      </c>
      <c r="R635">
        <v>1.94</v>
      </c>
    </row>
    <row r="636">
      <c r="A636" s="9">
        <v>39167</v>
      </c>
      <c r="B636" s="2" t="inlineStr">
        <is>
          <t xml:space="preserve">2007-03</t>
        </is>
      </c>
      <c r="C636" s="2" t="inlineStr">
        <is>
          <t xml:space="preserve">2006/07</t>
        </is>
      </c>
      <c r="D636">
        <v>0.0</v>
      </c>
      <c r="E636">
        <v>21.52</v>
      </c>
      <c r="F636">
        <v>29.81</v>
      </c>
      <c r="G636">
        <v>15.09</v>
      </c>
      <c r="H636">
        <v>0.23</v>
      </c>
      <c r="I636">
        <v>0.0</v>
      </c>
      <c r="J636">
        <v>21.36</v>
      </c>
      <c r="K636">
        <v>29.48</v>
      </c>
      <c r="L636">
        <v>15.06</v>
      </c>
      <c r="M636">
        <v>0.05</v>
      </c>
      <c r="N636">
        <v>0.026</v>
      </c>
      <c r="O636">
        <v>20.07</v>
      </c>
      <c r="P636">
        <v>25.88</v>
      </c>
      <c r="Q636">
        <v>15.44</v>
      </c>
      <c r="R636">
        <v>0.07</v>
      </c>
    </row>
    <row r="637">
      <c r="A637" s="9">
        <v>39168</v>
      </c>
      <c r="B637" s="2" t="inlineStr">
        <is>
          <t xml:space="preserve">2007-03</t>
        </is>
      </c>
      <c r="C637" s="2" t="inlineStr">
        <is>
          <t xml:space="preserve">2006/07</t>
        </is>
      </c>
      <c r="D637">
        <v>0.036</v>
      </c>
      <c r="E637">
        <v>22.95</v>
      </c>
      <c r="F637">
        <v>31.37</v>
      </c>
      <c r="G637">
        <v>16.56</v>
      </c>
      <c r="H637">
        <v>1.95</v>
      </c>
      <c r="I637">
        <v>0.0</v>
      </c>
      <c r="J637">
        <v>23.23</v>
      </c>
      <c r="K637">
        <v>31.04</v>
      </c>
      <c r="L637">
        <v>16.99</v>
      </c>
      <c r="M637">
        <v>0.2</v>
      </c>
      <c r="N637">
        <v>0.125</v>
      </c>
      <c r="O637">
        <v>21.71</v>
      </c>
      <c r="P637">
        <v>28.29</v>
      </c>
      <c r="Q637">
        <v>16.78</v>
      </c>
      <c r="R637">
        <v>0.37</v>
      </c>
    </row>
    <row r="638">
      <c r="A638" s="9">
        <v>39169</v>
      </c>
      <c r="B638" s="2" t="inlineStr">
        <is>
          <t xml:space="preserve">2007-03</t>
        </is>
      </c>
      <c r="C638" s="2" t="inlineStr">
        <is>
          <t xml:space="preserve">2006/07</t>
        </is>
      </c>
      <c r="D638">
        <v>1.612</v>
      </c>
      <c r="E638">
        <v>23.13</v>
      </c>
      <c r="F638">
        <v>30.35</v>
      </c>
      <c r="G638">
        <v>18.02</v>
      </c>
      <c r="H638">
        <v>1.16</v>
      </c>
      <c r="I638">
        <v>0.037</v>
      </c>
      <c r="J638">
        <v>22.91</v>
      </c>
      <c r="K638">
        <v>28.51</v>
      </c>
      <c r="L638">
        <v>18.32</v>
      </c>
      <c r="M638">
        <v>0.17</v>
      </c>
      <c r="N638">
        <v>0.113</v>
      </c>
      <c r="O638">
        <v>22.22</v>
      </c>
      <c r="P638">
        <v>28.08</v>
      </c>
      <c r="Q638">
        <v>17.79</v>
      </c>
      <c r="R638">
        <v>0.55</v>
      </c>
    </row>
    <row r="639">
      <c r="A639" s="9">
        <v>39170</v>
      </c>
      <c r="B639" s="2" t="inlineStr">
        <is>
          <t xml:space="preserve">2007-03</t>
        </is>
      </c>
      <c r="C639" s="2" t="inlineStr">
        <is>
          <t xml:space="preserve">2006/07</t>
        </is>
      </c>
      <c r="D639">
        <v>0.036</v>
      </c>
      <c r="E639">
        <v>23.74</v>
      </c>
      <c r="F639">
        <v>30.46</v>
      </c>
      <c r="G639">
        <v>18.73</v>
      </c>
      <c r="H639">
        <v>0.19</v>
      </c>
      <c r="I639">
        <v>0.0</v>
      </c>
      <c r="J639">
        <v>24.52</v>
      </c>
      <c r="K639">
        <v>30.9</v>
      </c>
      <c r="L639">
        <v>19.83</v>
      </c>
      <c r="M639">
        <v>0.09</v>
      </c>
      <c r="N639">
        <v>0.0</v>
      </c>
      <c r="O639">
        <v>22.96</v>
      </c>
      <c r="P639">
        <v>29.05</v>
      </c>
      <c r="Q639">
        <v>18.62</v>
      </c>
      <c r="R639">
        <v>0.14</v>
      </c>
    </row>
    <row r="640">
      <c r="A640" s="9">
        <v>39171</v>
      </c>
      <c r="B640" s="2" t="inlineStr">
        <is>
          <t xml:space="preserve">2007-03</t>
        </is>
      </c>
      <c r="C640" s="2" t="inlineStr">
        <is>
          <t xml:space="preserve">2006/07</t>
        </is>
      </c>
      <c r="D640">
        <v>0.0</v>
      </c>
      <c r="E640">
        <v>24.01</v>
      </c>
      <c r="F640">
        <v>31.45</v>
      </c>
      <c r="G640">
        <v>18.58</v>
      </c>
      <c r="H640">
        <v>0.14</v>
      </c>
      <c r="I640">
        <v>0.207</v>
      </c>
      <c r="J640">
        <v>24.08</v>
      </c>
      <c r="K640">
        <v>30.28</v>
      </c>
      <c r="L640">
        <v>19.56</v>
      </c>
      <c r="M640">
        <v>0.17</v>
      </c>
      <c r="N640">
        <v>0.215</v>
      </c>
      <c r="O640">
        <v>22.65</v>
      </c>
      <c r="P640">
        <v>28.14</v>
      </c>
      <c r="Q640">
        <v>19.12</v>
      </c>
      <c r="R640">
        <v>0.31</v>
      </c>
    </row>
    <row r="641">
      <c r="A641" s="9">
        <v>39172</v>
      </c>
      <c r="B641" s="2" t="inlineStr">
        <is>
          <t xml:space="preserve">2007-03</t>
        </is>
      </c>
      <c r="C641" s="2" t="inlineStr">
        <is>
          <t xml:space="preserve">2006/07</t>
        </is>
      </c>
      <c r="D641">
        <v>0.064</v>
      </c>
      <c r="E641">
        <v>25.09</v>
      </c>
      <c r="F641">
        <v>32.3</v>
      </c>
      <c r="G641">
        <v>19.37</v>
      </c>
      <c r="H641">
        <v>0.34</v>
      </c>
      <c r="I641">
        <v>0.0</v>
      </c>
      <c r="J641">
        <v>24.23</v>
      </c>
      <c r="K641">
        <v>29.91</v>
      </c>
      <c r="L641">
        <v>19.1</v>
      </c>
      <c r="M641">
        <v>0.03</v>
      </c>
      <c r="N641">
        <v>0.0</v>
      </c>
      <c r="O641">
        <v>23.46</v>
      </c>
      <c r="P641">
        <v>28.95</v>
      </c>
      <c r="Q641">
        <v>19.92</v>
      </c>
      <c r="R641">
        <v>0.08</v>
      </c>
    </row>
    <row r="642">
      <c r="A642" s="9">
        <v>39173</v>
      </c>
      <c r="B642" s="2" t="inlineStr">
        <is>
          <t xml:space="preserve">2007-04</t>
        </is>
      </c>
      <c r="C642" s="2" t="inlineStr">
        <is>
          <t xml:space="preserve">2006/07</t>
        </is>
      </c>
      <c r="D642">
        <v>0.0</v>
      </c>
      <c r="E642">
        <v>24.86</v>
      </c>
      <c r="F642">
        <v>32.32</v>
      </c>
      <c r="G642">
        <v>19.81</v>
      </c>
      <c r="H642">
        <v>1.29</v>
      </c>
      <c r="I642">
        <v>0.0</v>
      </c>
      <c r="J642">
        <v>25.03</v>
      </c>
      <c r="K642">
        <v>31.14</v>
      </c>
      <c r="L642">
        <v>19.87</v>
      </c>
      <c r="M642">
        <v>1.04</v>
      </c>
      <c r="N642">
        <v>0.043</v>
      </c>
      <c r="O642">
        <v>23.56</v>
      </c>
      <c r="P642">
        <v>29.0</v>
      </c>
      <c r="Q642">
        <v>19.51</v>
      </c>
      <c r="R642">
        <v>1.81</v>
      </c>
    </row>
    <row r="643">
      <c r="A643" s="9">
        <v>39174</v>
      </c>
      <c r="B643" s="2" t="inlineStr">
        <is>
          <t xml:space="preserve">2007-04</t>
        </is>
      </c>
      <c r="C643" s="2" t="inlineStr">
        <is>
          <t xml:space="preserve">2006/07</t>
        </is>
      </c>
      <c r="D643">
        <v>8.108</v>
      </c>
      <c r="E643">
        <v>24.66</v>
      </c>
      <c r="F643">
        <v>32.78</v>
      </c>
      <c r="G643">
        <v>18.13</v>
      </c>
      <c r="H643">
        <v>2.66</v>
      </c>
      <c r="I643">
        <v>1.649</v>
      </c>
      <c r="J643">
        <v>25.06</v>
      </c>
      <c r="K643">
        <v>31.62</v>
      </c>
      <c r="L643">
        <v>20.86</v>
      </c>
      <c r="M643">
        <v>2.03</v>
      </c>
      <c r="N643">
        <v>1.083</v>
      </c>
      <c r="O643">
        <v>23.6</v>
      </c>
      <c r="P643">
        <v>29.92</v>
      </c>
      <c r="Q643">
        <v>19.95</v>
      </c>
      <c r="R643">
        <v>4.78</v>
      </c>
    </row>
    <row r="644">
      <c r="A644" s="9">
        <v>39175</v>
      </c>
      <c r="B644" s="2" t="inlineStr">
        <is>
          <t xml:space="preserve">2007-04</t>
        </is>
      </c>
      <c r="C644" s="2" t="inlineStr">
        <is>
          <t xml:space="preserve">2006/07</t>
        </is>
      </c>
      <c r="D644">
        <v>0.0</v>
      </c>
      <c r="E644">
        <v>24.85</v>
      </c>
      <c r="F644">
        <v>31.9</v>
      </c>
      <c r="G644">
        <v>18.8</v>
      </c>
      <c r="H644">
        <v>0.02</v>
      </c>
      <c r="I644">
        <v>0.021</v>
      </c>
      <c r="J644">
        <v>24.97</v>
      </c>
      <c r="K644">
        <v>31.56</v>
      </c>
      <c r="L644">
        <v>19.49</v>
      </c>
      <c r="M644">
        <v>0.14</v>
      </c>
      <c r="N644">
        <v>0.092</v>
      </c>
      <c r="O644">
        <v>23.4</v>
      </c>
      <c r="P644">
        <v>29.3</v>
      </c>
      <c r="Q644">
        <v>19.29</v>
      </c>
      <c r="R644">
        <v>0.49</v>
      </c>
    </row>
    <row r="645">
      <c r="A645" s="9">
        <v>39176</v>
      </c>
      <c r="B645" s="2" t="inlineStr">
        <is>
          <t xml:space="preserve">2007-04</t>
        </is>
      </c>
      <c r="C645" s="2" t="inlineStr">
        <is>
          <t xml:space="preserve">2006/07</t>
        </is>
      </c>
      <c r="D645">
        <v>0.0</v>
      </c>
      <c r="E645">
        <v>23.45</v>
      </c>
      <c r="F645">
        <v>28.66</v>
      </c>
      <c r="G645">
        <v>19.56</v>
      </c>
      <c r="H645">
        <v>0.35</v>
      </c>
      <c r="I645">
        <v>0.0</v>
      </c>
      <c r="J645">
        <v>23.99</v>
      </c>
      <c r="K645">
        <v>30.21</v>
      </c>
      <c r="L645">
        <v>20.17</v>
      </c>
      <c r="M645">
        <v>0.03</v>
      </c>
      <c r="N645">
        <v>0.0</v>
      </c>
      <c r="O645">
        <v>22.7</v>
      </c>
      <c r="P645">
        <v>28.93</v>
      </c>
      <c r="Q645">
        <v>19.23</v>
      </c>
      <c r="R645">
        <v>0.02</v>
      </c>
    </row>
    <row r="646">
      <c r="A646" s="9">
        <v>39177</v>
      </c>
      <c r="B646" s="2" t="inlineStr">
        <is>
          <t xml:space="preserve">2007-04</t>
        </is>
      </c>
      <c r="C646" s="2" t="inlineStr">
        <is>
          <t xml:space="preserve">2006/07</t>
        </is>
      </c>
      <c r="D646">
        <v>0.416</v>
      </c>
      <c r="E646">
        <v>22.31</v>
      </c>
      <c r="F646">
        <v>27.41</v>
      </c>
      <c r="G646">
        <v>18.13</v>
      </c>
      <c r="H646">
        <v>0.54</v>
      </c>
      <c r="I646">
        <v>0.0</v>
      </c>
      <c r="J646">
        <v>24.33</v>
      </c>
      <c r="K646">
        <v>31.18</v>
      </c>
      <c r="L646">
        <v>19.2</v>
      </c>
      <c r="M646">
        <v>0.29</v>
      </c>
      <c r="N646">
        <v>0.0</v>
      </c>
      <c r="O646">
        <v>22.43</v>
      </c>
      <c r="P646">
        <v>28.34</v>
      </c>
      <c r="Q646">
        <v>18.9</v>
      </c>
      <c r="R646">
        <v>1.14</v>
      </c>
    </row>
    <row r="647">
      <c r="A647" s="9">
        <v>39178</v>
      </c>
      <c r="B647" s="2" t="inlineStr">
        <is>
          <t xml:space="preserve">2007-04</t>
        </is>
      </c>
      <c r="C647" s="2" t="inlineStr">
        <is>
          <t xml:space="preserve">2006/07</t>
        </is>
      </c>
      <c r="D647">
        <v>0.0</v>
      </c>
      <c r="E647">
        <v>21.78</v>
      </c>
      <c r="F647">
        <v>29.42</v>
      </c>
      <c r="G647">
        <v>15.21</v>
      </c>
      <c r="H647">
        <v>0.72</v>
      </c>
      <c r="I647">
        <v>0.606</v>
      </c>
      <c r="J647">
        <v>22.77</v>
      </c>
      <c r="K647">
        <v>29.52</v>
      </c>
      <c r="L647">
        <v>18.41</v>
      </c>
      <c r="M647">
        <v>0.67</v>
      </c>
      <c r="N647">
        <v>0.971</v>
      </c>
      <c r="O647">
        <v>21.19</v>
      </c>
      <c r="P647">
        <v>27.08</v>
      </c>
      <c r="Q647">
        <v>17.6</v>
      </c>
      <c r="R647">
        <v>1.14</v>
      </c>
    </row>
    <row r="648">
      <c r="A648" s="9">
        <v>39179</v>
      </c>
      <c r="B648" s="2" t="inlineStr">
        <is>
          <t xml:space="preserve">2007-04</t>
        </is>
      </c>
      <c r="C648" s="2" t="inlineStr">
        <is>
          <t xml:space="preserve">2006/07</t>
        </is>
      </c>
      <c r="D648">
        <v>0.0</v>
      </c>
      <c r="E648">
        <v>22.53</v>
      </c>
      <c r="F648">
        <v>29.81</v>
      </c>
      <c r="G648">
        <v>16.03</v>
      </c>
      <c r="H648">
        <v>0.52</v>
      </c>
      <c r="I648">
        <v>0.045</v>
      </c>
      <c r="J648">
        <v>23.22</v>
      </c>
      <c r="K648">
        <v>30.47</v>
      </c>
      <c r="L648">
        <v>17.19</v>
      </c>
      <c r="M648">
        <v>0.23</v>
      </c>
      <c r="N648">
        <v>0.141</v>
      </c>
      <c r="O648">
        <v>21.66</v>
      </c>
      <c r="P648">
        <v>27.64</v>
      </c>
      <c r="Q648">
        <v>17.13</v>
      </c>
      <c r="R648">
        <v>0.49</v>
      </c>
    </row>
    <row r="649">
      <c r="A649" s="9">
        <v>39180</v>
      </c>
      <c r="B649" s="2" t="inlineStr">
        <is>
          <t xml:space="preserve">2007-04</t>
        </is>
      </c>
      <c r="C649" s="2" t="inlineStr">
        <is>
          <t xml:space="preserve">2006/07</t>
        </is>
      </c>
      <c r="D649">
        <v>0.799</v>
      </c>
      <c r="E649">
        <v>23.89</v>
      </c>
      <c r="F649">
        <v>32.39</v>
      </c>
      <c r="G649">
        <v>17.38</v>
      </c>
      <c r="H649">
        <v>3.58</v>
      </c>
      <c r="I649">
        <v>0.0</v>
      </c>
      <c r="J649">
        <v>25.11</v>
      </c>
      <c r="K649">
        <v>33.03</v>
      </c>
      <c r="L649">
        <v>18.39</v>
      </c>
      <c r="M649">
        <v>5.21</v>
      </c>
      <c r="N649">
        <v>0.0</v>
      </c>
      <c r="O649">
        <v>23.3</v>
      </c>
      <c r="P649">
        <v>30.39</v>
      </c>
      <c r="Q649">
        <v>17.98</v>
      </c>
      <c r="R649">
        <v>3.37</v>
      </c>
    </row>
    <row r="650">
      <c r="A650" s="9">
        <v>39181</v>
      </c>
      <c r="B650" s="2" t="inlineStr">
        <is>
          <t xml:space="preserve">2007-04</t>
        </is>
      </c>
      <c r="C650" s="2" t="inlineStr">
        <is>
          <t xml:space="preserve">2006/07</t>
        </is>
      </c>
      <c r="D650">
        <v>17.822</v>
      </c>
      <c r="E650">
        <v>23.34</v>
      </c>
      <c r="F650">
        <v>29.17</v>
      </c>
      <c r="G650">
        <v>19.85</v>
      </c>
      <c r="H650">
        <v>8.65</v>
      </c>
      <c r="I650">
        <v>18.909</v>
      </c>
      <c r="J650">
        <v>24.49</v>
      </c>
      <c r="K650">
        <v>31.48</v>
      </c>
      <c r="L650">
        <v>19.61</v>
      </c>
      <c r="M650">
        <v>11.76</v>
      </c>
      <c r="N650">
        <v>15.967</v>
      </c>
      <c r="O650">
        <v>23.61</v>
      </c>
      <c r="P650">
        <v>29.36</v>
      </c>
      <c r="Q650">
        <v>19.64</v>
      </c>
      <c r="R650">
        <v>11.3</v>
      </c>
    </row>
    <row r="651">
      <c r="A651" s="9">
        <v>39182</v>
      </c>
      <c r="B651" s="2" t="inlineStr">
        <is>
          <t xml:space="preserve">2007-04</t>
        </is>
      </c>
      <c r="C651" s="2" t="inlineStr">
        <is>
          <t xml:space="preserve">2006/07</t>
        </is>
      </c>
      <c r="D651">
        <v>0.025</v>
      </c>
      <c r="E651">
        <v>25.04</v>
      </c>
      <c r="F651">
        <v>33.7</v>
      </c>
      <c r="G651">
        <v>18.55</v>
      </c>
      <c r="H651">
        <v>0.01</v>
      </c>
      <c r="I651">
        <v>0.0</v>
      </c>
      <c r="J651">
        <v>24.03</v>
      </c>
      <c r="K651">
        <v>31.92</v>
      </c>
      <c r="L651">
        <v>17.77</v>
      </c>
      <c r="M651">
        <v>0.0</v>
      </c>
      <c r="N651">
        <v>0.0</v>
      </c>
      <c r="O651">
        <v>24.18</v>
      </c>
      <c r="P651">
        <v>31.45</v>
      </c>
      <c r="Q651">
        <v>18.12</v>
      </c>
      <c r="R651">
        <v>0.0</v>
      </c>
    </row>
    <row r="652">
      <c r="A652" s="9">
        <v>39183</v>
      </c>
      <c r="B652" s="2" t="inlineStr">
        <is>
          <t xml:space="preserve">2007-04</t>
        </is>
      </c>
      <c r="C652" s="2" t="inlineStr">
        <is>
          <t xml:space="preserve">2006/07</t>
        </is>
      </c>
      <c r="D652">
        <v>0.0</v>
      </c>
      <c r="E652">
        <v>25.52</v>
      </c>
      <c r="F652">
        <v>34.66</v>
      </c>
      <c r="G652">
        <v>17.5</v>
      </c>
      <c r="H652">
        <v>0.04</v>
      </c>
      <c r="I652">
        <v>0.0</v>
      </c>
      <c r="J652">
        <v>24.64</v>
      </c>
      <c r="K652">
        <v>33.35</v>
      </c>
      <c r="L652">
        <v>18.3</v>
      </c>
      <c r="M652">
        <v>0.01</v>
      </c>
      <c r="N652">
        <v>0.0</v>
      </c>
      <c r="O652">
        <v>25.53</v>
      </c>
      <c r="P652">
        <v>33.98</v>
      </c>
      <c r="Q652">
        <v>18.73</v>
      </c>
      <c r="R652">
        <v>0.0</v>
      </c>
    </row>
    <row r="653">
      <c r="A653" s="9">
        <v>39184</v>
      </c>
      <c r="B653" s="2" t="inlineStr">
        <is>
          <t xml:space="preserve">2007-04</t>
        </is>
      </c>
      <c r="C653" s="2" t="inlineStr">
        <is>
          <t xml:space="preserve">2006/07</t>
        </is>
      </c>
      <c r="D653">
        <v>1.544</v>
      </c>
      <c r="E653">
        <v>26.45</v>
      </c>
      <c r="F653">
        <v>35.4</v>
      </c>
      <c r="G653">
        <v>18.58</v>
      </c>
      <c r="H653">
        <v>0.94</v>
      </c>
      <c r="I653">
        <v>1.662</v>
      </c>
      <c r="J653">
        <v>25.97</v>
      </c>
      <c r="K653">
        <v>35.23</v>
      </c>
      <c r="L653">
        <v>18.47</v>
      </c>
      <c r="M653">
        <v>2.19</v>
      </c>
      <c r="N653">
        <v>0.517</v>
      </c>
      <c r="O653">
        <v>25.56</v>
      </c>
      <c r="P653">
        <v>34.38</v>
      </c>
      <c r="Q653">
        <v>18.3</v>
      </c>
      <c r="R653">
        <v>1.69</v>
      </c>
    </row>
    <row r="654">
      <c r="A654" s="9">
        <v>39185</v>
      </c>
      <c r="B654" s="2" t="inlineStr">
        <is>
          <t xml:space="preserve">2007-04</t>
        </is>
      </c>
      <c r="C654" s="2" t="inlineStr">
        <is>
          <t xml:space="preserve">2006/07</t>
        </is>
      </c>
      <c r="D654">
        <v>0.036</v>
      </c>
      <c r="E654">
        <v>25.81</v>
      </c>
      <c r="F654">
        <v>32.19</v>
      </c>
      <c r="G654">
        <v>20.47</v>
      </c>
      <c r="H654">
        <v>0.27</v>
      </c>
      <c r="I654">
        <v>6.121</v>
      </c>
      <c r="J654">
        <v>24.64</v>
      </c>
      <c r="K654">
        <v>29.22</v>
      </c>
      <c r="L654">
        <v>21.57</v>
      </c>
      <c r="M654">
        <v>4.53</v>
      </c>
      <c r="N654">
        <v>9.267</v>
      </c>
      <c r="O654">
        <v>26.08</v>
      </c>
      <c r="P654">
        <v>32.7</v>
      </c>
      <c r="Q654">
        <v>21.45</v>
      </c>
      <c r="R654">
        <v>4.52</v>
      </c>
    </row>
    <row r="655">
      <c r="A655" s="9">
        <v>39186</v>
      </c>
      <c r="B655" s="2" t="inlineStr">
        <is>
          <t xml:space="preserve">2007-04</t>
        </is>
      </c>
      <c r="C655" s="2" t="inlineStr">
        <is>
          <t xml:space="preserve">2006/07</t>
        </is>
      </c>
      <c r="D655">
        <v>0.025</v>
      </c>
      <c r="E655">
        <v>26.67</v>
      </c>
      <c r="F655">
        <v>35.2</v>
      </c>
      <c r="G655">
        <v>19.6</v>
      </c>
      <c r="H655">
        <v>0.02</v>
      </c>
      <c r="I655">
        <v>0.0</v>
      </c>
      <c r="J655">
        <v>24.64</v>
      </c>
      <c r="K655">
        <v>30.33</v>
      </c>
      <c r="L655">
        <v>19.82</v>
      </c>
      <c r="M655">
        <v>0.01</v>
      </c>
      <c r="N655">
        <v>0.0</v>
      </c>
      <c r="O655">
        <v>25.85</v>
      </c>
      <c r="P655">
        <v>32.06</v>
      </c>
      <c r="Q655">
        <v>20.02</v>
      </c>
      <c r="R655">
        <v>0.01</v>
      </c>
    </row>
    <row r="656">
      <c r="A656" s="9">
        <v>39187</v>
      </c>
      <c r="B656" s="2" t="inlineStr">
        <is>
          <t xml:space="preserve">2007-04</t>
        </is>
      </c>
      <c r="C656" s="2" t="inlineStr">
        <is>
          <t xml:space="preserve">2006/07</t>
        </is>
      </c>
      <c r="D656">
        <v>0.025</v>
      </c>
      <c r="E656">
        <v>25.06</v>
      </c>
      <c r="F656">
        <v>31.48</v>
      </c>
      <c r="G656">
        <v>20.43</v>
      </c>
      <c r="H656">
        <v>1.32</v>
      </c>
      <c r="I656">
        <v>0.0</v>
      </c>
      <c r="J656">
        <v>24.42</v>
      </c>
      <c r="K656">
        <v>29.68</v>
      </c>
      <c r="L656">
        <v>19.26</v>
      </c>
      <c r="M656">
        <v>0.27</v>
      </c>
      <c r="N656">
        <v>0.0</v>
      </c>
      <c r="O656">
        <v>23.57</v>
      </c>
      <c r="P656">
        <v>27.54</v>
      </c>
      <c r="Q656">
        <v>20.58</v>
      </c>
      <c r="R656">
        <v>0.25</v>
      </c>
    </row>
    <row r="657">
      <c r="A657" s="9">
        <v>39188</v>
      </c>
      <c r="B657" s="2" t="inlineStr">
        <is>
          <t xml:space="preserve">2007-04</t>
        </is>
      </c>
      <c r="C657" s="2" t="inlineStr">
        <is>
          <t xml:space="preserve">2006/07</t>
        </is>
      </c>
      <c r="D657">
        <v>1.126</v>
      </c>
      <c r="E657">
        <v>22.5</v>
      </c>
      <c r="F657">
        <v>28.82</v>
      </c>
      <c r="G657">
        <v>17.33</v>
      </c>
      <c r="H657">
        <v>4.88</v>
      </c>
      <c r="I657">
        <v>0.69</v>
      </c>
      <c r="J657">
        <v>21.23</v>
      </c>
      <c r="K657">
        <v>26.26</v>
      </c>
      <c r="L657">
        <v>17.12</v>
      </c>
      <c r="M657">
        <v>0.44</v>
      </c>
      <c r="N657">
        <v>0.359</v>
      </c>
      <c r="O657">
        <v>20.92</v>
      </c>
      <c r="P657">
        <v>25.53</v>
      </c>
      <c r="Q657">
        <v>17.78</v>
      </c>
      <c r="R657">
        <v>0.29</v>
      </c>
    </row>
    <row r="658">
      <c r="A658" s="9">
        <v>39189</v>
      </c>
      <c r="B658" s="2" t="inlineStr">
        <is>
          <t xml:space="preserve">2007-04</t>
        </is>
      </c>
      <c r="C658" s="2" t="inlineStr">
        <is>
          <t xml:space="preserve">2006/07</t>
        </is>
      </c>
      <c r="D658">
        <v>0.025</v>
      </c>
      <c r="E658">
        <v>24.77</v>
      </c>
      <c r="F658">
        <v>34.74</v>
      </c>
      <c r="G658">
        <v>16.25</v>
      </c>
      <c r="H658">
        <v>0.14</v>
      </c>
      <c r="I658">
        <v>0.0</v>
      </c>
      <c r="J658">
        <v>24.7</v>
      </c>
      <c r="K658">
        <v>34.34</v>
      </c>
      <c r="L658">
        <v>16.5</v>
      </c>
      <c r="M658">
        <v>0.01</v>
      </c>
      <c r="N658">
        <v>0.0</v>
      </c>
      <c r="O658">
        <v>22.96</v>
      </c>
      <c r="P658">
        <v>32.04</v>
      </c>
      <c r="Q658">
        <v>16.26</v>
      </c>
      <c r="R658">
        <v>0.01</v>
      </c>
    </row>
    <row r="659">
      <c r="A659" s="9">
        <v>39190</v>
      </c>
      <c r="B659" s="2" t="inlineStr">
        <is>
          <t xml:space="preserve">2007-04</t>
        </is>
      </c>
      <c r="C659" s="2" t="inlineStr">
        <is>
          <t xml:space="preserve">2006/07</t>
        </is>
      </c>
      <c r="D659">
        <v>0.0</v>
      </c>
      <c r="E659">
        <v>26.94</v>
      </c>
      <c r="F659">
        <v>36.13</v>
      </c>
      <c r="G659">
        <v>18.37</v>
      </c>
      <c r="H659">
        <v>0.42</v>
      </c>
      <c r="I659">
        <v>0.0</v>
      </c>
      <c r="J659">
        <v>26.74</v>
      </c>
      <c r="K659">
        <v>36.02</v>
      </c>
      <c r="L659">
        <v>18.17</v>
      </c>
      <c r="M659">
        <v>0.02</v>
      </c>
      <c r="N659">
        <v>0.0</v>
      </c>
      <c r="O659">
        <v>26.32</v>
      </c>
      <c r="P659">
        <v>36.03</v>
      </c>
      <c r="Q659">
        <v>18.16</v>
      </c>
      <c r="R659">
        <v>0.03</v>
      </c>
    </row>
    <row r="660">
      <c r="A660" s="9">
        <v>39191</v>
      </c>
      <c r="B660" s="2" t="inlineStr">
        <is>
          <t xml:space="preserve">2007-04</t>
        </is>
      </c>
      <c r="C660" s="2" t="inlineStr">
        <is>
          <t xml:space="preserve">2006/07</t>
        </is>
      </c>
      <c r="D660">
        <v>1.203</v>
      </c>
      <c r="E660">
        <v>27.07</v>
      </c>
      <c r="F660">
        <v>34.61</v>
      </c>
      <c r="G660">
        <v>20.6</v>
      </c>
      <c r="H660">
        <v>0.94</v>
      </c>
      <c r="I660">
        <v>0.904</v>
      </c>
      <c r="J660">
        <v>26.39</v>
      </c>
      <c r="K660">
        <v>34.02</v>
      </c>
      <c r="L660">
        <v>19.62</v>
      </c>
      <c r="M660">
        <v>0.76</v>
      </c>
      <c r="N660">
        <v>0.41</v>
      </c>
      <c r="O660">
        <v>25.38</v>
      </c>
      <c r="P660">
        <v>32.39</v>
      </c>
      <c r="Q660">
        <v>19.29</v>
      </c>
      <c r="R660">
        <v>0.46</v>
      </c>
    </row>
    <row r="661">
      <c r="A661" s="9">
        <v>39192</v>
      </c>
      <c r="B661" s="2" t="inlineStr">
        <is>
          <t xml:space="preserve">2007-04</t>
        </is>
      </c>
      <c r="C661" s="2" t="inlineStr">
        <is>
          <t xml:space="preserve">2006/07</t>
        </is>
      </c>
      <c r="D661">
        <v>2.095</v>
      </c>
      <c r="E661">
        <v>26.31</v>
      </c>
      <c r="F661">
        <v>33.54</v>
      </c>
      <c r="G661">
        <v>20.53</v>
      </c>
      <c r="H661">
        <v>2.69</v>
      </c>
      <c r="I661">
        <v>0.023</v>
      </c>
      <c r="J661">
        <v>25.79</v>
      </c>
      <c r="K661">
        <v>31.68</v>
      </c>
      <c r="L661">
        <v>20.85</v>
      </c>
      <c r="M661">
        <v>0.57</v>
      </c>
      <c r="N661">
        <v>0.028</v>
      </c>
      <c r="O661">
        <v>25.71</v>
      </c>
      <c r="P661">
        <v>32.17</v>
      </c>
      <c r="Q661">
        <v>20.67</v>
      </c>
      <c r="R661">
        <v>0.39</v>
      </c>
    </row>
    <row r="662">
      <c r="A662" s="9">
        <v>39193</v>
      </c>
      <c r="B662" s="2" t="inlineStr">
        <is>
          <t xml:space="preserve">2007-04</t>
        </is>
      </c>
      <c r="C662" s="2" t="inlineStr">
        <is>
          <t xml:space="preserve">2006/07</t>
        </is>
      </c>
      <c r="D662">
        <v>4.864</v>
      </c>
      <c r="E662">
        <v>24.47</v>
      </c>
      <c r="F662">
        <v>30.19</v>
      </c>
      <c r="G662">
        <v>20.69</v>
      </c>
      <c r="H662">
        <v>3.33</v>
      </c>
      <c r="I662">
        <v>2.825</v>
      </c>
      <c r="J662">
        <v>24.2</v>
      </c>
      <c r="K662">
        <v>28.71</v>
      </c>
      <c r="L662">
        <v>21.24</v>
      </c>
      <c r="M662">
        <v>2.14</v>
      </c>
      <c r="N662">
        <v>1.098</v>
      </c>
      <c r="O662">
        <v>24.25</v>
      </c>
      <c r="P662">
        <v>29.29</v>
      </c>
      <c r="Q662">
        <v>20.67</v>
      </c>
      <c r="R662">
        <v>1.32</v>
      </c>
    </row>
    <row r="663">
      <c r="A663" s="9">
        <v>39194</v>
      </c>
      <c r="B663" s="2" t="inlineStr">
        <is>
          <t xml:space="preserve">2007-04</t>
        </is>
      </c>
      <c r="C663" s="2" t="inlineStr">
        <is>
          <t xml:space="preserve">2006/07</t>
        </is>
      </c>
      <c r="D663">
        <v>0.0</v>
      </c>
      <c r="E663">
        <v>25.0</v>
      </c>
      <c r="F663">
        <v>34.0</v>
      </c>
      <c r="G663">
        <v>18.57</v>
      </c>
      <c r="H663">
        <v>0.0</v>
      </c>
      <c r="I663">
        <v>0.734</v>
      </c>
      <c r="J663">
        <v>24.05</v>
      </c>
      <c r="K663">
        <v>30.33</v>
      </c>
      <c r="L663">
        <v>19.15</v>
      </c>
      <c r="M663">
        <v>0.48</v>
      </c>
      <c r="N663">
        <v>0.052</v>
      </c>
      <c r="O663">
        <v>23.86</v>
      </c>
      <c r="P663">
        <v>31.19</v>
      </c>
      <c r="Q663">
        <v>18.63</v>
      </c>
      <c r="R663">
        <v>0.3</v>
      </c>
    </row>
    <row r="664">
      <c r="A664" s="9">
        <v>39195</v>
      </c>
      <c r="B664" s="2" t="inlineStr">
        <is>
          <t xml:space="preserve">2007-04</t>
        </is>
      </c>
      <c r="C664" s="2" t="inlineStr">
        <is>
          <t xml:space="preserve">2006/07</t>
        </is>
      </c>
      <c r="D664">
        <v>0.0</v>
      </c>
      <c r="E664">
        <v>23.58</v>
      </c>
      <c r="F664">
        <v>31.85</v>
      </c>
      <c r="G664">
        <v>17.17</v>
      </c>
      <c r="H664">
        <v>0.01</v>
      </c>
      <c r="I664">
        <v>0.11</v>
      </c>
      <c r="J664">
        <v>23.57</v>
      </c>
      <c r="K664">
        <v>32.13</v>
      </c>
      <c r="L664">
        <v>16.82</v>
      </c>
      <c r="M664">
        <v>0.05</v>
      </c>
      <c r="N664">
        <v>0.164</v>
      </c>
      <c r="O664">
        <v>22.59</v>
      </c>
      <c r="P664">
        <v>29.78</v>
      </c>
      <c r="Q664">
        <v>17.55</v>
      </c>
      <c r="R664">
        <v>0.06</v>
      </c>
    </row>
    <row r="665">
      <c r="A665" s="9">
        <v>39196</v>
      </c>
      <c r="B665" s="2" t="inlineStr">
        <is>
          <t xml:space="preserve">2007-04</t>
        </is>
      </c>
      <c r="C665" s="2" t="inlineStr">
        <is>
          <t xml:space="preserve">2006/07</t>
        </is>
      </c>
      <c r="D665">
        <v>0.0</v>
      </c>
      <c r="E665">
        <v>24.32</v>
      </c>
      <c r="F665">
        <v>32.92</v>
      </c>
      <c r="G665">
        <v>17.79</v>
      </c>
      <c r="H665">
        <v>0.57</v>
      </c>
      <c r="I665">
        <v>0.0</v>
      </c>
      <c r="J665">
        <v>24.54</v>
      </c>
      <c r="K665">
        <v>32.64</v>
      </c>
      <c r="L665">
        <v>17.65</v>
      </c>
      <c r="M665">
        <v>0.05</v>
      </c>
      <c r="N665">
        <v>0.0</v>
      </c>
      <c r="O665">
        <v>23.21</v>
      </c>
      <c r="P665">
        <v>30.7</v>
      </c>
      <c r="Q665">
        <v>17.84</v>
      </c>
      <c r="R665">
        <v>0.04</v>
      </c>
    </row>
    <row r="666">
      <c r="A666" s="9">
        <v>39197</v>
      </c>
      <c r="B666" s="2" t="inlineStr">
        <is>
          <t xml:space="preserve">2007-04</t>
        </is>
      </c>
      <c r="C666" s="2" t="inlineStr">
        <is>
          <t xml:space="preserve">2006/07</t>
        </is>
      </c>
      <c r="D666">
        <v>8.056</v>
      </c>
      <c r="E666">
        <v>22.2</v>
      </c>
      <c r="F666">
        <v>27.69</v>
      </c>
      <c r="G666">
        <v>16.85</v>
      </c>
      <c r="H666">
        <v>11.05</v>
      </c>
      <c r="I666">
        <v>0.094</v>
      </c>
      <c r="J666">
        <v>25.7</v>
      </c>
      <c r="K666">
        <v>34.17</v>
      </c>
      <c r="L666">
        <v>18.03</v>
      </c>
      <c r="M666">
        <v>0.19</v>
      </c>
      <c r="N666">
        <v>0.103</v>
      </c>
      <c r="O666">
        <v>25.05</v>
      </c>
      <c r="P666">
        <v>33.07</v>
      </c>
      <c r="Q666">
        <v>17.47</v>
      </c>
      <c r="R666">
        <v>0.14</v>
      </c>
    </row>
    <row r="667">
      <c r="A667" s="9">
        <v>39198</v>
      </c>
      <c r="B667" s="2" t="inlineStr">
        <is>
          <t xml:space="preserve">2007-04</t>
        </is>
      </c>
      <c r="C667" s="2" t="inlineStr">
        <is>
          <t xml:space="preserve">2006/07</t>
        </is>
      </c>
      <c r="D667">
        <v>2.916</v>
      </c>
      <c r="E667">
        <v>24.19</v>
      </c>
      <c r="F667">
        <v>31.85</v>
      </c>
      <c r="G667">
        <v>18.09</v>
      </c>
      <c r="H667">
        <v>11.57</v>
      </c>
      <c r="I667">
        <v>0.0</v>
      </c>
      <c r="J667">
        <v>26.45</v>
      </c>
      <c r="K667">
        <v>33.64</v>
      </c>
      <c r="L667">
        <v>20.16</v>
      </c>
      <c r="M667">
        <v>0.27</v>
      </c>
      <c r="N667">
        <v>0.0</v>
      </c>
      <c r="O667">
        <v>25.97</v>
      </c>
      <c r="P667">
        <v>33.53</v>
      </c>
      <c r="Q667">
        <v>19.39</v>
      </c>
      <c r="R667">
        <v>0.08</v>
      </c>
    </row>
    <row r="668">
      <c r="A668" s="9">
        <v>39199</v>
      </c>
      <c r="B668" s="2" t="inlineStr">
        <is>
          <t xml:space="preserve">2007-04</t>
        </is>
      </c>
      <c r="C668" s="2" t="inlineStr">
        <is>
          <t xml:space="preserve">2006/07</t>
        </is>
      </c>
      <c r="D668">
        <v>4.369</v>
      </c>
      <c r="E668">
        <v>23.05</v>
      </c>
      <c r="F668">
        <v>26.86</v>
      </c>
      <c r="G668">
        <v>20.08</v>
      </c>
      <c r="H668">
        <v>9.88</v>
      </c>
      <c r="I668">
        <v>1.351</v>
      </c>
      <c r="J668">
        <v>26.28</v>
      </c>
      <c r="K668">
        <v>34.01</v>
      </c>
      <c r="L668">
        <v>19.92</v>
      </c>
      <c r="M668">
        <v>1.96</v>
      </c>
      <c r="N668">
        <v>0.06</v>
      </c>
      <c r="O668">
        <v>25.48</v>
      </c>
      <c r="P668">
        <v>32.82</v>
      </c>
      <c r="Q668">
        <v>19.82</v>
      </c>
      <c r="R668">
        <v>0.64</v>
      </c>
    </row>
    <row r="669">
      <c r="A669" s="9">
        <v>39200</v>
      </c>
      <c r="B669" s="2" t="inlineStr">
        <is>
          <t xml:space="preserve">2007-04</t>
        </is>
      </c>
      <c r="C669" s="2" t="inlineStr">
        <is>
          <t xml:space="preserve">2006/07</t>
        </is>
      </c>
      <c r="D669">
        <v>4.627</v>
      </c>
      <c r="E669">
        <v>24.51</v>
      </c>
      <c r="F669">
        <v>31.66</v>
      </c>
      <c r="G669">
        <v>18.84</v>
      </c>
      <c r="H669">
        <v>1.38</v>
      </c>
      <c r="I669">
        <v>1.33</v>
      </c>
      <c r="J669">
        <v>25.53</v>
      </c>
      <c r="K669">
        <v>31.47</v>
      </c>
      <c r="L669">
        <v>21.12</v>
      </c>
      <c r="M669">
        <v>1.05</v>
      </c>
      <c r="N669">
        <v>0.792</v>
      </c>
      <c r="O669">
        <v>24.37</v>
      </c>
      <c r="P669">
        <v>29.54</v>
      </c>
      <c r="Q669">
        <v>21.35</v>
      </c>
      <c r="R669">
        <v>0.95</v>
      </c>
    </row>
    <row r="670">
      <c r="A670" s="9">
        <v>39201</v>
      </c>
      <c r="B670" s="2" t="inlineStr">
        <is>
          <t xml:space="preserve">2007-04</t>
        </is>
      </c>
      <c r="C670" s="2" t="inlineStr">
        <is>
          <t xml:space="preserve">2006/07</t>
        </is>
      </c>
      <c r="D670">
        <v>0.0</v>
      </c>
      <c r="E670">
        <v>24.3</v>
      </c>
      <c r="F670">
        <v>32.12</v>
      </c>
      <c r="G670">
        <v>18.64</v>
      </c>
      <c r="H670">
        <v>0.01</v>
      </c>
      <c r="I670">
        <v>0.275</v>
      </c>
      <c r="J670">
        <v>25.21</v>
      </c>
      <c r="K670">
        <v>31.79</v>
      </c>
      <c r="L670">
        <v>20.66</v>
      </c>
      <c r="M670">
        <v>0.17</v>
      </c>
      <c r="N670">
        <v>0.057</v>
      </c>
      <c r="O670">
        <v>24.4</v>
      </c>
      <c r="P670">
        <v>30.79</v>
      </c>
      <c r="Q670">
        <v>20.21</v>
      </c>
      <c r="R670">
        <v>0.33</v>
      </c>
    </row>
    <row r="671">
      <c r="A671" s="9">
        <v>39202</v>
      </c>
      <c r="B671" s="2" t="inlineStr">
        <is>
          <t xml:space="preserve">2007-04</t>
        </is>
      </c>
      <c r="C671" s="2" t="inlineStr">
        <is>
          <t xml:space="preserve">2006/07</t>
        </is>
      </c>
      <c r="D671">
        <v>0.0</v>
      </c>
      <c r="E671">
        <v>23.3</v>
      </c>
      <c r="F671">
        <v>30.69</v>
      </c>
      <c r="G671">
        <v>17.92</v>
      </c>
      <c r="H671">
        <v>0.3</v>
      </c>
      <c r="I671">
        <v>0.0</v>
      </c>
      <c r="J671">
        <v>23.89</v>
      </c>
      <c r="K671">
        <v>31.05</v>
      </c>
      <c r="L671">
        <v>18.81</v>
      </c>
      <c r="M671">
        <v>0.0</v>
      </c>
      <c r="N671">
        <v>0.0</v>
      </c>
      <c r="O671">
        <v>23.1</v>
      </c>
      <c r="P671">
        <v>29.27</v>
      </c>
      <c r="Q671">
        <v>18.52</v>
      </c>
      <c r="R671">
        <v>0.0</v>
      </c>
    </row>
    <row r="672">
      <c r="A672" s="9">
        <v>39203</v>
      </c>
      <c r="B672" s="2" t="inlineStr">
        <is>
          <t xml:space="preserve">2007-05</t>
        </is>
      </c>
      <c r="C672" s="2" t="inlineStr">
        <is>
          <t xml:space="preserve">2006/07</t>
        </is>
      </c>
      <c r="D672">
        <v>1.24</v>
      </c>
      <c r="E672">
        <v>22.93</v>
      </c>
      <c r="F672">
        <v>28.6</v>
      </c>
      <c r="G672">
        <v>18.93</v>
      </c>
      <c r="H672">
        <v>0.58</v>
      </c>
      <c r="I672">
        <v>0.0</v>
      </c>
      <c r="J672">
        <v>24.35</v>
      </c>
      <c r="K672">
        <v>30.86</v>
      </c>
      <c r="L672">
        <v>18.85</v>
      </c>
      <c r="M672">
        <v>0.73</v>
      </c>
      <c r="N672">
        <v>0.0</v>
      </c>
      <c r="O672">
        <v>23.4</v>
      </c>
      <c r="P672">
        <v>29.51</v>
      </c>
      <c r="Q672">
        <v>19.01</v>
      </c>
      <c r="R672">
        <v>0.71</v>
      </c>
    </row>
    <row r="673">
      <c r="A673" s="9">
        <v>39204</v>
      </c>
      <c r="B673" s="2" t="inlineStr">
        <is>
          <t xml:space="preserve">2007-05</t>
        </is>
      </c>
      <c r="C673" s="2" t="inlineStr">
        <is>
          <t xml:space="preserve">2006/07</t>
        </is>
      </c>
      <c r="D673">
        <v>1.18</v>
      </c>
      <c r="E673">
        <v>24.33</v>
      </c>
      <c r="F673">
        <v>31.17</v>
      </c>
      <c r="G673">
        <v>19.19</v>
      </c>
      <c r="H673">
        <v>0.78</v>
      </c>
      <c r="I673">
        <v>4.391</v>
      </c>
      <c r="J673">
        <v>25.4</v>
      </c>
      <c r="K673">
        <v>32.77</v>
      </c>
      <c r="L673">
        <v>19.56</v>
      </c>
      <c r="M673">
        <v>3.43</v>
      </c>
      <c r="N673">
        <v>5.703</v>
      </c>
      <c r="O673">
        <v>25.39</v>
      </c>
      <c r="P673">
        <v>32.89</v>
      </c>
      <c r="Q673">
        <v>19.45</v>
      </c>
      <c r="R673">
        <v>3.19</v>
      </c>
    </row>
    <row r="674">
      <c r="A674" s="9">
        <v>39205</v>
      </c>
      <c r="B674" s="2" t="inlineStr">
        <is>
          <t xml:space="preserve">2007-05</t>
        </is>
      </c>
      <c r="C674" s="2" t="inlineStr">
        <is>
          <t xml:space="preserve">2006/07</t>
        </is>
      </c>
      <c r="D674">
        <v>2.52</v>
      </c>
      <c r="E674">
        <v>23.92</v>
      </c>
      <c r="F674">
        <v>30.25</v>
      </c>
      <c r="G674">
        <v>18.45</v>
      </c>
      <c r="H674">
        <v>1.85</v>
      </c>
      <c r="I674">
        <v>3.296</v>
      </c>
      <c r="J674">
        <v>25.66</v>
      </c>
      <c r="K674">
        <v>33.14</v>
      </c>
      <c r="L674">
        <v>19.27</v>
      </c>
      <c r="M674">
        <v>2.8</v>
      </c>
      <c r="N674">
        <v>3.236</v>
      </c>
      <c r="O674">
        <v>26.32</v>
      </c>
      <c r="P674">
        <v>33.96</v>
      </c>
      <c r="Q674">
        <v>19.29</v>
      </c>
      <c r="R674">
        <v>2.13</v>
      </c>
    </row>
    <row r="675">
      <c r="A675" s="9">
        <v>39206</v>
      </c>
      <c r="B675" s="2" t="inlineStr">
        <is>
          <t xml:space="preserve">2007-05</t>
        </is>
      </c>
      <c r="C675" s="2" t="inlineStr">
        <is>
          <t xml:space="preserve">2006/07</t>
        </is>
      </c>
      <c r="D675">
        <v>0.561</v>
      </c>
      <c r="E675">
        <v>25.59</v>
      </c>
      <c r="F675">
        <v>32.94</v>
      </c>
      <c r="G675">
        <v>18.9</v>
      </c>
      <c r="H675">
        <v>0.84</v>
      </c>
      <c r="I675">
        <v>1.789</v>
      </c>
      <c r="J675">
        <v>26.26</v>
      </c>
      <c r="K675">
        <v>33.47</v>
      </c>
      <c r="L675">
        <v>20.33</v>
      </c>
      <c r="M675">
        <v>1.6</v>
      </c>
      <c r="N675">
        <v>0.879</v>
      </c>
      <c r="O675">
        <v>26.71</v>
      </c>
      <c r="P675">
        <v>33.97</v>
      </c>
      <c r="Q675">
        <v>20.86</v>
      </c>
      <c r="R675">
        <v>1.15</v>
      </c>
    </row>
    <row r="676">
      <c r="A676" s="9">
        <v>39207</v>
      </c>
      <c r="B676" s="2" t="inlineStr">
        <is>
          <t xml:space="preserve">2007-05</t>
        </is>
      </c>
      <c r="C676" s="2" t="inlineStr">
        <is>
          <t xml:space="preserve">2006/07</t>
        </is>
      </c>
      <c r="D676">
        <v>1.54</v>
      </c>
      <c r="E676">
        <v>24.75</v>
      </c>
      <c r="F676">
        <v>29.71</v>
      </c>
      <c r="G676">
        <v>20.12</v>
      </c>
      <c r="H676">
        <v>0.84</v>
      </c>
      <c r="I676">
        <v>0.807</v>
      </c>
      <c r="J676">
        <v>25.06</v>
      </c>
      <c r="K676">
        <v>29.24</v>
      </c>
      <c r="L676">
        <v>21.52</v>
      </c>
      <c r="M676">
        <v>0.69</v>
      </c>
      <c r="N676">
        <v>0.364</v>
      </c>
      <c r="O676">
        <v>25.99</v>
      </c>
      <c r="P676">
        <v>31.9</v>
      </c>
      <c r="Q676">
        <v>21.31</v>
      </c>
      <c r="R676">
        <v>0.47</v>
      </c>
    </row>
    <row r="677">
      <c r="A677" s="9">
        <v>39208</v>
      </c>
      <c r="B677" s="2" t="inlineStr">
        <is>
          <t xml:space="preserve">2007-05</t>
        </is>
      </c>
      <c r="C677" s="2" t="inlineStr">
        <is>
          <t xml:space="preserve">2006/07</t>
        </is>
      </c>
      <c r="D677">
        <v>1.055</v>
      </c>
      <c r="E677">
        <v>24.89</v>
      </c>
      <c r="F677">
        <v>31.24</v>
      </c>
      <c r="G677">
        <v>19.78</v>
      </c>
      <c r="H677">
        <v>2.62</v>
      </c>
      <c r="I677">
        <v>0.602</v>
      </c>
      <c r="J677">
        <v>26.46</v>
      </c>
      <c r="K677">
        <v>34.22</v>
      </c>
      <c r="L677">
        <v>19.6</v>
      </c>
      <c r="M677">
        <v>0.74</v>
      </c>
      <c r="N677">
        <v>0.26</v>
      </c>
      <c r="O677">
        <v>26.13</v>
      </c>
      <c r="P677">
        <v>33.72</v>
      </c>
      <c r="Q677">
        <v>20.66</v>
      </c>
      <c r="R677">
        <v>0.55</v>
      </c>
    </row>
    <row r="678">
      <c r="A678" s="9">
        <v>39209</v>
      </c>
      <c r="B678" s="2" t="inlineStr">
        <is>
          <t xml:space="preserve">2007-05</t>
        </is>
      </c>
      <c r="C678" s="2" t="inlineStr">
        <is>
          <t xml:space="preserve">2006/07</t>
        </is>
      </c>
      <c r="D678">
        <v>3.825</v>
      </c>
      <c r="E678">
        <v>24.32</v>
      </c>
      <c r="F678">
        <v>31.05</v>
      </c>
      <c r="G678">
        <v>19.12</v>
      </c>
      <c r="H678">
        <v>5.63</v>
      </c>
      <c r="I678">
        <v>0.83</v>
      </c>
      <c r="J678">
        <v>26.47</v>
      </c>
      <c r="K678">
        <v>33.55</v>
      </c>
      <c r="L678">
        <v>21.34</v>
      </c>
      <c r="M678">
        <v>1.65</v>
      </c>
      <c r="N678">
        <v>0.252</v>
      </c>
      <c r="O678">
        <v>25.26</v>
      </c>
      <c r="P678">
        <v>31.93</v>
      </c>
      <c r="Q678">
        <v>20.82</v>
      </c>
      <c r="R678">
        <v>0.46</v>
      </c>
    </row>
    <row r="679">
      <c r="A679" s="9">
        <v>39210</v>
      </c>
      <c r="B679" s="2" t="inlineStr">
        <is>
          <t xml:space="preserve">2007-05</t>
        </is>
      </c>
      <c r="C679" s="2" t="inlineStr">
        <is>
          <t xml:space="preserve">2006/07</t>
        </is>
      </c>
      <c r="D679">
        <v>0.37</v>
      </c>
      <c r="E679">
        <v>24.18</v>
      </c>
      <c r="F679">
        <v>31.96</v>
      </c>
      <c r="G679">
        <v>18.65</v>
      </c>
      <c r="H679">
        <v>0.34</v>
      </c>
      <c r="I679">
        <v>0.909</v>
      </c>
      <c r="J679">
        <v>25.13</v>
      </c>
      <c r="K679">
        <v>32.93</v>
      </c>
      <c r="L679">
        <v>19.27</v>
      </c>
      <c r="M679">
        <v>0.48</v>
      </c>
      <c r="N679">
        <v>0.0</v>
      </c>
      <c r="O679">
        <v>24.17</v>
      </c>
      <c r="P679">
        <v>31.43</v>
      </c>
      <c r="Q679">
        <v>18.47</v>
      </c>
      <c r="R679">
        <v>0.04</v>
      </c>
    </row>
    <row r="680">
      <c r="A680" s="9">
        <v>39211</v>
      </c>
      <c r="B680" s="2" t="inlineStr">
        <is>
          <t xml:space="preserve">2007-05</t>
        </is>
      </c>
      <c r="C680" s="2" t="inlineStr">
        <is>
          <t xml:space="preserve">2006/07</t>
        </is>
      </c>
      <c r="D680">
        <v>0.0</v>
      </c>
      <c r="E680">
        <v>24.71</v>
      </c>
      <c r="F680">
        <v>33.02</v>
      </c>
      <c r="G680">
        <v>16.19</v>
      </c>
      <c r="H680">
        <v>0.0</v>
      </c>
      <c r="I680">
        <v>0.0</v>
      </c>
      <c r="J680">
        <v>25.56</v>
      </c>
      <c r="K680">
        <v>34.16</v>
      </c>
      <c r="L680">
        <v>16.84</v>
      </c>
      <c r="M680">
        <v>0.0</v>
      </c>
      <c r="N680">
        <v>0.0</v>
      </c>
      <c r="O680">
        <v>24.2</v>
      </c>
      <c r="P680">
        <v>32.24</v>
      </c>
      <c r="Q680">
        <v>16.63</v>
      </c>
      <c r="R680">
        <v>0.0</v>
      </c>
    </row>
    <row r="681">
      <c r="A681" s="9">
        <v>39212</v>
      </c>
      <c r="B681" s="2" t="inlineStr">
        <is>
          <t xml:space="preserve">2007-05</t>
        </is>
      </c>
      <c r="C681" s="2" t="inlineStr">
        <is>
          <t xml:space="preserve">2006/07</t>
        </is>
      </c>
      <c r="D681">
        <v>0.042</v>
      </c>
      <c r="E681">
        <v>25.04</v>
      </c>
      <c r="F681">
        <v>32.29</v>
      </c>
      <c r="G681">
        <v>17.95</v>
      </c>
      <c r="H681">
        <v>0.11</v>
      </c>
      <c r="I681">
        <v>0.0</v>
      </c>
      <c r="J681">
        <v>26.53</v>
      </c>
      <c r="K681">
        <v>33.71</v>
      </c>
      <c r="L681">
        <v>19.66</v>
      </c>
      <c r="M681">
        <v>0.02</v>
      </c>
      <c r="N681">
        <v>0.0</v>
      </c>
      <c r="O681">
        <v>25.49</v>
      </c>
      <c r="P681">
        <v>33.43</v>
      </c>
      <c r="Q681">
        <v>19.08</v>
      </c>
      <c r="R681">
        <v>0.01</v>
      </c>
    </row>
    <row r="682">
      <c r="A682" s="9">
        <v>39213</v>
      </c>
      <c r="B682" s="2" t="inlineStr">
        <is>
          <t xml:space="preserve">2007-05</t>
        </is>
      </c>
      <c r="C682" s="2" t="inlineStr">
        <is>
          <t xml:space="preserve">2006/07</t>
        </is>
      </c>
      <c r="D682">
        <v>0.0</v>
      </c>
      <c r="E682">
        <v>25.71</v>
      </c>
      <c r="F682">
        <v>33.25</v>
      </c>
      <c r="G682">
        <v>18.43</v>
      </c>
      <c r="H682">
        <v>0.0</v>
      </c>
      <c r="I682">
        <v>0.0</v>
      </c>
      <c r="J682">
        <v>27.11</v>
      </c>
      <c r="K682">
        <v>34.17</v>
      </c>
      <c r="L682">
        <v>20.57</v>
      </c>
      <c r="M682">
        <v>0.01</v>
      </c>
      <c r="N682">
        <v>0.0</v>
      </c>
      <c r="O682">
        <v>25.87</v>
      </c>
      <c r="P682">
        <v>33.18</v>
      </c>
      <c r="Q682">
        <v>20.02</v>
      </c>
      <c r="R682">
        <v>0.0</v>
      </c>
    </row>
    <row r="683">
      <c r="A683" s="9">
        <v>39214</v>
      </c>
      <c r="B683" s="2" t="inlineStr">
        <is>
          <t xml:space="preserve">2007-05</t>
        </is>
      </c>
      <c r="C683" s="2" t="inlineStr">
        <is>
          <t xml:space="preserve">2006/07</t>
        </is>
      </c>
      <c r="D683">
        <v>0.0</v>
      </c>
      <c r="E683">
        <v>25.44</v>
      </c>
      <c r="F683">
        <v>32.92</v>
      </c>
      <c r="G683">
        <v>19.03</v>
      </c>
      <c r="H683">
        <v>0.0</v>
      </c>
      <c r="I683">
        <v>0.0</v>
      </c>
      <c r="J683">
        <v>26.68</v>
      </c>
      <c r="K683">
        <v>34.33</v>
      </c>
      <c r="L683">
        <v>20.75</v>
      </c>
      <c r="M683">
        <v>0.02</v>
      </c>
      <c r="N683">
        <v>0.0</v>
      </c>
      <c r="O683">
        <v>24.95</v>
      </c>
      <c r="P683">
        <v>32.21</v>
      </c>
      <c r="Q683">
        <v>19.17</v>
      </c>
      <c r="R683">
        <v>0.0</v>
      </c>
    </row>
    <row r="684">
      <c r="A684" s="9">
        <v>39215</v>
      </c>
      <c r="B684" s="2" t="inlineStr">
        <is>
          <t xml:space="preserve">2007-05</t>
        </is>
      </c>
      <c r="C684" s="2" t="inlineStr">
        <is>
          <t xml:space="preserve">2006/07</t>
        </is>
      </c>
      <c r="D684">
        <v>0.968</v>
      </c>
      <c r="E684">
        <v>24.53</v>
      </c>
      <c r="F684">
        <v>31.36</v>
      </c>
      <c r="G684">
        <v>18.66</v>
      </c>
      <c r="H684">
        <v>1.74</v>
      </c>
      <c r="I684">
        <v>0.0</v>
      </c>
      <c r="J684">
        <v>26.25</v>
      </c>
      <c r="K684">
        <v>32.84</v>
      </c>
      <c r="L684">
        <v>20.83</v>
      </c>
      <c r="M684">
        <v>0.98</v>
      </c>
      <c r="N684">
        <v>0.056</v>
      </c>
      <c r="O684">
        <v>24.81</v>
      </c>
      <c r="P684">
        <v>30.92</v>
      </c>
      <c r="Q684">
        <v>20.01</v>
      </c>
      <c r="R684">
        <v>0.2</v>
      </c>
    </row>
    <row r="685">
      <c r="A685" s="9">
        <v>39216</v>
      </c>
      <c r="B685" s="2" t="inlineStr">
        <is>
          <t xml:space="preserve">2007-05</t>
        </is>
      </c>
      <c r="C685" s="2" t="inlineStr">
        <is>
          <t xml:space="preserve">2006/07</t>
        </is>
      </c>
      <c r="D685">
        <v>0.975</v>
      </c>
      <c r="E685">
        <v>24.17</v>
      </c>
      <c r="F685">
        <v>30.99</v>
      </c>
      <c r="G685">
        <v>18.37</v>
      </c>
      <c r="H685">
        <v>0.56</v>
      </c>
      <c r="I685">
        <v>2.863</v>
      </c>
      <c r="J685">
        <v>25.34</v>
      </c>
      <c r="K685">
        <v>32.11</v>
      </c>
      <c r="L685">
        <v>20.3</v>
      </c>
      <c r="M685">
        <v>3.64</v>
      </c>
      <c r="N685">
        <v>0.0</v>
      </c>
      <c r="O685">
        <v>24.33</v>
      </c>
      <c r="P685">
        <v>31.17</v>
      </c>
      <c r="Q685">
        <v>19.81</v>
      </c>
      <c r="R685">
        <v>0.34</v>
      </c>
    </row>
    <row r="686">
      <c r="A686" s="9">
        <v>39217</v>
      </c>
      <c r="B686" s="2" t="inlineStr">
        <is>
          <t xml:space="preserve">2007-05</t>
        </is>
      </c>
      <c r="C686" s="2" t="inlineStr">
        <is>
          <t xml:space="preserve">2006/07</t>
        </is>
      </c>
      <c r="D686">
        <v>0.0</v>
      </c>
      <c r="E686">
        <v>24.42</v>
      </c>
      <c r="F686">
        <v>32.21</v>
      </c>
      <c r="G686">
        <v>17.56</v>
      </c>
      <c r="H686">
        <v>0.0</v>
      </c>
      <c r="I686">
        <v>0.0</v>
      </c>
      <c r="J686">
        <v>24.84</v>
      </c>
      <c r="K686">
        <v>31.07</v>
      </c>
      <c r="L686">
        <v>19.16</v>
      </c>
      <c r="M686">
        <v>0.0</v>
      </c>
      <c r="N686">
        <v>0.0</v>
      </c>
      <c r="O686">
        <v>24.24</v>
      </c>
      <c r="P686">
        <v>31.43</v>
      </c>
      <c r="Q686">
        <v>18.62</v>
      </c>
      <c r="R686">
        <v>0.0</v>
      </c>
    </row>
    <row r="687">
      <c r="A687" s="9">
        <v>39218</v>
      </c>
      <c r="B687" s="2" t="inlineStr">
        <is>
          <t xml:space="preserve">2007-05</t>
        </is>
      </c>
      <c r="C687" s="2" t="inlineStr">
        <is>
          <t xml:space="preserve">2006/07</t>
        </is>
      </c>
      <c r="D687">
        <v>0.0</v>
      </c>
      <c r="E687">
        <v>24.1</v>
      </c>
      <c r="F687">
        <v>32.02</v>
      </c>
      <c r="G687">
        <v>17.41</v>
      </c>
      <c r="H687">
        <v>0.04</v>
      </c>
      <c r="I687">
        <v>0.0</v>
      </c>
      <c r="J687">
        <v>25.18</v>
      </c>
      <c r="K687">
        <v>32.19</v>
      </c>
      <c r="L687">
        <v>19.25</v>
      </c>
      <c r="M687">
        <v>0.02</v>
      </c>
      <c r="N687">
        <v>0.0</v>
      </c>
      <c r="O687">
        <v>24.17</v>
      </c>
      <c r="P687">
        <v>31.3</v>
      </c>
      <c r="Q687">
        <v>18.98</v>
      </c>
      <c r="R687">
        <v>0.11</v>
      </c>
    </row>
    <row r="688">
      <c r="A688" s="9">
        <v>39219</v>
      </c>
      <c r="B688" s="2" t="inlineStr">
        <is>
          <t xml:space="preserve">2007-05</t>
        </is>
      </c>
      <c r="C688" s="2" t="inlineStr">
        <is>
          <t xml:space="preserve">2006/07</t>
        </is>
      </c>
      <c r="D688">
        <v>1.886</v>
      </c>
      <c r="E688">
        <v>23.47</v>
      </c>
      <c r="F688">
        <v>31.06</v>
      </c>
      <c r="G688">
        <v>17.31</v>
      </c>
      <c r="H688">
        <v>1.93</v>
      </c>
      <c r="I688">
        <v>0.179</v>
      </c>
      <c r="J688">
        <v>24.73</v>
      </c>
      <c r="K688">
        <v>31.59</v>
      </c>
      <c r="L688">
        <v>18.89</v>
      </c>
      <c r="M688">
        <v>0.59</v>
      </c>
      <c r="N688">
        <v>0.267</v>
      </c>
      <c r="O688">
        <v>23.48</v>
      </c>
      <c r="P688">
        <v>30.29</v>
      </c>
      <c r="Q688">
        <v>18.49</v>
      </c>
      <c r="R688">
        <v>1.2</v>
      </c>
    </row>
    <row r="689">
      <c r="A689" s="9">
        <v>39220</v>
      </c>
      <c r="B689" s="2" t="inlineStr">
        <is>
          <t xml:space="preserve">2007-05</t>
        </is>
      </c>
      <c r="C689" s="2" t="inlineStr">
        <is>
          <t xml:space="preserve">2006/07</t>
        </is>
      </c>
      <c r="D689">
        <v>0.236</v>
      </c>
      <c r="E689">
        <v>23.5</v>
      </c>
      <c r="F689">
        <v>30.38</v>
      </c>
      <c r="G689">
        <v>18.5</v>
      </c>
      <c r="H689">
        <v>1.22</v>
      </c>
      <c r="I689">
        <v>1.455</v>
      </c>
      <c r="J689">
        <v>24.67</v>
      </c>
      <c r="K689">
        <v>31.19</v>
      </c>
      <c r="L689">
        <v>19.38</v>
      </c>
      <c r="M689">
        <v>1.33</v>
      </c>
      <c r="N689">
        <v>2.16</v>
      </c>
      <c r="O689">
        <v>23.86</v>
      </c>
      <c r="P689">
        <v>29.83</v>
      </c>
      <c r="Q689">
        <v>19.48</v>
      </c>
      <c r="R689">
        <v>0.99</v>
      </c>
    </row>
    <row r="690">
      <c r="A690" s="9">
        <v>39221</v>
      </c>
      <c r="B690" s="2" t="inlineStr">
        <is>
          <t xml:space="preserve">2007-05</t>
        </is>
      </c>
      <c r="C690" s="2" t="inlineStr">
        <is>
          <t xml:space="preserve">2006/07</t>
        </is>
      </c>
      <c r="D690">
        <v>0.503</v>
      </c>
      <c r="E690">
        <v>23.08</v>
      </c>
      <c r="F690">
        <v>30.45</v>
      </c>
      <c r="G690">
        <v>18.25</v>
      </c>
      <c r="H690">
        <v>0.83</v>
      </c>
      <c r="I690">
        <v>0.298</v>
      </c>
      <c r="J690">
        <v>24.78</v>
      </c>
      <c r="K690">
        <v>31.73</v>
      </c>
      <c r="L690">
        <v>19.56</v>
      </c>
      <c r="M690">
        <v>0.21</v>
      </c>
      <c r="N690">
        <v>0.0</v>
      </c>
      <c r="O690">
        <v>23.81</v>
      </c>
      <c r="P690">
        <v>29.95</v>
      </c>
      <c r="Q690">
        <v>19.5</v>
      </c>
      <c r="R690">
        <v>0.03</v>
      </c>
    </row>
    <row r="691">
      <c r="A691" s="9">
        <v>39222</v>
      </c>
      <c r="B691" s="2" t="inlineStr">
        <is>
          <t xml:space="preserve">2007-05</t>
        </is>
      </c>
      <c r="C691" s="2" t="inlineStr">
        <is>
          <t xml:space="preserve">2006/07</t>
        </is>
      </c>
      <c r="D691">
        <v>0.0</v>
      </c>
      <c r="E691">
        <v>23.53</v>
      </c>
      <c r="F691">
        <v>29.82</v>
      </c>
      <c r="G691">
        <v>18.14</v>
      </c>
      <c r="H691">
        <v>0.0</v>
      </c>
      <c r="I691">
        <v>0.0</v>
      </c>
      <c r="J691">
        <v>24.91</v>
      </c>
      <c r="K691">
        <v>31.43</v>
      </c>
      <c r="L691">
        <v>18.9</v>
      </c>
      <c r="M691">
        <v>0.0</v>
      </c>
      <c r="N691">
        <v>0.0</v>
      </c>
      <c r="O691">
        <v>23.82</v>
      </c>
      <c r="P691">
        <v>30.06</v>
      </c>
      <c r="Q691">
        <v>18.89</v>
      </c>
      <c r="R691">
        <v>0.05</v>
      </c>
    </row>
    <row r="692">
      <c r="A692" s="9">
        <v>39223</v>
      </c>
      <c r="B692" s="2" t="inlineStr">
        <is>
          <t xml:space="preserve">2007-05</t>
        </is>
      </c>
      <c r="C692" s="2" t="inlineStr">
        <is>
          <t xml:space="preserve">2006/07</t>
        </is>
      </c>
      <c r="D692">
        <v>0.0</v>
      </c>
      <c r="E692">
        <v>25.15</v>
      </c>
      <c r="F692">
        <v>33.46</v>
      </c>
      <c r="G692">
        <v>17.34</v>
      </c>
      <c r="H692">
        <v>0.81</v>
      </c>
      <c r="I692">
        <v>0.0</v>
      </c>
      <c r="J692">
        <v>26.43</v>
      </c>
      <c r="K692">
        <v>34.7</v>
      </c>
      <c r="L692">
        <v>18.63</v>
      </c>
      <c r="M692">
        <v>0.25</v>
      </c>
      <c r="N692">
        <v>0.0</v>
      </c>
      <c r="O692">
        <v>25.03</v>
      </c>
      <c r="P692">
        <v>33.29</v>
      </c>
      <c r="Q692">
        <v>18.38</v>
      </c>
      <c r="R692">
        <v>0.11</v>
      </c>
    </row>
    <row r="693">
      <c r="A693" s="9">
        <v>39224</v>
      </c>
      <c r="B693" s="2" t="inlineStr">
        <is>
          <t xml:space="preserve">2007-05</t>
        </is>
      </c>
      <c r="C693" s="2" t="inlineStr">
        <is>
          <t xml:space="preserve">2006/07</t>
        </is>
      </c>
      <c r="D693">
        <v>1.914</v>
      </c>
      <c r="E693">
        <v>25.65</v>
      </c>
      <c r="F693">
        <v>34.42</v>
      </c>
      <c r="G693">
        <v>18.28</v>
      </c>
      <c r="H693">
        <v>1.49</v>
      </c>
      <c r="I693">
        <v>0.587</v>
      </c>
      <c r="J693">
        <v>26.88</v>
      </c>
      <c r="K693">
        <v>35.68</v>
      </c>
      <c r="L693">
        <v>18.92</v>
      </c>
      <c r="M693">
        <v>0.52</v>
      </c>
      <c r="N693">
        <v>0.333</v>
      </c>
      <c r="O693">
        <v>25.44</v>
      </c>
      <c r="P693">
        <v>33.86</v>
      </c>
      <c r="Q693">
        <v>18.75</v>
      </c>
      <c r="R693">
        <v>0.17</v>
      </c>
    </row>
    <row r="694">
      <c r="A694" s="9">
        <v>39225</v>
      </c>
      <c r="B694" s="2" t="inlineStr">
        <is>
          <t xml:space="preserve">2007-05</t>
        </is>
      </c>
      <c r="C694" s="2" t="inlineStr">
        <is>
          <t xml:space="preserve">2006/07</t>
        </is>
      </c>
      <c r="D694">
        <v>0.0</v>
      </c>
      <c r="E694">
        <v>25.14</v>
      </c>
      <c r="F694">
        <v>32.21</v>
      </c>
      <c r="G694">
        <v>19.67</v>
      </c>
      <c r="H694">
        <v>1.3</v>
      </c>
      <c r="I694">
        <v>0.0</v>
      </c>
      <c r="J694">
        <v>26.84</v>
      </c>
      <c r="K694">
        <v>35.23</v>
      </c>
      <c r="L694">
        <v>18.98</v>
      </c>
      <c r="M694">
        <v>0.08</v>
      </c>
      <c r="N694">
        <v>0.0</v>
      </c>
      <c r="O694">
        <v>25.61</v>
      </c>
      <c r="P694">
        <v>33.85</v>
      </c>
      <c r="Q694">
        <v>18.85</v>
      </c>
      <c r="R694">
        <v>0.02</v>
      </c>
    </row>
    <row r="695">
      <c r="A695" s="9">
        <v>39226</v>
      </c>
      <c r="B695" s="2" t="inlineStr">
        <is>
          <t xml:space="preserve">2007-05</t>
        </is>
      </c>
      <c r="C695" s="2" t="inlineStr">
        <is>
          <t xml:space="preserve">2006/07</t>
        </is>
      </c>
      <c r="D695">
        <v>1.808</v>
      </c>
      <c r="E695">
        <v>25.17</v>
      </c>
      <c r="F695">
        <v>32.28</v>
      </c>
      <c r="G695">
        <v>20.37</v>
      </c>
      <c r="H695">
        <v>1.55</v>
      </c>
      <c r="I695">
        <v>0.0</v>
      </c>
      <c r="J695">
        <v>25.51</v>
      </c>
      <c r="K695">
        <v>30.6</v>
      </c>
      <c r="L695">
        <v>21.3</v>
      </c>
      <c r="M695">
        <v>0.25</v>
      </c>
      <c r="N695">
        <v>0.0</v>
      </c>
      <c r="O695">
        <v>24.85</v>
      </c>
      <c r="P695">
        <v>30.18</v>
      </c>
      <c r="Q695">
        <v>20.85</v>
      </c>
      <c r="R695">
        <v>0.09</v>
      </c>
    </row>
    <row r="696">
      <c r="A696" s="9">
        <v>39227</v>
      </c>
      <c r="B696" s="2" t="inlineStr">
        <is>
          <t xml:space="preserve">2007-05</t>
        </is>
      </c>
      <c r="C696" s="2" t="inlineStr">
        <is>
          <t xml:space="preserve">2006/07</t>
        </is>
      </c>
      <c r="D696">
        <v>0.265</v>
      </c>
      <c r="E696">
        <v>25.12</v>
      </c>
      <c r="F696">
        <v>33.27</v>
      </c>
      <c r="G696">
        <v>19.63</v>
      </c>
      <c r="H696">
        <v>1.01</v>
      </c>
      <c r="I696">
        <v>0.146</v>
      </c>
      <c r="J696">
        <v>25.98</v>
      </c>
      <c r="K696">
        <v>33.69</v>
      </c>
      <c r="L696">
        <v>19.74</v>
      </c>
      <c r="M696">
        <v>0.14</v>
      </c>
      <c r="N696">
        <v>0.165</v>
      </c>
      <c r="O696">
        <v>25.3</v>
      </c>
      <c r="P696">
        <v>32.51</v>
      </c>
      <c r="Q696">
        <v>19.88</v>
      </c>
      <c r="R696">
        <v>0.06</v>
      </c>
    </row>
    <row r="697">
      <c r="A697" s="9">
        <v>39228</v>
      </c>
      <c r="B697" s="2" t="inlineStr">
        <is>
          <t xml:space="preserve">2007-05</t>
        </is>
      </c>
      <c r="C697" s="2" t="inlineStr">
        <is>
          <t xml:space="preserve">2006/07</t>
        </is>
      </c>
      <c r="D697">
        <v>0.291</v>
      </c>
      <c r="E697">
        <v>25.39</v>
      </c>
      <c r="F697">
        <v>33.59</v>
      </c>
      <c r="G697">
        <v>18.12</v>
      </c>
      <c r="H697">
        <v>0.35</v>
      </c>
      <c r="I697">
        <v>0.0</v>
      </c>
      <c r="J697">
        <v>26.44</v>
      </c>
      <c r="K697">
        <v>34.2</v>
      </c>
      <c r="L697">
        <v>19.35</v>
      </c>
      <c r="M697">
        <v>0.79</v>
      </c>
      <c r="N697">
        <v>0.0</v>
      </c>
      <c r="O697">
        <v>25.54</v>
      </c>
      <c r="P697">
        <v>32.82</v>
      </c>
      <c r="Q697">
        <v>19.36</v>
      </c>
      <c r="R697">
        <v>0.31</v>
      </c>
    </row>
    <row r="698">
      <c r="A698" s="9">
        <v>39229</v>
      </c>
      <c r="B698" s="2" t="inlineStr">
        <is>
          <t xml:space="preserve">2007-05</t>
        </is>
      </c>
      <c r="C698" s="2" t="inlineStr">
        <is>
          <t xml:space="preserve">2006/07</t>
        </is>
      </c>
      <c r="D698">
        <v>0.394</v>
      </c>
      <c r="E698">
        <v>25.65</v>
      </c>
      <c r="F698">
        <v>32.76</v>
      </c>
      <c r="G698">
        <v>19.78</v>
      </c>
      <c r="H698">
        <v>0.95</v>
      </c>
      <c r="I698">
        <v>3.038</v>
      </c>
      <c r="J698">
        <v>23.82</v>
      </c>
      <c r="K698">
        <v>27.23</v>
      </c>
      <c r="L698">
        <v>21.29</v>
      </c>
      <c r="M698">
        <v>2.8</v>
      </c>
      <c r="N698">
        <v>0.0</v>
      </c>
      <c r="O698">
        <v>25.41</v>
      </c>
      <c r="P698">
        <v>30.76</v>
      </c>
      <c r="Q698">
        <v>20.12</v>
      </c>
      <c r="R698">
        <v>1.82</v>
      </c>
    </row>
    <row r="699">
      <c r="A699" s="9">
        <v>39230</v>
      </c>
      <c r="B699" s="2" t="inlineStr">
        <is>
          <t xml:space="preserve">2007-05</t>
        </is>
      </c>
      <c r="C699" s="2" t="inlineStr">
        <is>
          <t xml:space="preserve">2006/07</t>
        </is>
      </c>
      <c r="D699">
        <v>6.006</v>
      </c>
      <c r="E699">
        <v>25.07</v>
      </c>
      <c r="F699">
        <v>31.7</v>
      </c>
      <c r="G699">
        <v>20.66</v>
      </c>
      <c r="H699">
        <v>7.42</v>
      </c>
      <c r="I699">
        <v>2.658</v>
      </c>
      <c r="J699">
        <v>24.84</v>
      </c>
      <c r="K699">
        <v>30.93</v>
      </c>
      <c r="L699">
        <v>20.04</v>
      </c>
      <c r="M699">
        <v>5.36</v>
      </c>
      <c r="N699">
        <v>1.628</v>
      </c>
      <c r="O699">
        <v>24.59</v>
      </c>
      <c r="P699">
        <v>29.48</v>
      </c>
      <c r="Q699">
        <v>20.92</v>
      </c>
      <c r="R699">
        <v>5.93</v>
      </c>
    </row>
    <row r="700">
      <c r="A700" s="9">
        <v>39231</v>
      </c>
      <c r="B700" s="2" t="inlineStr">
        <is>
          <t xml:space="preserve">2007-05</t>
        </is>
      </c>
      <c r="C700" s="2" t="inlineStr">
        <is>
          <t xml:space="preserve">2006/07</t>
        </is>
      </c>
      <c r="D700">
        <v>19.806</v>
      </c>
      <c r="E700">
        <v>23.84</v>
      </c>
      <c r="F700">
        <v>29.3</v>
      </c>
      <c r="G700">
        <v>19.95</v>
      </c>
      <c r="H700">
        <v>12.35</v>
      </c>
      <c r="I700">
        <v>6.772</v>
      </c>
      <c r="J700">
        <v>25.21</v>
      </c>
      <c r="K700">
        <v>31.55</v>
      </c>
      <c r="L700">
        <v>20.96</v>
      </c>
      <c r="M700">
        <v>12.4</v>
      </c>
      <c r="N700">
        <v>2.572</v>
      </c>
      <c r="O700">
        <v>25.36</v>
      </c>
      <c r="P700">
        <v>31.89</v>
      </c>
      <c r="Q700">
        <v>20.65</v>
      </c>
      <c r="R700">
        <v>10.62</v>
      </c>
    </row>
    <row r="701">
      <c r="A701" s="9">
        <v>39232</v>
      </c>
      <c r="B701" s="2" t="inlineStr">
        <is>
          <t xml:space="preserve">2007-05</t>
        </is>
      </c>
      <c r="C701" s="2" t="inlineStr">
        <is>
          <t xml:space="preserve">2006/07</t>
        </is>
      </c>
      <c r="D701">
        <v>15.342</v>
      </c>
      <c r="E701">
        <v>22.66</v>
      </c>
      <c r="F701">
        <v>26.17</v>
      </c>
      <c r="G701">
        <v>19.74</v>
      </c>
      <c r="H701">
        <v>17.76</v>
      </c>
      <c r="I701">
        <v>26.99</v>
      </c>
      <c r="J701">
        <v>24.19</v>
      </c>
      <c r="K701">
        <v>29.33</v>
      </c>
      <c r="L701">
        <v>20.54</v>
      </c>
      <c r="M701">
        <v>29.84</v>
      </c>
      <c r="N701">
        <v>33.284</v>
      </c>
      <c r="O701">
        <v>24.92</v>
      </c>
      <c r="P701">
        <v>31.25</v>
      </c>
      <c r="Q701">
        <v>20.82</v>
      </c>
      <c r="R701">
        <v>30.49</v>
      </c>
    </row>
    <row r="702">
      <c r="A702" s="9">
        <v>39233</v>
      </c>
      <c r="B702" s="2" t="inlineStr">
        <is>
          <t xml:space="preserve">2007-05</t>
        </is>
      </c>
      <c r="C702" s="2" t="inlineStr">
        <is>
          <t xml:space="preserve">2006/07</t>
        </is>
      </c>
      <c r="D702">
        <v>14.903</v>
      </c>
      <c r="E702">
        <v>21.44</v>
      </c>
      <c r="F702">
        <v>23.77</v>
      </c>
      <c r="G702">
        <v>19.41</v>
      </c>
      <c r="H702">
        <v>16.24</v>
      </c>
      <c r="I702">
        <v>44.556</v>
      </c>
      <c r="J702">
        <v>21.24</v>
      </c>
      <c r="K702">
        <v>23.33</v>
      </c>
      <c r="L702">
        <v>19.94</v>
      </c>
      <c r="M702">
        <v>26.56</v>
      </c>
      <c r="N702">
        <v>57.067</v>
      </c>
      <c r="O702">
        <v>22.8</v>
      </c>
      <c r="P702">
        <v>26.3</v>
      </c>
      <c r="Q702">
        <v>20.38</v>
      </c>
      <c r="R702">
        <v>20.21</v>
      </c>
    </row>
    <row r="703">
      <c r="A703" s="9">
        <v>39234</v>
      </c>
      <c r="B703" s="2" t="inlineStr">
        <is>
          <t xml:space="preserve">2007-06</t>
        </is>
      </c>
      <c r="C703" s="2" t="inlineStr">
        <is>
          <t xml:space="preserve">2006/07</t>
        </is>
      </c>
      <c r="D703">
        <v>4.962</v>
      </c>
      <c r="E703">
        <v>22.55</v>
      </c>
      <c r="F703">
        <v>27.85</v>
      </c>
      <c r="G703">
        <v>18.57</v>
      </c>
      <c r="H703">
        <v>10.37</v>
      </c>
      <c r="I703">
        <v>5.256</v>
      </c>
      <c r="J703">
        <v>22.35</v>
      </c>
      <c r="K703">
        <v>27.36</v>
      </c>
      <c r="L703">
        <v>18.62</v>
      </c>
      <c r="M703">
        <v>5.16</v>
      </c>
      <c r="N703">
        <v>4.948</v>
      </c>
      <c r="O703">
        <v>23.3</v>
      </c>
      <c r="P703">
        <v>28.8</v>
      </c>
      <c r="Q703">
        <v>19.41</v>
      </c>
      <c r="R703">
        <v>4.08</v>
      </c>
    </row>
    <row r="704">
      <c r="A704" s="9">
        <v>39235</v>
      </c>
      <c r="B704" s="2" t="inlineStr">
        <is>
          <t xml:space="preserve">2007-06</t>
        </is>
      </c>
      <c r="C704" s="2" t="inlineStr">
        <is>
          <t xml:space="preserve">2006/07</t>
        </is>
      </c>
      <c r="D704">
        <v>7.333</v>
      </c>
      <c r="E704">
        <v>23.06</v>
      </c>
      <c r="F704">
        <v>28.29</v>
      </c>
      <c r="G704">
        <v>18.96</v>
      </c>
      <c r="H704">
        <v>3.5</v>
      </c>
      <c r="I704">
        <v>3.433</v>
      </c>
      <c r="J704">
        <v>23.07</v>
      </c>
      <c r="K704">
        <v>27.6</v>
      </c>
      <c r="L704">
        <v>19.83</v>
      </c>
      <c r="M704">
        <v>3.31</v>
      </c>
      <c r="N704">
        <v>0.103</v>
      </c>
      <c r="O704">
        <v>24.35</v>
      </c>
      <c r="P704">
        <v>29.86</v>
      </c>
      <c r="Q704">
        <v>19.93</v>
      </c>
      <c r="R704">
        <v>0.44</v>
      </c>
    </row>
    <row r="705">
      <c r="A705" s="9">
        <v>39236</v>
      </c>
      <c r="B705" s="2" t="inlineStr">
        <is>
          <t xml:space="preserve">2007-06</t>
        </is>
      </c>
      <c r="C705" s="2" t="inlineStr">
        <is>
          <t xml:space="preserve">2006/07</t>
        </is>
      </c>
      <c r="D705">
        <v>0.1</v>
      </c>
      <c r="E705">
        <v>23.85</v>
      </c>
      <c r="F705">
        <v>29.53</v>
      </c>
      <c r="G705">
        <v>18.9</v>
      </c>
      <c r="H705">
        <v>2.64</v>
      </c>
      <c r="I705">
        <v>0.0</v>
      </c>
      <c r="J705">
        <v>23.79</v>
      </c>
      <c r="K705">
        <v>28.86</v>
      </c>
      <c r="L705">
        <v>20.19</v>
      </c>
      <c r="M705">
        <v>1.12</v>
      </c>
      <c r="N705">
        <v>0.328</v>
      </c>
      <c r="O705">
        <v>25.67</v>
      </c>
      <c r="P705">
        <v>31.77</v>
      </c>
      <c r="Q705">
        <v>20.41</v>
      </c>
      <c r="R705">
        <v>1.47</v>
      </c>
    </row>
    <row r="706">
      <c r="A706" s="9">
        <v>39237</v>
      </c>
      <c r="B706" s="2" t="inlineStr">
        <is>
          <t xml:space="preserve">2007-06</t>
        </is>
      </c>
      <c r="C706" s="2" t="inlineStr">
        <is>
          <t xml:space="preserve">2006/07</t>
        </is>
      </c>
      <c r="D706">
        <v>6.752</v>
      </c>
      <c r="E706">
        <v>24.26</v>
      </c>
      <c r="F706">
        <v>29.58</v>
      </c>
      <c r="G706">
        <v>20.67</v>
      </c>
      <c r="H706">
        <v>7.68</v>
      </c>
      <c r="I706">
        <v>7.126</v>
      </c>
      <c r="J706">
        <v>24.17</v>
      </c>
      <c r="K706">
        <v>30.25</v>
      </c>
      <c r="L706">
        <v>19.83</v>
      </c>
      <c r="M706">
        <v>17.82</v>
      </c>
      <c r="N706">
        <v>6.96</v>
      </c>
      <c r="O706">
        <v>24.5</v>
      </c>
      <c r="P706">
        <v>29.45</v>
      </c>
      <c r="Q706">
        <v>20.94</v>
      </c>
      <c r="R706">
        <v>18.58</v>
      </c>
    </row>
    <row r="707">
      <c r="A707" s="9">
        <v>39238</v>
      </c>
      <c r="B707" s="2" t="inlineStr">
        <is>
          <t xml:space="preserve">2007-06</t>
        </is>
      </c>
      <c r="C707" s="2" t="inlineStr">
        <is>
          <t xml:space="preserve">2006/07</t>
        </is>
      </c>
      <c r="D707">
        <v>22.953</v>
      </c>
      <c r="E707">
        <v>23.48</v>
      </c>
      <c r="F707">
        <v>27.6</v>
      </c>
      <c r="G707">
        <v>20.64</v>
      </c>
      <c r="H707">
        <v>12.23</v>
      </c>
      <c r="I707">
        <v>35.32</v>
      </c>
      <c r="J707">
        <v>23.26</v>
      </c>
      <c r="K707">
        <v>26.8</v>
      </c>
      <c r="L707">
        <v>20.94</v>
      </c>
      <c r="M707">
        <v>25.66</v>
      </c>
      <c r="N707">
        <v>34.469</v>
      </c>
      <c r="O707">
        <v>24.12</v>
      </c>
      <c r="P707">
        <v>27.43</v>
      </c>
      <c r="Q707">
        <v>21.8</v>
      </c>
      <c r="R707">
        <v>18.41</v>
      </c>
    </row>
    <row r="708">
      <c r="A708" s="9">
        <v>39239</v>
      </c>
      <c r="B708" s="2" t="inlineStr">
        <is>
          <t xml:space="preserve">2007-06</t>
        </is>
      </c>
      <c r="C708" s="2" t="inlineStr">
        <is>
          <t xml:space="preserve">2006/07</t>
        </is>
      </c>
      <c r="D708">
        <v>9.09</v>
      </c>
      <c r="E708">
        <v>23.27</v>
      </c>
      <c r="F708">
        <v>27.51</v>
      </c>
      <c r="G708">
        <v>20.11</v>
      </c>
      <c r="H708">
        <v>10.76</v>
      </c>
      <c r="I708">
        <v>29.645</v>
      </c>
      <c r="J708">
        <v>23.26</v>
      </c>
      <c r="K708">
        <v>26.86</v>
      </c>
      <c r="L708">
        <v>19.92</v>
      </c>
      <c r="M708">
        <v>22.95</v>
      </c>
      <c r="N708">
        <v>42.302</v>
      </c>
      <c r="O708">
        <v>23.87</v>
      </c>
      <c r="P708">
        <v>27.58</v>
      </c>
      <c r="Q708">
        <v>20.56</v>
      </c>
      <c r="R708">
        <v>22.72</v>
      </c>
    </row>
    <row r="709">
      <c r="A709" s="9">
        <v>39240</v>
      </c>
      <c r="B709" s="2" t="inlineStr">
        <is>
          <t xml:space="preserve">2007-06</t>
        </is>
      </c>
      <c r="C709" s="2" t="inlineStr">
        <is>
          <t xml:space="preserve">2006/07</t>
        </is>
      </c>
      <c r="D709">
        <v>15.759</v>
      </c>
      <c r="E709">
        <v>23.52</v>
      </c>
      <c r="F709">
        <v>29.29</v>
      </c>
      <c r="G709">
        <v>19.44</v>
      </c>
      <c r="H709">
        <v>3.62</v>
      </c>
      <c r="I709">
        <v>7.465</v>
      </c>
      <c r="J709">
        <v>23.13</v>
      </c>
      <c r="K709">
        <v>26.81</v>
      </c>
      <c r="L709">
        <v>20.37</v>
      </c>
      <c r="M709">
        <v>5.78</v>
      </c>
      <c r="N709">
        <v>4.736</v>
      </c>
      <c r="O709">
        <v>24.75</v>
      </c>
      <c r="P709">
        <v>29.8</v>
      </c>
      <c r="Q709">
        <v>21.02</v>
      </c>
      <c r="R709">
        <v>2.7</v>
      </c>
    </row>
    <row r="710">
      <c r="A710" s="9">
        <v>39241</v>
      </c>
      <c r="B710" s="2" t="inlineStr">
        <is>
          <t xml:space="preserve">2007-06</t>
        </is>
      </c>
      <c r="C710" s="2" t="inlineStr">
        <is>
          <t xml:space="preserve">2006/07</t>
        </is>
      </c>
      <c r="D710">
        <v>1.645</v>
      </c>
      <c r="E710">
        <v>23.69</v>
      </c>
      <c r="F710">
        <v>30.68</v>
      </c>
      <c r="G710">
        <v>17.64</v>
      </c>
      <c r="H710">
        <v>0.34</v>
      </c>
      <c r="I710">
        <v>2.814</v>
      </c>
      <c r="J710">
        <v>24.35</v>
      </c>
      <c r="K710">
        <v>29.93</v>
      </c>
      <c r="L710">
        <v>20.03</v>
      </c>
      <c r="M710">
        <v>2.75</v>
      </c>
      <c r="N710">
        <v>0.216</v>
      </c>
      <c r="O710">
        <v>24.46</v>
      </c>
      <c r="P710">
        <v>30.13</v>
      </c>
      <c r="Q710">
        <v>19.96</v>
      </c>
      <c r="R710">
        <v>0.39</v>
      </c>
    </row>
    <row r="711">
      <c r="A711" s="9">
        <v>39242</v>
      </c>
      <c r="B711" s="2" t="inlineStr">
        <is>
          <t xml:space="preserve">2007-06</t>
        </is>
      </c>
      <c r="C711" s="2" t="inlineStr">
        <is>
          <t xml:space="preserve">2006/07</t>
        </is>
      </c>
      <c r="D711">
        <v>0.0</v>
      </c>
      <c r="E711">
        <v>23.63</v>
      </c>
      <c r="F711">
        <v>29.62</v>
      </c>
      <c r="G711">
        <v>18.61</v>
      </c>
      <c r="H711">
        <v>0.42</v>
      </c>
      <c r="I711">
        <v>0.0</v>
      </c>
      <c r="J711">
        <v>23.28</v>
      </c>
      <c r="K711">
        <v>27.41</v>
      </c>
      <c r="L711">
        <v>19.64</v>
      </c>
      <c r="M711">
        <v>0.49</v>
      </c>
      <c r="N711">
        <v>0.0</v>
      </c>
      <c r="O711">
        <v>23.18</v>
      </c>
      <c r="P711">
        <v>27.08</v>
      </c>
      <c r="Q711">
        <v>20.58</v>
      </c>
      <c r="R711">
        <v>0.64</v>
      </c>
    </row>
    <row r="712">
      <c r="A712" s="9">
        <v>39243</v>
      </c>
      <c r="B712" s="2" t="inlineStr">
        <is>
          <t xml:space="preserve">2007-06</t>
        </is>
      </c>
      <c r="C712" s="2" t="inlineStr">
        <is>
          <t xml:space="preserve">2006/07</t>
        </is>
      </c>
      <c r="D712">
        <v>1.115</v>
      </c>
      <c r="E712">
        <v>21.95</v>
      </c>
      <c r="F712">
        <v>25.69</v>
      </c>
      <c r="G712">
        <v>18.94</v>
      </c>
      <c r="H712">
        <v>4.71</v>
      </c>
      <c r="I712">
        <v>0.509</v>
      </c>
      <c r="J712">
        <v>22.06</v>
      </c>
      <c r="K712">
        <v>25.7</v>
      </c>
      <c r="L712">
        <v>19.15</v>
      </c>
      <c r="M712">
        <v>2.57</v>
      </c>
      <c r="N712">
        <v>0.249</v>
      </c>
      <c r="O712">
        <v>22.12</v>
      </c>
      <c r="P712">
        <v>26.35</v>
      </c>
      <c r="Q712">
        <v>19.28</v>
      </c>
      <c r="R712">
        <v>2.43</v>
      </c>
    </row>
    <row r="713">
      <c r="A713" s="9">
        <v>39244</v>
      </c>
      <c r="B713" s="2" t="inlineStr">
        <is>
          <t xml:space="preserve">2007-06</t>
        </is>
      </c>
      <c r="C713" s="2" t="inlineStr">
        <is>
          <t xml:space="preserve">2006/07</t>
        </is>
      </c>
      <c r="D713">
        <v>4.998</v>
      </c>
      <c r="E713">
        <v>21.67</v>
      </c>
      <c r="F713">
        <v>26.37</v>
      </c>
      <c r="G713">
        <v>17.87</v>
      </c>
      <c r="H713">
        <v>5.46</v>
      </c>
      <c r="I713">
        <v>10.743</v>
      </c>
      <c r="J713">
        <v>21.38</v>
      </c>
      <c r="K713">
        <v>24.89</v>
      </c>
      <c r="L713">
        <v>18.14</v>
      </c>
      <c r="M713">
        <v>8.04</v>
      </c>
      <c r="N713">
        <v>15.097</v>
      </c>
      <c r="O713">
        <v>22.31</v>
      </c>
      <c r="P713">
        <v>27.1</v>
      </c>
      <c r="Q713">
        <v>18.88</v>
      </c>
      <c r="R713">
        <v>8.55</v>
      </c>
    </row>
    <row r="714">
      <c r="A714" s="9">
        <v>39245</v>
      </c>
      <c r="B714" s="2" t="inlineStr">
        <is>
          <t xml:space="preserve">2007-06</t>
        </is>
      </c>
      <c r="C714" s="2" t="inlineStr">
        <is>
          <t xml:space="preserve">2006/07</t>
        </is>
      </c>
      <c r="D714">
        <v>2.353</v>
      </c>
      <c r="E714">
        <v>22.74</v>
      </c>
      <c r="F714">
        <v>28.12</v>
      </c>
      <c r="G714">
        <v>18.71</v>
      </c>
      <c r="H714">
        <v>4.41</v>
      </c>
      <c r="I714">
        <v>0.934</v>
      </c>
      <c r="J714">
        <v>22.71</v>
      </c>
      <c r="K714">
        <v>26.91</v>
      </c>
      <c r="L714">
        <v>18.26</v>
      </c>
      <c r="M714">
        <v>2.05</v>
      </c>
      <c r="N714">
        <v>0.664</v>
      </c>
      <c r="O714">
        <v>23.23</v>
      </c>
      <c r="P714">
        <v>27.72</v>
      </c>
      <c r="Q714">
        <v>20.3</v>
      </c>
      <c r="R714">
        <v>3.63</v>
      </c>
    </row>
    <row r="715">
      <c r="A715" s="9">
        <v>39246</v>
      </c>
      <c r="B715" s="2" t="inlineStr">
        <is>
          <t xml:space="preserve">2007-06</t>
        </is>
      </c>
      <c r="C715" s="2" t="inlineStr">
        <is>
          <t xml:space="preserve">2006/07</t>
        </is>
      </c>
      <c r="D715">
        <v>3.705</v>
      </c>
      <c r="E715">
        <v>21.55</v>
      </c>
      <c r="F715">
        <v>23.83</v>
      </c>
      <c r="G715">
        <v>20.02</v>
      </c>
      <c r="H715">
        <v>6.99</v>
      </c>
      <c r="I715">
        <v>3.409</v>
      </c>
      <c r="J715">
        <v>22.47</v>
      </c>
      <c r="K715">
        <v>25.76</v>
      </c>
      <c r="L715">
        <v>19.66</v>
      </c>
      <c r="M715">
        <v>5.48</v>
      </c>
      <c r="N715">
        <v>4.931</v>
      </c>
      <c r="O715">
        <v>22.28</v>
      </c>
      <c r="P715">
        <v>24.98</v>
      </c>
      <c r="Q715">
        <v>20.26</v>
      </c>
      <c r="R715">
        <v>6.62</v>
      </c>
    </row>
    <row r="716">
      <c r="A716" s="9">
        <v>39247</v>
      </c>
      <c r="B716" s="2" t="inlineStr">
        <is>
          <t xml:space="preserve">2007-06</t>
        </is>
      </c>
      <c r="C716" s="2" t="inlineStr">
        <is>
          <t xml:space="preserve">2006/07</t>
        </is>
      </c>
      <c r="D716">
        <v>22.257</v>
      </c>
      <c r="E716">
        <v>23.11</v>
      </c>
      <c r="F716">
        <v>28.31</v>
      </c>
      <c r="G716">
        <v>19.23</v>
      </c>
      <c r="H716">
        <v>15.21</v>
      </c>
      <c r="I716">
        <v>8.465</v>
      </c>
      <c r="J716">
        <v>23.01</v>
      </c>
      <c r="K716">
        <v>26.6</v>
      </c>
      <c r="L716">
        <v>19.74</v>
      </c>
      <c r="M716">
        <v>11.41</v>
      </c>
      <c r="N716">
        <v>12.852</v>
      </c>
      <c r="O716">
        <v>23.5</v>
      </c>
      <c r="P716">
        <v>28.03</v>
      </c>
      <c r="Q716">
        <v>19.51</v>
      </c>
      <c r="R716">
        <v>16.03</v>
      </c>
    </row>
    <row r="717">
      <c r="A717" s="9">
        <v>39248</v>
      </c>
      <c r="B717" s="2" t="inlineStr">
        <is>
          <t xml:space="preserve">2007-06</t>
        </is>
      </c>
      <c r="C717" s="2" t="inlineStr">
        <is>
          <t xml:space="preserve">2006/07</t>
        </is>
      </c>
      <c r="D717">
        <v>7.047</v>
      </c>
      <c r="E717">
        <v>23.11</v>
      </c>
      <c r="F717">
        <v>28.06</v>
      </c>
      <c r="G717">
        <v>19.23</v>
      </c>
      <c r="H717">
        <v>5.55</v>
      </c>
      <c r="I717">
        <v>15.497</v>
      </c>
      <c r="J717">
        <v>23.32</v>
      </c>
      <c r="K717">
        <v>28.3</v>
      </c>
      <c r="L717">
        <v>19.38</v>
      </c>
      <c r="M717">
        <v>10.57</v>
      </c>
      <c r="N717">
        <v>20.612</v>
      </c>
      <c r="O717">
        <v>24.05</v>
      </c>
      <c r="P717">
        <v>28.84</v>
      </c>
      <c r="Q717">
        <v>19.88</v>
      </c>
      <c r="R717">
        <v>9.89</v>
      </c>
    </row>
    <row r="718">
      <c r="A718" s="9">
        <v>39249</v>
      </c>
      <c r="B718" s="2" t="inlineStr">
        <is>
          <t xml:space="preserve">2007-06</t>
        </is>
      </c>
      <c r="C718" s="2" t="inlineStr">
        <is>
          <t xml:space="preserve">2006/07</t>
        </is>
      </c>
      <c r="D718">
        <v>2.286</v>
      </c>
      <c r="E718">
        <v>23.28</v>
      </c>
      <c r="F718">
        <v>27.46</v>
      </c>
      <c r="G718">
        <v>20.02</v>
      </c>
      <c r="H718">
        <v>3.05</v>
      </c>
      <c r="I718">
        <v>5.076</v>
      </c>
      <c r="J718">
        <v>23.62</v>
      </c>
      <c r="K718">
        <v>28.59</v>
      </c>
      <c r="L718">
        <v>19.22</v>
      </c>
      <c r="M718">
        <v>4.1</v>
      </c>
      <c r="N718">
        <v>7.204</v>
      </c>
      <c r="O718">
        <v>23.76</v>
      </c>
      <c r="P718">
        <v>29.58</v>
      </c>
      <c r="Q718">
        <v>20.09</v>
      </c>
      <c r="R718">
        <v>4.15</v>
      </c>
    </row>
    <row r="719">
      <c r="A719" s="9">
        <v>39250</v>
      </c>
      <c r="B719" s="2" t="inlineStr">
        <is>
          <t xml:space="preserve">2007-06</t>
        </is>
      </c>
      <c r="C719" s="2" t="inlineStr">
        <is>
          <t xml:space="preserve">2006/07</t>
        </is>
      </c>
      <c r="D719">
        <v>2.417</v>
      </c>
      <c r="E719">
        <v>23.23</v>
      </c>
      <c r="F719">
        <v>28.61</v>
      </c>
      <c r="G719">
        <v>19.19</v>
      </c>
      <c r="H719">
        <v>14.16</v>
      </c>
      <c r="I719">
        <v>4.213</v>
      </c>
      <c r="J719">
        <v>22.35</v>
      </c>
      <c r="K719">
        <v>25.02</v>
      </c>
      <c r="L719">
        <v>20.17</v>
      </c>
      <c r="M719">
        <v>12.49</v>
      </c>
      <c r="N719">
        <v>3.554</v>
      </c>
      <c r="O719">
        <v>23.5</v>
      </c>
      <c r="P719">
        <v>26.73</v>
      </c>
      <c r="Q719">
        <v>21.11</v>
      </c>
      <c r="R719">
        <v>11.97</v>
      </c>
    </row>
    <row r="720">
      <c r="A720" s="9">
        <v>39251</v>
      </c>
      <c r="B720" s="2" t="inlineStr">
        <is>
          <t xml:space="preserve">2007-06</t>
        </is>
      </c>
      <c r="C720" s="2" t="inlineStr">
        <is>
          <t xml:space="preserve">2006/07</t>
        </is>
      </c>
      <c r="D720">
        <v>30.564</v>
      </c>
      <c r="E720">
        <v>22.73</v>
      </c>
      <c r="F720">
        <v>28.55</v>
      </c>
      <c r="G720">
        <v>18.16</v>
      </c>
      <c r="H720">
        <v>4.13</v>
      </c>
      <c r="I720">
        <v>23.658</v>
      </c>
      <c r="J720">
        <v>23.57</v>
      </c>
      <c r="K720">
        <v>28.92</v>
      </c>
      <c r="L720">
        <v>19.95</v>
      </c>
      <c r="M720">
        <v>12.06</v>
      </c>
      <c r="N720">
        <v>30.532</v>
      </c>
      <c r="O720">
        <v>23.7</v>
      </c>
      <c r="P720">
        <v>28.89</v>
      </c>
      <c r="Q720">
        <v>20.62</v>
      </c>
      <c r="R720">
        <v>10.96</v>
      </c>
    </row>
    <row r="721">
      <c r="A721" s="9">
        <v>39252</v>
      </c>
      <c r="B721" s="2" t="inlineStr">
        <is>
          <t xml:space="preserve">2007-06</t>
        </is>
      </c>
      <c r="C721" s="2" t="inlineStr">
        <is>
          <t xml:space="preserve">2006/07</t>
        </is>
      </c>
      <c r="D721">
        <v>0.026</v>
      </c>
      <c r="E721">
        <v>23.14</v>
      </c>
      <c r="F721">
        <v>29.24</v>
      </c>
      <c r="G721">
        <v>17.67</v>
      </c>
      <c r="H721">
        <v>0.08</v>
      </c>
      <c r="I721">
        <v>0.152</v>
      </c>
      <c r="J721">
        <v>23.54</v>
      </c>
      <c r="K721">
        <v>28.8</v>
      </c>
      <c r="L721">
        <v>18.81</v>
      </c>
      <c r="M721">
        <v>0.13</v>
      </c>
      <c r="N721">
        <v>0.185</v>
      </c>
      <c r="O721">
        <v>23.95</v>
      </c>
      <c r="P721">
        <v>29.41</v>
      </c>
      <c r="Q721">
        <v>20.22</v>
      </c>
      <c r="R721">
        <v>0.2</v>
      </c>
    </row>
    <row r="722">
      <c r="A722" s="9">
        <v>39253</v>
      </c>
      <c r="B722" s="2" t="inlineStr">
        <is>
          <t xml:space="preserve">2007-06</t>
        </is>
      </c>
      <c r="C722" s="2" t="inlineStr">
        <is>
          <t xml:space="preserve">2006/07</t>
        </is>
      </c>
      <c r="D722">
        <v>0.149</v>
      </c>
      <c r="E722">
        <v>23.5</v>
      </c>
      <c r="F722">
        <v>29.29</v>
      </c>
      <c r="G722">
        <v>18.54</v>
      </c>
      <c r="H722">
        <v>0.21</v>
      </c>
      <c r="I722">
        <v>0.0</v>
      </c>
      <c r="J722">
        <v>23.65</v>
      </c>
      <c r="K722">
        <v>28.35</v>
      </c>
      <c r="L722">
        <v>20.28</v>
      </c>
      <c r="M722">
        <v>0.25</v>
      </c>
      <c r="N722">
        <v>0.0</v>
      </c>
      <c r="O722">
        <v>23.9</v>
      </c>
      <c r="P722">
        <v>28.68</v>
      </c>
      <c r="Q722">
        <v>20.78</v>
      </c>
      <c r="R722">
        <v>0.71</v>
      </c>
    </row>
    <row r="723">
      <c r="A723" s="9">
        <v>39254</v>
      </c>
      <c r="B723" s="2" t="inlineStr">
        <is>
          <t xml:space="preserve">2007-06</t>
        </is>
      </c>
      <c r="C723" s="2" t="inlineStr">
        <is>
          <t xml:space="preserve">2006/07</t>
        </is>
      </c>
      <c r="D723">
        <v>0.026</v>
      </c>
      <c r="E723">
        <v>23.28</v>
      </c>
      <c r="F723">
        <v>29.1</v>
      </c>
      <c r="G723">
        <v>19.15</v>
      </c>
      <c r="H723">
        <v>0.31</v>
      </c>
      <c r="I723">
        <v>0.356</v>
      </c>
      <c r="J723">
        <v>22.69</v>
      </c>
      <c r="K723">
        <v>26.92</v>
      </c>
      <c r="L723">
        <v>19.15</v>
      </c>
      <c r="M723">
        <v>0.96</v>
      </c>
      <c r="N723">
        <v>0.591</v>
      </c>
      <c r="O723">
        <v>22.92</v>
      </c>
      <c r="P723">
        <v>27.49</v>
      </c>
      <c r="Q723">
        <v>20.19</v>
      </c>
      <c r="R723">
        <v>3.36</v>
      </c>
    </row>
    <row r="724">
      <c r="A724" s="9">
        <v>39255</v>
      </c>
      <c r="B724" s="2" t="inlineStr">
        <is>
          <t xml:space="preserve">2007-06</t>
        </is>
      </c>
      <c r="C724" s="2" t="inlineStr">
        <is>
          <t xml:space="preserve">2006/07</t>
        </is>
      </c>
      <c r="D724">
        <v>0.0</v>
      </c>
      <c r="E724">
        <v>22.57</v>
      </c>
      <c r="F724">
        <v>28.16</v>
      </c>
      <c r="G724">
        <v>17.78</v>
      </c>
      <c r="H724">
        <v>3.26</v>
      </c>
      <c r="I724">
        <v>0.166</v>
      </c>
      <c r="J724">
        <v>22.41</v>
      </c>
      <c r="K724">
        <v>26.55</v>
      </c>
      <c r="L724">
        <v>19.06</v>
      </c>
      <c r="M724">
        <v>3.34</v>
      </c>
      <c r="N724">
        <v>0.741</v>
      </c>
      <c r="O724">
        <v>22.6</v>
      </c>
      <c r="P724">
        <v>26.94</v>
      </c>
      <c r="Q724">
        <v>19.86</v>
      </c>
      <c r="R724">
        <v>6.12</v>
      </c>
    </row>
    <row r="725">
      <c r="A725" s="9">
        <v>39256</v>
      </c>
      <c r="B725" s="2" t="inlineStr">
        <is>
          <t xml:space="preserve">2007-06</t>
        </is>
      </c>
      <c r="C725" s="2" t="inlineStr">
        <is>
          <t xml:space="preserve">2006/07</t>
        </is>
      </c>
      <c r="D725">
        <v>7.62</v>
      </c>
      <c r="E725">
        <v>22.8</v>
      </c>
      <c r="F725">
        <v>28.16</v>
      </c>
      <c r="G725">
        <v>18.79</v>
      </c>
      <c r="H725">
        <v>9.84</v>
      </c>
      <c r="I725">
        <v>8.856</v>
      </c>
      <c r="J725">
        <v>22.93</v>
      </c>
      <c r="K725">
        <v>26.79</v>
      </c>
      <c r="L725">
        <v>19.68</v>
      </c>
      <c r="M725">
        <v>12.5</v>
      </c>
      <c r="N725">
        <v>9.708</v>
      </c>
      <c r="O725">
        <v>23.28</v>
      </c>
      <c r="P725">
        <v>27.5</v>
      </c>
      <c r="Q725">
        <v>20.63</v>
      </c>
      <c r="R725">
        <v>11.37</v>
      </c>
    </row>
    <row r="726">
      <c r="A726" s="9">
        <v>39257</v>
      </c>
      <c r="B726" s="2" t="inlineStr">
        <is>
          <t xml:space="preserve">2007-06</t>
        </is>
      </c>
      <c r="C726" s="2" t="inlineStr">
        <is>
          <t xml:space="preserve">2006/07</t>
        </is>
      </c>
      <c r="D726">
        <v>10.141</v>
      </c>
      <c r="E726">
        <v>22.58</v>
      </c>
      <c r="F726">
        <v>28.06</v>
      </c>
      <c r="G726">
        <v>18.61</v>
      </c>
      <c r="H726">
        <v>2.79</v>
      </c>
      <c r="I726">
        <v>14.92</v>
      </c>
      <c r="J726">
        <v>22.63</v>
      </c>
      <c r="K726">
        <v>24.97</v>
      </c>
      <c r="L726">
        <v>20.74</v>
      </c>
      <c r="M726">
        <v>6.8</v>
      </c>
      <c r="N726">
        <v>15.883</v>
      </c>
      <c r="O726">
        <v>22.76</v>
      </c>
      <c r="P726">
        <v>26.01</v>
      </c>
      <c r="Q726">
        <v>20.69</v>
      </c>
      <c r="R726">
        <v>5.43</v>
      </c>
    </row>
    <row r="727">
      <c r="A727" s="9">
        <v>39258</v>
      </c>
      <c r="B727" s="2" t="inlineStr">
        <is>
          <t xml:space="preserve">2007-06</t>
        </is>
      </c>
      <c r="C727" s="2" t="inlineStr">
        <is>
          <t xml:space="preserve">2006/07</t>
        </is>
      </c>
      <c r="D727">
        <v>0.0</v>
      </c>
      <c r="E727">
        <v>22.68</v>
      </c>
      <c r="F727">
        <v>29.2</v>
      </c>
      <c r="G727">
        <v>16.98</v>
      </c>
      <c r="H727">
        <v>0.09</v>
      </c>
      <c r="I727">
        <v>0.0</v>
      </c>
      <c r="J727">
        <v>23.3</v>
      </c>
      <c r="K727">
        <v>28.7</v>
      </c>
      <c r="L727">
        <v>18.19</v>
      </c>
      <c r="M727">
        <v>0.06</v>
      </c>
      <c r="N727">
        <v>0.0</v>
      </c>
      <c r="O727">
        <v>23.22</v>
      </c>
      <c r="P727">
        <v>28.64</v>
      </c>
      <c r="Q727">
        <v>18.48</v>
      </c>
      <c r="R727">
        <v>0.13</v>
      </c>
    </row>
    <row r="728">
      <c r="A728" s="9">
        <v>39259</v>
      </c>
      <c r="B728" s="2" t="inlineStr">
        <is>
          <t xml:space="preserve">2007-06</t>
        </is>
      </c>
      <c r="C728" s="2" t="inlineStr">
        <is>
          <t xml:space="preserve">2006/07</t>
        </is>
      </c>
      <c r="D728">
        <v>0.0</v>
      </c>
      <c r="E728">
        <v>23.31</v>
      </c>
      <c r="F728">
        <v>29.5</v>
      </c>
      <c r="G728">
        <v>18.54</v>
      </c>
      <c r="H728">
        <v>0.24</v>
      </c>
      <c r="I728">
        <v>0.231</v>
      </c>
      <c r="J728">
        <v>23.63</v>
      </c>
      <c r="K728">
        <v>28.37</v>
      </c>
      <c r="L728">
        <v>19.81</v>
      </c>
      <c r="M728">
        <v>0.32</v>
      </c>
      <c r="N728">
        <v>0.392</v>
      </c>
      <c r="O728">
        <v>23.82</v>
      </c>
      <c r="P728">
        <v>28.54</v>
      </c>
      <c r="Q728">
        <v>20.58</v>
      </c>
      <c r="R728">
        <v>0.36</v>
      </c>
    </row>
    <row r="729">
      <c r="A729" s="9">
        <v>39260</v>
      </c>
      <c r="B729" s="2" t="inlineStr">
        <is>
          <t xml:space="preserve">2007-06</t>
        </is>
      </c>
      <c r="C729" s="2" t="inlineStr">
        <is>
          <t xml:space="preserve">2006/07</t>
        </is>
      </c>
      <c r="D729">
        <v>0.051</v>
      </c>
      <c r="E729">
        <v>22.66</v>
      </c>
      <c r="F729">
        <v>28.49</v>
      </c>
      <c r="G729">
        <v>18.12</v>
      </c>
      <c r="H729">
        <v>4.01</v>
      </c>
      <c r="I729">
        <v>0.88</v>
      </c>
      <c r="J729">
        <v>23.11</v>
      </c>
      <c r="K729">
        <v>27.56</v>
      </c>
      <c r="L729">
        <v>19.52</v>
      </c>
      <c r="M729">
        <v>1.51</v>
      </c>
      <c r="N729">
        <v>1.336</v>
      </c>
      <c r="O729">
        <v>23.34</v>
      </c>
      <c r="P729">
        <v>27.76</v>
      </c>
      <c r="Q729">
        <v>20.36</v>
      </c>
      <c r="R729">
        <v>2.06</v>
      </c>
    </row>
    <row r="730">
      <c r="A730" s="9">
        <v>39261</v>
      </c>
      <c r="B730" s="2" t="inlineStr">
        <is>
          <t xml:space="preserve">2007-06</t>
        </is>
      </c>
      <c r="C730" s="2" t="inlineStr">
        <is>
          <t xml:space="preserve">2006/07</t>
        </is>
      </c>
      <c r="D730">
        <v>3.433</v>
      </c>
      <c r="E730">
        <v>21.7</v>
      </c>
      <c r="F730">
        <v>25.99</v>
      </c>
      <c r="G730">
        <v>18.1</v>
      </c>
      <c r="H730">
        <v>9.48</v>
      </c>
      <c r="I730">
        <v>1.613</v>
      </c>
      <c r="J730">
        <v>22.16</v>
      </c>
      <c r="K730">
        <v>25.52</v>
      </c>
      <c r="L730">
        <v>19.47</v>
      </c>
      <c r="M730">
        <v>6.65</v>
      </c>
      <c r="N730">
        <v>3.494</v>
      </c>
      <c r="O730">
        <v>22.31</v>
      </c>
      <c r="P730">
        <v>25.56</v>
      </c>
      <c r="Q730">
        <v>20.5</v>
      </c>
      <c r="R730">
        <v>7.55</v>
      </c>
    </row>
    <row r="731">
      <c r="A731" s="9">
        <v>39262</v>
      </c>
      <c r="B731" s="2" t="inlineStr">
        <is>
          <t xml:space="preserve">2007-06</t>
        </is>
      </c>
      <c r="C731" s="2" t="inlineStr">
        <is>
          <t xml:space="preserve">2006/07</t>
        </is>
      </c>
      <c r="D731">
        <v>1.7</v>
      </c>
      <c r="E731">
        <v>22.12</v>
      </c>
      <c r="F731">
        <v>27.48</v>
      </c>
      <c r="G731">
        <v>17.56</v>
      </c>
      <c r="H731">
        <v>10.4</v>
      </c>
      <c r="I731">
        <v>5.06</v>
      </c>
      <c r="J731">
        <v>23.46</v>
      </c>
      <c r="K731">
        <v>28.4</v>
      </c>
      <c r="L731">
        <v>19.15</v>
      </c>
      <c r="M731">
        <v>3.5</v>
      </c>
      <c r="N731">
        <v>3.515</v>
      </c>
      <c r="O731">
        <v>23.42</v>
      </c>
      <c r="P731">
        <v>28.85</v>
      </c>
      <c r="Q731">
        <v>19.77</v>
      </c>
      <c r="R731">
        <v>5.22</v>
      </c>
    </row>
    <row r="732">
      <c r="A732" s="9">
        <v>39263</v>
      </c>
      <c r="B732" s="2" t="inlineStr">
        <is>
          <t xml:space="preserve">2007-06</t>
        </is>
      </c>
      <c r="C732" s="2" t="inlineStr">
        <is>
          <t xml:space="preserve">2006/07</t>
        </is>
      </c>
      <c r="D732">
        <v>22.576</v>
      </c>
      <c r="E732">
        <v>23.17</v>
      </c>
      <c r="F732">
        <v>29.73</v>
      </c>
      <c r="G732">
        <v>17.56</v>
      </c>
      <c r="H732">
        <v>3.96</v>
      </c>
      <c r="I732">
        <v>19.255</v>
      </c>
      <c r="J732">
        <v>23.58</v>
      </c>
      <c r="K732">
        <v>27.9</v>
      </c>
      <c r="L732">
        <v>19.8</v>
      </c>
      <c r="M732">
        <v>15.01</v>
      </c>
      <c r="N732">
        <v>26.601</v>
      </c>
      <c r="O732">
        <v>24.0</v>
      </c>
      <c r="P732">
        <v>29.53</v>
      </c>
      <c r="Q732">
        <v>19.74</v>
      </c>
      <c r="R732">
        <v>13.52</v>
      </c>
    </row>
    <row r="733">
      <c r="A733" s="9">
        <v>39264</v>
      </c>
      <c r="B733" s="2" t="inlineStr">
        <is>
          <t xml:space="preserve">2007-07</t>
        </is>
      </c>
      <c r="C733" s="2" t="inlineStr">
        <is>
          <t xml:space="preserve">2007/08</t>
        </is>
      </c>
      <c r="D733">
        <v>9.881</v>
      </c>
      <c r="E733">
        <v>23.27</v>
      </c>
      <c r="F733">
        <v>28.37</v>
      </c>
      <c r="G733">
        <v>19.67</v>
      </c>
      <c r="H733">
        <v>8.78</v>
      </c>
      <c r="I733">
        <v>2.38</v>
      </c>
      <c r="J733">
        <v>23.26</v>
      </c>
      <c r="K733">
        <v>27.46</v>
      </c>
      <c r="L733">
        <v>19.54</v>
      </c>
      <c r="M733">
        <v>7.52</v>
      </c>
      <c r="N733">
        <v>1.018</v>
      </c>
      <c r="O733">
        <v>23.54</v>
      </c>
      <c r="P733">
        <v>27.96</v>
      </c>
      <c r="Q733">
        <v>20.38</v>
      </c>
      <c r="R733">
        <v>6.66</v>
      </c>
    </row>
    <row r="734">
      <c r="A734" s="9">
        <v>39265</v>
      </c>
      <c r="B734" s="2" t="inlineStr">
        <is>
          <t xml:space="preserve">2007-07</t>
        </is>
      </c>
      <c r="C734" s="2" t="inlineStr">
        <is>
          <t xml:space="preserve">2007/08</t>
        </is>
      </c>
      <c r="D734">
        <v>12.852</v>
      </c>
      <c r="E734">
        <v>23.49</v>
      </c>
      <c r="F734">
        <v>28.67</v>
      </c>
      <c r="G734">
        <v>19.35</v>
      </c>
      <c r="H734">
        <v>5.77</v>
      </c>
      <c r="I734">
        <v>16.017</v>
      </c>
      <c r="J734">
        <v>23.89</v>
      </c>
      <c r="K734">
        <v>28.24</v>
      </c>
      <c r="L734">
        <v>20.58</v>
      </c>
      <c r="M734">
        <v>9.48</v>
      </c>
      <c r="N734">
        <v>20.529</v>
      </c>
      <c r="O734">
        <v>23.97</v>
      </c>
      <c r="P734">
        <v>28.47</v>
      </c>
      <c r="Q734">
        <v>21.23</v>
      </c>
      <c r="R734">
        <v>8.92</v>
      </c>
    </row>
    <row r="735">
      <c r="A735" s="9">
        <v>39266</v>
      </c>
      <c r="B735" s="2" t="inlineStr">
        <is>
          <t xml:space="preserve">2007-07</t>
        </is>
      </c>
      <c r="C735" s="2" t="inlineStr">
        <is>
          <t xml:space="preserve">2007/08</t>
        </is>
      </c>
      <c r="D735">
        <v>6.461</v>
      </c>
      <c r="E735">
        <v>22.95</v>
      </c>
      <c r="F735">
        <v>27.65</v>
      </c>
      <c r="G735">
        <v>19.76</v>
      </c>
      <c r="H735">
        <v>4.19</v>
      </c>
      <c r="I735">
        <v>0.941</v>
      </c>
      <c r="J735">
        <v>23.44</v>
      </c>
      <c r="K735">
        <v>26.8</v>
      </c>
      <c r="L735">
        <v>20.65</v>
      </c>
      <c r="M735">
        <v>0.63</v>
      </c>
      <c r="N735">
        <v>0.469</v>
      </c>
      <c r="O735">
        <v>23.78</v>
      </c>
      <c r="P735">
        <v>27.66</v>
      </c>
      <c r="Q735">
        <v>21.37</v>
      </c>
      <c r="R735">
        <v>0.54</v>
      </c>
    </row>
    <row r="736">
      <c r="A736" s="9">
        <v>39267</v>
      </c>
      <c r="B736" s="2" t="inlineStr">
        <is>
          <t xml:space="preserve">2007-07</t>
        </is>
      </c>
      <c r="C736" s="2" t="inlineStr">
        <is>
          <t xml:space="preserve">2007/08</t>
        </is>
      </c>
      <c r="D736">
        <v>0.025</v>
      </c>
      <c r="E736">
        <v>22.8</v>
      </c>
      <c r="F736">
        <v>27.85</v>
      </c>
      <c r="G736">
        <v>19.17</v>
      </c>
      <c r="H736">
        <v>0.01</v>
      </c>
      <c r="I736">
        <v>0.0</v>
      </c>
      <c r="J736">
        <v>23.4</v>
      </c>
      <c r="K736">
        <v>27.01</v>
      </c>
      <c r="L736">
        <v>20.78</v>
      </c>
      <c r="M736">
        <v>0.18</v>
      </c>
      <c r="N736">
        <v>0.0</v>
      </c>
      <c r="O736">
        <v>23.84</v>
      </c>
      <c r="P736">
        <v>28.35</v>
      </c>
      <c r="Q736">
        <v>21.22</v>
      </c>
      <c r="R736">
        <v>0.02</v>
      </c>
    </row>
    <row r="737">
      <c r="A737" s="9">
        <v>39268</v>
      </c>
      <c r="B737" s="2" t="inlineStr">
        <is>
          <t xml:space="preserve">2007-07</t>
        </is>
      </c>
      <c r="C737" s="2" t="inlineStr">
        <is>
          <t xml:space="preserve">2007/08</t>
        </is>
      </c>
      <c r="D737">
        <v>0.0</v>
      </c>
      <c r="E737">
        <v>22.05</v>
      </c>
      <c r="F737">
        <v>27.48</v>
      </c>
      <c r="G737">
        <v>16.62</v>
      </c>
      <c r="H737">
        <v>0.52</v>
      </c>
      <c r="I737">
        <v>0.593</v>
      </c>
      <c r="J737">
        <v>22.22</v>
      </c>
      <c r="K737">
        <v>25.86</v>
      </c>
      <c r="L737">
        <v>19.39</v>
      </c>
      <c r="M737">
        <v>1.76</v>
      </c>
      <c r="N737">
        <v>0.0</v>
      </c>
      <c r="O737">
        <v>22.72</v>
      </c>
      <c r="P737">
        <v>25.86</v>
      </c>
      <c r="Q737">
        <v>20.62</v>
      </c>
      <c r="R737">
        <v>3.82</v>
      </c>
    </row>
    <row r="738">
      <c r="A738" s="9">
        <v>39269</v>
      </c>
      <c r="B738" s="2" t="inlineStr">
        <is>
          <t xml:space="preserve">2007-07</t>
        </is>
      </c>
      <c r="C738" s="2" t="inlineStr">
        <is>
          <t xml:space="preserve">2007/08</t>
        </is>
      </c>
      <c r="D738">
        <v>0.022</v>
      </c>
      <c r="E738">
        <v>22.77</v>
      </c>
      <c r="F738">
        <v>28.31</v>
      </c>
      <c r="G738">
        <v>18.31</v>
      </c>
      <c r="H738">
        <v>1.49</v>
      </c>
      <c r="I738">
        <v>0.329</v>
      </c>
      <c r="J738">
        <v>22.93</v>
      </c>
      <c r="K738">
        <v>27.29</v>
      </c>
      <c r="L738">
        <v>19.55</v>
      </c>
      <c r="M738">
        <v>2.76</v>
      </c>
      <c r="N738">
        <v>1.517</v>
      </c>
      <c r="O738">
        <v>23.33</v>
      </c>
      <c r="P738">
        <v>28.22</v>
      </c>
      <c r="Q738">
        <v>20.62</v>
      </c>
      <c r="R738">
        <v>6.84</v>
      </c>
    </row>
    <row r="739">
      <c r="A739" s="9">
        <v>39270</v>
      </c>
      <c r="B739" s="2" t="inlineStr">
        <is>
          <t xml:space="preserve">2007-07</t>
        </is>
      </c>
      <c r="C739" s="2" t="inlineStr">
        <is>
          <t xml:space="preserve">2007/08</t>
        </is>
      </c>
      <c r="D739">
        <v>0.029</v>
      </c>
      <c r="E739">
        <v>22.79</v>
      </c>
      <c r="F739">
        <v>28.99</v>
      </c>
      <c r="G739">
        <v>17.13</v>
      </c>
      <c r="H739">
        <v>1.25</v>
      </c>
      <c r="I739">
        <v>1.456</v>
      </c>
      <c r="J739">
        <v>23.24</v>
      </c>
      <c r="K739">
        <v>28.08</v>
      </c>
      <c r="L739">
        <v>19.63</v>
      </c>
      <c r="M739">
        <v>1.03</v>
      </c>
      <c r="N739">
        <v>0.291</v>
      </c>
      <c r="O739">
        <v>23.45</v>
      </c>
      <c r="P739">
        <v>28.27</v>
      </c>
      <c r="Q739">
        <v>20.47</v>
      </c>
      <c r="R739">
        <v>0.59</v>
      </c>
    </row>
    <row r="740">
      <c r="A740" s="9">
        <v>39271</v>
      </c>
      <c r="B740" s="2" t="inlineStr">
        <is>
          <t xml:space="preserve">2007-07</t>
        </is>
      </c>
      <c r="C740" s="2" t="inlineStr">
        <is>
          <t xml:space="preserve">2007/08</t>
        </is>
      </c>
      <c r="D740">
        <v>0.157</v>
      </c>
      <c r="E740">
        <v>23.28</v>
      </c>
      <c r="F740">
        <v>29.66</v>
      </c>
      <c r="G740">
        <v>18.13</v>
      </c>
      <c r="H740">
        <v>1.73</v>
      </c>
      <c r="I740">
        <v>0.046</v>
      </c>
      <c r="J740">
        <v>23.5</v>
      </c>
      <c r="K740">
        <v>28.25</v>
      </c>
      <c r="L740">
        <v>18.92</v>
      </c>
      <c r="M740">
        <v>0.21</v>
      </c>
      <c r="N740">
        <v>0.128</v>
      </c>
      <c r="O740">
        <v>23.62</v>
      </c>
      <c r="P740">
        <v>28.7</v>
      </c>
      <c r="Q740">
        <v>19.71</v>
      </c>
      <c r="R740">
        <v>0.46</v>
      </c>
    </row>
    <row r="741">
      <c r="A741" s="9">
        <v>39272</v>
      </c>
      <c r="B741" s="2" t="inlineStr">
        <is>
          <t xml:space="preserve">2007-07</t>
        </is>
      </c>
      <c r="C741" s="2" t="inlineStr">
        <is>
          <t xml:space="preserve">2007/08</t>
        </is>
      </c>
      <c r="D741">
        <v>0.0</v>
      </c>
      <c r="E741">
        <v>23.11</v>
      </c>
      <c r="F741">
        <v>29.97</v>
      </c>
      <c r="G741">
        <v>16.43</v>
      </c>
      <c r="H741">
        <v>0.92</v>
      </c>
      <c r="I741">
        <v>0.108</v>
      </c>
      <c r="J741">
        <v>23.85</v>
      </c>
      <c r="K741">
        <v>29.27</v>
      </c>
      <c r="L741">
        <v>19.04</v>
      </c>
      <c r="M741">
        <v>0.36</v>
      </c>
      <c r="N741">
        <v>0.164</v>
      </c>
      <c r="O741">
        <v>23.87</v>
      </c>
      <c r="P741">
        <v>29.44</v>
      </c>
      <c r="Q741">
        <v>19.91</v>
      </c>
      <c r="R741">
        <v>0.27</v>
      </c>
    </row>
    <row r="742">
      <c r="A742" s="9">
        <v>39273</v>
      </c>
      <c r="B742" s="2" t="inlineStr">
        <is>
          <t xml:space="preserve">2007-07</t>
        </is>
      </c>
      <c r="C742" s="2" t="inlineStr">
        <is>
          <t xml:space="preserve">2007/08</t>
        </is>
      </c>
      <c r="D742">
        <v>2.608</v>
      </c>
      <c r="E742">
        <v>22.76</v>
      </c>
      <c r="F742">
        <v>28.37</v>
      </c>
      <c r="G742">
        <v>17.55</v>
      </c>
      <c r="H742">
        <v>3.67</v>
      </c>
      <c r="I742">
        <v>0.936</v>
      </c>
      <c r="J742">
        <v>23.37</v>
      </c>
      <c r="K742">
        <v>28.15</v>
      </c>
      <c r="L742">
        <v>19.11</v>
      </c>
      <c r="M742">
        <v>6.76</v>
      </c>
      <c r="N742">
        <v>0.538</v>
      </c>
      <c r="O742">
        <v>23.76</v>
      </c>
      <c r="P742">
        <v>29.25</v>
      </c>
      <c r="Q742">
        <v>20.12</v>
      </c>
      <c r="R742">
        <v>5.25</v>
      </c>
    </row>
    <row r="743">
      <c r="A743" s="9">
        <v>39274</v>
      </c>
      <c r="B743" s="2" t="inlineStr">
        <is>
          <t xml:space="preserve">2007-07</t>
        </is>
      </c>
      <c r="C743" s="2" t="inlineStr">
        <is>
          <t xml:space="preserve">2007/08</t>
        </is>
      </c>
      <c r="D743">
        <v>4.722</v>
      </c>
      <c r="E743">
        <v>21.59</v>
      </c>
      <c r="F743">
        <v>25.85</v>
      </c>
      <c r="G743">
        <v>18.36</v>
      </c>
      <c r="H743">
        <v>2.93</v>
      </c>
      <c r="I743">
        <v>16.17</v>
      </c>
      <c r="J743">
        <v>22.66</v>
      </c>
      <c r="K743">
        <v>26.52</v>
      </c>
      <c r="L743">
        <v>19.82</v>
      </c>
      <c r="M743">
        <v>10.81</v>
      </c>
      <c r="N743">
        <v>22.143</v>
      </c>
      <c r="O743">
        <v>22.71</v>
      </c>
      <c r="P743">
        <v>26.67</v>
      </c>
      <c r="Q743">
        <v>20.5</v>
      </c>
      <c r="R743">
        <v>11.28</v>
      </c>
    </row>
    <row r="744">
      <c r="A744" s="9">
        <v>39275</v>
      </c>
      <c r="B744" s="2" t="inlineStr">
        <is>
          <t xml:space="preserve">2007-07</t>
        </is>
      </c>
      <c r="C744" s="2" t="inlineStr">
        <is>
          <t xml:space="preserve">2007/08</t>
        </is>
      </c>
      <c r="D744">
        <v>0.19</v>
      </c>
      <c r="E744">
        <v>21.98</v>
      </c>
      <c r="F744">
        <v>28.89</v>
      </c>
      <c r="G744">
        <v>16.28</v>
      </c>
      <c r="H744">
        <v>1.48</v>
      </c>
      <c r="I744">
        <v>5.511</v>
      </c>
      <c r="J744">
        <v>22.01</v>
      </c>
      <c r="K744">
        <v>26.78</v>
      </c>
      <c r="L744">
        <v>18.01</v>
      </c>
      <c r="M744">
        <v>2.63</v>
      </c>
      <c r="N744">
        <v>8.389</v>
      </c>
      <c r="O744">
        <v>22.23</v>
      </c>
      <c r="P744">
        <v>26.75</v>
      </c>
      <c r="Q744">
        <v>18.95</v>
      </c>
      <c r="R744">
        <v>3.89</v>
      </c>
    </row>
    <row r="745">
      <c r="A745" s="9">
        <v>39276</v>
      </c>
      <c r="B745" s="2" t="inlineStr">
        <is>
          <t xml:space="preserve">2007-07</t>
        </is>
      </c>
      <c r="C745" s="2" t="inlineStr">
        <is>
          <t xml:space="preserve">2007/08</t>
        </is>
      </c>
      <c r="D745">
        <v>0.819</v>
      </c>
      <c r="E745">
        <v>21.6</v>
      </c>
      <c r="F745">
        <v>27.12</v>
      </c>
      <c r="G745">
        <v>18.02</v>
      </c>
      <c r="H745">
        <v>2.83</v>
      </c>
      <c r="I745">
        <v>1.808</v>
      </c>
      <c r="J745">
        <v>22.04</v>
      </c>
      <c r="K745">
        <v>26.68</v>
      </c>
      <c r="L745">
        <v>18.54</v>
      </c>
      <c r="M745">
        <v>7.51</v>
      </c>
      <c r="N745">
        <v>2.287</v>
      </c>
      <c r="O745">
        <v>22.13</v>
      </c>
      <c r="P745">
        <v>26.92</v>
      </c>
      <c r="Q745">
        <v>19.02</v>
      </c>
      <c r="R745">
        <v>7.84</v>
      </c>
    </row>
    <row r="746">
      <c r="A746" s="9">
        <v>39277</v>
      </c>
      <c r="B746" s="2" t="inlineStr">
        <is>
          <t xml:space="preserve">2007-07</t>
        </is>
      </c>
      <c r="C746" s="2" t="inlineStr">
        <is>
          <t xml:space="preserve">2007/08</t>
        </is>
      </c>
      <c r="D746">
        <v>3.23</v>
      </c>
      <c r="E746">
        <v>21.26</v>
      </c>
      <c r="F746">
        <v>26.32</v>
      </c>
      <c r="G746">
        <v>18.24</v>
      </c>
      <c r="H746">
        <v>7.18</v>
      </c>
      <c r="I746">
        <v>26.327</v>
      </c>
      <c r="J746">
        <v>22.63</v>
      </c>
      <c r="K746">
        <v>26.98</v>
      </c>
      <c r="L746">
        <v>19.49</v>
      </c>
      <c r="M746">
        <v>21.55</v>
      </c>
      <c r="N746">
        <v>33.811</v>
      </c>
      <c r="O746">
        <v>22.82</v>
      </c>
      <c r="P746">
        <v>27.2</v>
      </c>
      <c r="Q746">
        <v>20.17</v>
      </c>
      <c r="R746">
        <v>21.85</v>
      </c>
    </row>
    <row r="747">
      <c r="A747" s="9">
        <v>39278</v>
      </c>
      <c r="B747" s="2" t="inlineStr">
        <is>
          <t xml:space="preserve">2007-07</t>
        </is>
      </c>
      <c r="C747" s="2" t="inlineStr">
        <is>
          <t xml:space="preserve">2007/08</t>
        </is>
      </c>
      <c r="D747">
        <v>15.489</v>
      </c>
      <c r="E747">
        <v>21.73</v>
      </c>
      <c r="F747">
        <v>27.12</v>
      </c>
      <c r="G747">
        <v>16.93</v>
      </c>
      <c r="H747">
        <v>8.39</v>
      </c>
      <c r="I747">
        <v>12.665</v>
      </c>
      <c r="J747">
        <v>22.2</v>
      </c>
      <c r="K747">
        <v>26.02</v>
      </c>
      <c r="L747">
        <v>18.68</v>
      </c>
      <c r="M747">
        <v>9.18</v>
      </c>
      <c r="N747">
        <v>12.622</v>
      </c>
      <c r="O747">
        <v>22.7</v>
      </c>
      <c r="P747">
        <v>27.11</v>
      </c>
      <c r="Q747">
        <v>18.53</v>
      </c>
      <c r="R747">
        <v>12.75</v>
      </c>
    </row>
    <row r="748">
      <c r="A748" s="9">
        <v>39279</v>
      </c>
      <c r="B748" s="2" t="inlineStr">
        <is>
          <t xml:space="preserve">2007-07</t>
        </is>
      </c>
      <c r="C748" s="2" t="inlineStr">
        <is>
          <t xml:space="preserve">2007/08</t>
        </is>
      </c>
      <c r="D748">
        <v>4.715</v>
      </c>
      <c r="E748">
        <v>22.67</v>
      </c>
      <c r="F748">
        <v>29.58</v>
      </c>
      <c r="G748">
        <v>16.54</v>
      </c>
      <c r="H748">
        <v>1.1</v>
      </c>
      <c r="I748">
        <v>1.164</v>
      </c>
      <c r="J748">
        <v>23.14</v>
      </c>
      <c r="K748">
        <v>28.37</v>
      </c>
      <c r="L748">
        <v>17.42</v>
      </c>
      <c r="M748">
        <v>0.32</v>
      </c>
      <c r="N748">
        <v>1.623</v>
      </c>
      <c r="O748">
        <v>22.97</v>
      </c>
      <c r="P748">
        <v>28.05</v>
      </c>
      <c r="Q748">
        <v>19.08</v>
      </c>
      <c r="R748">
        <v>0.39</v>
      </c>
    </row>
    <row r="749">
      <c r="A749" s="9">
        <v>39280</v>
      </c>
      <c r="B749" s="2" t="inlineStr">
        <is>
          <t xml:space="preserve">2007-07</t>
        </is>
      </c>
      <c r="C749" s="2" t="inlineStr">
        <is>
          <t xml:space="preserve">2007/08</t>
        </is>
      </c>
      <c r="D749">
        <v>0.589</v>
      </c>
      <c r="E749">
        <v>22.77</v>
      </c>
      <c r="F749">
        <v>27.64</v>
      </c>
      <c r="G749">
        <v>18.12</v>
      </c>
      <c r="H749">
        <v>1.02</v>
      </c>
      <c r="I749">
        <v>0.0</v>
      </c>
      <c r="J749">
        <v>22.73</v>
      </c>
      <c r="K749">
        <v>26.5</v>
      </c>
      <c r="L749">
        <v>18.48</v>
      </c>
      <c r="M749">
        <v>1.8</v>
      </c>
      <c r="N749">
        <v>0.0</v>
      </c>
      <c r="O749">
        <v>22.75</v>
      </c>
      <c r="P749">
        <v>26.96</v>
      </c>
      <c r="Q749">
        <v>19.65</v>
      </c>
      <c r="R749">
        <v>1.74</v>
      </c>
    </row>
    <row r="750">
      <c r="A750" s="9">
        <v>39281</v>
      </c>
      <c r="B750" s="2" t="inlineStr">
        <is>
          <t xml:space="preserve">2007-07</t>
        </is>
      </c>
      <c r="C750" s="2" t="inlineStr">
        <is>
          <t xml:space="preserve">2007/08</t>
        </is>
      </c>
      <c r="D750">
        <v>1.793</v>
      </c>
      <c r="E750">
        <v>21.21</v>
      </c>
      <c r="F750">
        <v>26.8</v>
      </c>
      <c r="G750">
        <v>16.9</v>
      </c>
      <c r="H750">
        <v>3.64</v>
      </c>
      <c r="I750">
        <v>10.242</v>
      </c>
      <c r="J750">
        <v>22.92</v>
      </c>
      <c r="K750">
        <v>27.65</v>
      </c>
      <c r="L750">
        <v>19.57</v>
      </c>
      <c r="M750">
        <v>11.44</v>
      </c>
      <c r="N750">
        <v>12.937</v>
      </c>
      <c r="O750">
        <v>22.7</v>
      </c>
      <c r="P750">
        <v>27.88</v>
      </c>
      <c r="Q750">
        <v>18.84</v>
      </c>
      <c r="R750">
        <v>10.28</v>
      </c>
    </row>
    <row r="751">
      <c r="A751" s="9">
        <v>39282</v>
      </c>
      <c r="B751" s="2" t="inlineStr">
        <is>
          <t xml:space="preserve">2007-07</t>
        </is>
      </c>
      <c r="C751" s="2" t="inlineStr">
        <is>
          <t xml:space="preserve">2007/08</t>
        </is>
      </c>
      <c r="D751">
        <v>11.671</v>
      </c>
      <c r="E751">
        <v>21.83</v>
      </c>
      <c r="F751">
        <v>27.7</v>
      </c>
      <c r="G751">
        <v>16.31</v>
      </c>
      <c r="H751">
        <v>3.88</v>
      </c>
      <c r="I751">
        <v>6.821</v>
      </c>
      <c r="J751">
        <v>22.8</v>
      </c>
      <c r="K751">
        <v>27.73</v>
      </c>
      <c r="L751">
        <v>18.1</v>
      </c>
      <c r="M751">
        <v>2.96</v>
      </c>
      <c r="N751">
        <v>4.115</v>
      </c>
      <c r="O751">
        <v>22.38</v>
      </c>
      <c r="P751">
        <v>27.92</v>
      </c>
      <c r="Q751">
        <v>17.81</v>
      </c>
      <c r="R751">
        <v>2.56</v>
      </c>
    </row>
    <row r="752">
      <c r="A752" s="9">
        <v>39283</v>
      </c>
      <c r="B752" s="2" t="inlineStr">
        <is>
          <t xml:space="preserve">2007-07</t>
        </is>
      </c>
      <c r="C752" s="2" t="inlineStr">
        <is>
          <t xml:space="preserve">2007/08</t>
        </is>
      </c>
      <c r="D752">
        <v>0.78</v>
      </c>
      <c r="E752">
        <v>23.49</v>
      </c>
      <c r="F752">
        <v>29.95</v>
      </c>
      <c r="G752">
        <v>17.69</v>
      </c>
      <c r="H752">
        <v>1.6</v>
      </c>
      <c r="I752">
        <v>1.084</v>
      </c>
      <c r="J752">
        <v>22.71</v>
      </c>
      <c r="K752">
        <v>26.56</v>
      </c>
      <c r="L752">
        <v>19.09</v>
      </c>
      <c r="M752">
        <v>0.84</v>
      </c>
      <c r="N752">
        <v>0.676</v>
      </c>
      <c r="O752">
        <v>23.16</v>
      </c>
      <c r="P752">
        <v>27.66</v>
      </c>
      <c r="Q752">
        <v>19.91</v>
      </c>
      <c r="R752">
        <v>0.38</v>
      </c>
    </row>
    <row r="753">
      <c r="A753" s="9">
        <v>39284</v>
      </c>
      <c r="B753" s="2" t="inlineStr">
        <is>
          <t xml:space="preserve">2007-07</t>
        </is>
      </c>
      <c r="C753" s="2" t="inlineStr">
        <is>
          <t xml:space="preserve">2007/08</t>
        </is>
      </c>
      <c r="D753">
        <v>11.026</v>
      </c>
      <c r="E753">
        <v>22.45</v>
      </c>
      <c r="F753">
        <v>26.93</v>
      </c>
      <c r="G753">
        <v>19.06</v>
      </c>
      <c r="H753">
        <v>4.23</v>
      </c>
      <c r="I753">
        <v>0.212</v>
      </c>
      <c r="J753">
        <v>22.6</v>
      </c>
      <c r="K753">
        <v>26.15</v>
      </c>
      <c r="L753">
        <v>19.74</v>
      </c>
      <c r="M753">
        <v>0.64</v>
      </c>
      <c r="N753">
        <v>0.164</v>
      </c>
      <c r="O753">
        <v>22.87</v>
      </c>
      <c r="P753">
        <v>27.12</v>
      </c>
      <c r="Q753">
        <v>19.75</v>
      </c>
      <c r="R753">
        <v>0.34</v>
      </c>
    </row>
    <row r="754">
      <c r="A754" s="9">
        <v>39285</v>
      </c>
      <c r="B754" s="2" t="inlineStr">
        <is>
          <t xml:space="preserve">2007-07</t>
        </is>
      </c>
      <c r="C754" s="2" t="inlineStr">
        <is>
          <t xml:space="preserve">2007/08</t>
        </is>
      </c>
      <c r="D754">
        <v>0.437</v>
      </c>
      <c r="E754">
        <v>22.11</v>
      </c>
      <c r="F754">
        <v>26.8</v>
      </c>
      <c r="G754">
        <v>18.76</v>
      </c>
      <c r="H754">
        <v>1.26</v>
      </c>
      <c r="I754">
        <v>0.516</v>
      </c>
      <c r="J754">
        <v>22.53</v>
      </c>
      <c r="K754">
        <v>26.53</v>
      </c>
      <c r="L754">
        <v>18.35</v>
      </c>
      <c r="M754">
        <v>1.43</v>
      </c>
      <c r="N754">
        <v>0.0</v>
      </c>
      <c r="O754">
        <v>23.02</v>
      </c>
      <c r="P754">
        <v>27.78</v>
      </c>
      <c r="Q754">
        <v>19.26</v>
      </c>
      <c r="R754">
        <v>2.07</v>
      </c>
    </row>
    <row r="755">
      <c r="A755" s="9">
        <v>39286</v>
      </c>
      <c r="B755" s="2" t="inlineStr">
        <is>
          <t xml:space="preserve">2007-07</t>
        </is>
      </c>
      <c r="C755" s="2" t="inlineStr">
        <is>
          <t xml:space="preserve">2007/08</t>
        </is>
      </c>
      <c r="D755">
        <v>6.858</v>
      </c>
      <c r="E755">
        <v>21.67</v>
      </c>
      <c r="F755">
        <v>25.0</v>
      </c>
      <c r="G755">
        <v>19.58</v>
      </c>
      <c r="H755">
        <v>5.99</v>
      </c>
      <c r="I755">
        <v>8.919</v>
      </c>
      <c r="J755">
        <v>21.1</v>
      </c>
      <c r="K755">
        <v>24.0</v>
      </c>
      <c r="L755">
        <v>18.77</v>
      </c>
      <c r="M755">
        <v>18.4</v>
      </c>
      <c r="N755">
        <v>8.182</v>
      </c>
      <c r="O755">
        <v>21.21</v>
      </c>
      <c r="P755">
        <v>22.89</v>
      </c>
      <c r="Q755">
        <v>19.94</v>
      </c>
      <c r="R755">
        <v>22.21</v>
      </c>
    </row>
    <row r="756">
      <c r="A756" s="9">
        <v>39287</v>
      </c>
      <c r="B756" s="2" t="inlineStr">
        <is>
          <t xml:space="preserve">2007-07</t>
        </is>
      </c>
      <c r="C756" s="2" t="inlineStr">
        <is>
          <t xml:space="preserve">2007/08</t>
        </is>
      </c>
      <c r="D756">
        <v>4.382</v>
      </c>
      <c r="E756">
        <v>23.32</v>
      </c>
      <c r="F756">
        <v>29.58</v>
      </c>
      <c r="G756">
        <v>18.01</v>
      </c>
      <c r="H756">
        <v>4.1</v>
      </c>
      <c r="I756">
        <v>43.161</v>
      </c>
      <c r="J756">
        <v>22.21</v>
      </c>
      <c r="K756">
        <v>26.52</v>
      </c>
      <c r="L756">
        <v>18.52</v>
      </c>
      <c r="M756">
        <v>28.25</v>
      </c>
      <c r="N756">
        <v>62.417</v>
      </c>
      <c r="O756">
        <v>22.83</v>
      </c>
      <c r="P756">
        <v>27.1</v>
      </c>
      <c r="Q756">
        <v>19.37</v>
      </c>
      <c r="R756">
        <v>27.17</v>
      </c>
    </row>
    <row r="757">
      <c r="A757" s="9">
        <v>39288</v>
      </c>
      <c r="B757" s="2" t="inlineStr">
        <is>
          <t xml:space="preserve">2007-07</t>
        </is>
      </c>
      <c r="C757" s="2" t="inlineStr">
        <is>
          <t xml:space="preserve">2007/08</t>
        </is>
      </c>
      <c r="D757">
        <v>4.666</v>
      </c>
      <c r="E757">
        <v>22.71</v>
      </c>
      <c r="F757">
        <v>28.01</v>
      </c>
      <c r="G757">
        <v>18.48</v>
      </c>
      <c r="H757">
        <v>2.36</v>
      </c>
      <c r="I757">
        <v>1.47</v>
      </c>
      <c r="J757">
        <v>22.38</v>
      </c>
      <c r="K757">
        <v>26.7</v>
      </c>
      <c r="L757">
        <v>19.02</v>
      </c>
      <c r="M757">
        <v>2.53</v>
      </c>
      <c r="N757">
        <v>1.096</v>
      </c>
      <c r="O757">
        <v>23.37</v>
      </c>
      <c r="P757">
        <v>27.49</v>
      </c>
      <c r="Q757">
        <v>20.57</v>
      </c>
      <c r="R757">
        <v>2.74</v>
      </c>
    </row>
    <row r="758">
      <c r="A758" s="9">
        <v>39289</v>
      </c>
      <c r="B758" s="2" t="inlineStr">
        <is>
          <t xml:space="preserve">2007-07</t>
        </is>
      </c>
      <c r="C758" s="2" t="inlineStr">
        <is>
          <t xml:space="preserve">2007/08</t>
        </is>
      </c>
      <c r="D758">
        <v>5.756</v>
      </c>
      <c r="E758">
        <v>23.23</v>
      </c>
      <c r="F758">
        <v>29.67</v>
      </c>
      <c r="G758">
        <v>18.04</v>
      </c>
      <c r="H758">
        <v>4.35</v>
      </c>
      <c r="I758">
        <v>7.809</v>
      </c>
      <c r="J758">
        <v>23.6</v>
      </c>
      <c r="K758">
        <v>27.91</v>
      </c>
      <c r="L758">
        <v>20.31</v>
      </c>
      <c r="M758">
        <v>10.76</v>
      </c>
      <c r="N758">
        <v>10.081</v>
      </c>
      <c r="O758">
        <v>24.02</v>
      </c>
      <c r="P758">
        <v>29.26</v>
      </c>
      <c r="Q758">
        <v>20.61</v>
      </c>
      <c r="R758">
        <v>9.75</v>
      </c>
    </row>
    <row r="759">
      <c r="A759" s="9">
        <v>39290</v>
      </c>
      <c r="B759" s="2" t="inlineStr">
        <is>
          <t xml:space="preserve">2007-07</t>
        </is>
      </c>
      <c r="C759" s="2" t="inlineStr">
        <is>
          <t xml:space="preserve">2007/08</t>
        </is>
      </c>
      <c r="D759">
        <v>1.834</v>
      </c>
      <c r="E759">
        <v>23.25</v>
      </c>
      <c r="F759">
        <v>30.19</v>
      </c>
      <c r="G759">
        <v>16.88</v>
      </c>
      <c r="H759">
        <v>3.87</v>
      </c>
      <c r="I759">
        <v>9.972</v>
      </c>
      <c r="J759">
        <v>23.76</v>
      </c>
      <c r="K759">
        <v>28.75</v>
      </c>
      <c r="L759">
        <v>19.48</v>
      </c>
      <c r="M759">
        <v>7.0</v>
      </c>
      <c r="N759">
        <v>11.358</v>
      </c>
      <c r="O759">
        <v>23.71</v>
      </c>
      <c r="P759">
        <v>28.94</v>
      </c>
      <c r="Q759">
        <v>20.05</v>
      </c>
      <c r="R759">
        <v>5.91</v>
      </c>
    </row>
    <row r="760">
      <c r="A760" s="9">
        <v>39291</v>
      </c>
      <c r="B760" s="2" t="inlineStr">
        <is>
          <t xml:space="preserve">2007-07</t>
        </is>
      </c>
      <c r="C760" s="2" t="inlineStr">
        <is>
          <t xml:space="preserve">2007/08</t>
        </is>
      </c>
      <c r="D760">
        <v>23.434</v>
      </c>
      <c r="E760">
        <v>22.4</v>
      </c>
      <c r="F760">
        <v>26.59</v>
      </c>
      <c r="G760">
        <v>18.93</v>
      </c>
      <c r="H760">
        <v>15.01</v>
      </c>
      <c r="I760">
        <v>17.052</v>
      </c>
      <c r="J760">
        <v>22.32</v>
      </c>
      <c r="K760">
        <v>26.18</v>
      </c>
      <c r="L760">
        <v>19.35</v>
      </c>
      <c r="M760">
        <v>17.46</v>
      </c>
      <c r="N760">
        <v>17.288</v>
      </c>
      <c r="O760">
        <v>22.87</v>
      </c>
      <c r="P760">
        <v>26.67</v>
      </c>
      <c r="Q760">
        <v>20.33</v>
      </c>
      <c r="R760">
        <v>14.85</v>
      </c>
    </row>
    <row r="761">
      <c r="A761" s="9">
        <v>39292</v>
      </c>
      <c r="B761" s="2" t="inlineStr">
        <is>
          <t xml:space="preserve">2007-07</t>
        </is>
      </c>
      <c r="C761" s="2" t="inlineStr">
        <is>
          <t xml:space="preserve">2007/08</t>
        </is>
      </c>
      <c r="D761">
        <v>7.832</v>
      </c>
      <c r="E761">
        <v>22.61</v>
      </c>
      <c r="F761">
        <v>28.24</v>
      </c>
      <c r="G761">
        <v>16.81</v>
      </c>
      <c r="H761">
        <v>4.08</v>
      </c>
      <c r="I761">
        <v>18.839</v>
      </c>
      <c r="J761">
        <v>23.27</v>
      </c>
      <c r="K761">
        <v>27.58</v>
      </c>
      <c r="L761">
        <v>20.09</v>
      </c>
      <c r="M761">
        <v>12.69</v>
      </c>
      <c r="N761">
        <v>26.882</v>
      </c>
      <c r="O761">
        <v>23.52</v>
      </c>
      <c r="P761">
        <v>28.27</v>
      </c>
      <c r="Q761">
        <v>19.7</v>
      </c>
      <c r="R761">
        <v>12.07</v>
      </c>
    </row>
    <row r="762">
      <c r="A762" s="9">
        <v>39293</v>
      </c>
      <c r="B762" s="2" t="inlineStr">
        <is>
          <t xml:space="preserve">2007-07</t>
        </is>
      </c>
      <c r="C762" s="2" t="inlineStr">
        <is>
          <t xml:space="preserve">2007/08</t>
        </is>
      </c>
      <c r="D762">
        <v>0.965</v>
      </c>
      <c r="E762">
        <v>22.85</v>
      </c>
      <c r="F762">
        <v>28.87</v>
      </c>
      <c r="G762">
        <v>17.54</v>
      </c>
      <c r="H762">
        <v>1.2</v>
      </c>
      <c r="I762">
        <v>4.515</v>
      </c>
      <c r="J762">
        <v>23.26</v>
      </c>
      <c r="K762">
        <v>28.07</v>
      </c>
      <c r="L762">
        <v>18.67</v>
      </c>
      <c r="M762">
        <v>3.33</v>
      </c>
      <c r="N762">
        <v>3.528</v>
      </c>
      <c r="O762">
        <v>23.34</v>
      </c>
      <c r="P762">
        <v>28.26</v>
      </c>
      <c r="Q762">
        <v>19.17</v>
      </c>
      <c r="R762">
        <v>2.62</v>
      </c>
    </row>
    <row r="763">
      <c r="A763" s="9">
        <v>39294</v>
      </c>
      <c r="B763" s="2" t="inlineStr">
        <is>
          <t xml:space="preserve">2007-07</t>
        </is>
      </c>
      <c r="C763" s="2" t="inlineStr">
        <is>
          <t xml:space="preserve">2007/08</t>
        </is>
      </c>
      <c r="D763">
        <v>2.889</v>
      </c>
      <c r="E763">
        <v>23.2</v>
      </c>
      <c r="F763">
        <v>28.69</v>
      </c>
      <c r="G763">
        <v>18.81</v>
      </c>
      <c r="H763">
        <v>1.21</v>
      </c>
      <c r="I763">
        <v>0.049</v>
      </c>
      <c r="J763">
        <v>22.75</v>
      </c>
      <c r="K763">
        <v>25.51</v>
      </c>
      <c r="L763">
        <v>20.66</v>
      </c>
      <c r="M763">
        <v>0.23</v>
      </c>
      <c r="N763">
        <v>0.047</v>
      </c>
      <c r="O763">
        <v>22.72</v>
      </c>
      <c r="P763">
        <v>26.21</v>
      </c>
      <c r="Q763">
        <v>20.56</v>
      </c>
      <c r="R763">
        <v>0.61</v>
      </c>
    </row>
    <row r="764">
      <c r="A764" s="9">
        <v>39295</v>
      </c>
      <c r="B764" s="2" t="inlineStr">
        <is>
          <t xml:space="preserve">2007-08</t>
        </is>
      </c>
      <c r="C764" s="2" t="inlineStr">
        <is>
          <t xml:space="preserve">2007/08</t>
        </is>
      </c>
      <c r="D764">
        <v>0.027</v>
      </c>
      <c r="E764">
        <v>23.82</v>
      </c>
      <c r="F764">
        <v>30.72</v>
      </c>
      <c r="G764">
        <v>17.99</v>
      </c>
      <c r="H764">
        <v>2.08</v>
      </c>
      <c r="I764">
        <v>0.05</v>
      </c>
      <c r="J764">
        <v>22.98</v>
      </c>
      <c r="K764">
        <v>27.39</v>
      </c>
      <c r="L764">
        <v>18.72</v>
      </c>
      <c r="M764">
        <v>1.28</v>
      </c>
      <c r="N764">
        <v>0.198</v>
      </c>
      <c r="O764">
        <v>22.95</v>
      </c>
      <c r="P764">
        <v>27.84</v>
      </c>
      <c r="Q764">
        <v>19.84</v>
      </c>
      <c r="R764">
        <v>1.98</v>
      </c>
    </row>
    <row r="765">
      <c r="A765" s="9">
        <v>39296</v>
      </c>
      <c r="B765" s="2" t="inlineStr">
        <is>
          <t xml:space="preserve">2007-08</t>
        </is>
      </c>
      <c r="C765" s="2" t="inlineStr">
        <is>
          <t xml:space="preserve">2007/08</t>
        </is>
      </c>
      <c r="D765">
        <v>4.461</v>
      </c>
      <c r="E765">
        <v>23.57</v>
      </c>
      <c r="F765">
        <v>29.95</v>
      </c>
      <c r="G765">
        <v>19.16</v>
      </c>
      <c r="H765">
        <v>1.7</v>
      </c>
      <c r="I765">
        <v>2.985</v>
      </c>
      <c r="J765">
        <v>22.79</v>
      </c>
      <c r="K765">
        <v>26.69</v>
      </c>
      <c r="L765">
        <v>19.47</v>
      </c>
      <c r="M765">
        <v>2.94</v>
      </c>
      <c r="N765">
        <v>2.193</v>
      </c>
      <c r="O765">
        <v>23.21</v>
      </c>
      <c r="P765">
        <v>28.11</v>
      </c>
      <c r="Q765">
        <v>19.76</v>
      </c>
      <c r="R765">
        <v>6.06</v>
      </c>
    </row>
    <row r="766">
      <c r="A766" s="9">
        <v>39297</v>
      </c>
      <c r="B766" s="2" t="inlineStr">
        <is>
          <t xml:space="preserve">2007-08</t>
        </is>
      </c>
      <c r="C766" s="2" t="inlineStr">
        <is>
          <t xml:space="preserve">2007/08</t>
        </is>
      </c>
      <c r="D766">
        <v>0.664</v>
      </c>
      <c r="E766">
        <v>23.14</v>
      </c>
      <c r="F766">
        <v>29.69</v>
      </c>
      <c r="G766">
        <v>17.61</v>
      </c>
      <c r="H766">
        <v>1.49</v>
      </c>
      <c r="I766">
        <v>0.0</v>
      </c>
      <c r="J766">
        <v>23.09</v>
      </c>
      <c r="K766">
        <v>27.18</v>
      </c>
      <c r="L766">
        <v>18.86</v>
      </c>
      <c r="M766">
        <v>0.68</v>
      </c>
      <c r="N766">
        <v>0.183</v>
      </c>
      <c r="O766">
        <v>23.3</v>
      </c>
      <c r="P766">
        <v>27.82</v>
      </c>
      <c r="Q766">
        <v>19.92</v>
      </c>
      <c r="R766">
        <v>0.76</v>
      </c>
    </row>
    <row r="767">
      <c r="A767" s="9">
        <v>39298</v>
      </c>
      <c r="B767" s="2" t="inlineStr">
        <is>
          <t xml:space="preserve">2007-08</t>
        </is>
      </c>
      <c r="C767" s="2" t="inlineStr">
        <is>
          <t xml:space="preserve">2007/08</t>
        </is>
      </c>
      <c r="D767">
        <v>0.0</v>
      </c>
      <c r="E767">
        <v>22.95</v>
      </c>
      <c r="F767">
        <v>29.21</v>
      </c>
      <c r="G767">
        <v>18.56</v>
      </c>
      <c r="H767">
        <v>2.95</v>
      </c>
      <c r="I767">
        <v>1.411</v>
      </c>
      <c r="J767">
        <v>22.79</v>
      </c>
      <c r="K767">
        <v>26.74</v>
      </c>
      <c r="L767">
        <v>19.96</v>
      </c>
      <c r="M767">
        <v>5.77</v>
      </c>
      <c r="N767">
        <v>1.469</v>
      </c>
      <c r="O767">
        <v>23.22</v>
      </c>
      <c r="P767">
        <v>27.41</v>
      </c>
      <c r="Q767">
        <v>20.68</v>
      </c>
      <c r="R767">
        <v>5.16</v>
      </c>
    </row>
    <row r="768">
      <c r="A768" s="9">
        <v>39299</v>
      </c>
      <c r="B768" s="2" t="inlineStr">
        <is>
          <t xml:space="preserve">2007-08</t>
        </is>
      </c>
      <c r="C768" s="2" t="inlineStr">
        <is>
          <t xml:space="preserve">2007/08</t>
        </is>
      </c>
      <c r="D768">
        <v>17.138</v>
      </c>
      <c r="E768">
        <v>21.64</v>
      </c>
      <c r="F768">
        <v>26.81</v>
      </c>
      <c r="G768">
        <v>18.32</v>
      </c>
      <c r="H768">
        <v>19.75</v>
      </c>
      <c r="I768">
        <v>23.741</v>
      </c>
      <c r="J768">
        <v>21.95</v>
      </c>
      <c r="K768">
        <v>25.98</v>
      </c>
      <c r="L768">
        <v>19.37</v>
      </c>
      <c r="M768">
        <v>28.7</v>
      </c>
      <c r="N768">
        <v>20.452</v>
      </c>
      <c r="O768">
        <v>22.57</v>
      </c>
      <c r="P768">
        <v>26.81</v>
      </c>
      <c r="Q768">
        <v>19.92</v>
      </c>
      <c r="R768">
        <v>29.34</v>
      </c>
    </row>
    <row r="769">
      <c r="A769" s="9">
        <v>39300</v>
      </c>
      <c r="B769" s="2" t="inlineStr">
        <is>
          <t xml:space="preserve">2007-08</t>
        </is>
      </c>
      <c r="C769" s="2" t="inlineStr">
        <is>
          <t xml:space="preserve">2007/08</t>
        </is>
      </c>
      <c r="D769">
        <v>10.694</v>
      </c>
      <c r="E769">
        <v>22.92</v>
      </c>
      <c r="F769">
        <v>28.89</v>
      </c>
      <c r="G769">
        <v>18.2</v>
      </c>
      <c r="H769">
        <v>3.1</v>
      </c>
      <c r="I769">
        <v>25.176</v>
      </c>
      <c r="J769">
        <v>23.0</v>
      </c>
      <c r="K769">
        <v>26.87</v>
      </c>
      <c r="L769">
        <v>19.84</v>
      </c>
      <c r="M769">
        <v>12.41</v>
      </c>
      <c r="N769">
        <v>36.267</v>
      </c>
      <c r="O769">
        <v>23.55</v>
      </c>
      <c r="P769">
        <v>28.38</v>
      </c>
      <c r="Q769">
        <v>20.59</v>
      </c>
      <c r="R769">
        <v>10.39</v>
      </c>
    </row>
    <row r="770">
      <c r="A770" s="9">
        <v>39301</v>
      </c>
      <c r="B770" s="2" t="inlineStr">
        <is>
          <t xml:space="preserve">2007-08</t>
        </is>
      </c>
      <c r="C770" s="2" t="inlineStr">
        <is>
          <t xml:space="preserve">2007/08</t>
        </is>
      </c>
      <c r="D770">
        <v>0.491</v>
      </c>
      <c r="E770">
        <v>22.72</v>
      </c>
      <c r="F770">
        <v>27.7</v>
      </c>
      <c r="G770">
        <v>18.42</v>
      </c>
      <c r="H770">
        <v>0.85</v>
      </c>
      <c r="I770">
        <v>5.123</v>
      </c>
      <c r="J770">
        <v>22.25</v>
      </c>
      <c r="K770">
        <v>26.78</v>
      </c>
      <c r="L770">
        <v>18.8</v>
      </c>
      <c r="M770">
        <v>3.34</v>
      </c>
      <c r="N770">
        <v>0.0</v>
      </c>
      <c r="O770">
        <v>22.65</v>
      </c>
      <c r="P770">
        <v>27.19</v>
      </c>
      <c r="Q770">
        <v>20.09</v>
      </c>
      <c r="R770">
        <v>1.95</v>
      </c>
    </row>
    <row r="771">
      <c r="A771" s="9">
        <v>39302</v>
      </c>
      <c r="B771" s="2" t="inlineStr">
        <is>
          <t xml:space="preserve">2007-08</t>
        </is>
      </c>
      <c r="C771" s="2" t="inlineStr">
        <is>
          <t xml:space="preserve">2007/08</t>
        </is>
      </c>
      <c r="D771">
        <v>1.631</v>
      </c>
      <c r="E771">
        <v>22.92</v>
      </c>
      <c r="F771">
        <v>28.52</v>
      </c>
      <c r="G771">
        <v>18.97</v>
      </c>
      <c r="H771">
        <v>1.83</v>
      </c>
      <c r="I771">
        <v>0.106</v>
      </c>
      <c r="J771">
        <v>22.18</v>
      </c>
      <c r="K771">
        <v>26.38</v>
      </c>
      <c r="L771">
        <v>18.56</v>
      </c>
      <c r="M771">
        <v>3.5</v>
      </c>
      <c r="N771">
        <v>0.227</v>
      </c>
      <c r="O771">
        <v>22.65</v>
      </c>
      <c r="P771">
        <v>26.85</v>
      </c>
      <c r="Q771">
        <v>19.36</v>
      </c>
      <c r="R771">
        <v>4.65</v>
      </c>
    </row>
    <row r="772">
      <c r="A772" s="9">
        <v>39303</v>
      </c>
      <c r="B772" s="2" t="inlineStr">
        <is>
          <t xml:space="preserve">2007-08</t>
        </is>
      </c>
      <c r="C772" s="2" t="inlineStr">
        <is>
          <t xml:space="preserve">2007/08</t>
        </is>
      </c>
      <c r="D772">
        <v>1.11</v>
      </c>
      <c r="E772">
        <v>23.4</v>
      </c>
      <c r="F772">
        <v>29.26</v>
      </c>
      <c r="G772">
        <v>18.96</v>
      </c>
      <c r="H772">
        <v>1.29</v>
      </c>
      <c r="I772">
        <v>4.158</v>
      </c>
      <c r="J772">
        <v>21.84</v>
      </c>
      <c r="K772">
        <v>25.6</v>
      </c>
      <c r="L772">
        <v>19.71</v>
      </c>
      <c r="M772">
        <v>3.23</v>
      </c>
      <c r="N772">
        <v>2.025</v>
      </c>
      <c r="O772">
        <v>22.71</v>
      </c>
      <c r="P772">
        <v>26.99</v>
      </c>
      <c r="Q772">
        <v>19.98</v>
      </c>
      <c r="R772">
        <v>4.04</v>
      </c>
    </row>
    <row r="773">
      <c r="A773" s="9">
        <v>39304</v>
      </c>
      <c r="B773" s="2" t="inlineStr">
        <is>
          <t xml:space="preserve">2007-08</t>
        </is>
      </c>
      <c r="C773" s="2" t="inlineStr">
        <is>
          <t xml:space="preserve">2007/08</t>
        </is>
      </c>
      <c r="D773">
        <v>1.059</v>
      </c>
      <c r="E773">
        <v>23.34</v>
      </c>
      <c r="F773">
        <v>28.34</v>
      </c>
      <c r="G773">
        <v>19.62</v>
      </c>
      <c r="H773">
        <v>2.56</v>
      </c>
      <c r="I773">
        <v>1.647</v>
      </c>
      <c r="J773">
        <v>21.83</v>
      </c>
      <c r="K773">
        <v>25.69</v>
      </c>
      <c r="L773">
        <v>19.15</v>
      </c>
      <c r="M773">
        <v>3.68</v>
      </c>
      <c r="N773">
        <v>2.248</v>
      </c>
      <c r="O773">
        <v>22.42</v>
      </c>
      <c r="P773">
        <v>26.37</v>
      </c>
      <c r="Q773">
        <v>20.24</v>
      </c>
      <c r="R773">
        <v>5.85</v>
      </c>
    </row>
    <row r="774">
      <c r="A774" s="9">
        <v>39305</v>
      </c>
      <c r="B774" s="2" t="inlineStr">
        <is>
          <t xml:space="preserve">2007-08</t>
        </is>
      </c>
      <c r="C774" s="2" t="inlineStr">
        <is>
          <t xml:space="preserve">2007/08</t>
        </is>
      </c>
      <c r="D774">
        <v>5.743</v>
      </c>
      <c r="E774">
        <v>22.82</v>
      </c>
      <c r="F774">
        <v>27.32</v>
      </c>
      <c r="G774">
        <v>19.21</v>
      </c>
      <c r="H774">
        <v>12.45</v>
      </c>
      <c r="I774">
        <v>4.497</v>
      </c>
      <c r="J774">
        <v>21.53</v>
      </c>
      <c r="K774">
        <v>25.31</v>
      </c>
      <c r="L774">
        <v>18.71</v>
      </c>
      <c r="M774">
        <v>8.05</v>
      </c>
      <c r="N774">
        <v>1.908</v>
      </c>
      <c r="O774">
        <v>22.5</v>
      </c>
      <c r="P774">
        <v>26.58</v>
      </c>
      <c r="Q774">
        <v>19.49</v>
      </c>
      <c r="R774">
        <v>5.93</v>
      </c>
    </row>
    <row r="775">
      <c r="A775" s="9">
        <v>39306</v>
      </c>
      <c r="B775" s="2" t="inlineStr">
        <is>
          <t xml:space="preserve">2007-08</t>
        </is>
      </c>
      <c r="C775" s="2" t="inlineStr">
        <is>
          <t xml:space="preserve">2007/08</t>
        </is>
      </c>
      <c r="D775">
        <v>33.736</v>
      </c>
      <c r="E775">
        <v>21.57</v>
      </c>
      <c r="F775">
        <v>24.11</v>
      </c>
      <c r="G775">
        <v>20.01</v>
      </c>
      <c r="H775">
        <v>18.22</v>
      </c>
      <c r="I775">
        <v>13.435</v>
      </c>
      <c r="J775">
        <v>22.03</v>
      </c>
      <c r="K775">
        <v>25.53</v>
      </c>
      <c r="L775">
        <v>19.32</v>
      </c>
      <c r="M775">
        <v>8.79</v>
      </c>
      <c r="N775">
        <v>8.982</v>
      </c>
      <c r="O775">
        <v>22.03</v>
      </c>
      <c r="P775">
        <v>24.59</v>
      </c>
      <c r="Q775">
        <v>20.24</v>
      </c>
      <c r="R775">
        <v>6.41</v>
      </c>
    </row>
    <row r="776">
      <c r="A776" s="9">
        <v>39307</v>
      </c>
      <c r="B776" s="2" t="inlineStr">
        <is>
          <t xml:space="preserve">2007-08</t>
        </is>
      </c>
      <c r="C776" s="2" t="inlineStr">
        <is>
          <t xml:space="preserve">2007/08</t>
        </is>
      </c>
      <c r="D776">
        <v>11.536</v>
      </c>
      <c r="E776">
        <v>21.75</v>
      </c>
      <c r="F776">
        <v>25.5</v>
      </c>
      <c r="G776">
        <v>19.24</v>
      </c>
      <c r="H776">
        <v>8.86</v>
      </c>
      <c r="I776">
        <v>7.194</v>
      </c>
      <c r="J776">
        <v>22.11</v>
      </c>
      <c r="K776">
        <v>26.09</v>
      </c>
      <c r="L776">
        <v>19.07</v>
      </c>
      <c r="M776">
        <v>9.59</v>
      </c>
      <c r="N776">
        <v>8.095</v>
      </c>
      <c r="O776">
        <v>22.58</v>
      </c>
      <c r="P776">
        <v>26.29</v>
      </c>
      <c r="Q776">
        <v>19.85</v>
      </c>
      <c r="R776">
        <v>8.67</v>
      </c>
    </row>
    <row r="777">
      <c r="A777" s="9">
        <v>39308</v>
      </c>
      <c r="B777" s="2" t="inlineStr">
        <is>
          <t xml:space="preserve">2007-08</t>
        </is>
      </c>
      <c r="C777" s="2" t="inlineStr">
        <is>
          <t xml:space="preserve">2007/08</t>
        </is>
      </c>
      <c r="D777">
        <v>7.481</v>
      </c>
      <c r="E777">
        <v>22.28</v>
      </c>
      <c r="F777">
        <v>26.93</v>
      </c>
      <c r="G777">
        <v>18.49</v>
      </c>
      <c r="H777">
        <v>2.57</v>
      </c>
      <c r="I777">
        <v>7.075</v>
      </c>
      <c r="J777">
        <v>21.9</v>
      </c>
      <c r="K777">
        <v>25.57</v>
      </c>
      <c r="L777">
        <v>18.94</v>
      </c>
      <c r="M777">
        <v>6.32</v>
      </c>
      <c r="N777">
        <v>1.234</v>
      </c>
      <c r="O777">
        <v>23.2</v>
      </c>
      <c r="P777">
        <v>27.87</v>
      </c>
      <c r="Q777">
        <v>19.65</v>
      </c>
      <c r="R777">
        <v>3.02</v>
      </c>
    </row>
    <row r="778">
      <c r="A778" s="9">
        <v>39309</v>
      </c>
      <c r="B778" s="2" t="inlineStr">
        <is>
          <t xml:space="preserve">2007-08</t>
        </is>
      </c>
      <c r="C778" s="2" t="inlineStr">
        <is>
          <t xml:space="preserve">2007/08</t>
        </is>
      </c>
      <c r="D778">
        <v>0.969</v>
      </c>
      <c r="E778">
        <v>22.31</v>
      </c>
      <c r="F778">
        <v>26.56</v>
      </c>
      <c r="G778">
        <v>18.33</v>
      </c>
      <c r="H778">
        <v>3.87</v>
      </c>
      <c r="I778">
        <v>7.946</v>
      </c>
      <c r="J778">
        <v>22.06</v>
      </c>
      <c r="K778">
        <v>25.72</v>
      </c>
      <c r="L778">
        <v>19.3</v>
      </c>
      <c r="M778">
        <v>8.9</v>
      </c>
      <c r="N778">
        <v>0.0</v>
      </c>
      <c r="O778">
        <v>23.32</v>
      </c>
      <c r="P778">
        <v>28.08</v>
      </c>
      <c r="Q778">
        <v>19.38</v>
      </c>
      <c r="R778">
        <v>4.12</v>
      </c>
    </row>
    <row r="779">
      <c r="A779" s="9">
        <v>39310</v>
      </c>
      <c r="B779" s="2" t="inlineStr">
        <is>
          <t xml:space="preserve">2007-08</t>
        </is>
      </c>
      <c r="C779" s="2" t="inlineStr">
        <is>
          <t xml:space="preserve">2007/08</t>
        </is>
      </c>
      <c r="D779">
        <v>5.371</v>
      </c>
      <c r="E779">
        <v>23.04</v>
      </c>
      <c r="F779">
        <v>27.57</v>
      </c>
      <c r="G779">
        <v>19.49</v>
      </c>
      <c r="H779">
        <v>5.29</v>
      </c>
      <c r="I779">
        <v>6.146</v>
      </c>
      <c r="J779">
        <v>22.47</v>
      </c>
      <c r="K779">
        <v>26.12</v>
      </c>
      <c r="L779">
        <v>19.9</v>
      </c>
      <c r="M779">
        <v>6.05</v>
      </c>
      <c r="N779">
        <v>5.7</v>
      </c>
      <c r="O779">
        <v>23.86</v>
      </c>
      <c r="P779">
        <v>28.48</v>
      </c>
      <c r="Q779">
        <v>20.31</v>
      </c>
      <c r="R779">
        <v>5.24</v>
      </c>
    </row>
    <row r="780">
      <c r="A780" s="9">
        <v>39311</v>
      </c>
      <c r="B780" s="2" t="inlineStr">
        <is>
          <t xml:space="preserve">2007-08</t>
        </is>
      </c>
      <c r="C780" s="2" t="inlineStr">
        <is>
          <t xml:space="preserve">2007/08</t>
        </is>
      </c>
      <c r="D780">
        <v>4.823</v>
      </c>
      <c r="E780">
        <v>22.16</v>
      </c>
      <c r="F780">
        <v>26.52</v>
      </c>
      <c r="G780">
        <v>18.7</v>
      </c>
      <c r="H780">
        <v>4.11</v>
      </c>
      <c r="I780">
        <v>6.28</v>
      </c>
      <c r="J780">
        <v>22.78</v>
      </c>
      <c r="K780">
        <v>26.73</v>
      </c>
      <c r="L780">
        <v>19.93</v>
      </c>
      <c r="M780">
        <v>5.62</v>
      </c>
      <c r="N780">
        <v>7.832</v>
      </c>
      <c r="O780">
        <v>22.93</v>
      </c>
      <c r="P780">
        <v>26.21</v>
      </c>
      <c r="Q780">
        <v>21.07</v>
      </c>
      <c r="R780">
        <v>5.21</v>
      </c>
    </row>
    <row r="781">
      <c r="A781" s="9">
        <v>39312</v>
      </c>
      <c r="B781" s="2" t="inlineStr">
        <is>
          <t xml:space="preserve">2007-08</t>
        </is>
      </c>
      <c r="C781" s="2" t="inlineStr">
        <is>
          <t xml:space="preserve">2007/08</t>
        </is>
      </c>
      <c r="D781">
        <v>2.738</v>
      </c>
      <c r="E781">
        <v>22.61</v>
      </c>
      <c r="F781">
        <v>27.47</v>
      </c>
      <c r="G781">
        <v>17.82</v>
      </c>
      <c r="H781">
        <v>2.27</v>
      </c>
      <c r="I781">
        <v>3.027</v>
      </c>
      <c r="J781">
        <v>22.3</v>
      </c>
      <c r="K781">
        <v>25.39</v>
      </c>
      <c r="L781">
        <v>19.87</v>
      </c>
      <c r="M781">
        <v>4.89</v>
      </c>
      <c r="N781">
        <v>2.182</v>
      </c>
      <c r="O781">
        <v>22.88</v>
      </c>
      <c r="P781">
        <v>26.75</v>
      </c>
      <c r="Q781">
        <v>20.38</v>
      </c>
      <c r="R781">
        <v>6.01</v>
      </c>
    </row>
    <row r="782">
      <c r="A782" s="9">
        <v>39313</v>
      </c>
      <c r="B782" s="2" t="inlineStr">
        <is>
          <t xml:space="preserve">2007-08</t>
        </is>
      </c>
      <c r="C782" s="2" t="inlineStr">
        <is>
          <t xml:space="preserve">2007/08</t>
        </is>
      </c>
      <c r="D782">
        <v>0.078</v>
      </c>
      <c r="E782">
        <v>22.62</v>
      </c>
      <c r="F782">
        <v>28.89</v>
      </c>
      <c r="G782">
        <v>17.33</v>
      </c>
      <c r="H782">
        <v>1.22</v>
      </c>
      <c r="I782">
        <v>2.498</v>
      </c>
      <c r="J782">
        <v>22.58</v>
      </c>
      <c r="K782">
        <v>26.93</v>
      </c>
      <c r="L782">
        <v>19.53</v>
      </c>
      <c r="M782">
        <v>1.6</v>
      </c>
      <c r="N782">
        <v>3.545</v>
      </c>
      <c r="O782">
        <v>23.16</v>
      </c>
      <c r="P782">
        <v>27.12</v>
      </c>
      <c r="Q782">
        <v>20.5</v>
      </c>
      <c r="R782">
        <v>3.73</v>
      </c>
    </row>
    <row r="783">
      <c r="A783" s="9">
        <v>39314</v>
      </c>
      <c r="B783" s="2" t="inlineStr">
        <is>
          <t xml:space="preserve">2007-08</t>
        </is>
      </c>
      <c r="C783" s="2" t="inlineStr">
        <is>
          <t xml:space="preserve">2007/08</t>
        </is>
      </c>
      <c r="D783">
        <v>0.219</v>
      </c>
      <c r="E783">
        <v>21.9</v>
      </c>
      <c r="F783">
        <v>27.64</v>
      </c>
      <c r="G783">
        <v>17.47</v>
      </c>
      <c r="H783">
        <v>4.14</v>
      </c>
      <c r="I783">
        <v>0.586</v>
      </c>
      <c r="J783">
        <v>22.21</v>
      </c>
      <c r="K783">
        <v>26.86</v>
      </c>
      <c r="L783">
        <v>17.65</v>
      </c>
      <c r="M783">
        <v>1.17</v>
      </c>
      <c r="N783">
        <v>0.579</v>
      </c>
      <c r="O783">
        <v>22.6</v>
      </c>
      <c r="P783">
        <v>26.85</v>
      </c>
      <c r="Q783">
        <v>19.06</v>
      </c>
      <c r="R783">
        <v>2.01</v>
      </c>
    </row>
    <row r="784">
      <c r="A784" s="9">
        <v>39315</v>
      </c>
      <c r="B784" s="2" t="inlineStr">
        <is>
          <t xml:space="preserve">2007-08</t>
        </is>
      </c>
      <c r="C784" s="2" t="inlineStr">
        <is>
          <t xml:space="preserve">2007/08</t>
        </is>
      </c>
      <c r="D784">
        <v>8.846</v>
      </c>
      <c r="E784">
        <v>21.55</v>
      </c>
      <c r="F784">
        <v>25.33</v>
      </c>
      <c r="G784">
        <v>18.88</v>
      </c>
      <c r="H784">
        <v>10.72</v>
      </c>
      <c r="I784">
        <v>3.025</v>
      </c>
      <c r="J784">
        <v>21.68</v>
      </c>
      <c r="K784">
        <v>25.13</v>
      </c>
      <c r="L784">
        <v>19.27</v>
      </c>
      <c r="M784">
        <v>4.19</v>
      </c>
      <c r="N784">
        <v>1.222</v>
      </c>
      <c r="O784">
        <v>23.03</v>
      </c>
      <c r="P784">
        <v>27.2</v>
      </c>
      <c r="Q784">
        <v>19.97</v>
      </c>
      <c r="R784">
        <v>4.69</v>
      </c>
    </row>
    <row r="785">
      <c r="A785" s="9">
        <v>39316</v>
      </c>
      <c r="B785" s="2" t="inlineStr">
        <is>
          <t xml:space="preserve">2007-08</t>
        </is>
      </c>
      <c r="C785" s="2" t="inlineStr">
        <is>
          <t xml:space="preserve">2007/08</t>
        </is>
      </c>
      <c r="D785">
        <v>5.832</v>
      </c>
      <c r="E785">
        <v>21.51</v>
      </c>
      <c r="F785">
        <v>25.56</v>
      </c>
      <c r="G785">
        <v>18.85</v>
      </c>
      <c r="H785">
        <v>5.26</v>
      </c>
      <c r="I785">
        <v>3.255</v>
      </c>
      <c r="J785">
        <v>21.24</v>
      </c>
      <c r="K785">
        <v>24.2</v>
      </c>
      <c r="L785">
        <v>19.14</v>
      </c>
      <c r="M785">
        <v>4.83</v>
      </c>
      <c r="N785">
        <v>4.024</v>
      </c>
      <c r="O785">
        <v>22.35</v>
      </c>
      <c r="P785">
        <v>25.62</v>
      </c>
      <c r="Q785">
        <v>20.06</v>
      </c>
      <c r="R785">
        <v>8.71</v>
      </c>
    </row>
    <row r="786">
      <c r="A786" s="9">
        <v>39317</v>
      </c>
      <c r="B786" s="2" t="inlineStr">
        <is>
          <t xml:space="preserve">2007-08</t>
        </is>
      </c>
      <c r="C786" s="2" t="inlineStr">
        <is>
          <t xml:space="preserve">2007/08</t>
        </is>
      </c>
      <c r="D786">
        <v>2.785</v>
      </c>
      <c r="E786">
        <v>20.75</v>
      </c>
      <c r="F786">
        <v>24.04</v>
      </c>
      <c r="G786">
        <v>18.57</v>
      </c>
      <c r="H786">
        <v>5.16</v>
      </c>
      <c r="I786">
        <v>1.788</v>
      </c>
      <c r="J786">
        <v>20.46</v>
      </c>
      <c r="K786">
        <v>24.2</v>
      </c>
      <c r="L786">
        <v>18.01</v>
      </c>
      <c r="M786">
        <v>5.13</v>
      </c>
      <c r="N786">
        <v>0.908</v>
      </c>
      <c r="O786">
        <v>21.6</v>
      </c>
      <c r="P786">
        <v>25.28</v>
      </c>
      <c r="Q786">
        <v>18.81</v>
      </c>
      <c r="R786">
        <v>2.47</v>
      </c>
    </row>
    <row r="787">
      <c r="A787" s="9">
        <v>39318</v>
      </c>
      <c r="B787" s="2" t="inlineStr">
        <is>
          <t xml:space="preserve">2007-08</t>
        </is>
      </c>
      <c r="C787" s="2" t="inlineStr">
        <is>
          <t xml:space="preserve">2007/08</t>
        </is>
      </c>
      <c r="D787">
        <v>2.356</v>
      </c>
      <c r="E787">
        <v>22.34</v>
      </c>
      <c r="F787">
        <v>27.7</v>
      </c>
      <c r="G787">
        <v>17.38</v>
      </c>
      <c r="H787">
        <v>4.55</v>
      </c>
      <c r="I787">
        <v>4.334</v>
      </c>
      <c r="J787">
        <v>21.18</v>
      </c>
      <c r="K787">
        <v>25.62</v>
      </c>
      <c r="L787">
        <v>17.63</v>
      </c>
      <c r="M787">
        <v>1.68</v>
      </c>
      <c r="N787">
        <v>0.0</v>
      </c>
      <c r="O787">
        <v>22.88</v>
      </c>
      <c r="P787">
        <v>28.36</v>
      </c>
      <c r="Q787">
        <v>18.54</v>
      </c>
      <c r="R787">
        <v>0.34</v>
      </c>
    </row>
    <row r="788">
      <c r="A788" s="9">
        <v>39319</v>
      </c>
      <c r="B788" s="2" t="inlineStr">
        <is>
          <t xml:space="preserve">2007-08</t>
        </is>
      </c>
      <c r="C788" s="2" t="inlineStr">
        <is>
          <t xml:space="preserve">2007/08</t>
        </is>
      </c>
      <c r="D788">
        <v>1.81</v>
      </c>
      <c r="E788">
        <v>22.76</v>
      </c>
      <c r="F788">
        <v>28.08</v>
      </c>
      <c r="G788">
        <v>19.28</v>
      </c>
      <c r="H788">
        <v>3.64</v>
      </c>
      <c r="I788">
        <v>0.0</v>
      </c>
      <c r="J788">
        <v>22.43</v>
      </c>
      <c r="K788">
        <v>27.57</v>
      </c>
      <c r="L788">
        <v>18.08</v>
      </c>
      <c r="M788">
        <v>2.89</v>
      </c>
      <c r="N788">
        <v>0.251</v>
      </c>
      <c r="O788">
        <v>23.59</v>
      </c>
      <c r="P788">
        <v>28.81</v>
      </c>
      <c r="Q788">
        <v>19.82</v>
      </c>
      <c r="R788">
        <v>4.83</v>
      </c>
    </row>
    <row r="789">
      <c r="A789" s="9">
        <v>39320</v>
      </c>
      <c r="B789" s="2" t="inlineStr">
        <is>
          <t xml:space="preserve">2007-08</t>
        </is>
      </c>
      <c r="C789" s="2" t="inlineStr">
        <is>
          <t xml:space="preserve">2007/08</t>
        </is>
      </c>
      <c r="D789">
        <v>8.149</v>
      </c>
      <c r="E789">
        <v>22.2</v>
      </c>
      <c r="F789">
        <v>27.53</v>
      </c>
      <c r="G789">
        <v>17.43</v>
      </c>
      <c r="H789">
        <v>7.13</v>
      </c>
      <c r="I789">
        <v>20.152</v>
      </c>
      <c r="J789">
        <v>22.42</v>
      </c>
      <c r="K789">
        <v>26.47</v>
      </c>
      <c r="L789">
        <v>18.93</v>
      </c>
      <c r="M789">
        <v>20.35</v>
      </c>
      <c r="N789">
        <v>19.495</v>
      </c>
      <c r="O789">
        <v>23.3</v>
      </c>
      <c r="P789">
        <v>27.08</v>
      </c>
      <c r="Q789">
        <v>20.3</v>
      </c>
      <c r="R789">
        <v>17.01</v>
      </c>
    </row>
    <row r="790">
      <c r="A790" s="9">
        <v>39321</v>
      </c>
      <c r="B790" s="2" t="inlineStr">
        <is>
          <t xml:space="preserve">2007-08</t>
        </is>
      </c>
      <c r="C790" s="2" t="inlineStr">
        <is>
          <t xml:space="preserve">2007/08</t>
        </is>
      </c>
      <c r="D790">
        <v>8.243</v>
      </c>
      <c r="E790">
        <v>21.75</v>
      </c>
      <c r="F790">
        <v>27.27</v>
      </c>
      <c r="G790">
        <v>18.0</v>
      </c>
      <c r="H790">
        <v>7.92</v>
      </c>
      <c r="I790">
        <v>11.994</v>
      </c>
      <c r="J790">
        <v>22.39</v>
      </c>
      <c r="K790">
        <v>26.15</v>
      </c>
      <c r="L790">
        <v>19.64</v>
      </c>
      <c r="M790">
        <v>16.1</v>
      </c>
      <c r="N790">
        <v>1.856</v>
      </c>
      <c r="O790">
        <v>22.42</v>
      </c>
      <c r="P790">
        <v>25.66</v>
      </c>
      <c r="Q790">
        <v>19.96</v>
      </c>
      <c r="R790">
        <v>16.54</v>
      </c>
    </row>
    <row r="791">
      <c r="A791" s="9">
        <v>39322</v>
      </c>
      <c r="B791" s="2" t="inlineStr">
        <is>
          <t xml:space="preserve">2007-08</t>
        </is>
      </c>
      <c r="C791" s="2" t="inlineStr">
        <is>
          <t xml:space="preserve">2007/08</t>
        </is>
      </c>
      <c r="D791">
        <v>12.941</v>
      </c>
      <c r="E791">
        <v>21.27</v>
      </c>
      <c r="F791">
        <v>26.45</v>
      </c>
      <c r="G791">
        <v>17.01</v>
      </c>
      <c r="H791">
        <v>7.62</v>
      </c>
      <c r="I791">
        <v>21.926</v>
      </c>
      <c r="J791">
        <v>21.67</v>
      </c>
      <c r="K791">
        <v>24.31</v>
      </c>
      <c r="L791">
        <v>19.62</v>
      </c>
      <c r="M791">
        <v>18.88</v>
      </c>
      <c r="N791">
        <v>30.523</v>
      </c>
      <c r="O791">
        <v>22.54</v>
      </c>
      <c r="P791">
        <v>26.6</v>
      </c>
      <c r="Q791">
        <v>20.11</v>
      </c>
      <c r="R791">
        <v>17.84</v>
      </c>
    </row>
    <row r="792">
      <c r="A792" s="9">
        <v>39323</v>
      </c>
      <c r="B792" s="2" t="inlineStr">
        <is>
          <t xml:space="preserve">2007-08</t>
        </is>
      </c>
      <c r="C792" s="2" t="inlineStr">
        <is>
          <t xml:space="preserve">2007/08</t>
        </is>
      </c>
      <c r="D792">
        <v>12.909</v>
      </c>
      <c r="E792">
        <v>21.88</v>
      </c>
      <c r="F792">
        <v>26.53</v>
      </c>
      <c r="G792">
        <v>18.35</v>
      </c>
      <c r="H792">
        <v>9.34</v>
      </c>
      <c r="I792">
        <v>24.547</v>
      </c>
      <c r="J792">
        <v>22.11</v>
      </c>
      <c r="K792">
        <v>25.86</v>
      </c>
      <c r="L792">
        <v>19.89</v>
      </c>
      <c r="M792">
        <v>22.5</v>
      </c>
      <c r="N792">
        <v>26.493</v>
      </c>
      <c r="O792">
        <v>22.69</v>
      </c>
      <c r="P792">
        <v>26.38</v>
      </c>
      <c r="Q792">
        <v>20.4</v>
      </c>
      <c r="R792">
        <v>21.69</v>
      </c>
    </row>
    <row r="793">
      <c r="A793" s="9">
        <v>39324</v>
      </c>
      <c r="B793" s="2" t="inlineStr">
        <is>
          <t xml:space="preserve">2007-08</t>
        </is>
      </c>
      <c r="C793" s="2" t="inlineStr">
        <is>
          <t xml:space="preserve">2007/08</t>
        </is>
      </c>
      <c r="D793">
        <v>12.497</v>
      </c>
      <c r="E793">
        <v>22.2</v>
      </c>
      <c r="F793">
        <v>26.47</v>
      </c>
      <c r="G793">
        <v>18.95</v>
      </c>
      <c r="H793">
        <v>11.72</v>
      </c>
      <c r="I793">
        <v>14.562</v>
      </c>
      <c r="J793">
        <v>22.22</v>
      </c>
      <c r="K793">
        <v>25.81</v>
      </c>
      <c r="L793">
        <v>19.47</v>
      </c>
      <c r="M793">
        <v>14.07</v>
      </c>
      <c r="N793">
        <v>12.389</v>
      </c>
      <c r="O793">
        <v>22.47</v>
      </c>
      <c r="P793">
        <v>25.29</v>
      </c>
      <c r="Q793">
        <v>19.85</v>
      </c>
      <c r="R793">
        <v>10.94</v>
      </c>
    </row>
    <row r="794">
      <c r="A794" s="9">
        <v>39325</v>
      </c>
      <c r="B794" s="2" t="inlineStr">
        <is>
          <t xml:space="preserve">2007-08</t>
        </is>
      </c>
      <c r="C794" s="2" t="inlineStr">
        <is>
          <t xml:space="preserve">2007/08</t>
        </is>
      </c>
      <c r="D794">
        <v>10.215</v>
      </c>
      <c r="E794">
        <v>22.28</v>
      </c>
      <c r="F794">
        <v>27.09</v>
      </c>
      <c r="G794">
        <v>18.47</v>
      </c>
      <c r="H794">
        <v>3.8</v>
      </c>
      <c r="I794">
        <v>8.688</v>
      </c>
      <c r="J794">
        <v>22.89</v>
      </c>
      <c r="K794">
        <v>27.18</v>
      </c>
      <c r="L794">
        <v>19.42</v>
      </c>
      <c r="M794">
        <v>4.15</v>
      </c>
      <c r="N794">
        <v>11.256</v>
      </c>
      <c r="O794">
        <v>22.96</v>
      </c>
      <c r="P794">
        <v>26.88</v>
      </c>
      <c r="Q794">
        <v>20.2</v>
      </c>
      <c r="R794">
        <v>4.42</v>
      </c>
    </row>
    <row r="795">
      <c r="A795" s="9">
        <v>39326</v>
      </c>
      <c r="B795" s="2" t="inlineStr">
        <is>
          <t xml:space="preserve">2007-09</t>
        </is>
      </c>
      <c r="C795" s="2" t="inlineStr">
        <is>
          <t xml:space="preserve">2007/08</t>
        </is>
      </c>
      <c r="D795">
        <v>0.642</v>
      </c>
      <c r="E795">
        <v>22.04</v>
      </c>
      <c r="F795">
        <v>26.48</v>
      </c>
      <c r="G795">
        <v>17.75</v>
      </c>
      <c r="H795">
        <v>2.63</v>
      </c>
      <c r="I795">
        <v>1.181</v>
      </c>
      <c r="J795">
        <v>22.43</v>
      </c>
      <c r="K795">
        <v>25.6</v>
      </c>
      <c r="L795">
        <v>19.43</v>
      </c>
      <c r="M795">
        <v>4.41</v>
      </c>
      <c r="N795">
        <v>0.348</v>
      </c>
      <c r="O795">
        <v>22.6</v>
      </c>
      <c r="P795">
        <v>25.82</v>
      </c>
      <c r="Q795">
        <v>20.37</v>
      </c>
      <c r="R795">
        <v>4.84</v>
      </c>
    </row>
    <row r="796">
      <c r="A796" s="9">
        <v>39327</v>
      </c>
      <c r="B796" s="2" t="inlineStr">
        <is>
          <t xml:space="preserve">2007-09</t>
        </is>
      </c>
      <c r="C796" s="2" t="inlineStr">
        <is>
          <t xml:space="preserve">2007/08</t>
        </is>
      </c>
      <c r="D796">
        <v>10.668</v>
      </c>
      <c r="E796">
        <v>22.24</v>
      </c>
      <c r="F796">
        <v>27.88</v>
      </c>
      <c r="G796">
        <v>17.15</v>
      </c>
      <c r="H796">
        <v>5.05</v>
      </c>
      <c r="I796">
        <v>7.958</v>
      </c>
      <c r="J796">
        <v>22.61</v>
      </c>
      <c r="K796">
        <v>26.44</v>
      </c>
      <c r="L796">
        <v>19.61</v>
      </c>
      <c r="M796">
        <v>4.69</v>
      </c>
      <c r="N796">
        <v>10.245</v>
      </c>
      <c r="O796">
        <v>22.54</v>
      </c>
      <c r="P796">
        <v>26.07</v>
      </c>
      <c r="Q796">
        <v>20.4</v>
      </c>
      <c r="R796">
        <v>4.44</v>
      </c>
    </row>
    <row r="797">
      <c r="A797" s="9">
        <v>39328</v>
      </c>
      <c r="B797" s="2" t="inlineStr">
        <is>
          <t xml:space="preserve">2007-09</t>
        </is>
      </c>
      <c r="C797" s="2" t="inlineStr">
        <is>
          <t xml:space="preserve">2007/08</t>
        </is>
      </c>
      <c r="D797">
        <v>7.673</v>
      </c>
      <c r="E797">
        <v>22.04</v>
      </c>
      <c r="F797">
        <v>27.34</v>
      </c>
      <c r="G797">
        <v>18.9</v>
      </c>
      <c r="H797">
        <v>6.5</v>
      </c>
      <c r="I797">
        <v>4.546</v>
      </c>
      <c r="J797">
        <v>21.46</v>
      </c>
      <c r="K797">
        <v>23.79</v>
      </c>
      <c r="L797">
        <v>19.8</v>
      </c>
      <c r="M797">
        <v>22.3</v>
      </c>
      <c r="N797">
        <v>3.747</v>
      </c>
      <c r="O797">
        <v>22.11</v>
      </c>
      <c r="P797">
        <v>25.48</v>
      </c>
      <c r="Q797">
        <v>20.27</v>
      </c>
      <c r="R797">
        <v>21.3</v>
      </c>
    </row>
    <row r="798">
      <c r="A798" s="9">
        <v>39329</v>
      </c>
      <c r="B798" s="2" t="inlineStr">
        <is>
          <t xml:space="preserve">2007-09</t>
        </is>
      </c>
      <c r="C798" s="2" t="inlineStr">
        <is>
          <t xml:space="preserve">2007/08</t>
        </is>
      </c>
      <c r="D798">
        <v>6.206</v>
      </c>
      <c r="E798">
        <v>20.97</v>
      </c>
      <c r="F798">
        <v>25.9</v>
      </c>
      <c r="G798">
        <v>17.49</v>
      </c>
      <c r="H798">
        <v>18.25</v>
      </c>
      <c r="I798">
        <v>47.456</v>
      </c>
      <c r="J798">
        <v>21.77</v>
      </c>
      <c r="K798">
        <v>26.29</v>
      </c>
      <c r="L798">
        <v>18.6</v>
      </c>
      <c r="M798">
        <v>29.03</v>
      </c>
      <c r="N798">
        <v>63.387</v>
      </c>
      <c r="O798">
        <v>21.79</v>
      </c>
      <c r="P798">
        <v>25.9</v>
      </c>
      <c r="Q798">
        <v>19.1</v>
      </c>
      <c r="R798">
        <v>36.35</v>
      </c>
    </row>
    <row r="799">
      <c r="A799" s="9">
        <v>39330</v>
      </c>
      <c r="B799" s="2" t="inlineStr">
        <is>
          <t xml:space="preserve">2007-09</t>
        </is>
      </c>
      <c r="C799" s="2" t="inlineStr">
        <is>
          <t xml:space="preserve">2007/08</t>
        </is>
      </c>
      <c r="D799">
        <v>31.642</v>
      </c>
      <c r="E799">
        <v>20.42</v>
      </c>
      <c r="F799">
        <v>23.54</v>
      </c>
      <c r="G799">
        <v>18.46</v>
      </c>
      <c r="H799">
        <v>30.9</v>
      </c>
      <c r="I799">
        <v>44.445</v>
      </c>
      <c r="J799">
        <v>19.91</v>
      </c>
      <c r="K799">
        <v>21.8</v>
      </c>
      <c r="L799">
        <v>18.26</v>
      </c>
      <c r="M799">
        <v>46.56</v>
      </c>
      <c r="N799">
        <v>68.661</v>
      </c>
      <c r="O799">
        <v>20.27</v>
      </c>
      <c r="P799">
        <v>21.82</v>
      </c>
      <c r="Q799">
        <v>19.31</v>
      </c>
      <c r="R799">
        <v>66.61</v>
      </c>
    </row>
    <row r="800">
      <c r="A800" s="9">
        <v>39331</v>
      </c>
      <c r="B800" s="2" t="inlineStr">
        <is>
          <t xml:space="preserve">2007-09</t>
        </is>
      </c>
      <c r="C800" s="2" t="inlineStr">
        <is>
          <t xml:space="preserve">2007/08</t>
        </is>
      </c>
      <c r="D800">
        <v>15.274</v>
      </c>
      <c r="E800">
        <v>20.89</v>
      </c>
      <c r="F800">
        <v>24.95</v>
      </c>
      <c r="G800">
        <v>17.31</v>
      </c>
      <c r="H800">
        <v>8.44</v>
      </c>
      <c r="I800">
        <v>7.213</v>
      </c>
      <c r="J800">
        <v>21.03</v>
      </c>
      <c r="K800">
        <v>24.61</v>
      </c>
      <c r="L800">
        <v>18.64</v>
      </c>
      <c r="M800">
        <v>6.94</v>
      </c>
      <c r="N800">
        <v>3.755</v>
      </c>
      <c r="O800">
        <v>21.82</v>
      </c>
      <c r="P800">
        <v>26.05</v>
      </c>
      <c r="Q800">
        <v>18.73</v>
      </c>
      <c r="R800">
        <v>4.06</v>
      </c>
    </row>
    <row r="801">
      <c r="A801" s="9">
        <v>39332</v>
      </c>
      <c r="B801" s="2" t="inlineStr">
        <is>
          <t xml:space="preserve">2007-09</t>
        </is>
      </c>
      <c r="C801" s="2" t="inlineStr">
        <is>
          <t xml:space="preserve">2007/08</t>
        </is>
      </c>
      <c r="D801">
        <v>28.026</v>
      </c>
      <c r="E801">
        <v>22.37</v>
      </c>
      <c r="F801">
        <v>27.42</v>
      </c>
      <c r="G801">
        <v>18.54</v>
      </c>
      <c r="H801">
        <v>13.07</v>
      </c>
      <c r="I801">
        <v>3.02</v>
      </c>
      <c r="J801">
        <v>22.26</v>
      </c>
      <c r="K801">
        <v>26.41</v>
      </c>
      <c r="L801">
        <v>18.03</v>
      </c>
      <c r="M801">
        <v>4.87</v>
      </c>
      <c r="N801">
        <v>2.098</v>
      </c>
      <c r="O801">
        <v>22.76</v>
      </c>
      <c r="P801">
        <v>27.27</v>
      </c>
      <c r="Q801">
        <v>18.94</v>
      </c>
      <c r="R801">
        <v>3.91</v>
      </c>
    </row>
    <row r="802">
      <c r="A802" s="9">
        <v>39333</v>
      </c>
      <c r="B802" s="2" t="inlineStr">
        <is>
          <t xml:space="preserve">2007-09</t>
        </is>
      </c>
      <c r="C802" s="2" t="inlineStr">
        <is>
          <t xml:space="preserve">2007/08</t>
        </is>
      </c>
      <c r="D802">
        <v>12.753</v>
      </c>
      <c r="E802">
        <v>22.07</v>
      </c>
      <c r="F802">
        <v>26.8</v>
      </c>
      <c r="G802">
        <v>17.82</v>
      </c>
      <c r="H802">
        <v>7.92</v>
      </c>
      <c r="I802">
        <v>9.869</v>
      </c>
      <c r="J802">
        <v>22.39</v>
      </c>
      <c r="K802">
        <v>26.04</v>
      </c>
      <c r="L802">
        <v>19.81</v>
      </c>
      <c r="M802">
        <v>7.24</v>
      </c>
      <c r="N802">
        <v>6.575</v>
      </c>
      <c r="O802">
        <v>23.41</v>
      </c>
      <c r="P802">
        <v>27.79</v>
      </c>
      <c r="Q802">
        <v>20.28</v>
      </c>
      <c r="R802">
        <v>5.16</v>
      </c>
    </row>
    <row r="803">
      <c r="A803" s="9">
        <v>39334</v>
      </c>
      <c r="B803" s="2" t="inlineStr">
        <is>
          <t xml:space="preserve">2007-09</t>
        </is>
      </c>
      <c r="C803" s="2" t="inlineStr">
        <is>
          <t xml:space="preserve">2007/08</t>
        </is>
      </c>
      <c r="D803">
        <v>4.983</v>
      </c>
      <c r="E803">
        <v>21.58</v>
      </c>
      <c r="F803">
        <v>26.28</v>
      </c>
      <c r="G803">
        <v>18.25</v>
      </c>
      <c r="H803">
        <v>8.72</v>
      </c>
      <c r="I803">
        <v>2.147</v>
      </c>
      <c r="J803">
        <v>22.46</v>
      </c>
      <c r="K803">
        <v>27.44</v>
      </c>
      <c r="L803">
        <v>19.08</v>
      </c>
      <c r="M803">
        <v>9.38</v>
      </c>
      <c r="N803">
        <v>0.903</v>
      </c>
      <c r="O803">
        <v>22.87</v>
      </c>
      <c r="P803">
        <v>27.47</v>
      </c>
      <c r="Q803">
        <v>20.64</v>
      </c>
      <c r="R803">
        <v>9.32</v>
      </c>
    </row>
    <row r="804">
      <c r="A804" s="9">
        <v>39335</v>
      </c>
      <c r="B804" s="2" t="inlineStr">
        <is>
          <t xml:space="preserve">2007-09</t>
        </is>
      </c>
      <c r="C804" s="2" t="inlineStr">
        <is>
          <t xml:space="preserve">2007/08</t>
        </is>
      </c>
      <c r="D804">
        <v>17.734</v>
      </c>
      <c r="E804">
        <v>21.3</v>
      </c>
      <c r="F804">
        <v>26.74</v>
      </c>
      <c r="G804">
        <v>16.25</v>
      </c>
      <c r="H804">
        <v>3.33</v>
      </c>
      <c r="I804">
        <v>17.484</v>
      </c>
      <c r="J804">
        <v>22.74</v>
      </c>
      <c r="K804">
        <v>27.18</v>
      </c>
      <c r="L804">
        <v>19.33</v>
      </c>
      <c r="M804">
        <v>8.85</v>
      </c>
      <c r="N804">
        <v>23.264</v>
      </c>
      <c r="O804">
        <v>22.55</v>
      </c>
      <c r="P804">
        <v>27.62</v>
      </c>
      <c r="Q804">
        <v>18.55</v>
      </c>
      <c r="R804">
        <v>7.7</v>
      </c>
    </row>
    <row r="805">
      <c r="A805" s="9">
        <v>39336</v>
      </c>
      <c r="B805" s="2" t="inlineStr">
        <is>
          <t xml:space="preserve">2007-09</t>
        </is>
      </c>
      <c r="C805" s="2" t="inlineStr">
        <is>
          <t xml:space="preserve">2007/08</t>
        </is>
      </c>
      <c r="D805">
        <v>6.218</v>
      </c>
      <c r="E805">
        <v>20.95</v>
      </c>
      <c r="F805">
        <v>25.22</v>
      </c>
      <c r="G805">
        <v>17.57</v>
      </c>
      <c r="H805">
        <v>5.79</v>
      </c>
      <c r="I805">
        <v>11.472</v>
      </c>
      <c r="J805">
        <v>22.18</v>
      </c>
      <c r="K805">
        <v>26.65</v>
      </c>
      <c r="L805">
        <v>19.14</v>
      </c>
      <c r="M805">
        <v>9.71</v>
      </c>
      <c r="N805">
        <v>10.831</v>
      </c>
      <c r="O805">
        <v>22.46</v>
      </c>
      <c r="P805">
        <v>26.22</v>
      </c>
      <c r="Q805">
        <v>20.21</v>
      </c>
      <c r="R805">
        <v>8.23</v>
      </c>
    </row>
    <row r="806">
      <c r="A806" s="9">
        <v>39337</v>
      </c>
      <c r="B806" s="2" t="inlineStr">
        <is>
          <t xml:space="preserve">2007-09</t>
        </is>
      </c>
      <c r="C806" s="2" t="inlineStr">
        <is>
          <t xml:space="preserve">2007/08</t>
        </is>
      </c>
      <c r="D806">
        <v>8.265</v>
      </c>
      <c r="E806">
        <v>20.14</v>
      </c>
      <c r="F806">
        <v>25.78</v>
      </c>
      <c r="G806">
        <v>15.7</v>
      </c>
      <c r="H806">
        <v>4.39</v>
      </c>
      <c r="I806">
        <v>1.903</v>
      </c>
      <c r="J806">
        <v>22.88</v>
      </c>
      <c r="K806">
        <v>27.44</v>
      </c>
      <c r="L806">
        <v>19.29</v>
      </c>
      <c r="M806">
        <v>2.97</v>
      </c>
      <c r="N806">
        <v>2.689</v>
      </c>
      <c r="O806">
        <v>22.49</v>
      </c>
      <c r="P806">
        <v>26.67</v>
      </c>
      <c r="Q806">
        <v>19.38</v>
      </c>
      <c r="R806">
        <v>3.59</v>
      </c>
    </row>
    <row r="807">
      <c r="A807" s="9">
        <v>39338</v>
      </c>
      <c r="B807" s="2" t="inlineStr">
        <is>
          <t xml:space="preserve">2007-09</t>
        </is>
      </c>
      <c r="C807" s="2" t="inlineStr">
        <is>
          <t xml:space="preserve">2007/08</t>
        </is>
      </c>
      <c r="D807">
        <v>10.087</v>
      </c>
      <c r="E807">
        <v>20.22</v>
      </c>
      <c r="F807">
        <v>25.63</v>
      </c>
      <c r="G807">
        <v>15.86</v>
      </c>
      <c r="H807">
        <v>11.04</v>
      </c>
      <c r="I807">
        <v>2.419</v>
      </c>
      <c r="J807">
        <v>21.48</v>
      </c>
      <c r="K807">
        <v>26.44</v>
      </c>
      <c r="L807">
        <v>17.47</v>
      </c>
      <c r="M807">
        <v>5.75</v>
      </c>
      <c r="N807">
        <v>1.666</v>
      </c>
      <c r="O807">
        <v>21.27</v>
      </c>
      <c r="P807">
        <v>25.21</v>
      </c>
      <c r="Q807">
        <v>17.73</v>
      </c>
      <c r="R807">
        <v>5.43</v>
      </c>
    </row>
    <row r="808">
      <c r="A808" s="9">
        <v>39339</v>
      </c>
      <c r="B808" s="2" t="inlineStr">
        <is>
          <t xml:space="preserve">2007-09</t>
        </is>
      </c>
      <c r="C808" s="2" t="inlineStr">
        <is>
          <t xml:space="preserve">2007/08</t>
        </is>
      </c>
      <c r="D808">
        <v>10.754</v>
      </c>
      <c r="E808">
        <v>19.78</v>
      </c>
      <c r="F808">
        <v>24.99</v>
      </c>
      <c r="G808">
        <v>16.3</v>
      </c>
      <c r="H808">
        <v>3.88</v>
      </c>
      <c r="I808">
        <v>14.397</v>
      </c>
      <c r="J808">
        <v>21.56</v>
      </c>
      <c r="K808">
        <v>26.09</v>
      </c>
      <c r="L808">
        <v>18.53</v>
      </c>
      <c r="M808">
        <v>9.94</v>
      </c>
      <c r="N808">
        <v>18.07</v>
      </c>
      <c r="O808">
        <v>21.76</v>
      </c>
      <c r="P808">
        <v>25.7</v>
      </c>
      <c r="Q808">
        <v>19.5</v>
      </c>
      <c r="R808">
        <v>11.02</v>
      </c>
    </row>
    <row r="809">
      <c r="A809" s="9">
        <v>39340</v>
      </c>
      <c r="B809" s="2" t="inlineStr">
        <is>
          <t xml:space="preserve">2007-09</t>
        </is>
      </c>
      <c r="C809" s="2" t="inlineStr">
        <is>
          <t xml:space="preserve">2007/08</t>
        </is>
      </c>
      <c r="D809">
        <v>0.55</v>
      </c>
      <c r="E809">
        <v>20.77</v>
      </c>
      <c r="F809">
        <v>26.26</v>
      </c>
      <c r="G809">
        <v>16.62</v>
      </c>
      <c r="H809">
        <v>1.23</v>
      </c>
      <c r="I809">
        <v>0.702</v>
      </c>
      <c r="J809">
        <v>21.52</v>
      </c>
      <c r="K809">
        <v>26.64</v>
      </c>
      <c r="L809">
        <v>17.84</v>
      </c>
      <c r="M809">
        <v>1.5</v>
      </c>
      <c r="N809">
        <v>0.246</v>
      </c>
      <c r="O809">
        <v>21.82</v>
      </c>
      <c r="P809">
        <v>26.16</v>
      </c>
      <c r="Q809">
        <v>18.92</v>
      </c>
      <c r="R809">
        <v>4.23</v>
      </c>
    </row>
    <row r="810">
      <c r="A810" s="9">
        <v>39341</v>
      </c>
      <c r="B810" s="2" t="inlineStr">
        <is>
          <t xml:space="preserve">2007-09</t>
        </is>
      </c>
      <c r="C810" s="2" t="inlineStr">
        <is>
          <t xml:space="preserve">2007/08</t>
        </is>
      </c>
      <c r="D810">
        <v>3.34</v>
      </c>
      <c r="E810">
        <v>21.06</v>
      </c>
      <c r="F810">
        <v>25.22</v>
      </c>
      <c r="G810">
        <v>17.89</v>
      </c>
      <c r="H810">
        <v>8.17</v>
      </c>
      <c r="I810">
        <v>2.056</v>
      </c>
      <c r="J810">
        <v>20.94</v>
      </c>
      <c r="K810">
        <v>25.08</v>
      </c>
      <c r="L810">
        <v>17.45</v>
      </c>
      <c r="M810">
        <v>3.67</v>
      </c>
      <c r="N810">
        <v>3.08</v>
      </c>
      <c r="O810">
        <v>21.26</v>
      </c>
      <c r="P810">
        <v>24.22</v>
      </c>
      <c r="Q810">
        <v>19.46</v>
      </c>
      <c r="R810">
        <v>8.17</v>
      </c>
    </row>
    <row r="811">
      <c r="A811" s="9">
        <v>39342</v>
      </c>
      <c r="B811" s="2" t="inlineStr">
        <is>
          <t xml:space="preserve">2007-09</t>
        </is>
      </c>
      <c r="C811" s="2" t="inlineStr">
        <is>
          <t xml:space="preserve">2007/08</t>
        </is>
      </c>
      <c r="D811">
        <v>1.803</v>
      </c>
      <c r="E811">
        <v>21.6</v>
      </c>
      <c r="F811">
        <v>26.08</v>
      </c>
      <c r="G811">
        <v>17.83</v>
      </c>
      <c r="H811">
        <v>1.54</v>
      </c>
      <c r="I811">
        <v>0.032</v>
      </c>
      <c r="J811">
        <v>21.76</v>
      </c>
      <c r="K811">
        <v>26.14</v>
      </c>
      <c r="L811">
        <v>17.95</v>
      </c>
      <c r="M811">
        <v>0.66</v>
      </c>
      <c r="N811">
        <v>0.138</v>
      </c>
      <c r="O811">
        <v>21.96</v>
      </c>
      <c r="P811">
        <v>26.24</v>
      </c>
      <c r="Q811">
        <v>19.08</v>
      </c>
      <c r="R811">
        <v>0.39</v>
      </c>
    </row>
    <row r="812">
      <c r="A812" s="9">
        <v>39343</v>
      </c>
      <c r="B812" s="2" t="inlineStr">
        <is>
          <t xml:space="preserve">2007-09</t>
        </is>
      </c>
      <c r="C812" s="2" t="inlineStr">
        <is>
          <t xml:space="preserve">2007/08</t>
        </is>
      </c>
      <c r="D812">
        <v>0.0</v>
      </c>
      <c r="E812">
        <v>21.61</v>
      </c>
      <c r="F812">
        <v>25.65</v>
      </c>
      <c r="G812">
        <v>18.87</v>
      </c>
      <c r="H812">
        <v>0.83</v>
      </c>
      <c r="I812">
        <v>0.559</v>
      </c>
      <c r="J812">
        <v>21.14</v>
      </c>
      <c r="K812">
        <v>24.47</v>
      </c>
      <c r="L812">
        <v>18.75</v>
      </c>
      <c r="M812">
        <v>1.32</v>
      </c>
      <c r="N812">
        <v>0.0</v>
      </c>
      <c r="O812">
        <v>21.4</v>
      </c>
      <c r="P812">
        <v>24.55</v>
      </c>
      <c r="Q812">
        <v>19.18</v>
      </c>
      <c r="R812">
        <v>0.35</v>
      </c>
    </row>
    <row r="813">
      <c r="A813" s="9">
        <v>39344</v>
      </c>
      <c r="B813" s="2" t="inlineStr">
        <is>
          <t xml:space="preserve">2007-09</t>
        </is>
      </c>
      <c r="C813" s="2" t="inlineStr">
        <is>
          <t xml:space="preserve">2007/08</t>
        </is>
      </c>
      <c r="D813">
        <v>2.473</v>
      </c>
      <c r="E813">
        <v>21.51</v>
      </c>
      <c r="F813">
        <v>25.68</v>
      </c>
      <c r="G813">
        <v>18.81</v>
      </c>
      <c r="H813">
        <v>8.15</v>
      </c>
      <c r="I813">
        <v>2.675</v>
      </c>
      <c r="J813">
        <v>21.86</v>
      </c>
      <c r="K813">
        <v>26.3</v>
      </c>
      <c r="L813">
        <v>18.03</v>
      </c>
      <c r="M813">
        <v>3.82</v>
      </c>
      <c r="N813">
        <v>0.127</v>
      </c>
      <c r="O813">
        <v>22.2</v>
      </c>
      <c r="P813">
        <v>26.49</v>
      </c>
      <c r="Q813">
        <v>18.52</v>
      </c>
      <c r="R813">
        <v>1.27</v>
      </c>
    </row>
    <row r="814">
      <c r="A814" s="9">
        <v>39345</v>
      </c>
      <c r="B814" s="2" t="inlineStr">
        <is>
          <t xml:space="preserve">2007-09</t>
        </is>
      </c>
      <c r="C814" s="2" t="inlineStr">
        <is>
          <t xml:space="preserve">2007/08</t>
        </is>
      </c>
      <c r="D814">
        <v>4.877</v>
      </c>
      <c r="E814">
        <v>21.51</v>
      </c>
      <c r="F814">
        <v>24.97</v>
      </c>
      <c r="G814">
        <v>19.34</v>
      </c>
      <c r="H814">
        <v>8.18</v>
      </c>
      <c r="I814">
        <v>0.834</v>
      </c>
      <c r="J814">
        <v>21.64</v>
      </c>
      <c r="K814">
        <v>24.86</v>
      </c>
      <c r="L814">
        <v>18.95</v>
      </c>
      <c r="M814">
        <v>7.49</v>
      </c>
      <c r="N814">
        <v>0.437</v>
      </c>
      <c r="O814">
        <v>22.24</v>
      </c>
      <c r="P814">
        <v>26.72</v>
      </c>
      <c r="Q814">
        <v>18.92</v>
      </c>
      <c r="R814">
        <v>4.31</v>
      </c>
    </row>
    <row r="815">
      <c r="A815" s="9">
        <v>39346</v>
      </c>
      <c r="B815" s="2" t="inlineStr">
        <is>
          <t xml:space="preserve">2007-09</t>
        </is>
      </c>
      <c r="C815" s="2" t="inlineStr">
        <is>
          <t xml:space="preserve">2007/08</t>
        </is>
      </c>
      <c r="D815">
        <v>15.513</v>
      </c>
      <c r="E815">
        <v>20.59</v>
      </c>
      <c r="F815">
        <v>22.9</v>
      </c>
      <c r="G815">
        <v>19.02</v>
      </c>
      <c r="H815">
        <v>18.12</v>
      </c>
      <c r="I815">
        <v>25.355</v>
      </c>
      <c r="J815">
        <v>21.44</v>
      </c>
      <c r="K815">
        <v>23.82</v>
      </c>
      <c r="L815">
        <v>19.5</v>
      </c>
      <c r="M815">
        <v>26.76</v>
      </c>
      <c r="N815">
        <v>13.011</v>
      </c>
      <c r="O815">
        <v>21.98</v>
      </c>
      <c r="P815">
        <v>25.5</v>
      </c>
      <c r="Q815">
        <v>19.59</v>
      </c>
      <c r="R815">
        <v>15.94</v>
      </c>
    </row>
    <row r="816">
      <c r="A816" s="9">
        <v>39347</v>
      </c>
      <c r="B816" s="2" t="inlineStr">
        <is>
          <t xml:space="preserve">2007-09</t>
        </is>
      </c>
      <c r="C816" s="2" t="inlineStr">
        <is>
          <t xml:space="preserve">2007/08</t>
        </is>
      </c>
      <c r="D816">
        <v>19.49</v>
      </c>
      <c r="E816">
        <v>21.37</v>
      </c>
      <c r="F816">
        <v>25.08</v>
      </c>
      <c r="G816">
        <v>19.04</v>
      </c>
      <c r="H816">
        <v>17.99</v>
      </c>
      <c r="I816">
        <v>13.01</v>
      </c>
      <c r="J816">
        <v>22.0</v>
      </c>
      <c r="K816">
        <v>26.25</v>
      </c>
      <c r="L816">
        <v>18.92</v>
      </c>
      <c r="M816">
        <v>8.66</v>
      </c>
      <c r="N816">
        <v>6.798</v>
      </c>
      <c r="O816">
        <v>20.82</v>
      </c>
      <c r="P816">
        <v>22.74</v>
      </c>
      <c r="Q816">
        <v>19.46</v>
      </c>
      <c r="R816">
        <v>11.73</v>
      </c>
    </row>
    <row r="817">
      <c r="A817" s="9">
        <v>39348</v>
      </c>
      <c r="B817" s="2" t="inlineStr">
        <is>
          <t xml:space="preserve">2007-09</t>
        </is>
      </c>
      <c r="C817" s="2" t="inlineStr">
        <is>
          <t xml:space="preserve">2007/08</t>
        </is>
      </c>
      <c r="D817">
        <v>13.136</v>
      </c>
      <c r="E817">
        <v>21.92</v>
      </c>
      <c r="F817">
        <v>26.11</v>
      </c>
      <c r="G817">
        <v>18.59</v>
      </c>
      <c r="H817">
        <v>14.38</v>
      </c>
      <c r="I817">
        <v>10.581</v>
      </c>
      <c r="J817">
        <v>21.61</v>
      </c>
      <c r="K817">
        <v>25.12</v>
      </c>
      <c r="L817">
        <v>19.25</v>
      </c>
      <c r="M817">
        <v>13.43</v>
      </c>
      <c r="N817">
        <v>4.131</v>
      </c>
      <c r="O817">
        <v>22.45</v>
      </c>
      <c r="P817">
        <v>26.36</v>
      </c>
      <c r="Q817">
        <v>19.33</v>
      </c>
      <c r="R817">
        <v>18.3</v>
      </c>
    </row>
    <row r="818">
      <c r="A818" s="9">
        <v>39349</v>
      </c>
      <c r="B818" s="2" t="inlineStr">
        <is>
          <t xml:space="preserve">2007-09</t>
        </is>
      </c>
      <c r="C818" s="2" t="inlineStr">
        <is>
          <t xml:space="preserve">2007/08</t>
        </is>
      </c>
      <c r="D818">
        <v>4.015</v>
      </c>
      <c r="E818">
        <v>22.25</v>
      </c>
      <c r="F818">
        <v>27.02</v>
      </c>
      <c r="G818">
        <v>19.24</v>
      </c>
      <c r="H818">
        <v>6.71</v>
      </c>
      <c r="I818">
        <v>7.486</v>
      </c>
      <c r="J818">
        <v>21.78</v>
      </c>
      <c r="K818">
        <v>26.36</v>
      </c>
      <c r="L818">
        <v>18.43</v>
      </c>
      <c r="M818">
        <v>6.79</v>
      </c>
      <c r="N818">
        <v>9.649</v>
      </c>
      <c r="O818">
        <v>22.25</v>
      </c>
      <c r="P818">
        <v>26.43</v>
      </c>
      <c r="Q818">
        <v>19.48</v>
      </c>
      <c r="R818">
        <v>8.99</v>
      </c>
    </row>
    <row r="819">
      <c r="A819" s="9">
        <v>39350</v>
      </c>
      <c r="B819" s="2" t="inlineStr">
        <is>
          <t xml:space="preserve">2007-09</t>
        </is>
      </c>
      <c r="C819" s="2" t="inlineStr">
        <is>
          <t xml:space="preserve">2007/08</t>
        </is>
      </c>
      <c r="D819">
        <v>10.087</v>
      </c>
      <c r="E819">
        <v>22.54</v>
      </c>
      <c r="F819">
        <v>27.17</v>
      </c>
      <c r="G819">
        <v>19.01</v>
      </c>
      <c r="H819">
        <v>6.61</v>
      </c>
      <c r="I819">
        <v>22.392</v>
      </c>
      <c r="J819">
        <v>22.36</v>
      </c>
      <c r="K819">
        <v>26.46</v>
      </c>
      <c r="L819">
        <v>18.64</v>
      </c>
      <c r="M819">
        <v>17.08</v>
      </c>
      <c r="N819">
        <v>29.224</v>
      </c>
      <c r="O819">
        <v>22.91</v>
      </c>
      <c r="P819">
        <v>26.75</v>
      </c>
      <c r="Q819">
        <v>19.7</v>
      </c>
      <c r="R819">
        <v>15.47</v>
      </c>
    </row>
    <row r="820">
      <c r="A820" s="9">
        <v>39351</v>
      </c>
      <c r="B820" s="2" t="inlineStr">
        <is>
          <t xml:space="preserve">2007-09</t>
        </is>
      </c>
      <c r="C820" s="2" t="inlineStr">
        <is>
          <t xml:space="preserve">2007/08</t>
        </is>
      </c>
      <c r="D820">
        <v>4.754</v>
      </c>
      <c r="E820">
        <v>22.07</v>
      </c>
      <c r="F820">
        <v>26.67</v>
      </c>
      <c r="G820">
        <v>17.95</v>
      </c>
      <c r="H820">
        <v>5.12</v>
      </c>
      <c r="I820">
        <v>3.274</v>
      </c>
      <c r="J820">
        <v>22.53</v>
      </c>
      <c r="K820">
        <v>26.45</v>
      </c>
      <c r="L820">
        <v>19.32</v>
      </c>
      <c r="M820">
        <v>2.93</v>
      </c>
      <c r="N820">
        <v>1.397</v>
      </c>
      <c r="O820">
        <v>23.02</v>
      </c>
      <c r="P820">
        <v>26.73</v>
      </c>
      <c r="Q820">
        <v>20.24</v>
      </c>
      <c r="R820">
        <v>2.15</v>
      </c>
    </row>
    <row r="821">
      <c r="A821" s="9">
        <v>39352</v>
      </c>
      <c r="B821" s="2" t="inlineStr">
        <is>
          <t xml:space="preserve">2007-09</t>
        </is>
      </c>
      <c r="C821" s="2" t="inlineStr">
        <is>
          <t xml:space="preserve">2007/08</t>
        </is>
      </c>
      <c r="D821">
        <v>3.962</v>
      </c>
      <c r="E821">
        <v>22.12</v>
      </c>
      <c r="F821">
        <v>26.71</v>
      </c>
      <c r="G821">
        <v>18.69</v>
      </c>
      <c r="H821">
        <v>4.9</v>
      </c>
      <c r="I821">
        <v>3.869</v>
      </c>
      <c r="J821">
        <v>23.1</v>
      </c>
      <c r="K821">
        <v>27.12</v>
      </c>
      <c r="L821">
        <v>20.26</v>
      </c>
      <c r="M821">
        <v>3.7</v>
      </c>
      <c r="N821">
        <v>0.822</v>
      </c>
      <c r="O821">
        <v>23.11</v>
      </c>
      <c r="P821">
        <v>26.88</v>
      </c>
      <c r="Q821">
        <v>20.98</v>
      </c>
      <c r="R821">
        <v>1.5</v>
      </c>
    </row>
    <row r="822">
      <c r="A822" s="9">
        <v>39353</v>
      </c>
      <c r="B822" s="2" t="inlineStr">
        <is>
          <t xml:space="preserve">2007-09</t>
        </is>
      </c>
      <c r="C822" s="2" t="inlineStr">
        <is>
          <t xml:space="preserve">2007/08</t>
        </is>
      </c>
      <c r="D822">
        <v>1.77</v>
      </c>
      <c r="E822">
        <v>21.94</v>
      </c>
      <c r="F822">
        <v>26.51</v>
      </c>
      <c r="G822">
        <v>18.22</v>
      </c>
      <c r="H822">
        <v>3.13</v>
      </c>
      <c r="I822">
        <v>0.122</v>
      </c>
      <c r="J822">
        <v>22.44</v>
      </c>
      <c r="K822">
        <v>26.11</v>
      </c>
      <c r="L822">
        <v>19.68</v>
      </c>
      <c r="M822">
        <v>1.91</v>
      </c>
      <c r="N822">
        <v>0.547</v>
      </c>
      <c r="O822">
        <v>22.62</v>
      </c>
      <c r="P822">
        <v>26.12</v>
      </c>
      <c r="Q822">
        <v>20.26</v>
      </c>
      <c r="R822">
        <v>4.86</v>
      </c>
    </row>
    <row r="823">
      <c r="A823" s="9">
        <v>39354</v>
      </c>
      <c r="B823" s="2" t="inlineStr">
        <is>
          <t xml:space="preserve">2007-09</t>
        </is>
      </c>
      <c r="C823" s="2" t="inlineStr">
        <is>
          <t xml:space="preserve">2007/08</t>
        </is>
      </c>
      <c r="D823">
        <v>1.437</v>
      </c>
      <c r="E823">
        <v>21.0</v>
      </c>
      <c r="F823">
        <v>24.81</v>
      </c>
      <c r="G823">
        <v>17.69</v>
      </c>
      <c r="H823">
        <v>5.68</v>
      </c>
      <c r="I823">
        <v>2.226</v>
      </c>
      <c r="J823">
        <v>21.92</v>
      </c>
      <c r="K823">
        <v>25.59</v>
      </c>
      <c r="L823">
        <v>19.59</v>
      </c>
      <c r="M823">
        <v>6.6</v>
      </c>
      <c r="N823">
        <v>2.84</v>
      </c>
      <c r="O823">
        <v>22.13</v>
      </c>
      <c r="P823">
        <v>24.97</v>
      </c>
      <c r="Q823">
        <v>20.39</v>
      </c>
      <c r="R823">
        <v>11.73</v>
      </c>
    </row>
    <row r="824">
      <c r="A824" s="9">
        <v>39355</v>
      </c>
      <c r="B824" s="2" t="inlineStr">
        <is>
          <t xml:space="preserve">2007-09</t>
        </is>
      </c>
      <c r="C824" s="2" t="inlineStr">
        <is>
          <t xml:space="preserve">2007/08</t>
        </is>
      </c>
      <c r="D824">
        <v>11.547</v>
      </c>
      <c r="E824">
        <v>20.83</v>
      </c>
      <c r="F824">
        <v>24.24</v>
      </c>
      <c r="G824">
        <v>18.36</v>
      </c>
      <c r="H824">
        <v>11.37</v>
      </c>
      <c r="I824">
        <v>18.672</v>
      </c>
      <c r="J824">
        <v>20.95</v>
      </c>
      <c r="K824">
        <v>24.94</v>
      </c>
      <c r="L824">
        <v>18.39</v>
      </c>
      <c r="M824">
        <v>16.93</v>
      </c>
      <c r="N824">
        <v>19.746</v>
      </c>
      <c r="O824">
        <v>21.49</v>
      </c>
      <c r="P824">
        <v>24.66</v>
      </c>
      <c r="Q824">
        <v>19.22</v>
      </c>
      <c r="R824">
        <v>17.59</v>
      </c>
    </row>
    <row r="825">
      <c r="A825" s="9">
        <v>39356</v>
      </c>
      <c r="B825" s="2" t="inlineStr">
        <is>
          <t xml:space="preserve">2007-10</t>
        </is>
      </c>
      <c r="C825" s="2" t="inlineStr">
        <is>
          <t xml:space="preserve">2007/08</t>
        </is>
      </c>
      <c r="D825">
        <v>7.687</v>
      </c>
      <c r="E825">
        <v>20.8</v>
      </c>
      <c r="F825">
        <v>24.82</v>
      </c>
      <c r="G825">
        <v>18.0</v>
      </c>
      <c r="H825">
        <v>4.8</v>
      </c>
      <c r="I825">
        <v>11.427</v>
      </c>
      <c r="J825">
        <v>21.24</v>
      </c>
      <c r="K825">
        <v>25.47</v>
      </c>
      <c r="L825">
        <v>18.28</v>
      </c>
      <c r="M825">
        <v>7.48</v>
      </c>
      <c r="N825">
        <v>12.743</v>
      </c>
      <c r="O825">
        <v>21.53</v>
      </c>
      <c r="P825">
        <v>25.44</v>
      </c>
      <c r="Q825">
        <v>18.9</v>
      </c>
      <c r="R825">
        <v>8.09</v>
      </c>
    </row>
    <row r="826">
      <c r="A826" s="9">
        <v>39357</v>
      </c>
      <c r="B826" s="2" t="inlineStr">
        <is>
          <t xml:space="preserve">2007-10</t>
        </is>
      </c>
      <c r="C826" s="2" t="inlineStr">
        <is>
          <t xml:space="preserve">2007/08</t>
        </is>
      </c>
      <c r="D826">
        <v>0.0</v>
      </c>
      <c r="E826">
        <v>20.83</v>
      </c>
      <c r="F826">
        <v>25.71</v>
      </c>
      <c r="G826">
        <v>16.73</v>
      </c>
      <c r="H826">
        <v>0.31</v>
      </c>
      <c r="I826">
        <v>0.189</v>
      </c>
      <c r="J826">
        <v>21.21</v>
      </c>
      <c r="K826">
        <v>24.89</v>
      </c>
      <c r="L826">
        <v>18.55</v>
      </c>
      <c r="M826">
        <v>0.28</v>
      </c>
      <c r="N826">
        <v>0.314</v>
      </c>
      <c r="O826">
        <v>21.18</v>
      </c>
      <c r="P826">
        <v>25.13</v>
      </c>
      <c r="Q826">
        <v>18.4</v>
      </c>
      <c r="R826">
        <v>0.71</v>
      </c>
    </row>
    <row r="827">
      <c r="A827" s="9">
        <v>39358</v>
      </c>
      <c r="B827" s="2" t="inlineStr">
        <is>
          <t xml:space="preserve">2007-10</t>
        </is>
      </c>
      <c r="C827" s="2" t="inlineStr">
        <is>
          <t xml:space="preserve">2007/08</t>
        </is>
      </c>
      <c r="D827">
        <v>0.0</v>
      </c>
      <c r="E827">
        <v>20.21</v>
      </c>
      <c r="F827">
        <v>22.66</v>
      </c>
      <c r="G827">
        <v>17.76</v>
      </c>
      <c r="H827">
        <v>2.67</v>
      </c>
      <c r="I827">
        <v>0.0</v>
      </c>
      <c r="J827">
        <v>21.08</v>
      </c>
      <c r="K827">
        <v>25.28</v>
      </c>
      <c r="L827">
        <v>16.91</v>
      </c>
      <c r="M827">
        <v>1.36</v>
      </c>
      <c r="N827">
        <v>0.0</v>
      </c>
      <c r="O827">
        <v>21.62</v>
      </c>
      <c r="P827">
        <v>25.97</v>
      </c>
      <c r="Q827">
        <v>17.7</v>
      </c>
      <c r="R827">
        <v>0.87</v>
      </c>
    </row>
    <row r="828">
      <c r="A828" s="9">
        <v>39359</v>
      </c>
      <c r="B828" s="2" t="inlineStr">
        <is>
          <t xml:space="preserve">2007-10</t>
        </is>
      </c>
      <c r="C828" s="2" t="inlineStr">
        <is>
          <t xml:space="preserve">2007/08</t>
        </is>
      </c>
      <c r="D828">
        <v>8.536</v>
      </c>
      <c r="E828">
        <v>21.77</v>
      </c>
      <c r="F828">
        <v>26.98</v>
      </c>
      <c r="G828">
        <v>17.5</v>
      </c>
      <c r="H828">
        <v>6.69</v>
      </c>
      <c r="I828">
        <v>4.963</v>
      </c>
      <c r="J828">
        <v>22.45</v>
      </c>
      <c r="K828">
        <v>27.21</v>
      </c>
      <c r="L828">
        <v>18.75</v>
      </c>
      <c r="M828">
        <v>3.03</v>
      </c>
      <c r="N828">
        <v>2.239</v>
      </c>
      <c r="O828">
        <v>23.07</v>
      </c>
      <c r="P828">
        <v>29.02</v>
      </c>
      <c r="Q828">
        <v>18.89</v>
      </c>
      <c r="R828">
        <v>1.85</v>
      </c>
    </row>
    <row r="829">
      <c r="A829" s="9">
        <v>39360</v>
      </c>
      <c r="B829" s="2" t="inlineStr">
        <is>
          <t xml:space="preserve">2007-10</t>
        </is>
      </c>
      <c r="C829" s="2" t="inlineStr">
        <is>
          <t xml:space="preserve">2007/08</t>
        </is>
      </c>
      <c r="D829">
        <v>9.717</v>
      </c>
      <c r="E829">
        <v>20.99</v>
      </c>
      <c r="F829">
        <v>24.2</v>
      </c>
      <c r="G829">
        <v>18.13</v>
      </c>
      <c r="H829">
        <v>4.7</v>
      </c>
      <c r="I829">
        <v>0.127</v>
      </c>
      <c r="J829">
        <v>21.85</v>
      </c>
      <c r="K829">
        <v>25.4</v>
      </c>
      <c r="L829">
        <v>19.55</v>
      </c>
      <c r="M829">
        <v>0.66</v>
      </c>
      <c r="N829">
        <v>0.147</v>
      </c>
      <c r="O829">
        <v>22.26</v>
      </c>
      <c r="P829">
        <v>26.13</v>
      </c>
      <c r="Q829">
        <v>20.26</v>
      </c>
      <c r="R829">
        <v>0.27</v>
      </c>
    </row>
    <row r="830">
      <c r="A830" s="9">
        <v>39361</v>
      </c>
      <c r="B830" s="2" t="inlineStr">
        <is>
          <t xml:space="preserve">2007-10</t>
        </is>
      </c>
      <c r="C830" s="2" t="inlineStr">
        <is>
          <t xml:space="preserve">2007/08</t>
        </is>
      </c>
      <c r="D830">
        <v>1.381</v>
      </c>
      <c r="E830">
        <v>20.74</v>
      </c>
      <c r="F830">
        <v>24.66</v>
      </c>
      <c r="G830">
        <v>17.24</v>
      </c>
      <c r="H830">
        <v>1.53</v>
      </c>
      <c r="I830">
        <v>0.428</v>
      </c>
      <c r="J830">
        <v>22.06</v>
      </c>
      <c r="K830">
        <v>26.36</v>
      </c>
      <c r="L830">
        <v>17.88</v>
      </c>
      <c r="M830">
        <v>1.15</v>
      </c>
      <c r="N830">
        <v>0.0</v>
      </c>
      <c r="O830">
        <v>22.41</v>
      </c>
      <c r="P830">
        <v>26.53</v>
      </c>
      <c r="Q830">
        <v>19.04</v>
      </c>
      <c r="R830">
        <v>0.91</v>
      </c>
    </row>
    <row r="831">
      <c r="A831" s="9">
        <v>39362</v>
      </c>
      <c r="B831" s="2" t="inlineStr">
        <is>
          <t xml:space="preserve">2007-10</t>
        </is>
      </c>
      <c r="C831" s="2" t="inlineStr">
        <is>
          <t xml:space="preserve">2007/08</t>
        </is>
      </c>
      <c r="D831">
        <v>7.471</v>
      </c>
      <c r="E831">
        <v>20.32</v>
      </c>
      <c r="F831">
        <v>23.35</v>
      </c>
      <c r="G831">
        <v>17.69</v>
      </c>
      <c r="H831">
        <v>6.15</v>
      </c>
      <c r="I831">
        <v>5.822</v>
      </c>
      <c r="J831">
        <v>22.23</v>
      </c>
      <c r="K831">
        <v>25.89</v>
      </c>
      <c r="L831">
        <v>20.05</v>
      </c>
      <c r="M831">
        <v>5.37</v>
      </c>
      <c r="N831">
        <v>4.69</v>
      </c>
      <c r="O831">
        <v>22.12</v>
      </c>
      <c r="P831">
        <v>25.57</v>
      </c>
      <c r="Q831">
        <v>19.69</v>
      </c>
      <c r="R831">
        <v>4.7</v>
      </c>
    </row>
    <row r="832">
      <c r="A832" s="9">
        <v>39363</v>
      </c>
      <c r="B832" s="2" t="inlineStr">
        <is>
          <t xml:space="preserve">2007-10</t>
        </is>
      </c>
      <c r="C832" s="2" t="inlineStr">
        <is>
          <t xml:space="preserve">2007/08</t>
        </is>
      </c>
      <c r="D832">
        <v>0.372</v>
      </c>
      <c r="E832">
        <v>21.32</v>
      </c>
      <c r="F832">
        <v>25.62</v>
      </c>
      <c r="G832">
        <v>18.0</v>
      </c>
      <c r="H832">
        <v>1.49</v>
      </c>
      <c r="I832">
        <v>0.752</v>
      </c>
      <c r="J832">
        <v>22.19</v>
      </c>
      <c r="K832">
        <v>26.29</v>
      </c>
      <c r="L832">
        <v>19.33</v>
      </c>
      <c r="M832">
        <v>3.11</v>
      </c>
      <c r="N832">
        <v>0.974</v>
      </c>
      <c r="O832">
        <v>22.49</v>
      </c>
      <c r="P832">
        <v>26.85</v>
      </c>
      <c r="Q832">
        <v>18.91</v>
      </c>
      <c r="R832">
        <v>4.29</v>
      </c>
    </row>
    <row r="833">
      <c r="A833" s="9">
        <v>39364</v>
      </c>
      <c r="B833" s="2" t="inlineStr">
        <is>
          <t xml:space="preserve">2007-10</t>
        </is>
      </c>
      <c r="C833" s="2" t="inlineStr">
        <is>
          <t xml:space="preserve">2007/08</t>
        </is>
      </c>
      <c r="D833">
        <v>2.957</v>
      </c>
      <c r="E833">
        <v>21.49</v>
      </c>
      <c r="F833">
        <v>25.73</v>
      </c>
      <c r="G833">
        <v>18.33</v>
      </c>
      <c r="H833">
        <v>5.59</v>
      </c>
      <c r="I833">
        <v>11.746</v>
      </c>
      <c r="J833">
        <v>21.6</v>
      </c>
      <c r="K833">
        <v>26.34</v>
      </c>
      <c r="L833">
        <v>18.64</v>
      </c>
      <c r="M833">
        <v>9.84</v>
      </c>
      <c r="N833">
        <v>16.348</v>
      </c>
      <c r="O833">
        <v>22.51</v>
      </c>
      <c r="P833">
        <v>26.9</v>
      </c>
      <c r="Q833">
        <v>19.06</v>
      </c>
      <c r="R833">
        <v>10.17</v>
      </c>
    </row>
    <row r="834">
      <c r="A834" s="9">
        <v>39365</v>
      </c>
      <c r="B834" s="2" t="inlineStr">
        <is>
          <t xml:space="preserve">2007-10</t>
        </is>
      </c>
      <c r="C834" s="2" t="inlineStr">
        <is>
          <t xml:space="preserve">2007/08</t>
        </is>
      </c>
      <c r="D834">
        <v>9.084</v>
      </c>
      <c r="E834">
        <v>21.55</v>
      </c>
      <c r="F834">
        <v>25.37</v>
      </c>
      <c r="G834">
        <v>18.82</v>
      </c>
      <c r="H834">
        <v>7.12</v>
      </c>
      <c r="I834">
        <v>9.608</v>
      </c>
      <c r="J834">
        <v>21.19</v>
      </c>
      <c r="K834">
        <v>24.59</v>
      </c>
      <c r="L834">
        <v>18.79</v>
      </c>
      <c r="M834">
        <v>9.48</v>
      </c>
      <c r="N834">
        <v>7.855</v>
      </c>
      <c r="O834">
        <v>22.29</v>
      </c>
      <c r="P834">
        <v>26.94</v>
      </c>
      <c r="Q834">
        <v>18.84</v>
      </c>
      <c r="R834">
        <v>8.97</v>
      </c>
    </row>
    <row r="835">
      <c r="A835" s="9">
        <v>39366</v>
      </c>
      <c r="B835" s="2" t="inlineStr">
        <is>
          <t xml:space="preserve">2007-10</t>
        </is>
      </c>
      <c r="C835" s="2" t="inlineStr">
        <is>
          <t xml:space="preserve">2007/08</t>
        </is>
      </c>
      <c r="D835">
        <v>5.635</v>
      </c>
      <c r="E835">
        <v>21.73</v>
      </c>
      <c r="F835">
        <v>25.61</v>
      </c>
      <c r="G835">
        <v>19.62</v>
      </c>
      <c r="H835">
        <v>5.5</v>
      </c>
      <c r="I835">
        <v>6.261</v>
      </c>
      <c r="J835">
        <v>21.47</v>
      </c>
      <c r="K835">
        <v>24.69</v>
      </c>
      <c r="L835">
        <v>19.44</v>
      </c>
      <c r="M835">
        <v>7.68</v>
      </c>
      <c r="N835">
        <v>2.593</v>
      </c>
      <c r="O835">
        <v>22.06</v>
      </c>
      <c r="P835">
        <v>26.3</v>
      </c>
      <c r="Q835">
        <v>19.44</v>
      </c>
      <c r="R835">
        <v>4.96</v>
      </c>
    </row>
    <row r="836">
      <c r="A836" s="9">
        <v>39367</v>
      </c>
      <c r="B836" s="2" t="inlineStr">
        <is>
          <t xml:space="preserve">2007-10</t>
        </is>
      </c>
      <c r="C836" s="2" t="inlineStr">
        <is>
          <t xml:space="preserve">2007/08</t>
        </is>
      </c>
      <c r="D836">
        <v>20.089</v>
      </c>
      <c r="E836">
        <v>21.5</v>
      </c>
      <c r="F836">
        <v>24.68</v>
      </c>
      <c r="G836">
        <v>19.12</v>
      </c>
      <c r="H836">
        <v>17.97</v>
      </c>
      <c r="I836">
        <v>18.896</v>
      </c>
      <c r="J836">
        <v>21.66</v>
      </c>
      <c r="K836">
        <v>24.57</v>
      </c>
      <c r="L836">
        <v>19.9</v>
      </c>
      <c r="M836">
        <v>26.29</v>
      </c>
      <c r="N836">
        <v>18.001</v>
      </c>
      <c r="O836">
        <v>21.83</v>
      </c>
      <c r="P836">
        <v>25.04</v>
      </c>
      <c r="Q836">
        <v>19.86</v>
      </c>
      <c r="R836">
        <v>26.18</v>
      </c>
    </row>
    <row r="837">
      <c r="A837" s="9">
        <v>39368</v>
      </c>
      <c r="B837" s="2" t="inlineStr">
        <is>
          <t xml:space="preserve">2007-10</t>
        </is>
      </c>
      <c r="C837" s="2" t="inlineStr">
        <is>
          <t xml:space="preserve">2007/08</t>
        </is>
      </c>
      <c r="D837">
        <v>25.816</v>
      </c>
      <c r="E837">
        <v>20.71</v>
      </c>
      <c r="F837">
        <v>22.62</v>
      </c>
      <c r="G837">
        <v>19.1</v>
      </c>
      <c r="H837">
        <v>18.84</v>
      </c>
      <c r="I837">
        <v>29.663</v>
      </c>
      <c r="J837">
        <v>21.64</v>
      </c>
      <c r="K837">
        <v>24.72</v>
      </c>
      <c r="L837">
        <v>19.68</v>
      </c>
      <c r="M837">
        <v>21.64</v>
      </c>
      <c r="N837">
        <v>30.91</v>
      </c>
      <c r="O837">
        <v>21.74</v>
      </c>
      <c r="P837">
        <v>24.7</v>
      </c>
      <c r="Q837">
        <v>20.18</v>
      </c>
      <c r="R837">
        <v>25.74</v>
      </c>
    </row>
    <row r="838">
      <c r="A838" s="9">
        <v>39369</v>
      </c>
      <c r="B838" s="2" t="inlineStr">
        <is>
          <t xml:space="preserve">2007-10</t>
        </is>
      </c>
      <c r="C838" s="2" t="inlineStr">
        <is>
          <t xml:space="preserve">2007/08</t>
        </is>
      </c>
      <c r="D838">
        <v>2.561</v>
      </c>
      <c r="E838">
        <v>21.22</v>
      </c>
      <c r="F838">
        <v>24.91</v>
      </c>
      <c r="G838">
        <v>18.21</v>
      </c>
      <c r="H838">
        <v>5.37</v>
      </c>
      <c r="I838">
        <v>3.557</v>
      </c>
      <c r="J838">
        <v>21.78</v>
      </c>
      <c r="K838">
        <v>25.43</v>
      </c>
      <c r="L838">
        <v>18.86</v>
      </c>
      <c r="M838">
        <v>3.89</v>
      </c>
      <c r="N838">
        <v>3.661</v>
      </c>
      <c r="O838">
        <v>21.73</v>
      </c>
      <c r="P838">
        <v>24.79</v>
      </c>
      <c r="Q838">
        <v>19.76</v>
      </c>
      <c r="R838">
        <v>3.22</v>
      </c>
    </row>
    <row r="839">
      <c r="A839" s="9">
        <v>39370</v>
      </c>
      <c r="B839" s="2" t="inlineStr">
        <is>
          <t xml:space="preserve">2007-10</t>
        </is>
      </c>
      <c r="C839" s="2" t="inlineStr">
        <is>
          <t xml:space="preserve">2007/08</t>
        </is>
      </c>
      <c r="D839">
        <v>4.1</v>
      </c>
      <c r="E839">
        <v>21.14</v>
      </c>
      <c r="F839">
        <v>24.09</v>
      </c>
      <c r="G839">
        <v>19.14</v>
      </c>
      <c r="H839">
        <v>8.03</v>
      </c>
      <c r="I839">
        <v>4.155</v>
      </c>
      <c r="J839">
        <v>21.83</v>
      </c>
      <c r="K839">
        <v>25.73</v>
      </c>
      <c r="L839">
        <v>18.95</v>
      </c>
      <c r="M839">
        <v>11.35</v>
      </c>
      <c r="N839">
        <v>0.361</v>
      </c>
      <c r="O839">
        <v>22.31</v>
      </c>
      <c r="P839">
        <v>25.4</v>
      </c>
      <c r="Q839">
        <v>20.1</v>
      </c>
      <c r="R839">
        <v>8.41</v>
      </c>
    </row>
    <row r="840">
      <c r="A840" s="9">
        <v>39371</v>
      </c>
      <c r="B840" s="2" t="inlineStr">
        <is>
          <t xml:space="preserve">2007-10</t>
        </is>
      </c>
      <c r="C840" s="2" t="inlineStr">
        <is>
          <t xml:space="preserve">2007/08</t>
        </is>
      </c>
      <c r="D840">
        <v>19.381</v>
      </c>
      <c r="E840">
        <v>21.64</v>
      </c>
      <c r="F840">
        <v>25.84</v>
      </c>
      <c r="G840">
        <v>18.37</v>
      </c>
      <c r="H840">
        <v>13.83</v>
      </c>
      <c r="I840">
        <v>19.094</v>
      </c>
      <c r="J840">
        <v>21.57</v>
      </c>
      <c r="K840">
        <v>25.18</v>
      </c>
      <c r="L840">
        <v>19.1</v>
      </c>
      <c r="M840">
        <v>9.63</v>
      </c>
      <c r="N840">
        <v>24.641</v>
      </c>
      <c r="O840">
        <v>22.62</v>
      </c>
      <c r="P840">
        <v>26.37</v>
      </c>
      <c r="Q840">
        <v>19.66</v>
      </c>
      <c r="R840">
        <v>8.6</v>
      </c>
    </row>
    <row r="841">
      <c r="A841" s="9">
        <v>39372</v>
      </c>
      <c r="B841" s="2" t="inlineStr">
        <is>
          <t xml:space="preserve">2007-10</t>
        </is>
      </c>
      <c r="C841" s="2" t="inlineStr">
        <is>
          <t xml:space="preserve">2007/08</t>
        </is>
      </c>
      <c r="D841">
        <v>0.284</v>
      </c>
      <c r="E841">
        <v>21.95</v>
      </c>
      <c r="F841">
        <v>26.15</v>
      </c>
      <c r="G841">
        <v>19.04</v>
      </c>
      <c r="H841">
        <v>1.25</v>
      </c>
      <c r="I841">
        <v>0.0</v>
      </c>
      <c r="J841">
        <v>21.46</v>
      </c>
      <c r="K841">
        <v>24.93</v>
      </c>
      <c r="L841">
        <v>19.55</v>
      </c>
      <c r="M841">
        <v>0.36</v>
      </c>
      <c r="N841">
        <v>0.061</v>
      </c>
      <c r="O841">
        <v>22.79</v>
      </c>
      <c r="P841">
        <v>27.19</v>
      </c>
      <c r="Q841">
        <v>19.96</v>
      </c>
      <c r="R841">
        <v>0.22</v>
      </c>
    </row>
    <row r="842">
      <c r="A842" s="9">
        <v>39373</v>
      </c>
      <c r="B842" s="2" t="inlineStr">
        <is>
          <t xml:space="preserve">2007-10</t>
        </is>
      </c>
      <c r="C842" s="2" t="inlineStr">
        <is>
          <t xml:space="preserve">2007/08</t>
        </is>
      </c>
      <c r="D842">
        <v>1.505</v>
      </c>
      <c r="E842">
        <v>21.25</v>
      </c>
      <c r="F842">
        <v>25.32</v>
      </c>
      <c r="G842">
        <v>18.14</v>
      </c>
      <c r="H842">
        <v>1.59</v>
      </c>
      <c r="I842">
        <v>0.357</v>
      </c>
      <c r="J842">
        <v>21.17</v>
      </c>
      <c r="K842">
        <v>25.13</v>
      </c>
      <c r="L842">
        <v>18.42</v>
      </c>
      <c r="M842">
        <v>1.24</v>
      </c>
      <c r="N842">
        <v>0.126</v>
      </c>
      <c r="O842">
        <v>22.38</v>
      </c>
      <c r="P842">
        <v>26.78</v>
      </c>
      <c r="Q842">
        <v>19.32</v>
      </c>
      <c r="R842">
        <v>0.85</v>
      </c>
    </row>
    <row r="843">
      <c r="A843" s="9">
        <v>39374</v>
      </c>
      <c r="B843" s="2" t="inlineStr">
        <is>
          <t xml:space="preserve">2007-10</t>
        </is>
      </c>
      <c r="C843" s="2" t="inlineStr">
        <is>
          <t xml:space="preserve">2007/08</t>
        </is>
      </c>
      <c r="D843">
        <v>0.274</v>
      </c>
      <c r="E843">
        <v>21.55</v>
      </c>
      <c r="F843">
        <v>26.14</v>
      </c>
      <c r="G843">
        <v>17.76</v>
      </c>
      <c r="H843">
        <v>7.77</v>
      </c>
      <c r="I843">
        <v>5.83</v>
      </c>
      <c r="J843">
        <v>21.34</v>
      </c>
      <c r="K843">
        <v>25.01</v>
      </c>
      <c r="L843">
        <v>18.78</v>
      </c>
      <c r="M843">
        <v>13.0</v>
      </c>
      <c r="N843">
        <v>7.78</v>
      </c>
      <c r="O843">
        <v>22.23</v>
      </c>
      <c r="P843">
        <v>25.74</v>
      </c>
      <c r="Q843">
        <v>19.47</v>
      </c>
      <c r="R843">
        <v>13.32</v>
      </c>
    </row>
    <row r="844">
      <c r="A844" s="9">
        <v>39375</v>
      </c>
      <c r="B844" s="2" t="inlineStr">
        <is>
          <t xml:space="preserve">2007-10</t>
        </is>
      </c>
      <c r="C844" s="2" t="inlineStr">
        <is>
          <t xml:space="preserve">2007/08</t>
        </is>
      </c>
      <c r="D844">
        <v>10.458</v>
      </c>
      <c r="E844">
        <v>21.11</v>
      </c>
      <c r="F844">
        <v>25.07</v>
      </c>
      <c r="G844">
        <v>18.31</v>
      </c>
      <c r="H844">
        <v>20.59</v>
      </c>
      <c r="I844">
        <v>26.988</v>
      </c>
      <c r="J844">
        <v>20.28</v>
      </c>
      <c r="K844">
        <v>22.74</v>
      </c>
      <c r="L844">
        <v>18.27</v>
      </c>
      <c r="M844">
        <v>25.16</v>
      </c>
      <c r="N844">
        <v>38.878</v>
      </c>
      <c r="O844">
        <v>21.21</v>
      </c>
      <c r="P844">
        <v>23.15</v>
      </c>
      <c r="Q844">
        <v>19.17</v>
      </c>
      <c r="R844">
        <v>22.11</v>
      </c>
    </row>
    <row r="845">
      <c r="A845" s="9">
        <v>39376</v>
      </c>
      <c r="B845" s="2" t="inlineStr">
        <is>
          <t xml:space="preserve">2007-10</t>
        </is>
      </c>
      <c r="C845" s="2" t="inlineStr">
        <is>
          <t xml:space="preserve">2007/08</t>
        </is>
      </c>
      <c r="D845">
        <v>56.971</v>
      </c>
      <c r="E845">
        <v>20.66</v>
      </c>
      <c r="F845">
        <v>24.63</v>
      </c>
      <c r="G845">
        <v>17.72</v>
      </c>
      <c r="H845">
        <v>16.67</v>
      </c>
      <c r="I845">
        <v>36.331</v>
      </c>
      <c r="J845">
        <v>20.67</v>
      </c>
      <c r="K845">
        <v>23.75</v>
      </c>
      <c r="L845">
        <v>18.85</v>
      </c>
      <c r="M845">
        <v>24.94</v>
      </c>
      <c r="N845">
        <v>33.026</v>
      </c>
      <c r="O845">
        <v>21.49</v>
      </c>
      <c r="P845">
        <v>24.36</v>
      </c>
      <c r="Q845">
        <v>19.15</v>
      </c>
      <c r="R845">
        <v>17.29</v>
      </c>
    </row>
    <row r="846">
      <c r="A846" s="9">
        <v>39377</v>
      </c>
      <c r="B846" s="2" t="inlineStr">
        <is>
          <t xml:space="preserve">2007-10</t>
        </is>
      </c>
      <c r="C846" s="2" t="inlineStr">
        <is>
          <t xml:space="preserve">2007/08</t>
        </is>
      </c>
      <c r="D846">
        <v>1.822</v>
      </c>
      <c r="E846">
        <v>21.22</v>
      </c>
      <c r="F846">
        <v>26.12</v>
      </c>
      <c r="G846">
        <v>16.32</v>
      </c>
      <c r="H846">
        <v>2.08</v>
      </c>
      <c r="I846">
        <v>5.362</v>
      </c>
      <c r="J846">
        <v>21.6</v>
      </c>
      <c r="K846">
        <v>25.87</v>
      </c>
      <c r="L846">
        <v>18.46</v>
      </c>
      <c r="M846">
        <v>4.24</v>
      </c>
      <c r="N846">
        <v>7.409</v>
      </c>
      <c r="O846">
        <v>22.6</v>
      </c>
      <c r="P846">
        <v>27.59</v>
      </c>
      <c r="Q846">
        <v>17.73</v>
      </c>
      <c r="R846">
        <v>4.28</v>
      </c>
    </row>
    <row r="847">
      <c r="A847" s="9">
        <v>39378</v>
      </c>
      <c r="B847" s="2" t="inlineStr">
        <is>
          <t xml:space="preserve">2007-10</t>
        </is>
      </c>
      <c r="C847" s="2" t="inlineStr">
        <is>
          <t xml:space="preserve">2007/08</t>
        </is>
      </c>
      <c r="D847">
        <v>0.497</v>
      </c>
      <c r="E847">
        <v>20.59</v>
      </c>
      <c r="F847">
        <v>23.84</v>
      </c>
      <c r="G847">
        <v>18.03</v>
      </c>
      <c r="H847">
        <v>7.28</v>
      </c>
      <c r="I847">
        <v>0.425</v>
      </c>
      <c r="J847">
        <v>21.21</v>
      </c>
      <c r="K847">
        <v>25.16</v>
      </c>
      <c r="L847">
        <v>18.25</v>
      </c>
      <c r="M847">
        <v>1.43</v>
      </c>
      <c r="N847">
        <v>0.098</v>
      </c>
      <c r="O847">
        <v>21.97</v>
      </c>
      <c r="P847">
        <v>25.17</v>
      </c>
      <c r="Q847">
        <v>18.92</v>
      </c>
      <c r="R847">
        <v>1.94</v>
      </c>
    </row>
    <row r="848">
      <c r="A848" s="9">
        <v>39379</v>
      </c>
      <c r="B848" s="2" t="inlineStr">
        <is>
          <t xml:space="preserve">2007-10</t>
        </is>
      </c>
      <c r="C848" s="2" t="inlineStr">
        <is>
          <t xml:space="preserve">2007/08</t>
        </is>
      </c>
      <c r="D848">
        <v>0.117</v>
      </c>
      <c r="E848">
        <v>19.31</v>
      </c>
      <c r="F848">
        <v>23.55</v>
      </c>
      <c r="G848">
        <v>16.55</v>
      </c>
      <c r="H848">
        <v>4.69</v>
      </c>
      <c r="I848">
        <v>1.212</v>
      </c>
      <c r="J848">
        <v>19.3</v>
      </c>
      <c r="K848">
        <v>23.47</v>
      </c>
      <c r="L848">
        <v>16.34</v>
      </c>
      <c r="M848">
        <v>1.32</v>
      </c>
      <c r="N848">
        <v>0.512</v>
      </c>
      <c r="O848">
        <v>19.88</v>
      </c>
      <c r="P848">
        <v>23.05</v>
      </c>
      <c r="Q848">
        <v>17.69</v>
      </c>
      <c r="R848">
        <v>2.1</v>
      </c>
    </row>
    <row r="849">
      <c r="A849" s="9">
        <v>39380</v>
      </c>
      <c r="B849" s="2" t="inlineStr">
        <is>
          <t xml:space="preserve">2007-10</t>
        </is>
      </c>
      <c r="C849" s="2" t="inlineStr">
        <is>
          <t xml:space="preserve">2007/08</t>
        </is>
      </c>
      <c r="D849">
        <v>0.0</v>
      </c>
      <c r="E849">
        <v>17.92</v>
      </c>
      <c r="F849">
        <v>22.38</v>
      </c>
      <c r="G849">
        <v>14.8</v>
      </c>
      <c r="H849">
        <v>1.78</v>
      </c>
      <c r="I849">
        <v>2.18</v>
      </c>
      <c r="J849">
        <v>18.08</v>
      </c>
      <c r="K849">
        <v>22.71</v>
      </c>
      <c r="L849">
        <v>14.97</v>
      </c>
      <c r="M849">
        <v>1.35</v>
      </c>
      <c r="N849">
        <v>3.348</v>
      </c>
      <c r="O849">
        <v>18.39</v>
      </c>
      <c r="P849">
        <v>22.35</v>
      </c>
      <c r="Q849">
        <v>15.92</v>
      </c>
      <c r="R849">
        <v>1.33</v>
      </c>
    </row>
    <row r="850">
      <c r="A850" s="9">
        <v>39381</v>
      </c>
      <c r="B850" s="2" t="inlineStr">
        <is>
          <t xml:space="preserve">2007-10</t>
        </is>
      </c>
      <c r="C850" s="2" t="inlineStr">
        <is>
          <t xml:space="preserve">2007/08</t>
        </is>
      </c>
      <c r="D850">
        <v>0.0</v>
      </c>
      <c r="E850">
        <v>18.14</v>
      </c>
      <c r="F850">
        <v>23.48</v>
      </c>
      <c r="G850">
        <v>14.35</v>
      </c>
      <c r="H850">
        <v>0.21</v>
      </c>
      <c r="I850">
        <v>0.394</v>
      </c>
      <c r="J850">
        <v>18.03</v>
      </c>
      <c r="K850">
        <v>22.77</v>
      </c>
      <c r="L850">
        <v>14.78</v>
      </c>
      <c r="M850">
        <v>0.32</v>
      </c>
      <c r="N850">
        <v>0.329</v>
      </c>
      <c r="O850">
        <v>18.6</v>
      </c>
      <c r="P850">
        <v>22.67</v>
      </c>
      <c r="Q850">
        <v>16.39</v>
      </c>
      <c r="R850">
        <v>0.14</v>
      </c>
    </row>
    <row r="851">
      <c r="A851" s="9">
        <v>39382</v>
      </c>
      <c r="B851" s="2" t="inlineStr">
        <is>
          <t xml:space="preserve">2007-10</t>
        </is>
      </c>
      <c r="C851" s="2" t="inlineStr">
        <is>
          <t xml:space="preserve">2007/08</t>
        </is>
      </c>
      <c r="D851">
        <v>0.0</v>
      </c>
      <c r="E851">
        <v>17.67</v>
      </c>
      <c r="F851">
        <v>22.58</v>
      </c>
      <c r="G851">
        <v>14.65</v>
      </c>
      <c r="H851">
        <v>0.08</v>
      </c>
      <c r="I851">
        <v>0.0</v>
      </c>
      <c r="J851">
        <v>17.38</v>
      </c>
      <c r="K851">
        <v>21.59</v>
      </c>
      <c r="L851">
        <v>14.65</v>
      </c>
      <c r="M851">
        <v>0.0</v>
      </c>
      <c r="N851">
        <v>0.0</v>
      </c>
      <c r="O851">
        <v>18.33</v>
      </c>
      <c r="P851">
        <v>21.98</v>
      </c>
      <c r="Q851">
        <v>16.27</v>
      </c>
      <c r="R851">
        <v>0.0</v>
      </c>
    </row>
    <row r="852">
      <c r="A852" s="9">
        <v>39383</v>
      </c>
      <c r="B852" s="2" t="inlineStr">
        <is>
          <t xml:space="preserve">2007-10</t>
        </is>
      </c>
      <c r="C852" s="2" t="inlineStr">
        <is>
          <t xml:space="preserve">2007/08</t>
        </is>
      </c>
      <c r="D852">
        <v>0.0</v>
      </c>
      <c r="E852">
        <v>17.62</v>
      </c>
      <c r="F852">
        <v>21.23</v>
      </c>
      <c r="G852">
        <v>14.99</v>
      </c>
      <c r="H852">
        <v>0.1</v>
      </c>
      <c r="I852">
        <v>0.0</v>
      </c>
      <c r="J852">
        <v>18.29</v>
      </c>
      <c r="K852">
        <v>23.06</v>
      </c>
      <c r="L852">
        <v>14.61</v>
      </c>
      <c r="M852">
        <v>0.0</v>
      </c>
      <c r="N852">
        <v>0.0</v>
      </c>
      <c r="O852">
        <v>18.68</v>
      </c>
      <c r="P852">
        <v>22.58</v>
      </c>
      <c r="Q852">
        <v>15.62</v>
      </c>
      <c r="R852">
        <v>0.0</v>
      </c>
    </row>
    <row r="853">
      <c r="A853" s="9">
        <v>39384</v>
      </c>
      <c r="B853" s="2" t="inlineStr">
        <is>
          <t xml:space="preserve">2007-10</t>
        </is>
      </c>
      <c r="C853" s="2" t="inlineStr">
        <is>
          <t xml:space="preserve">2007/08</t>
        </is>
      </c>
      <c r="D853">
        <v>0.0</v>
      </c>
      <c r="E853">
        <v>19.52</v>
      </c>
      <c r="F853">
        <v>24.16</v>
      </c>
      <c r="G853">
        <v>15.98</v>
      </c>
      <c r="H853">
        <v>0.76</v>
      </c>
      <c r="I853">
        <v>0.109</v>
      </c>
      <c r="J853">
        <v>19.87</v>
      </c>
      <c r="K853">
        <v>24.68</v>
      </c>
      <c r="L853">
        <v>15.99</v>
      </c>
      <c r="M853">
        <v>0.34</v>
      </c>
      <c r="N853">
        <v>0.171</v>
      </c>
      <c r="O853">
        <v>20.37</v>
      </c>
      <c r="P853">
        <v>24.82</v>
      </c>
      <c r="Q853">
        <v>16.7</v>
      </c>
      <c r="R853">
        <v>0.54</v>
      </c>
    </row>
    <row r="854">
      <c r="A854" s="9">
        <v>39385</v>
      </c>
      <c r="B854" s="2" t="inlineStr">
        <is>
          <t xml:space="preserve">2007-10</t>
        </is>
      </c>
      <c r="C854" s="2" t="inlineStr">
        <is>
          <t xml:space="preserve">2007/08</t>
        </is>
      </c>
      <c r="D854">
        <v>0.408</v>
      </c>
      <c r="E854">
        <v>19.79</v>
      </c>
      <c r="F854">
        <v>23.29</v>
      </c>
      <c r="G854">
        <v>17.25</v>
      </c>
      <c r="H854">
        <v>5.35</v>
      </c>
      <c r="I854">
        <v>1.705</v>
      </c>
      <c r="J854">
        <v>20.1</v>
      </c>
      <c r="K854">
        <v>23.93</v>
      </c>
      <c r="L854">
        <v>17.68</v>
      </c>
      <c r="M854">
        <v>2.65</v>
      </c>
      <c r="N854">
        <v>2.272</v>
      </c>
      <c r="O854">
        <v>20.61</v>
      </c>
      <c r="P854">
        <v>24.11</v>
      </c>
      <c r="Q854">
        <v>18.35</v>
      </c>
      <c r="R854">
        <v>2.74</v>
      </c>
    </row>
    <row r="855">
      <c r="A855" s="9">
        <v>39386</v>
      </c>
      <c r="B855" s="2" t="inlineStr">
        <is>
          <t xml:space="preserve">2007-10</t>
        </is>
      </c>
      <c r="C855" s="2" t="inlineStr">
        <is>
          <t xml:space="preserve">2007/08</t>
        </is>
      </c>
      <c r="D855">
        <v>0.152</v>
      </c>
      <c r="E855">
        <v>19.52</v>
      </c>
      <c r="F855">
        <v>24.39</v>
      </c>
      <c r="G855">
        <v>16.59</v>
      </c>
      <c r="H855">
        <v>2.33</v>
      </c>
      <c r="I855">
        <v>2.995</v>
      </c>
      <c r="J855">
        <v>19.73</v>
      </c>
      <c r="K855">
        <v>24.56</v>
      </c>
      <c r="L855">
        <v>15.96</v>
      </c>
      <c r="M855">
        <v>1.31</v>
      </c>
      <c r="N855">
        <v>4.598</v>
      </c>
      <c r="O855">
        <v>20.23</v>
      </c>
      <c r="P855">
        <v>24.35</v>
      </c>
      <c r="Q855">
        <v>17.67</v>
      </c>
      <c r="R855">
        <v>1.45</v>
      </c>
    </row>
    <row r="856">
      <c r="A856" s="9">
        <v>39387</v>
      </c>
      <c r="B856" s="2" t="inlineStr">
        <is>
          <t xml:space="preserve">2007-11</t>
        </is>
      </c>
      <c r="C856" s="2" t="inlineStr">
        <is>
          <t xml:space="preserve">2007/08</t>
        </is>
      </c>
      <c r="D856">
        <v>0.0</v>
      </c>
      <c r="E856">
        <v>19.31</v>
      </c>
      <c r="F856">
        <v>24.54</v>
      </c>
      <c r="G856">
        <v>15.46</v>
      </c>
      <c r="H856">
        <v>0.82</v>
      </c>
      <c r="I856">
        <v>0.0</v>
      </c>
      <c r="J856">
        <v>19.79</v>
      </c>
      <c r="K856">
        <v>24.94</v>
      </c>
      <c r="L856">
        <v>15.8</v>
      </c>
      <c r="M856">
        <v>0.15</v>
      </c>
      <c r="N856">
        <v>0.0</v>
      </c>
      <c r="O856">
        <v>20.33</v>
      </c>
      <c r="P856">
        <v>24.57</v>
      </c>
      <c r="Q856">
        <v>16.93</v>
      </c>
      <c r="R856">
        <v>0.16</v>
      </c>
    </row>
    <row r="857">
      <c r="A857" s="9">
        <v>39388</v>
      </c>
      <c r="B857" s="2" t="inlineStr">
        <is>
          <t xml:space="preserve">2007-11</t>
        </is>
      </c>
      <c r="C857" s="2" t="inlineStr">
        <is>
          <t xml:space="preserve">2007/08</t>
        </is>
      </c>
      <c r="D857">
        <v>0.0</v>
      </c>
      <c r="E857">
        <v>19.91</v>
      </c>
      <c r="F857">
        <v>24.67</v>
      </c>
      <c r="G857">
        <v>16.26</v>
      </c>
      <c r="H857">
        <v>2.18</v>
      </c>
      <c r="I857">
        <v>0.761</v>
      </c>
      <c r="J857">
        <v>20.43</v>
      </c>
      <c r="K857">
        <v>24.77</v>
      </c>
      <c r="L857">
        <v>16.95</v>
      </c>
      <c r="M857">
        <v>1.18</v>
      </c>
      <c r="N857">
        <v>1.164</v>
      </c>
      <c r="O857">
        <v>20.75</v>
      </c>
      <c r="P857">
        <v>25.24</v>
      </c>
      <c r="Q857">
        <v>17.6</v>
      </c>
      <c r="R857">
        <v>1.75</v>
      </c>
    </row>
    <row r="858">
      <c r="A858" s="9">
        <v>39389</v>
      </c>
      <c r="B858" s="2" t="inlineStr">
        <is>
          <t xml:space="preserve">2007-11</t>
        </is>
      </c>
      <c r="C858" s="2" t="inlineStr">
        <is>
          <t xml:space="preserve">2007/08</t>
        </is>
      </c>
      <c r="D858">
        <v>2.484</v>
      </c>
      <c r="E858">
        <v>19.94</v>
      </c>
      <c r="F858">
        <v>24.24</v>
      </c>
      <c r="G858">
        <v>17.39</v>
      </c>
      <c r="H858">
        <v>5.22</v>
      </c>
      <c r="I858">
        <v>4.887</v>
      </c>
      <c r="J858">
        <v>19.96</v>
      </c>
      <c r="K858">
        <v>23.65</v>
      </c>
      <c r="L858">
        <v>17.36</v>
      </c>
      <c r="M858">
        <v>5.3</v>
      </c>
      <c r="N858">
        <v>7.336</v>
      </c>
      <c r="O858">
        <v>20.01</v>
      </c>
      <c r="P858">
        <v>23.05</v>
      </c>
      <c r="Q858">
        <v>17.84</v>
      </c>
      <c r="R858">
        <v>8.32</v>
      </c>
    </row>
    <row r="859">
      <c r="A859" s="9">
        <v>39390</v>
      </c>
      <c r="B859" s="2" t="inlineStr">
        <is>
          <t xml:space="preserve">2007-11</t>
        </is>
      </c>
      <c r="C859" s="2" t="inlineStr">
        <is>
          <t xml:space="preserve">2007/08</t>
        </is>
      </c>
      <c r="D859">
        <v>1.377</v>
      </c>
      <c r="E859">
        <v>18.23</v>
      </c>
      <c r="F859">
        <v>21.56</v>
      </c>
      <c r="G859">
        <v>16.83</v>
      </c>
      <c r="H859">
        <v>5.66</v>
      </c>
      <c r="I859">
        <v>2.589</v>
      </c>
      <c r="J859">
        <v>18.5</v>
      </c>
      <c r="K859">
        <v>21.54</v>
      </c>
      <c r="L859">
        <v>16.21</v>
      </c>
      <c r="M859">
        <v>2.43</v>
      </c>
      <c r="N859">
        <v>4.035</v>
      </c>
      <c r="O859">
        <v>18.95</v>
      </c>
      <c r="P859">
        <v>21.5</v>
      </c>
      <c r="Q859">
        <v>17.1</v>
      </c>
      <c r="R859">
        <v>2.58</v>
      </c>
    </row>
    <row r="860">
      <c r="A860" s="9">
        <v>39391</v>
      </c>
      <c r="B860" s="2" t="inlineStr">
        <is>
          <t xml:space="preserve">2007-11</t>
        </is>
      </c>
      <c r="C860" s="2" t="inlineStr">
        <is>
          <t xml:space="preserve">2007/08</t>
        </is>
      </c>
      <c r="D860">
        <v>0.482</v>
      </c>
      <c r="E860">
        <v>19.06</v>
      </c>
      <c r="F860">
        <v>22.08</v>
      </c>
      <c r="G860">
        <v>17.41</v>
      </c>
      <c r="H860">
        <v>6.24</v>
      </c>
      <c r="I860">
        <v>1.796</v>
      </c>
      <c r="J860">
        <v>17.91</v>
      </c>
      <c r="K860">
        <v>20.83</v>
      </c>
      <c r="L860">
        <v>15.95</v>
      </c>
      <c r="M860">
        <v>2.88</v>
      </c>
      <c r="N860">
        <v>3.161</v>
      </c>
      <c r="O860">
        <v>18.1</v>
      </c>
      <c r="P860">
        <v>20.7</v>
      </c>
      <c r="Q860">
        <v>16.27</v>
      </c>
      <c r="R860">
        <v>4.48</v>
      </c>
    </row>
    <row r="861">
      <c r="A861" s="9">
        <v>39392</v>
      </c>
      <c r="B861" s="2" t="inlineStr">
        <is>
          <t xml:space="preserve">2007-11</t>
        </is>
      </c>
      <c r="C861" s="2" t="inlineStr">
        <is>
          <t xml:space="preserve">2007/08</t>
        </is>
      </c>
      <c r="D861">
        <v>0.358</v>
      </c>
      <c r="E861">
        <v>18.03</v>
      </c>
      <c r="F861">
        <v>22.44</v>
      </c>
      <c r="G861">
        <v>15.88</v>
      </c>
      <c r="H861">
        <v>3.95</v>
      </c>
      <c r="I861">
        <v>1.43</v>
      </c>
      <c r="J861">
        <v>17.54</v>
      </c>
      <c r="K861">
        <v>21.07</v>
      </c>
      <c r="L861">
        <v>15.4</v>
      </c>
      <c r="M861">
        <v>1.14</v>
      </c>
      <c r="N861">
        <v>2.017</v>
      </c>
      <c r="O861">
        <v>18.18</v>
      </c>
      <c r="P861">
        <v>21.76</v>
      </c>
      <c r="Q861">
        <v>15.88</v>
      </c>
      <c r="R861">
        <v>1.38</v>
      </c>
    </row>
    <row r="862">
      <c r="A862" s="9">
        <v>39393</v>
      </c>
      <c r="B862" s="2" t="inlineStr">
        <is>
          <t xml:space="preserve">2007-11</t>
        </is>
      </c>
      <c r="C862" s="2" t="inlineStr">
        <is>
          <t xml:space="preserve">2007/08</t>
        </is>
      </c>
      <c r="D862">
        <v>0.064</v>
      </c>
      <c r="E862">
        <v>17.95</v>
      </c>
      <c r="F862">
        <v>21.6</v>
      </c>
      <c r="G862">
        <v>16.15</v>
      </c>
      <c r="H862">
        <v>3.23</v>
      </c>
      <c r="I862">
        <v>1.367</v>
      </c>
      <c r="J862">
        <v>17.22</v>
      </c>
      <c r="K862">
        <v>20.85</v>
      </c>
      <c r="L862">
        <v>15.22</v>
      </c>
      <c r="M862">
        <v>1.27</v>
      </c>
      <c r="N862">
        <v>2.165</v>
      </c>
      <c r="O862">
        <v>17.47</v>
      </c>
      <c r="P862">
        <v>19.99</v>
      </c>
      <c r="Q862">
        <v>15.89</v>
      </c>
      <c r="R862">
        <v>1.43</v>
      </c>
    </row>
    <row r="863">
      <c r="A863" s="9">
        <v>39394</v>
      </c>
      <c r="B863" s="2" t="inlineStr">
        <is>
          <t xml:space="preserve">2007-11</t>
        </is>
      </c>
      <c r="C863" s="2" t="inlineStr">
        <is>
          <t xml:space="preserve">2007/08</t>
        </is>
      </c>
      <c r="D863">
        <v>0.0</v>
      </c>
      <c r="E863">
        <v>17.34</v>
      </c>
      <c r="F863">
        <v>20.68</v>
      </c>
      <c r="G863">
        <v>15.32</v>
      </c>
      <c r="H863">
        <v>1.5</v>
      </c>
      <c r="I863">
        <v>0.497</v>
      </c>
      <c r="J863">
        <v>17.16</v>
      </c>
      <c r="K863">
        <v>20.56</v>
      </c>
      <c r="L863">
        <v>15.01</v>
      </c>
      <c r="M863">
        <v>0.4</v>
      </c>
      <c r="N863">
        <v>0.829</v>
      </c>
      <c r="O863">
        <v>17.55</v>
      </c>
      <c r="P863">
        <v>20.89</v>
      </c>
      <c r="Q863">
        <v>15.38</v>
      </c>
      <c r="R863">
        <v>0.42</v>
      </c>
    </row>
    <row r="864">
      <c r="A864" s="9">
        <v>39395</v>
      </c>
      <c r="B864" s="2" t="inlineStr">
        <is>
          <t xml:space="preserve">2007-11</t>
        </is>
      </c>
      <c r="C864" s="2" t="inlineStr">
        <is>
          <t xml:space="preserve">2007/08</t>
        </is>
      </c>
      <c r="D864">
        <v>0.0</v>
      </c>
      <c r="E864">
        <v>17.52</v>
      </c>
      <c r="F864">
        <v>21.87</v>
      </c>
      <c r="G864">
        <v>15.05</v>
      </c>
      <c r="H864">
        <v>0.7</v>
      </c>
      <c r="I864">
        <v>0.0</v>
      </c>
      <c r="J864">
        <v>18.01</v>
      </c>
      <c r="K864">
        <v>22.23</v>
      </c>
      <c r="L864">
        <v>15.38</v>
      </c>
      <c r="M864">
        <v>0.41</v>
      </c>
      <c r="N864">
        <v>0.068</v>
      </c>
      <c r="O864">
        <v>18.59</v>
      </c>
      <c r="P864">
        <v>22.74</v>
      </c>
      <c r="Q864">
        <v>16.41</v>
      </c>
      <c r="R864">
        <v>0.46</v>
      </c>
    </row>
    <row r="865">
      <c r="A865" s="9">
        <v>39396</v>
      </c>
      <c r="B865" s="2" t="inlineStr">
        <is>
          <t xml:space="preserve">2007-11</t>
        </is>
      </c>
      <c r="C865" s="2" t="inlineStr">
        <is>
          <t xml:space="preserve">2007/08</t>
        </is>
      </c>
      <c r="D865">
        <v>0.0</v>
      </c>
      <c r="E865">
        <v>17.12</v>
      </c>
      <c r="F865">
        <v>21.96</v>
      </c>
      <c r="G865">
        <v>14.19</v>
      </c>
      <c r="H865">
        <v>0.74</v>
      </c>
      <c r="I865">
        <v>1.382</v>
      </c>
      <c r="J865">
        <v>17.96</v>
      </c>
      <c r="K865">
        <v>22.68</v>
      </c>
      <c r="L865">
        <v>14.67</v>
      </c>
      <c r="M865">
        <v>1.07</v>
      </c>
      <c r="N865">
        <v>2.169</v>
      </c>
      <c r="O865">
        <v>18.08</v>
      </c>
      <c r="P865">
        <v>22.31</v>
      </c>
      <c r="Q865">
        <v>15.32</v>
      </c>
      <c r="R865">
        <v>1.36</v>
      </c>
    </row>
    <row r="866">
      <c r="A866" s="9">
        <v>39397</v>
      </c>
      <c r="B866" s="2" t="inlineStr">
        <is>
          <t xml:space="preserve">2007-11</t>
        </is>
      </c>
      <c r="C866" s="2" t="inlineStr">
        <is>
          <t xml:space="preserve">2007/08</t>
        </is>
      </c>
      <c r="D866">
        <v>0.0</v>
      </c>
      <c r="E866">
        <v>17.24</v>
      </c>
      <c r="F866">
        <v>22.84</v>
      </c>
      <c r="G866">
        <v>12.88</v>
      </c>
      <c r="H866">
        <v>0.19</v>
      </c>
      <c r="I866">
        <v>0.211</v>
      </c>
      <c r="J866">
        <v>17.6</v>
      </c>
      <c r="K866">
        <v>22.35</v>
      </c>
      <c r="L866">
        <v>13.89</v>
      </c>
      <c r="M866">
        <v>0.57</v>
      </c>
      <c r="N866">
        <v>0.368</v>
      </c>
      <c r="O866">
        <v>18.02</v>
      </c>
      <c r="P866">
        <v>22.27</v>
      </c>
      <c r="Q866">
        <v>14.55</v>
      </c>
      <c r="R866">
        <v>1.39</v>
      </c>
    </row>
    <row r="867">
      <c r="A867" s="9">
        <v>39398</v>
      </c>
      <c r="B867" s="2" t="inlineStr">
        <is>
          <t xml:space="preserve">2007-11</t>
        </is>
      </c>
      <c r="C867" s="2" t="inlineStr">
        <is>
          <t xml:space="preserve">2007/08</t>
        </is>
      </c>
      <c r="D867">
        <v>0.029</v>
      </c>
      <c r="E867">
        <v>18.8</v>
      </c>
      <c r="F867">
        <v>23.52</v>
      </c>
      <c r="G867">
        <v>14.89</v>
      </c>
      <c r="H867">
        <v>2.26</v>
      </c>
      <c r="I867">
        <v>0.91</v>
      </c>
      <c r="J867">
        <v>18.54</v>
      </c>
      <c r="K867">
        <v>23.35</v>
      </c>
      <c r="L867">
        <v>14.45</v>
      </c>
      <c r="M867">
        <v>1.74</v>
      </c>
      <c r="N867">
        <v>1.429</v>
      </c>
      <c r="O867">
        <v>19.04</v>
      </c>
      <c r="P867">
        <v>22.61</v>
      </c>
      <c r="Q867">
        <v>15.86</v>
      </c>
      <c r="R867">
        <v>4.19</v>
      </c>
    </row>
    <row r="868">
      <c r="A868" s="9">
        <v>39399</v>
      </c>
      <c r="B868" s="2" t="inlineStr">
        <is>
          <t xml:space="preserve">2007-11</t>
        </is>
      </c>
      <c r="C868" s="2" t="inlineStr">
        <is>
          <t xml:space="preserve">2007/08</t>
        </is>
      </c>
      <c r="D868">
        <v>1.331</v>
      </c>
      <c r="E868">
        <v>20.2</v>
      </c>
      <c r="F868">
        <v>23.9</v>
      </c>
      <c r="G868">
        <v>17.16</v>
      </c>
      <c r="H868">
        <v>2.98</v>
      </c>
      <c r="I868">
        <v>2.065</v>
      </c>
      <c r="J868">
        <v>19.23</v>
      </c>
      <c r="K868">
        <v>23.2</v>
      </c>
      <c r="L868">
        <v>16.75</v>
      </c>
      <c r="M868">
        <v>3.14</v>
      </c>
      <c r="N868">
        <v>3.346</v>
      </c>
      <c r="O868">
        <v>19.69</v>
      </c>
      <c r="P868">
        <v>23.1</v>
      </c>
      <c r="Q868">
        <v>17.41</v>
      </c>
      <c r="R868">
        <v>7.74</v>
      </c>
    </row>
    <row r="869">
      <c r="A869" s="9">
        <v>39400</v>
      </c>
      <c r="B869" s="2" t="inlineStr">
        <is>
          <t xml:space="preserve">2007-11</t>
        </is>
      </c>
      <c r="C869" s="2" t="inlineStr">
        <is>
          <t xml:space="preserve">2007/08</t>
        </is>
      </c>
      <c r="D869">
        <v>0.498</v>
      </c>
      <c r="E869">
        <v>20.18</v>
      </c>
      <c r="F869">
        <v>24.23</v>
      </c>
      <c r="G869">
        <v>17.74</v>
      </c>
      <c r="H869">
        <v>0.56</v>
      </c>
      <c r="I869">
        <v>0.406</v>
      </c>
      <c r="J869">
        <v>20.28</v>
      </c>
      <c r="K869">
        <v>24.09</v>
      </c>
      <c r="L869">
        <v>17.84</v>
      </c>
      <c r="M869">
        <v>1.38</v>
      </c>
      <c r="N869">
        <v>0.488</v>
      </c>
      <c r="O869">
        <v>20.73</v>
      </c>
      <c r="P869">
        <v>24.29</v>
      </c>
      <c r="Q869">
        <v>18.36</v>
      </c>
      <c r="R869">
        <v>2.83</v>
      </c>
    </row>
    <row r="870">
      <c r="A870" s="9">
        <v>39401</v>
      </c>
      <c r="B870" s="2" t="inlineStr">
        <is>
          <t xml:space="preserve">2007-11</t>
        </is>
      </c>
      <c r="C870" s="2" t="inlineStr">
        <is>
          <t xml:space="preserve">2007/08</t>
        </is>
      </c>
      <c r="D870">
        <v>0.044</v>
      </c>
      <c r="E870">
        <v>19.14</v>
      </c>
      <c r="F870">
        <v>23.5</v>
      </c>
      <c r="G870">
        <v>15.75</v>
      </c>
      <c r="H870">
        <v>2.26</v>
      </c>
      <c r="I870">
        <v>2.88</v>
      </c>
      <c r="J870">
        <v>19.91</v>
      </c>
      <c r="K870">
        <v>24.2</v>
      </c>
      <c r="L870">
        <v>17.11</v>
      </c>
      <c r="M870">
        <v>3.76</v>
      </c>
      <c r="N870">
        <v>4.947</v>
      </c>
      <c r="O870">
        <v>20.1</v>
      </c>
      <c r="P870">
        <v>23.75</v>
      </c>
      <c r="Q870">
        <v>17.86</v>
      </c>
      <c r="R870">
        <v>8.22</v>
      </c>
    </row>
    <row r="871">
      <c r="A871" s="9">
        <v>39402</v>
      </c>
      <c r="B871" s="2" t="inlineStr">
        <is>
          <t xml:space="preserve">2007-11</t>
        </is>
      </c>
      <c r="C871" s="2" t="inlineStr">
        <is>
          <t xml:space="preserve">2007/08</t>
        </is>
      </c>
      <c r="D871">
        <v>0.424</v>
      </c>
      <c r="E871">
        <v>17.82</v>
      </c>
      <c r="F871">
        <v>22.05</v>
      </c>
      <c r="G871">
        <v>15.37</v>
      </c>
      <c r="H871">
        <v>3.15</v>
      </c>
      <c r="I871">
        <v>0.645</v>
      </c>
      <c r="J871">
        <v>17.48</v>
      </c>
      <c r="K871">
        <v>20.0</v>
      </c>
      <c r="L871">
        <v>15.51</v>
      </c>
      <c r="M871">
        <v>0.75</v>
      </c>
      <c r="N871">
        <v>0.977</v>
      </c>
      <c r="O871">
        <v>18.43</v>
      </c>
      <c r="P871">
        <v>21.06</v>
      </c>
      <c r="Q871">
        <v>16.55</v>
      </c>
      <c r="R871">
        <v>0.81</v>
      </c>
    </row>
    <row r="872">
      <c r="A872" s="9">
        <v>39403</v>
      </c>
      <c r="B872" s="2" t="inlineStr">
        <is>
          <t xml:space="preserve">2007-11</t>
        </is>
      </c>
      <c r="C872" s="2" t="inlineStr">
        <is>
          <t xml:space="preserve">2007/08</t>
        </is>
      </c>
      <c r="D872">
        <v>0.0</v>
      </c>
      <c r="E872">
        <v>17.94</v>
      </c>
      <c r="F872">
        <v>22.97</v>
      </c>
      <c r="G872">
        <v>14.82</v>
      </c>
      <c r="H872">
        <v>0.28</v>
      </c>
      <c r="I872">
        <v>0.273</v>
      </c>
      <c r="J872">
        <v>18.38</v>
      </c>
      <c r="K872">
        <v>23.32</v>
      </c>
      <c r="L872">
        <v>15.45</v>
      </c>
      <c r="M872">
        <v>0.14</v>
      </c>
      <c r="N872">
        <v>0.417</v>
      </c>
      <c r="O872">
        <v>18.67</v>
      </c>
      <c r="P872">
        <v>23.0</v>
      </c>
      <c r="Q872">
        <v>16.04</v>
      </c>
      <c r="R872">
        <v>0.15</v>
      </c>
    </row>
    <row r="873">
      <c r="A873" s="9">
        <v>39404</v>
      </c>
      <c r="B873" s="2" t="inlineStr">
        <is>
          <t xml:space="preserve">2007-11</t>
        </is>
      </c>
      <c r="C873" s="2" t="inlineStr">
        <is>
          <t xml:space="preserve">2007/08</t>
        </is>
      </c>
      <c r="D873">
        <v>0.0</v>
      </c>
      <c r="E873">
        <v>19.34</v>
      </c>
      <c r="F873">
        <v>24.86</v>
      </c>
      <c r="G873">
        <v>14.77</v>
      </c>
      <c r="H873">
        <v>0.18</v>
      </c>
      <c r="I873">
        <v>0.0</v>
      </c>
      <c r="J873">
        <v>19.55</v>
      </c>
      <c r="K873">
        <v>25.16</v>
      </c>
      <c r="L873">
        <v>15.12</v>
      </c>
      <c r="M873">
        <v>0.26</v>
      </c>
      <c r="N873">
        <v>0.0</v>
      </c>
      <c r="O873">
        <v>19.85</v>
      </c>
      <c r="P873">
        <v>24.65</v>
      </c>
      <c r="Q873">
        <v>15.96</v>
      </c>
      <c r="R873">
        <v>0.78</v>
      </c>
    </row>
    <row r="874">
      <c r="A874" s="9">
        <v>39405</v>
      </c>
      <c r="B874" s="2" t="inlineStr">
        <is>
          <t xml:space="preserve">2007-11</t>
        </is>
      </c>
      <c r="C874" s="2" t="inlineStr">
        <is>
          <t xml:space="preserve">2007/08</t>
        </is>
      </c>
      <c r="D874">
        <v>0.0</v>
      </c>
      <c r="E874">
        <v>20.44</v>
      </c>
      <c r="F874">
        <v>25.34</v>
      </c>
      <c r="G874">
        <v>16.94</v>
      </c>
      <c r="H874">
        <v>2.45</v>
      </c>
      <c r="I874">
        <v>0.211</v>
      </c>
      <c r="J874">
        <v>20.8</v>
      </c>
      <c r="K874">
        <v>25.61</v>
      </c>
      <c r="L874">
        <v>17.08</v>
      </c>
      <c r="M874">
        <v>2.46</v>
      </c>
      <c r="N874">
        <v>1.119</v>
      </c>
      <c r="O874">
        <v>20.91</v>
      </c>
      <c r="P874">
        <v>25.14</v>
      </c>
      <c r="Q874">
        <v>17.68</v>
      </c>
      <c r="R874">
        <v>8.31</v>
      </c>
    </row>
    <row r="875">
      <c r="A875" s="9">
        <v>39406</v>
      </c>
      <c r="B875" s="2" t="inlineStr">
        <is>
          <t xml:space="preserve">2007-11</t>
        </is>
      </c>
      <c r="C875" s="2" t="inlineStr">
        <is>
          <t xml:space="preserve">2007/08</t>
        </is>
      </c>
      <c r="D875">
        <v>0.107</v>
      </c>
      <c r="E875">
        <v>19.51</v>
      </c>
      <c r="F875">
        <v>24.15</v>
      </c>
      <c r="G875">
        <v>16.24</v>
      </c>
      <c r="H875">
        <v>5.67</v>
      </c>
      <c r="I875">
        <v>2.906</v>
      </c>
      <c r="J875">
        <v>20.42</v>
      </c>
      <c r="K875">
        <v>24.41</v>
      </c>
      <c r="L875">
        <v>17.74</v>
      </c>
      <c r="M875">
        <v>5.62</v>
      </c>
      <c r="N875">
        <v>4.914</v>
      </c>
      <c r="O875">
        <v>20.38</v>
      </c>
      <c r="P875">
        <v>23.62</v>
      </c>
      <c r="Q875">
        <v>18.05</v>
      </c>
      <c r="R875">
        <v>10.98</v>
      </c>
    </row>
    <row r="876">
      <c r="A876" s="9">
        <v>39407</v>
      </c>
      <c r="B876" s="2" t="inlineStr">
        <is>
          <t xml:space="preserve">2007-11</t>
        </is>
      </c>
      <c r="C876" s="2" t="inlineStr">
        <is>
          <t xml:space="preserve">2007/08</t>
        </is>
      </c>
      <c r="D876">
        <v>0.236</v>
      </c>
      <c r="E876">
        <v>20.26</v>
      </c>
      <c r="F876">
        <v>24.98</v>
      </c>
      <c r="G876">
        <v>17.16</v>
      </c>
      <c r="H876">
        <v>0.78</v>
      </c>
      <c r="I876">
        <v>5.979</v>
      </c>
      <c r="J876">
        <v>20.72</v>
      </c>
      <c r="K876">
        <v>25.31</v>
      </c>
      <c r="L876">
        <v>17.52</v>
      </c>
      <c r="M876">
        <v>4.52</v>
      </c>
      <c r="N876">
        <v>9.25</v>
      </c>
      <c r="O876">
        <v>20.83</v>
      </c>
      <c r="P876">
        <v>24.92</v>
      </c>
      <c r="Q876">
        <v>18.2</v>
      </c>
      <c r="R876">
        <v>6.73</v>
      </c>
    </row>
    <row r="877">
      <c r="A877" s="9">
        <v>39408</v>
      </c>
      <c r="B877" s="2" t="inlineStr">
        <is>
          <t xml:space="preserve">2007-11</t>
        </is>
      </c>
      <c r="C877" s="2" t="inlineStr">
        <is>
          <t xml:space="preserve">2007/08</t>
        </is>
      </c>
      <c r="D877">
        <v>0.0</v>
      </c>
      <c r="E877">
        <v>20.74</v>
      </c>
      <c r="F877">
        <v>25.18</v>
      </c>
      <c r="G877">
        <v>17.48</v>
      </c>
      <c r="H877">
        <v>1.51</v>
      </c>
      <c r="I877">
        <v>0.075</v>
      </c>
      <c r="J877">
        <v>20.89</v>
      </c>
      <c r="K877">
        <v>25.18</v>
      </c>
      <c r="L877">
        <v>17.47</v>
      </c>
      <c r="M877">
        <v>1.96</v>
      </c>
      <c r="N877">
        <v>0.345</v>
      </c>
      <c r="O877">
        <v>20.91</v>
      </c>
      <c r="P877">
        <v>24.61</v>
      </c>
      <c r="Q877">
        <v>18.46</v>
      </c>
      <c r="R877">
        <v>5.68</v>
      </c>
    </row>
    <row r="878">
      <c r="A878" s="9">
        <v>39409</v>
      </c>
      <c r="B878" s="2" t="inlineStr">
        <is>
          <t xml:space="preserve">2007-11</t>
        </is>
      </c>
      <c r="C878" s="2" t="inlineStr">
        <is>
          <t xml:space="preserve">2007/08</t>
        </is>
      </c>
      <c r="D878">
        <v>0.558</v>
      </c>
      <c r="E878">
        <v>20.53</v>
      </c>
      <c r="F878">
        <v>24.82</v>
      </c>
      <c r="G878">
        <v>17.88</v>
      </c>
      <c r="H878">
        <v>5.03</v>
      </c>
      <c r="I878">
        <v>2.153</v>
      </c>
      <c r="J878">
        <v>21.08</v>
      </c>
      <c r="K878">
        <v>25.09</v>
      </c>
      <c r="L878">
        <v>18.23</v>
      </c>
      <c r="M878">
        <v>5.08</v>
      </c>
      <c r="N878">
        <v>4.213</v>
      </c>
      <c r="O878">
        <v>21.22</v>
      </c>
      <c r="P878">
        <v>24.71</v>
      </c>
      <c r="Q878">
        <v>19.15</v>
      </c>
      <c r="R878">
        <v>15.51</v>
      </c>
    </row>
    <row r="879">
      <c r="A879" s="9">
        <v>39410</v>
      </c>
      <c r="B879" s="2" t="inlineStr">
        <is>
          <t xml:space="preserve">2007-11</t>
        </is>
      </c>
      <c r="C879" s="2" t="inlineStr">
        <is>
          <t xml:space="preserve">2007/08</t>
        </is>
      </c>
      <c r="D879">
        <v>1.263</v>
      </c>
      <c r="E879">
        <v>20.07</v>
      </c>
      <c r="F879">
        <v>24.78</v>
      </c>
      <c r="G879">
        <v>16.86</v>
      </c>
      <c r="H879">
        <v>2.37</v>
      </c>
      <c r="I879">
        <v>0.789</v>
      </c>
      <c r="J879">
        <v>20.94</v>
      </c>
      <c r="K879">
        <v>25.29</v>
      </c>
      <c r="L879">
        <v>18.31</v>
      </c>
      <c r="M879">
        <v>0.43</v>
      </c>
      <c r="N879">
        <v>0.419</v>
      </c>
      <c r="O879">
        <v>21.05</v>
      </c>
      <c r="P879">
        <v>25.14</v>
      </c>
      <c r="Q879">
        <v>18.58</v>
      </c>
      <c r="R879">
        <v>0.47</v>
      </c>
    </row>
    <row r="880">
      <c r="A880" s="9">
        <v>39411</v>
      </c>
      <c r="B880" s="2" t="inlineStr">
        <is>
          <t xml:space="preserve">2007-11</t>
        </is>
      </c>
      <c r="C880" s="2" t="inlineStr">
        <is>
          <t xml:space="preserve">2007/08</t>
        </is>
      </c>
      <c r="D880">
        <v>0.0</v>
      </c>
      <c r="E880">
        <v>19.87</v>
      </c>
      <c r="F880">
        <v>25.25</v>
      </c>
      <c r="G880">
        <v>15.98</v>
      </c>
      <c r="H880">
        <v>0.33</v>
      </c>
      <c r="I880">
        <v>0.0</v>
      </c>
      <c r="J880">
        <v>21.08</v>
      </c>
      <c r="K880">
        <v>25.78</v>
      </c>
      <c r="L880">
        <v>17.5</v>
      </c>
      <c r="M880">
        <v>0.14</v>
      </c>
      <c r="N880">
        <v>0.0</v>
      </c>
      <c r="O880">
        <v>21.47</v>
      </c>
      <c r="P880">
        <v>26.01</v>
      </c>
      <c r="Q880">
        <v>18.78</v>
      </c>
      <c r="R880">
        <v>0.16</v>
      </c>
    </row>
    <row r="881">
      <c r="A881" s="9">
        <v>39412</v>
      </c>
      <c r="B881" s="2" t="inlineStr">
        <is>
          <t xml:space="preserve">2007-11</t>
        </is>
      </c>
      <c r="C881" s="2" t="inlineStr">
        <is>
          <t xml:space="preserve">2007/08</t>
        </is>
      </c>
      <c r="D881">
        <v>0.501</v>
      </c>
      <c r="E881">
        <v>19.51</v>
      </c>
      <c r="F881">
        <v>22.52</v>
      </c>
      <c r="G881">
        <v>17.34</v>
      </c>
      <c r="H881">
        <v>1.38</v>
      </c>
      <c r="I881">
        <v>1.162</v>
      </c>
      <c r="J881">
        <v>20.78</v>
      </c>
      <c r="K881">
        <v>25.44</v>
      </c>
      <c r="L881">
        <v>17.49</v>
      </c>
      <c r="M881">
        <v>1.37</v>
      </c>
      <c r="N881">
        <v>1.783</v>
      </c>
      <c r="O881">
        <v>20.92</v>
      </c>
      <c r="P881">
        <v>24.52</v>
      </c>
      <c r="Q881">
        <v>18.41</v>
      </c>
      <c r="R881">
        <v>2.34</v>
      </c>
    </row>
    <row r="882">
      <c r="A882" s="9">
        <v>39413</v>
      </c>
      <c r="B882" s="2" t="inlineStr">
        <is>
          <t xml:space="preserve">2007-11</t>
        </is>
      </c>
      <c r="C882" s="2" t="inlineStr">
        <is>
          <t xml:space="preserve">2007/08</t>
        </is>
      </c>
      <c r="D882">
        <v>0.0</v>
      </c>
      <c r="E882">
        <v>19.54</v>
      </c>
      <c r="F882">
        <v>23.2</v>
      </c>
      <c r="G882">
        <v>17.32</v>
      </c>
      <c r="H882">
        <v>1.03</v>
      </c>
      <c r="I882">
        <v>0.826</v>
      </c>
      <c r="J882">
        <v>20.15</v>
      </c>
      <c r="K882">
        <v>23.46</v>
      </c>
      <c r="L882">
        <v>18.28</v>
      </c>
      <c r="M882">
        <v>3.54</v>
      </c>
      <c r="N882">
        <v>1.269</v>
      </c>
      <c r="O882">
        <v>20.37</v>
      </c>
      <c r="P882">
        <v>23.26</v>
      </c>
      <c r="Q882">
        <v>18.68</v>
      </c>
      <c r="R882">
        <v>12.32</v>
      </c>
    </row>
    <row r="883">
      <c r="A883" s="9">
        <v>39414</v>
      </c>
      <c r="B883" s="2" t="inlineStr">
        <is>
          <t xml:space="preserve">2007-11</t>
        </is>
      </c>
      <c r="C883" s="2" t="inlineStr">
        <is>
          <t xml:space="preserve">2007/08</t>
        </is>
      </c>
      <c r="D883">
        <v>0.021</v>
      </c>
      <c r="E883">
        <v>19.21</v>
      </c>
      <c r="F883">
        <v>23.55</v>
      </c>
      <c r="G883">
        <v>16.35</v>
      </c>
      <c r="H883">
        <v>1.61</v>
      </c>
      <c r="I883">
        <v>1.836</v>
      </c>
      <c r="J883">
        <v>20.34</v>
      </c>
      <c r="K883">
        <v>24.46</v>
      </c>
      <c r="L883">
        <v>17.39</v>
      </c>
      <c r="M883">
        <v>4.36</v>
      </c>
      <c r="N883">
        <v>3.468</v>
      </c>
      <c r="O883">
        <v>20.41</v>
      </c>
      <c r="P883">
        <v>23.88</v>
      </c>
      <c r="Q883">
        <v>18.02</v>
      </c>
      <c r="R883">
        <v>13.41</v>
      </c>
    </row>
    <row r="884">
      <c r="A884" s="9">
        <v>39415</v>
      </c>
      <c r="B884" s="2" t="inlineStr">
        <is>
          <t xml:space="preserve">2007-11</t>
        </is>
      </c>
      <c r="C884" s="2" t="inlineStr">
        <is>
          <t xml:space="preserve">2007/08</t>
        </is>
      </c>
      <c r="D884">
        <v>0.0</v>
      </c>
      <c r="E884">
        <v>19.26</v>
      </c>
      <c r="F884">
        <v>23.85</v>
      </c>
      <c r="G884">
        <v>16.35</v>
      </c>
      <c r="H884">
        <v>0.43</v>
      </c>
      <c r="I884">
        <v>0.707</v>
      </c>
      <c r="J884">
        <v>19.24</v>
      </c>
      <c r="K884">
        <v>23.83</v>
      </c>
      <c r="L884">
        <v>16.23</v>
      </c>
      <c r="M884">
        <v>1.11</v>
      </c>
      <c r="N884">
        <v>1.121</v>
      </c>
      <c r="O884">
        <v>19.52</v>
      </c>
      <c r="P884">
        <v>23.5</v>
      </c>
      <c r="Q884">
        <v>16.9</v>
      </c>
      <c r="R884">
        <v>2.72</v>
      </c>
    </row>
    <row r="885">
      <c r="A885" s="9">
        <v>39416</v>
      </c>
      <c r="B885" s="2" t="inlineStr">
        <is>
          <t xml:space="preserve">2007-11</t>
        </is>
      </c>
      <c r="C885" s="2" t="inlineStr">
        <is>
          <t xml:space="preserve">2007/08</t>
        </is>
      </c>
      <c r="D885">
        <v>0.0</v>
      </c>
      <c r="E885">
        <v>18.95</v>
      </c>
      <c r="F885">
        <v>23.45</v>
      </c>
      <c r="G885">
        <v>15.69</v>
      </c>
      <c r="H885">
        <v>0.58</v>
      </c>
      <c r="I885">
        <v>0.118</v>
      </c>
      <c r="J885">
        <v>19.05</v>
      </c>
      <c r="K885">
        <v>23.23</v>
      </c>
      <c r="L885">
        <v>16.33</v>
      </c>
      <c r="M885">
        <v>0.92</v>
      </c>
      <c r="N885">
        <v>0.699</v>
      </c>
      <c r="O885">
        <v>19.59</v>
      </c>
      <c r="P885">
        <v>23.27</v>
      </c>
      <c r="Q885">
        <v>17.5</v>
      </c>
      <c r="R885">
        <v>3.25</v>
      </c>
    </row>
    <row r="886">
      <c r="A886" s="9">
        <v>39417</v>
      </c>
      <c r="B886" s="2" t="inlineStr">
        <is>
          <t xml:space="preserve">2007-12</t>
        </is>
      </c>
      <c r="C886" s="2" t="inlineStr">
        <is>
          <t xml:space="preserve">2007/08</t>
        </is>
      </c>
      <c r="D886">
        <v>0.032</v>
      </c>
      <c r="E886">
        <v>18.33</v>
      </c>
      <c r="F886">
        <v>23.58</v>
      </c>
      <c r="G886">
        <v>14.56</v>
      </c>
      <c r="H886">
        <v>0.53</v>
      </c>
      <c r="I886">
        <v>0.041</v>
      </c>
      <c r="J886">
        <v>19.32</v>
      </c>
      <c r="K886">
        <v>24.23</v>
      </c>
      <c r="L886">
        <v>15.51</v>
      </c>
      <c r="M886">
        <v>0.44</v>
      </c>
      <c r="N886">
        <v>0.258</v>
      </c>
      <c r="O886">
        <v>19.69</v>
      </c>
      <c r="P886">
        <v>24.01</v>
      </c>
      <c r="Q886">
        <v>16.85</v>
      </c>
      <c r="R886">
        <v>0.99</v>
      </c>
    </row>
    <row r="887">
      <c r="A887" s="9">
        <v>39418</v>
      </c>
      <c r="B887" s="2" t="inlineStr">
        <is>
          <t xml:space="preserve">2007-12</t>
        </is>
      </c>
      <c r="C887" s="2" t="inlineStr">
        <is>
          <t xml:space="preserve">2007/08</t>
        </is>
      </c>
      <c r="D887">
        <v>0.0</v>
      </c>
      <c r="E887">
        <v>18.73</v>
      </c>
      <c r="F887">
        <v>24.08</v>
      </c>
      <c r="G887">
        <v>14.38</v>
      </c>
      <c r="H887">
        <v>0.42</v>
      </c>
      <c r="I887">
        <v>0.209</v>
      </c>
      <c r="J887">
        <v>19.5</v>
      </c>
      <c r="K887">
        <v>24.27</v>
      </c>
      <c r="L887">
        <v>15.32</v>
      </c>
      <c r="M887">
        <v>0.69</v>
      </c>
      <c r="N887">
        <v>0.112</v>
      </c>
      <c r="O887">
        <v>19.73</v>
      </c>
      <c r="P887">
        <v>24.35</v>
      </c>
      <c r="Q887">
        <v>16.11</v>
      </c>
      <c r="R887">
        <v>1.13</v>
      </c>
    </row>
    <row r="888">
      <c r="A888" s="9">
        <v>39419</v>
      </c>
      <c r="B888" s="2" t="inlineStr">
        <is>
          <t xml:space="preserve">2007-12</t>
        </is>
      </c>
      <c r="C888" s="2" t="inlineStr">
        <is>
          <t xml:space="preserve">2007/08</t>
        </is>
      </c>
      <c r="D888">
        <v>0.0</v>
      </c>
      <c r="E888">
        <v>18.21</v>
      </c>
      <c r="F888">
        <v>23.26</v>
      </c>
      <c r="G888">
        <v>14.76</v>
      </c>
      <c r="H888">
        <v>0.52</v>
      </c>
      <c r="I888">
        <v>1.988</v>
      </c>
      <c r="J888">
        <v>19.35</v>
      </c>
      <c r="K888">
        <v>23.66</v>
      </c>
      <c r="L888">
        <v>16.17</v>
      </c>
      <c r="M888">
        <v>2.01</v>
      </c>
      <c r="N888">
        <v>3.202</v>
      </c>
      <c r="O888">
        <v>19.29</v>
      </c>
      <c r="P888">
        <v>23.24</v>
      </c>
      <c r="Q888">
        <v>16.21</v>
      </c>
      <c r="R888">
        <v>3.84</v>
      </c>
    </row>
    <row r="889">
      <c r="A889" s="9">
        <v>39420</v>
      </c>
      <c r="B889" s="2" t="inlineStr">
        <is>
          <t xml:space="preserve">2007-12</t>
        </is>
      </c>
      <c r="C889" s="2" t="inlineStr">
        <is>
          <t xml:space="preserve">2007/08</t>
        </is>
      </c>
      <c r="D889">
        <v>0.0</v>
      </c>
      <c r="E889">
        <v>17.46</v>
      </c>
      <c r="F889">
        <v>22.83</v>
      </c>
      <c r="G889">
        <v>13.56</v>
      </c>
      <c r="H889">
        <v>0.01</v>
      </c>
      <c r="I889">
        <v>0.0</v>
      </c>
      <c r="J889">
        <v>17.27</v>
      </c>
      <c r="K889">
        <v>22.58</v>
      </c>
      <c r="L889">
        <v>13.92</v>
      </c>
      <c r="M889">
        <v>0.0</v>
      </c>
      <c r="N889">
        <v>0.0</v>
      </c>
      <c r="O889">
        <v>17.99</v>
      </c>
      <c r="P889">
        <v>22.45</v>
      </c>
      <c r="Q889">
        <v>14.84</v>
      </c>
      <c r="R889">
        <v>0.0</v>
      </c>
    </row>
    <row r="890">
      <c r="A890" s="9">
        <v>39421</v>
      </c>
      <c r="B890" s="2" t="inlineStr">
        <is>
          <t xml:space="preserve">2007-12</t>
        </is>
      </c>
      <c r="C890" s="2" t="inlineStr">
        <is>
          <t xml:space="preserve">2007/08</t>
        </is>
      </c>
      <c r="D890">
        <v>0.0</v>
      </c>
      <c r="E890">
        <v>19.1</v>
      </c>
      <c r="F890">
        <v>25.04</v>
      </c>
      <c r="G890">
        <v>14.01</v>
      </c>
      <c r="H890">
        <v>0.02</v>
      </c>
      <c r="I890">
        <v>0.0</v>
      </c>
      <c r="J890">
        <v>18.87</v>
      </c>
      <c r="K890">
        <v>25.09</v>
      </c>
      <c r="L890">
        <v>13.44</v>
      </c>
      <c r="M890">
        <v>0.01</v>
      </c>
      <c r="N890">
        <v>0.0</v>
      </c>
      <c r="O890">
        <v>19.14</v>
      </c>
      <c r="P890">
        <v>25.09</v>
      </c>
      <c r="Q890">
        <v>13.08</v>
      </c>
      <c r="R890">
        <v>0.01</v>
      </c>
    </row>
    <row r="891">
      <c r="A891" s="9">
        <v>39422</v>
      </c>
      <c r="B891" s="2" t="inlineStr">
        <is>
          <t xml:space="preserve">2007-12</t>
        </is>
      </c>
      <c r="C891" s="2" t="inlineStr">
        <is>
          <t xml:space="preserve">2007/08</t>
        </is>
      </c>
      <c r="D891">
        <v>1.19</v>
      </c>
      <c r="E891">
        <v>19.61</v>
      </c>
      <c r="F891">
        <v>25.4</v>
      </c>
      <c r="G891">
        <v>14.11</v>
      </c>
      <c r="H891">
        <v>0.85</v>
      </c>
      <c r="I891">
        <v>0.968</v>
      </c>
      <c r="J891">
        <v>20.12</v>
      </c>
      <c r="K891">
        <v>26.1</v>
      </c>
      <c r="L891">
        <v>14.52</v>
      </c>
      <c r="M891">
        <v>0.86</v>
      </c>
      <c r="N891">
        <v>0.439</v>
      </c>
      <c r="O891">
        <v>20.31</v>
      </c>
      <c r="P891">
        <v>25.73</v>
      </c>
      <c r="Q891">
        <v>15.52</v>
      </c>
      <c r="R891">
        <v>0.55</v>
      </c>
    </row>
    <row r="892">
      <c r="A892" s="9">
        <v>39423</v>
      </c>
      <c r="B892" s="2" t="inlineStr">
        <is>
          <t xml:space="preserve">2007-12</t>
        </is>
      </c>
      <c r="C892" s="2" t="inlineStr">
        <is>
          <t xml:space="preserve">2007/08</t>
        </is>
      </c>
      <c r="D892">
        <v>0.423</v>
      </c>
      <c r="E892">
        <v>19.49</v>
      </c>
      <c r="F892">
        <v>25.39</v>
      </c>
      <c r="G892">
        <v>15.22</v>
      </c>
      <c r="H892">
        <v>0.08</v>
      </c>
      <c r="I892">
        <v>0.344</v>
      </c>
      <c r="J892">
        <v>20.75</v>
      </c>
      <c r="K892">
        <v>25.99</v>
      </c>
      <c r="L892">
        <v>16.47</v>
      </c>
      <c r="M892">
        <v>0.26</v>
      </c>
      <c r="N892">
        <v>0.156</v>
      </c>
      <c r="O892">
        <v>21.1</v>
      </c>
      <c r="P892">
        <v>25.65</v>
      </c>
      <c r="Q892">
        <v>18.28</v>
      </c>
      <c r="R892">
        <v>0.21</v>
      </c>
    </row>
    <row r="893">
      <c r="A893" s="9">
        <v>39424</v>
      </c>
      <c r="B893" s="2" t="inlineStr">
        <is>
          <t xml:space="preserve">2007-12</t>
        </is>
      </c>
      <c r="C893" s="2" t="inlineStr">
        <is>
          <t xml:space="preserve">2007/08</t>
        </is>
      </c>
      <c r="D893">
        <v>0.0</v>
      </c>
      <c r="E893">
        <v>19.03</v>
      </c>
      <c r="F893">
        <v>24.51</v>
      </c>
      <c r="G893">
        <v>14.21</v>
      </c>
      <c r="H893">
        <v>0.24</v>
      </c>
      <c r="I893">
        <v>0.0</v>
      </c>
      <c r="J893">
        <v>19.95</v>
      </c>
      <c r="K893">
        <v>25.01</v>
      </c>
      <c r="L893">
        <v>16.17</v>
      </c>
      <c r="M893">
        <v>0.48</v>
      </c>
      <c r="N893">
        <v>0.068</v>
      </c>
      <c r="O893">
        <v>20.24</v>
      </c>
      <c r="P893">
        <v>24.48</v>
      </c>
      <c r="Q893">
        <v>17.02</v>
      </c>
      <c r="R893">
        <v>1.04</v>
      </c>
    </row>
    <row r="894">
      <c r="A894" s="9">
        <v>39425</v>
      </c>
      <c r="B894" s="2" t="inlineStr">
        <is>
          <t xml:space="preserve">2007-12</t>
        </is>
      </c>
      <c r="C894" s="2" t="inlineStr">
        <is>
          <t xml:space="preserve">2007/08</t>
        </is>
      </c>
      <c r="D894">
        <v>0.0</v>
      </c>
      <c r="E894">
        <v>19.14</v>
      </c>
      <c r="F894">
        <v>24.44</v>
      </c>
      <c r="G894">
        <v>15.06</v>
      </c>
      <c r="H894">
        <v>0.24</v>
      </c>
      <c r="I894">
        <v>0.95</v>
      </c>
      <c r="J894">
        <v>19.93</v>
      </c>
      <c r="K894">
        <v>24.67</v>
      </c>
      <c r="L894">
        <v>16.76</v>
      </c>
      <c r="M894">
        <v>1.34</v>
      </c>
      <c r="N894">
        <v>1.566</v>
      </c>
      <c r="O894">
        <v>20.01</v>
      </c>
      <c r="P894">
        <v>24.05</v>
      </c>
      <c r="Q894">
        <v>17.13</v>
      </c>
      <c r="R894">
        <v>3.59</v>
      </c>
    </row>
    <row r="895">
      <c r="A895" s="9">
        <v>39426</v>
      </c>
      <c r="B895" s="2" t="inlineStr">
        <is>
          <t xml:space="preserve">2007-12</t>
        </is>
      </c>
      <c r="C895" s="2" t="inlineStr">
        <is>
          <t xml:space="preserve">2007/08</t>
        </is>
      </c>
      <c r="D895">
        <v>0.0</v>
      </c>
      <c r="E895">
        <v>18.88</v>
      </c>
      <c r="F895">
        <v>24.36</v>
      </c>
      <c r="G895">
        <v>15.09</v>
      </c>
      <c r="H895">
        <v>0.26</v>
      </c>
      <c r="I895">
        <v>0.069</v>
      </c>
      <c r="J895">
        <v>19.7</v>
      </c>
      <c r="K895">
        <v>24.67</v>
      </c>
      <c r="L895">
        <v>16.37</v>
      </c>
      <c r="M895">
        <v>0.97</v>
      </c>
      <c r="N895">
        <v>0.322</v>
      </c>
      <c r="O895">
        <v>19.83</v>
      </c>
      <c r="P895">
        <v>24.09</v>
      </c>
      <c r="Q895">
        <v>17.04</v>
      </c>
      <c r="R895">
        <v>3.47</v>
      </c>
    </row>
    <row r="896">
      <c r="A896" s="9">
        <v>39427</v>
      </c>
      <c r="B896" s="2" t="inlineStr">
        <is>
          <t xml:space="preserve">2007-12</t>
        </is>
      </c>
      <c r="C896" s="2" t="inlineStr">
        <is>
          <t xml:space="preserve">2007/08</t>
        </is>
      </c>
      <c r="D896">
        <v>0.0</v>
      </c>
      <c r="E896">
        <v>18.48</v>
      </c>
      <c r="F896">
        <v>23.85</v>
      </c>
      <c r="G896">
        <v>14.02</v>
      </c>
      <c r="H896">
        <v>0.23</v>
      </c>
      <c r="I896">
        <v>0.227</v>
      </c>
      <c r="J896">
        <v>19.03</v>
      </c>
      <c r="K896">
        <v>23.43</v>
      </c>
      <c r="L896">
        <v>16.51</v>
      </c>
      <c r="M896">
        <v>1.38</v>
      </c>
      <c r="N896">
        <v>1.047</v>
      </c>
      <c r="O896">
        <v>19.25</v>
      </c>
      <c r="P896">
        <v>22.79</v>
      </c>
      <c r="Q896">
        <v>16.64</v>
      </c>
      <c r="R896">
        <v>5.01</v>
      </c>
    </row>
    <row r="897">
      <c r="A897" s="9">
        <v>39428</v>
      </c>
      <c r="B897" s="2" t="inlineStr">
        <is>
          <t xml:space="preserve">2007-12</t>
        </is>
      </c>
      <c r="C897" s="2" t="inlineStr">
        <is>
          <t xml:space="preserve">2007/08</t>
        </is>
      </c>
      <c r="D897">
        <v>0.0</v>
      </c>
      <c r="E897">
        <v>18.58</v>
      </c>
      <c r="F897">
        <v>24.13</v>
      </c>
      <c r="G897">
        <v>15.2</v>
      </c>
      <c r="H897">
        <v>0.18</v>
      </c>
      <c r="I897">
        <v>0.0</v>
      </c>
      <c r="J897">
        <v>19.72</v>
      </c>
      <c r="K897">
        <v>25.11</v>
      </c>
      <c r="L897">
        <v>15.95</v>
      </c>
      <c r="M897">
        <v>0.06</v>
      </c>
      <c r="N897">
        <v>0.0</v>
      </c>
      <c r="O897">
        <v>19.76</v>
      </c>
      <c r="P897">
        <v>24.41</v>
      </c>
      <c r="Q897">
        <v>16.73</v>
      </c>
      <c r="R897">
        <v>0.16</v>
      </c>
    </row>
    <row r="898">
      <c r="A898" s="9">
        <v>39429</v>
      </c>
      <c r="B898" s="2" t="inlineStr">
        <is>
          <t xml:space="preserve">2007-12</t>
        </is>
      </c>
      <c r="C898" s="2" t="inlineStr">
        <is>
          <t xml:space="preserve">2007/08</t>
        </is>
      </c>
      <c r="D898">
        <v>0.053</v>
      </c>
      <c r="E898">
        <v>18.51</v>
      </c>
      <c r="F898">
        <v>24.17</v>
      </c>
      <c r="G898">
        <v>14.08</v>
      </c>
      <c r="H898">
        <v>1.08</v>
      </c>
      <c r="I898">
        <v>0.0</v>
      </c>
      <c r="J898">
        <v>18.57</v>
      </c>
      <c r="K898">
        <v>23.68</v>
      </c>
      <c r="L898">
        <v>14.36</v>
      </c>
      <c r="M898">
        <v>0.25</v>
      </c>
      <c r="N898">
        <v>0.118</v>
      </c>
      <c r="O898">
        <v>19.06</v>
      </c>
      <c r="P898">
        <v>23.54</v>
      </c>
      <c r="Q898">
        <v>15.82</v>
      </c>
      <c r="R898">
        <v>0.47</v>
      </c>
    </row>
    <row r="899">
      <c r="A899" s="9">
        <v>39430</v>
      </c>
      <c r="B899" s="2" t="inlineStr">
        <is>
          <t xml:space="preserve">2007-12</t>
        </is>
      </c>
      <c r="C899" s="2" t="inlineStr">
        <is>
          <t xml:space="preserve">2007/08</t>
        </is>
      </c>
      <c r="D899">
        <v>0.181</v>
      </c>
      <c r="E899">
        <v>18.57</v>
      </c>
      <c r="F899">
        <v>23.62</v>
      </c>
      <c r="G899">
        <v>15.35</v>
      </c>
      <c r="H899">
        <v>0.94</v>
      </c>
      <c r="I899">
        <v>0.0</v>
      </c>
      <c r="J899">
        <v>18.56</v>
      </c>
      <c r="K899">
        <v>23.76</v>
      </c>
      <c r="L899">
        <v>14.84</v>
      </c>
      <c r="M899">
        <v>0.28</v>
      </c>
      <c r="N899">
        <v>0.291</v>
      </c>
      <c r="O899">
        <v>18.97</v>
      </c>
      <c r="P899">
        <v>23.34</v>
      </c>
      <c r="Q899">
        <v>16.12</v>
      </c>
      <c r="R899">
        <v>0.36</v>
      </c>
    </row>
    <row r="900">
      <c r="A900" s="9">
        <v>39431</v>
      </c>
      <c r="B900" s="2" t="inlineStr">
        <is>
          <t xml:space="preserve">2007-12</t>
        </is>
      </c>
      <c r="C900" s="2" t="inlineStr">
        <is>
          <t xml:space="preserve">2007/08</t>
        </is>
      </c>
      <c r="D900">
        <v>0.025</v>
      </c>
      <c r="E900">
        <v>19.89</v>
      </c>
      <c r="F900">
        <v>26.03</v>
      </c>
      <c r="G900">
        <v>14.6</v>
      </c>
      <c r="H900">
        <v>0.05</v>
      </c>
      <c r="I900">
        <v>0.0</v>
      </c>
      <c r="J900">
        <v>19.76</v>
      </c>
      <c r="K900">
        <v>26.03</v>
      </c>
      <c r="L900">
        <v>14.48</v>
      </c>
      <c r="M900">
        <v>0.01</v>
      </c>
      <c r="N900">
        <v>0.0</v>
      </c>
      <c r="O900">
        <v>20.29</v>
      </c>
      <c r="P900">
        <v>26.25</v>
      </c>
      <c r="Q900">
        <v>15.35</v>
      </c>
      <c r="R900">
        <v>0.01</v>
      </c>
    </row>
    <row r="901">
      <c r="A901" s="9">
        <v>39432</v>
      </c>
      <c r="B901" s="2" t="inlineStr">
        <is>
          <t xml:space="preserve">2007-12</t>
        </is>
      </c>
      <c r="C901" s="2" t="inlineStr">
        <is>
          <t xml:space="preserve">2007/08</t>
        </is>
      </c>
      <c r="D901">
        <v>0.061</v>
      </c>
      <c r="E901">
        <v>18.15</v>
      </c>
      <c r="F901">
        <v>21.72</v>
      </c>
      <c r="G901">
        <v>15.8</v>
      </c>
      <c r="H901">
        <v>2.54</v>
      </c>
      <c r="I901">
        <v>0.15</v>
      </c>
      <c r="J901">
        <v>18.94</v>
      </c>
      <c r="K901">
        <v>23.47</v>
      </c>
      <c r="L901">
        <v>15.52</v>
      </c>
      <c r="M901">
        <v>0.54</v>
      </c>
      <c r="N901">
        <v>0.2</v>
      </c>
      <c r="O901">
        <v>19.41</v>
      </c>
      <c r="P901">
        <v>22.93</v>
      </c>
      <c r="Q901">
        <v>16.86</v>
      </c>
      <c r="R901">
        <v>1.1</v>
      </c>
    </row>
    <row r="902">
      <c r="A902" s="9">
        <v>39433</v>
      </c>
      <c r="B902" s="2" t="inlineStr">
        <is>
          <t xml:space="preserve">2007-12</t>
        </is>
      </c>
      <c r="C902" s="2" t="inlineStr">
        <is>
          <t xml:space="preserve">2007/08</t>
        </is>
      </c>
      <c r="D902">
        <v>0.328</v>
      </c>
      <c r="E902">
        <v>17.86</v>
      </c>
      <c r="F902">
        <v>23.18</v>
      </c>
      <c r="G902">
        <v>15.26</v>
      </c>
      <c r="H902">
        <v>4.14</v>
      </c>
      <c r="I902">
        <v>2.034</v>
      </c>
      <c r="J902">
        <v>17.56</v>
      </c>
      <c r="K902">
        <v>21.74</v>
      </c>
      <c r="L902">
        <v>15.34</v>
      </c>
      <c r="M902">
        <v>2.91</v>
      </c>
      <c r="N902">
        <v>3.201</v>
      </c>
      <c r="O902">
        <v>17.92</v>
      </c>
      <c r="P902">
        <v>21.38</v>
      </c>
      <c r="Q902">
        <v>15.8</v>
      </c>
      <c r="R902">
        <v>5.63</v>
      </c>
    </row>
    <row r="903">
      <c r="A903" s="9">
        <v>39434</v>
      </c>
      <c r="B903" s="2" t="inlineStr">
        <is>
          <t xml:space="preserve">2007-12</t>
        </is>
      </c>
      <c r="C903" s="2" t="inlineStr">
        <is>
          <t xml:space="preserve">2007/08</t>
        </is>
      </c>
      <c r="D903">
        <v>0.059</v>
      </c>
      <c r="E903">
        <v>17.9</v>
      </c>
      <c r="F903">
        <v>22.03</v>
      </c>
      <c r="G903">
        <v>15.14</v>
      </c>
      <c r="H903">
        <v>2.83</v>
      </c>
      <c r="I903">
        <v>1.515</v>
      </c>
      <c r="J903">
        <v>17.59</v>
      </c>
      <c r="K903">
        <v>22.16</v>
      </c>
      <c r="L903">
        <v>14.71</v>
      </c>
      <c r="M903">
        <v>1.56</v>
      </c>
      <c r="N903">
        <v>2.38</v>
      </c>
      <c r="O903">
        <v>17.47</v>
      </c>
      <c r="P903">
        <v>21.57</v>
      </c>
      <c r="Q903">
        <v>15.08</v>
      </c>
      <c r="R903">
        <v>1.76</v>
      </c>
    </row>
    <row r="904">
      <c r="A904" s="9">
        <v>39435</v>
      </c>
      <c r="B904" s="2" t="inlineStr">
        <is>
          <t xml:space="preserve">2007-12</t>
        </is>
      </c>
      <c r="C904" s="2" t="inlineStr">
        <is>
          <t xml:space="preserve">2007/08</t>
        </is>
      </c>
      <c r="D904">
        <v>0.747</v>
      </c>
      <c r="E904">
        <v>19.04</v>
      </c>
      <c r="F904">
        <v>24.1</v>
      </c>
      <c r="G904">
        <v>15.8</v>
      </c>
      <c r="H904">
        <v>1.32</v>
      </c>
      <c r="I904">
        <v>2.343</v>
      </c>
      <c r="J904">
        <v>18.7</v>
      </c>
      <c r="K904">
        <v>23.4</v>
      </c>
      <c r="L904">
        <v>15.77</v>
      </c>
      <c r="M904">
        <v>1.73</v>
      </c>
      <c r="N904">
        <v>3.022</v>
      </c>
      <c r="O904">
        <v>18.62</v>
      </c>
      <c r="P904">
        <v>22.33</v>
      </c>
      <c r="Q904">
        <v>16.02</v>
      </c>
      <c r="R904">
        <v>1.7</v>
      </c>
    </row>
    <row r="905">
      <c r="A905" s="9">
        <v>39436</v>
      </c>
      <c r="B905" s="2" t="inlineStr">
        <is>
          <t xml:space="preserve">2007-12</t>
        </is>
      </c>
      <c r="C905" s="2" t="inlineStr">
        <is>
          <t xml:space="preserve">2007/08</t>
        </is>
      </c>
      <c r="D905">
        <v>0.0</v>
      </c>
      <c r="E905">
        <v>19.79</v>
      </c>
      <c r="F905">
        <v>25.23</v>
      </c>
      <c r="G905">
        <v>16.01</v>
      </c>
      <c r="H905">
        <v>0.01</v>
      </c>
      <c r="I905">
        <v>0.0</v>
      </c>
      <c r="J905">
        <v>20.4</v>
      </c>
      <c r="K905">
        <v>25.54</v>
      </c>
      <c r="L905">
        <v>16.24</v>
      </c>
      <c r="M905">
        <v>0.0</v>
      </c>
      <c r="N905">
        <v>0.0</v>
      </c>
      <c r="O905">
        <v>20.37</v>
      </c>
      <c r="P905">
        <v>25.29</v>
      </c>
      <c r="Q905">
        <v>17.09</v>
      </c>
      <c r="R905">
        <v>0.0</v>
      </c>
    </row>
    <row r="906">
      <c r="A906" s="9">
        <v>39437</v>
      </c>
      <c r="B906" s="2" t="inlineStr">
        <is>
          <t xml:space="preserve">2007-12</t>
        </is>
      </c>
      <c r="C906" s="2" t="inlineStr">
        <is>
          <t xml:space="preserve">2007/08</t>
        </is>
      </c>
      <c r="D906">
        <v>0.0</v>
      </c>
      <c r="E906">
        <v>19.79</v>
      </c>
      <c r="F906">
        <v>25.81</v>
      </c>
      <c r="G906">
        <v>15.82</v>
      </c>
      <c r="H906">
        <v>0.0</v>
      </c>
      <c r="I906">
        <v>0.0</v>
      </c>
      <c r="J906">
        <v>20.64</v>
      </c>
      <c r="K906">
        <v>26.3</v>
      </c>
      <c r="L906">
        <v>16.51</v>
      </c>
      <c r="M906">
        <v>0.0</v>
      </c>
      <c r="N906">
        <v>0.0</v>
      </c>
      <c r="O906">
        <v>20.67</v>
      </c>
      <c r="P906">
        <v>25.55</v>
      </c>
      <c r="Q906">
        <v>17.36</v>
      </c>
      <c r="R906">
        <v>0.0</v>
      </c>
    </row>
    <row r="907">
      <c r="A907" s="9">
        <v>39438</v>
      </c>
      <c r="B907" s="2" t="inlineStr">
        <is>
          <t xml:space="preserve">2007-12</t>
        </is>
      </c>
      <c r="C907" s="2" t="inlineStr">
        <is>
          <t xml:space="preserve">2007/08</t>
        </is>
      </c>
      <c r="D907">
        <v>0.0</v>
      </c>
      <c r="E907">
        <v>18.56</v>
      </c>
      <c r="F907">
        <v>24.9</v>
      </c>
      <c r="G907">
        <v>14.15</v>
      </c>
      <c r="H907">
        <v>0.0</v>
      </c>
      <c r="I907">
        <v>0.0</v>
      </c>
      <c r="J907">
        <v>19.92</v>
      </c>
      <c r="K907">
        <v>25.71</v>
      </c>
      <c r="L907">
        <v>16.08</v>
      </c>
      <c r="M907">
        <v>0.0</v>
      </c>
      <c r="N907">
        <v>0.0</v>
      </c>
      <c r="O907">
        <v>20.02</v>
      </c>
      <c r="P907">
        <v>24.71</v>
      </c>
      <c r="Q907">
        <v>17.2</v>
      </c>
      <c r="R907">
        <v>0.0</v>
      </c>
    </row>
    <row r="908">
      <c r="A908" s="9">
        <v>39439</v>
      </c>
      <c r="B908" s="2" t="inlineStr">
        <is>
          <t xml:space="preserve">2007-12</t>
        </is>
      </c>
      <c r="C908" s="2" t="inlineStr">
        <is>
          <t xml:space="preserve">2007/08</t>
        </is>
      </c>
      <c r="D908">
        <v>0.0</v>
      </c>
      <c r="E908">
        <v>18.47</v>
      </c>
      <c r="F908">
        <v>24.06</v>
      </c>
      <c r="G908">
        <v>14.64</v>
      </c>
      <c r="H908">
        <v>0.04</v>
      </c>
      <c r="I908">
        <v>0.0</v>
      </c>
      <c r="J908">
        <v>18.97</v>
      </c>
      <c r="K908">
        <v>24.13</v>
      </c>
      <c r="L908">
        <v>15.26</v>
      </c>
      <c r="M908">
        <v>0.31</v>
      </c>
      <c r="N908">
        <v>0.0</v>
      </c>
      <c r="O908">
        <v>19.36</v>
      </c>
      <c r="P908">
        <v>23.88</v>
      </c>
      <c r="Q908">
        <v>16.18</v>
      </c>
      <c r="R908">
        <v>1.43</v>
      </c>
    </row>
    <row r="909">
      <c r="A909" s="9">
        <v>39440</v>
      </c>
      <c r="B909" s="2" t="inlineStr">
        <is>
          <t xml:space="preserve">2007-12</t>
        </is>
      </c>
      <c r="C909" s="2" t="inlineStr">
        <is>
          <t xml:space="preserve">2007/08</t>
        </is>
      </c>
      <c r="D909">
        <v>0.0</v>
      </c>
      <c r="E909">
        <v>18.39</v>
      </c>
      <c r="F909">
        <v>23.77</v>
      </c>
      <c r="G909">
        <v>14.43</v>
      </c>
      <c r="H909">
        <v>0.1</v>
      </c>
      <c r="I909">
        <v>0.106</v>
      </c>
      <c r="J909">
        <v>17.75</v>
      </c>
      <c r="K909">
        <v>22.0</v>
      </c>
      <c r="L909">
        <v>14.8</v>
      </c>
      <c r="M909">
        <v>0.78</v>
      </c>
      <c r="N909">
        <v>0.489</v>
      </c>
      <c r="O909">
        <v>18.16</v>
      </c>
      <c r="P909">
        <v>22.08</v>
      </c>
      <c r="Q909">
        <v>15.71</v>
      </c>
      <c r="R909">
        <v>2.62</v>
      </c>
    </row>
    <row r="910">
      <c r="A910" s="9">
        <v>39441</v>
      </c>
      <c r="B910" s="2" t="inlineStr">
        <is>
          <t xml:space="preserve">2007-12</t>
        </is>
      </c>
      <c r="C910" s="2" t="inlineStr">
        <is>
          <t xml:space="preserve">2007/08</t>
        </is>
      </c>
      <c r="D910">
        <v>0.0</v>
      </c>
      <c r="E910">
        <v>17.95</v>
      </c>
      <c r="F910">
        <v>23.38</v>
      </c>
      <c r="G910">
        <v>14.36</v>
      </c>
      <c r="H910">
        <v>0.02</v>
      </c>
      <c r="I910">
        <v>0.477</v>
      </c>
      <c r="J910">
        <v>17.56</v>
      </c>
      <c r="K910">
        <v>21.98</v>
      </c>
      <c r="L910">
        <v>15.04</v>
      </c>
      <c r="M910">
        <v>0.33</v>
      </c>
      <c r="N910">
        <v>0.738</v>
      </c>
      <c r="O910">
        <v>17.66</v>
      </c>
      <c r="P910">
        <v>22.02</v>
      </c>
      <c r="Q910">
        <v>15.07</v>
      </c>
      <c r="R910">
        <v>0.51</v>
      </c>
    </row>
    <row r="911">
      <c r="A911" s="9">
        <v>39442</v>
      </c>
      <c r="B911" s="2" t="inlineStr">
        <is>
          <t xml:space="preserve">2007-12</t>
        </is>
      </c>
      <c r="C911" s="2" t="inlineStr">
        <is>
          <t xml:space="preserve">2007/08</t>
        </is>
      </c>
      <c r="D911">
        <v>0.0</v>
      </c>
      <c r="E911">
        <v>18.33</v>
      </c>
      <c r="F911">
        <v>24.87</v>
      </c>
      <c r="G911">
        <v>13.9</v>
      </c>
      <c r="H911">
        <v>0.0</v>
      </c>
      <c r="I911">
        <v>0.0</v>
      </c>
      <c r="J911">
        <v>18.67</v>
      </c>
      <c r="K911">
        <v>24.74</v>
      </c>
      <c r="L911">
        <v>14.13</v>
      </c>
      <c r="M911">
        <v>0.0</v>
      </c>
      <c r="N911">
        <v>0.0</v>
      </c>
      <c r="O911">
        <v>18.44</v>
      </c>
      <c r="P911">
        <v>23.85</v>
      </c>
      <c r="Q911">
        <v>14.67</v>
      </c>
      <c r="R911">
        <v>0.0</v>
      </c>
    </row>
    <row r="912">
      <c r="A912" s="9">
        <v>39443</v>
      </c>
      <c r="B912" s="2" t="inlineStr">
        <is>
          <t xml:space="preserve">2007-12</t>
        </is>
      </c>
      <c r="C912" s="2" t="inlineStr">
        <is>
          <t xml:space="preserve">2007/08</t>
        </is>
      </c>
      <c r="D912">
        <v>0.0</v>
      </c>
      <c r="E912">
        <v>18.85</v>
      </c>
      <c r="F912">
        <v>24.87</v>
      </c>
      <c r="G912">
        <v>14.3</v>
      </c>
      <c r="H912">
        <v>0.02</v>
      </c>
      <c r="I912">
        <v>0.0</v>
      </c>
      <c r="J912">
        <v>19.22</v>
      </c>
      <c r="K912">
        <v>25.23</v>
      </c>
      <c r="L912">
        <v>14.71</v>
      </c>
      <c r="M912">
        <v>0.05</v>
      </c>
      <c r="N912">
        <v>0.0</v>
      </c>
      <c r="O912">
        <v>19.3</v>
      </c>
      <c r="P912">
        <v>24.36</v>
      </c>
      <c r="Q912">
        <v>15.93</v>
      </c>
      <c r="R912">
        <v>0.12</v>
      </c>
    </row>
    <row r="913">
      <c r="A913" s="9">
        <v>39444</v>
      </c>
      <c r="B913" s="2" t="inlineStr">
        <is>
          <t xml:space="preserve">2007-12</t>
        </is>
      </c>
      <c r="C913" s="2" t="inlineStr">
        <is>
          <t xml:space="preserve">2007/08</t>
        </is>
      </c>
      <c r="D913">
        <v>0.0</v>
      </c>
      <c r="E913">
        <v>19.25</v>
      </c>
      <c r="F913">
        <v>24.37</v>
      </c>
      <c r="G913">
        <v>15.62</v>
      </c>
      <c r="H913">
        <v>0.02</v>
      </c>
      <c r="I913">
        <v>0.024</v>
      </c>
      <c r="J913">
        <v>19.82</v>
      </c>
      <c r="K913">
        <v>25.54</v>
      </c>
      <c r="L913">
        <v>15.92</v>
      </c>
      <c r="M913">
        <v>0.16</v>
      </c>
      <c r="N913">
        <v>0.111</v>
      </c>
      <c r="O913">
        <v>19.94</v>
      </c>
      <c r="P913">
        <v>24.92</v>
      </c>
      <c r="Q913">
        <v>16.86</v>
      </c>
      <c r="R913">
        <v>0.64</v>
      </c>
    </row>
    <row r="914">
      <c r="A914" s="9">
        <v>39445</v>
      </c>
      <c r="B914" s="2" t="inlineStr">
        <is>
          <t xml:space="preserve">2007-12</t>
        </is>
      </c>
      <c r="C914" s="2" t="inlineStr">
        <is>
          <t xml:space="preserve">2007/08</t>
        </is>
      </c>
      <c r="D914">
        <v>0.0</v>
      </c>
      <c r="E914">
        <v>19.47</v>
      </c>
      <c r="F914">
        <v>25.39</v>
      </c>
      <c r="G914">
        <v>15.69</v>
      </c>
      <c r="H914">
        <v>0.01</v>
      </c>
      <c r="I914">
        <v>0.0</v>
      </c>
      <c r="J914">
        <v>19.85</v>
      </c>
      <c r="K914">
        <v>24.96</v>
      </c>
      <c r="L914">
        <v>16.12</v>
      </c>
      <c r="M914">
        <v>0.01</v>
      </c>
      <c r="N914">
        <v>0.0</v>
      </c>
      <c r="O914">
        <v>20.12</v>
      </c>
      <c r="P914">
        <v>24.41</v>
      </c>
      <c r="Q914">
        <v>16.99</v>
      </c>
      <c r="R914">
        <v>0.06</v>
      </c>
    </row>
    <row r="915">
      <c r="A915" s="9">
        <v>39446</v>
      </c>
      <c r="B915" s="2" t="inlineStr">
        <is>
          <t xml:space="preserve">2007-12</t>
        </is>
      </c>
      <c r="C915" s="2" t="inlineStr">
        <is>
          <t xml:space="preserve">2007/08</t>
        </is>
      </c>
      <c r="D915">
        <v>0.025</v>
      </c>
      <c r="E915">
        <v>20.11</v>
      </c>
      <c r="F915">
        <v>26.66</v>
      </c>
      <c r="G915">
        <v>14.8</v>
      </c>
      <c r="H915">
        <v>0.18</v>
      </c>
      <c r="I915">
        <v>0.0</v>
      </c>
      <c r="J915">
        <v>20.4</v>
      </c>
      <c r="K915">
        <v>25.94</v>
      </c>
      <c r="L915">
        <v>16.43</v>
      </c>
      <c r="M915">
        <v>0.03</v>
      </c>
      <c r="N915">
        <v>0.0</v>
      </c>
      <c r="O915">
        <v>20.42</v>
      </c>
      <c r="P915">
        <v>25.27</v>
      </c>
      <c r="Q915">
        <v>17.58</v>
      </c>
      <c r="R915">
        <v>0.04</v>
      </c>
    </row>
    <row r="916">
      <c r="A916" s="9">
        <v>39447</v>
      </c>
      <c r="B916" s="2" t="inlineStr">
        <is>
          <t xml:space="preserve">2007-12</t>
        </is>
      </c>
      <c r="C916" s="2" t="inlineStr">
        <is>
          <t xml:space="preserve">2007/08</t>
        </is>
      </c>
      <c r="D916">
        <v>0.169</v>
      </c>
      <c r="E916">
        <v>19.73</v>
      </c>
      <c r="F916">
        <v>24.77</v>
      </c>
      <c r="G916">
        <v>16.46</v>
      </c>
      <c r="H916">
        <v>0.22</v>
      </c>
      <c r="I916">
        <v>0.24</v>
      </c>
      <c r="J916">
        <v>19.92</v>
      </c>
      <c r="K916">
        <v>25.94</v>
      </c>
      <c r="L916">
        <v>16.3</v>
      </c>
      <c r="M916">
        <v>0.25</v>
      </c>
      <c r="N916">
        <v>0.341</v>
      </c>
      <c r="O916">
        <v>20.32</v>
      </c>
      <c r="P916">
        <v>24.81</v>
      </c>
      <c r="Q916">
        <v>17.68</v>
      </c>
      <c r="R916">
        <v>0.41</v>
      </c>
    </row>
    <row r="917">
      <c r="A917" s="9">
        <v>39448</v>
      </c>
      <c r="B917" s="2" t="inlineStr">
        <is>
          <t xml:space="preserve">2008-01</t>
        </is>
      </c>
      <c r="C917" s="2" t="inlineStr">
        <is>
          <t xml:space="preserve">2007/08</t>
        </is>
      </c>
      <c r="D917">
        <v>0.128</v>
      </c>
      <c r="E917">
        <v>19.27</v>
      </c>
      <c r="F917">
        <v>24.81</v>
      </c>
      <c r="G917">
        <v>15.18</v>
      </c>
      <c r="H917">
        <v>0.6</v>
      </c>
      <c r="I917">
        <v>0.048</v>
      </c>
      <c r="J917">
        <v>19.74</v>
      </c>
      <c r="K917">
        <v>24.38</v>
      </c>
      <c r="L917">
        <v>16.81</v>
      </c>
      <c r="M917">
        <v>1.01</v>
      </c>
      <c r="N917">
        <v>0.192</v>
      </c>
      <c r="O917">
        <v>20.02</v>
      </c>
      <c r="P917">
        <v>24.13</v>
      </c>
      <c r="Q917">
        <v>17.6</v>
      </c>
      <c r="R917">
        <v>2.2</v>
      </c>
    </row>
    <row r="918">
      <c r="A918" s="9">
        <v>39449</v>
      </c>
      <c r="B918" s="2" t="inlineStr">
        <is>
          <t xml:space="preserve">2008-01</t>
        </is>
      </c>
      <c r="C918" s="2" t="inlineStr">
        <is>
          <t xml:space="preserve">2007/08</t>
        </is>
      </c>
      <c r="D918">
        <v>0.315</v>
      </c>
      <c r="E918">
        <v>18.14</v>
      </c>
      <c r="F918">
        <v>22.64</v>
      </c>
      <c r="G918">
        <v>15.69</v>
      </c>
      <c r="H918">
        <v>7.2</v>
      </c>
      <c r="I918">
        <v>14.642</v>
      </c>
      <c r="J918">
        <v>18.3</v>
      </c>
      <c r="K918">
        <v>23.12</v>
      </c>
      <c r="L918">
        <v>14.39</v>
      </c>
      <c r="M918">
        <v>13.87</v>
      </c>
      <c r="N918">
        <v>23.051</v>
      </c>
      <c r="O918">
        <v>18.39</v>
      </c>
      <c r="P918">
        <v>22.33</v>
      </c>
      <c r="Q918">
        <v>14.71</v>
      </c>
      <c r="R918">
        <v>15.89</v>
      </c>
    </row>
    <row r="919">
      <c r="A919" s="9">
        <v>39450</v>
      </c>
      <c r="B919" s="2" t="inlineStr">
        <is>
          <t xml:space="preserve">2008-01</t>
        </is>
      </c>
      <c r="C919" s="2" t="inlineStr">
        <is>
          <t xml:space="preserve">2007/08</t>
        </is>
      </c>
      <c r="D919">
        <v>1.04</v>
      </c>
      <c r="E919">
        <v>15.68</v>
      </c>
      <c r="F919">
        <v>18.61</v>
      </c>
      <c r="G919">
        <v>13.44</v>
      </c>
      <c r="H919">
        <v>5.08</v>
      </c>
      <c r="I919">
        <v>0.786</v>
      </c>
      <c r="J919">
        <v>13.23</v>
      </c>
      <c r="K919">
        <v>15.45</v>
      </c>
      <c r="L919">
        <v>11.47</v>
      </c>
      <c r="M919">
        <v>1.49</v>
      </c>
      <c r="N919">
        <v>1.536</v>
      </c>
      <c r="O919">
        <v>13.11</v>
      </c>
      <c r="P919">
        <v>14.53</v>
      </c>
      <c r="Q919">
        <v>11.77</v>
      </c>
      <c r="R919">
        <v>2.32</v>
      </c>
    </row>
    <row r="920">
      <c r="A920" s="9">
        <v>39451</v>
      </c>
      <c r="B920" s="2" t="inlineStr">
        <is>
          <t xml:space="preserve">2008-01</t>
        </is>
      </c>
      <c r="C920" s="2" t="inlineStr">
        <is>
          <t xml:space="preserve">2007/08</t>
        </is>
      </c>
      <c r="D920">
        <v>0.293</v>
      </c>
      <c r="E920">
        <v>15.55</v>
      </c>
      <c r="F920">
        <v>20.61</v>
      </c>
      <c r="G920">
        <v>12.34</v>
      </c>
      <c r="H920">
        <v>1.9</v>
      </c>
      <c r="I920">
        <v>1.214</v>
      </c>
      <c r="J920">
        <v>14.34</v>
      </c>
      <c r="K920">
        <v>17.97</v>
      </c>
      <c r="L920">
        <v>11.31</v>
      </c>
      <c r="M920">
        <v>1.37</v>
      </c>
      <c r="N920">
        <v>2.085</v>
      </c>
      <c r="O920">
        <v>14.67</v>
      </c>
      <c r="P920">
        <v>17.42</v>
      </c>
      <c r="Q920">
        <v>12.71</v>
      </c>
      <c r="R920">
        <v>2.8</v>
      </c>
    </row>
    <row r="921">
      <c r="A921" s="9">
        <v>39452</v>
      </c>
      <c r="B921" s="2" t="inlineStr">
        <is>
          <t xml:space="preserve">2008-01</t>
        </is>
      </c>
      <c r="C921" s="2" t="inlineStr">
        <is>
          <t xml:space="preserve">2007/08</t>
        </is>
      </c>
      <c r="D921">
        <v>0.0</v>
      </c>
      <c r="E921">
        <v>18.03</v>
      </c>
      <c r="F921">
        <v>23.52</v>
      </c>
      <c r="G921">
        <v>14.15</v>
      </c>
      <c r="H921">
        <v>1.3</v>
      </c>
      <c r="I921">
        <v>0.521</v>
      </c>
      <c r="J921">
        <v>16.94</v>
      </c>
      <c r="K921">
        <v>21.45</v>
      </c>
      <c r="L921">
        <v>13.34</v>
      </c>
      <c r="M921">
        <v>0.66</v>
      </c>
      <c r="N921">
        <v>0.828</v>
      </c>
      <c r="O921">
        <v>17.31</v>
      </c>
      <c r="P921">
        <v>21.4</v>
      </c>
      <c r="Q921">
        <v>14.34</v>
      </c>
      <c r="R921">
        <v>1.02</v>
      </c>
    </row>
    <row r="922">
      <c r="A922" s="9">
        <v>39453</v>
      </c>
      <c r="B922" s="2" t="inlineStr">
        <is>
          <t xml:space="preserve">2008-01</t>
        </is>
      </c>
      <c r="C922" s="2" t="inlineStr">
        <is>
          <t xml:space="preserve">2007/08</t>
        </is>
      </c>
      <c r="D922">
        <v>0.116</v>
      </c>
      <c r="E922">
        <v>18.96</v>
      </c>
      <c r="F922">
        <v>24.65</v>
      </c>
      <c r="G922">
        <v>15.23</v>
      </c>
      <c r="H922">
        <v>0.33</v>
      </c>
      <c r="I922">
        <v>0.636</v>
      </c>
      <c r="J922">
        <v>19.06</v>
      </c>
      <c r="K922">
        <v>24.43</v>
      </c>
      <c r="L922">
        <v>15.16</v>
      </c>
      <c r="M922">
        <v>0.49</v>
      </c>
      <c r="N922">
        <v>0.913</v>
      </c>
      <c r="O922">
        <v>19.44</v>
      </c>
      <c r="P922">
        <v>24.0</v>
      </c>
      <c r="Q922">
        <v>16.34</v>
      </c>
      <c r="R922">
        <v>1.07</v>
      </c>
    </row>
    <row r="923">
      <c r="A923" s="9">
        <v>39454</v>
      </c>
      <c r="B923" s="2" t="inlineStr">
        <is>
          <t xml:space="preserve">2008-01</t>
        </is>
      </c>
      <c r="C923" s="2" t="inlineStr">
        <is>
          <t xml:space="preserve">2007/08</t>
        </is>
      </c>
      <c r="D923">
        <v>0.0</v>
      </c>
      <c r="E923">
        <v>18.78</v>
      </c>
      <c r="F923">
        <v>24.99</v>
      </c>
      <c r="G923">
        <v>14.42</v>
      </c>
      <c r="H923">
        <v>0.33</v>
      </c>
      <c r="I923">
        <v>0.0</v>
      </c>
      <c r="J923">
        <v>19.14</v>
      </c>
      <c r="K923">
        <v>24.42</v>
      </c>
      <c r="L923">
        <v>15.0</v>
      </c>
      <c r="M923">
        <v>0.14</v>
      </c>
      <c r="N923">
        <v>0.147</v>
      </c>
      <c r="O923">
        <v>19.33</v>
      </c>
      <c r="P923">
        <v>24.09</v>
      </c>
      <c r="Q923">
        <v>15.77</v>
      </c>
      <c r="R923">
        <v>0.38</v>
      </c>
    </row>
    <row r="924">
      <c r="A924" s="9">
        <v>39455</v>
      </c>
      <c r="B924" s="2" t="inlineStr">
        <is>
          <t xml:space="preserve">2008-01</t>
        </is>
      </c>
      <c r="C924" s="2" t="inlineStr">
        <is>
          <t xml:space="preserve">2007/08</t>
        </is>
      </c>
      <c r="D924">
        <v>0.0</v>
      </c>
      <c r="E924">
        <v>19.42</v>
      </c>
      <c r="F924">
        <v>25.29</v>
      </c>
      <c r="G924">
        <v>14.74</v>
      </c>
      <c r="H924">
        <v>0.07</v>
      </c>
      <c r="I924">
        <v>0.0</v>
      </c>
      <c r="J924">
        <v>19.48</v>
      </c>
      <c r="K924">
        <v>24.82</v>
      </c>
      <c r="L924">
        <v>15.6</v>
      </c>
      <c r="M924">
        <v>0.01</v>
      </c>
      <c r="N924">
        <v>0.0</v>
      </c>
      <c r="O924">
        <v>19.62</v>
      </c>
      <c r="P924">
        <v>24.15</v>
      </c>
      <c r="Q924">
        <v>16.56</v>
      </c>
      <c r="R924">
        <v>0.01</v>
      </c>
    </row>
    <row r="925">
      <c r="A925" s="9">
        <v>39456</v>
      </c>
      <c r="B925" s="2" t="inlineStr">
        <is>
          <t xml:space="preserve">2008-01</t>
        </is>
      </c>
      <c r="C925" s="2" t="inlineStr">
        <is>
          <t xml:space="preserve">2007/08</t>
        </is>
      </c>
      <c r="D925">
        <v>0.179</v>
      </c>
      <c r="E925">
        <v>19.58</v>
      </c>
      <c r="F925">
        <v>25.3</v>
      </c>
      <c r="G925">
        <v>15.35</v>
      </c>
      <c r="H925">
        <v>0.17</v>
      </c>
      <c r="I925">
        <v>0.0</v>
      </c>
      <c r="J925">
        <v>19.55</v>
      </c>
      <c r="K925">
        <v>24.98</v>
      </c>
      <c r="L925">
        <v>15.87</v>
      </c>
      <c r="M925">
        <v>0.01</v>
      </c>
      <c r="N925">
        <v>0.0</v>
      </c>
      <c r="O925">
        <v>19.93</v>
      </c>
      <c r="P925">
        <v>24.27</v>
      </c>
      <c r="Q925">
        <v>17.18</v>
      </c>
      <c r="R925">
        <v>0.01</v>
      </c>
    </row>
    <row r="926">
      <c r="A926" s="9">
        <v>39457</v>
      </c>
      <c r="B926" s="2" t="inlineStr">
        <is>
          <t xml:space="preserve">2008-01</t>
        </is>
      </c>
      <c r="C926" s="2" t="inlineStr">
        <is>
          <t xml:space="preserve">2007/08</t>
        </is>
      </c>
      <c r="D926">
        <v>0.0</v>
      </c>
      <c r="E926">
        <v>19.71</v>
      </c>
      <c r="F926">
        <v>26.0</v>
      </c>
      <c r="G926">
        <v>14.97</v>
      </c>
      <c r="H926">
        <v>0.01</v>
      </c>
      <c r="I926">
        <v>0.0</v>
      </c>
      <c r="J926">
        <v>19.73</v>
      </c>
      <c r="K926">
        <v>24.91</v>
      </c>
      <c r="L926">
        <v>15.57</v>
      </c>
      <c r="M926">
        <v>0.0</v>
      </c>
      <c r="N926">
        <v>0.0</v>
      </c>
      <c r="O926">
        <v>19.65</v>
      </c>
      <c r="P926">
        <v>24.41</v>
      </c>
      <c r="Q926">
        <v>16.32</v>
      </c>
      <c r="R926">
        <v>0.0</v>
      </c>
    </row>
    <row r="927">
      <c r="A927" s="9">
        <v>39458</v>
      </c>
      <c r="B927" s="2" t="inlineStr">
        <is>
          <t xml:space="preserve">2008-01</t>
        </is>
      </c>
      <c r="C927" s="2" t="inlineStr">
        <is>
          <t xml:space="preserve">2007/08</t>
        </is>
      </c>
      <c r="D927">
        <v>0.0</v>
      </c>
      <c r="E927">
        <v>20.24</v>
      </c>
      <c r="F927">
        <v>27.46</v>
      </c>
      <c r="G927">
        <v>14.28</v>
      </c>
      <c r="H927">
        <v>0.05</v>
      </c>
      <c r="I927">
        <v>0.0</v>
      </c>
      <c r="J927">
        <v>20.65</v>
      </c>
      <c r="K927">
        <v>26.33</v>
      </c>
      <c r="L927">
        <v>15.84</v>
      </c>
      <c r="M927">
        <v>0.0</v>
      </c>
      <c r="N927">
        <v>0.0</v>
      </c>
      <c r="O927">
        <v>20.54</v>
      </c>
      <c r="P927">
        <v>25.68</v>
      </c>
      <c r="Q927">
        <v>17.12</v>
      </c>
      <c r="R927">
        <v>0.0</v>
      </c>
    </row>
    <row r="928">
      <c r="A928" s="9">
        <v>39459</v>
      </c>
      <c r="B928" s="2" t="inlineStr">
        <is>
          <t xml:space="preserve">2008-01</t>
        </is>
      </c>
      <c r="C928" s="2" t="inlineStr">
        <is>
          <t xml:space="preserve">2007/08</t>
        </is>
      </c>
      <c r="D928">
        <v>0.215</v>
      </c>
      <c r="E928">
        <v>20.43</v>
      </c>
      <c r="F928">
        <v>26.9</v>
      </c>
      <c r="G928">
        <v>15.76</v>
      </c>
      <c r="H928">
        <v>0.18</v>
      </c>
      <c r="I928">
        <v>0.0</v>
      </c>
      <c r="J928">
        <v>20.65</v>
      </c>
      <c r="K928">
        <v>25.88</v>
      </c>
      <c r="L928">
        <v>16.41</v>
      </c>
      <c r="M928">
        <v>0.05</v>
      </c>
      <c r="N928">
        <v>0.0</v>
      </c>
      <c r="O928">
        <v>20.59</v>
      </c>
      <c r="P928">
        <v>25.79</v>
      </c>
      <c r="Q928">
        <v>17.33</v>
      </c>
      <c r="R928">
        <v>0.01</v>
      </c>
    </row>
    <row r="929">
      <c r="A929" s="9">
        <v>39460</v>
      </c>
      <c r="B929" s="2" t="inlineStr">
        <is>
          <t xml:space="preserve">2008-01</t>
        </is>
      </c>
      <c r="C929" s="2" t="inlineStr">
        <is>
          <t xml:space="preserve">2007/08</t>
        </is>
      </c>
      <c r="D929">
        <v>0.0</v>
      </c>
      <c r="E929">
        <v>19.49</v>
      </c>
      <c r="F929">
        <v>26.78</v>
      </c>
      <c r="G929">
        <v>14.35</v>
      </c>
      <c r="H929">
        <v>0.02</v>
      </c>
      <c r="I929">
        <v>0.0</v>
      </c>
      <c r="J929">
        <v>19.57</v>
      </c>
      <c r="K929">
        <v>24.94</v>
      </c>
      <c r="L929">
        <v>16.08</v>
      </c>
      <c r="M929">
        <v>0.05</v>
      </c>
      <c r="N929">
        <v>0.0</v>
      </c>
      <c r="O929">
        <v>19.54</v>
      </c>
      <c r="P929">
        <v>24.49</v>
      </c>
      <c r="Q929">
        <v>16.3</v>
      </c>
      <c r="R929">
        <v>0.1</v>
      </c>
    </row>
    <row r="930">
      <c r="A930" s="9">
        <v>39461</v>
      </c>
      <c r="B930" s="2" t="inlineStr">
        <is>
          <t xml:space="preserve">2008-01</t>
        </is>
      </c>
      <c r="C930" s="2" t="inlineStr">
        <is>
          <t xml:space="preserve">2007/08</t>
        </is>
      </c>
      <c r="D930">
        <v>0.025</v>
      </c>
      <c r="E930">
        <v>19.21</v>
      </c>
      <c r="F930">
        <v>25.19</v>
      </c>
      <c r="G930">
        <v>15.31</v>
      </c>
      <c r="H930">
        <v>0.11</v>
      </c>
      <c r="I930">
        <v>0.052</v>
      </c>
      <c r="J930">
        <v>18.56</v>
      </c>
      <c r="K930">
        <v>23.84</v>
      </c>
      <c r="L930">
        <v>14.59</v>
      </c>
      <c r="M930">
        <v>0.55</v>
      </c>
      <c r="N930">
        <v>0.21</v>
      </c>
      <c r="O930">
        <v>18.52</v>
      </c>
      <c r="P930">
        <v>22.87</v>
      </c>
      <c r="Q930">
        <v>15.38</v>
      </c>
      <c r="R930">
        <v>1.95</v>
      </c>
    </row>
    <row r="931">
      <c r="A931" s="9">
        <v>39462</v>
      </c>
      <c r="B931" s="2" t="inlineStr">
        <is>
          <t xml:space="preserve">2008-01</t>
        </is>
      </c>
      <c r="C931" s="2" t="inlineStr">
        <is>
          <t xml:space="preserve">2007/08</t>
        </is>
      </c>
      <c r="D931">
        <v>0.0</v>
      </c>
      <c r="E931">
        <v>19.44</v>
      </c>
      <c r="F931">
        <v>26.11</v>
      </c>
      <c r="G931">
        <v>14.33</v>
      </c>
      <c r="H931">
        <v>0.1</v>
      </c>
      <c r="I931">
        <v>0.109</v>
      </c>
      <c r="J931">
        <v>18.38</v>
      </c>
      <c r="K931">
        <v>23.77</v>
      </c>
      <c r="L931">
        <v>14.59</v>
      </c>
      <c r="M931">
        <v>0.74</v>
      </c>
      <c r="N931">
        <v>0.505</v>
      </c>
      <c r="O931">
        <v>18.52</v>
      </c>
      <c r="P931">
        <v>23.0</v>
      </c>
      <c r="Q931">
        <v>15.38</v>
      </c>
      <c r="R931">
        <v>2.7</v>
      </c>
    </row>
    <row r="932">
      <c r="A932" s="9">
        <v>39463</v>
      </c>
      <c r="B932" s="2" t="inlineStr">
        <is>
          <t xml:space="preserve">2008-01</t>
        </is>
      </c>
      <c r="C932" s="2" t="inlineStr">
        <is>
          <t xml:space="preserve">2007/08</t>
        </is>
      </c>
      <c r="D932">
        <v>0.0</v>
      </c>
      <c r="E932">
        <v>21.18</v>
      </c>
      <c r="F932">
        <v>27.88</v>
      </c>
      <c r="G932">
        <v>15.21</v>
      </c>
      <c r="H932">
        <v>0.0</v>
      </c>
      <c r="I932">
        <v>0.0</v>
      </c>
      <c r="J932">
        <v>20.22</v>
      </c>
      <c r="K932">
        <v>26.32</v>
      </c>
      <c r="L932">
        <v>14.56</v>
      </c>
      <c r="M932">
        <v>0.0</v>
      </c>
      <c r="N932">
        <v>0.0</v>
      </c>
      <c r="O932">
        <v>20.75</v>
      </c>
      <c r="P932">
        <v>26.29</v>
      </c>
      <c r="Q932">
        <v>15.55</v>
      </c>
      <c r="R932">
        <v>0.0</v>
      </c>
    </row>
    <row r="933">
      <c r="A933" s="9">
        <v>39464</v>
      </c>
      <c r="B933" s="2" t="inlineStr">
        <is>
          <t xml:space="preserve">2008-01</t>
        </is>
      </c>
      <c r="C933" s="2" t="inlineStr">
        <is>
          <t xml:space="preserve">2007/08</t>
        </is>
      </c>
      <c r="D933">
        <v>0.0</v>
      </c>
      <c r="E933">
        <v>21.38</v>
      </c>
      <c r="F933">
        <v>27.8</v>
      </c>
      <c r="G933">
        <v>16.77</v>
      </c>
      <c r="H933">
        <v>0.0</v>
      </c>
      <c r="I933">
        <v>0.0</v>
      </c>
      <c r="J933">
        <v>19.63</v>
      </c>
      <c r="K933">
        <v>25.47</v>
      </c>
      <c r="L933">
        <v>15.15</v>
      </c>
      <c r="M933">
        <v>0.0</v>
      </c>
      <c r="N933">
        <v>0.0</v>
      </c>
      <c r="O933">
        <v>20.24</v>
      </c>
      <c r="P933">
        <v>24.98</v>
      </c>
      <c r="Q933">
        <v>16.86</v>
      </c>
      <c r="R933">
        <v>0.0</v>
      </c>
    </row>
    <row r="934">
      <c r="A934" s="9">
        <v>39465</v>
      </c>
      <c r="B934" s="2" t="inlineStr">
        <is>
          <t xml:space="preserve">2008-01</t>
        </is>
      </c>
      <c r="C934" s="2" t="inlineStr">
        <is>
          <t xml:space="preserve">2007/08</t>
        </is>
      </c>
      <c r="D934">
        <v>0.0</v>
      </c>
      <c r="E934">
        <v>20.67</v>
      </c>
      <c r="F934">
        <v>28.02</v>
      </c>
      <c r="G934">
        <v>15.42</v>
      </c>
      <c r="H934">
        <v>0.28</v>
      </c>
      <c r="I934">
        <v>0.0</v>
      </c>
      <c r="J934">
        <v>20.51</v>
      </c>
      <c r="K934">
        <v>26.27</v>
      </c>
      <c r="L934">
        <v>15.81</v>
      </c>
      <c r="M934">
        <v>0.02</v>
      </c>
      <c r="N934">
        <v>0.0</v>
      </c>
      <c r="O934">
        <v>20.51</v>
      </c>
      <c r="P934">
        <v>25.66</v>
      </c>
      <c r="Q934">
        <v>17.35</v>
      </c>
      <c r="R934">
        <v>0.02</v>
      </c>
    </row>
    <row r="935">
      <c r="A935" s="9">
        <v>39466</v>
      </c>
      <c r="B935" s="2" t="inlineStr">
        <is>
          <t xml:space="preserve">2008-01</t>
        </is>
      </c>
      <c r="C935" s="2" t="inlineStr">
        <is>
          <t xml:space="preserve">2007/08</t>
        </is>
      </c>
      <c r="D935">
        <v>1.998</v>
      </c>
      <c r="E935">
        <v>20.17</v>
      </c>
      <c r="F935">
        <v>27.52</v>
      </c>
      <c r="G935">
        <v>14.65</v>
      </c>
      <c r="H935">
        <v>0.71</v>
      </c>
      <c r="I935">
        <v>0.027</v>
      </c>
      <c r="J935">
        <v>20.69</v>
      </c>
      <c r="K935">
        <v>26.82</v>
      </c>
      <c r="L935">
        <v>16.25</v>
      </c>
      <c r="M935">
        <v>0.19</v>
      </c>
      <c r="N935">
        <v>0.03</v>
      </c>
      <c r="O935">
        <v>20.77</v>
      </c>
      <c r="P935">
        <v>25.81</v>
      </c>
      <c r="Q935">
        <v>17.28</v>
      </c>
      <c r="R935">
        <v>0.24</v>
      </c>
    </row>
    <row r="936">
      <c r="A936" s="9">
        <v>39467</v>
      </c>
      <c r="B936" s="2" t="inlineStr">
        <is>
          <t xml:space="preserve">2008-01</t>
        </is>
      </c>
      <c r="C936" s="2" t="inlineStr">
        <is>
          <t xml:space="preserve">2007/08</t>
        </is>
      </c>
      <c r="D936">
        <v>0.557</v>
      </c>
      <c r="E936">
        <v>19.34</v>
      </c>
      <c r="F936">
        <v>24.96</v>
      </c>
      <c r="G936">
        <v>15.99</v>
      </c>
      <c r="H936">
        <v>0.55</v>
      </c>
      <c r="I936">
        <v>1.078</v>
      </c>
      <c r="J936">
        <v>19.08</v>
      </c>
      <c r="K936">
        <v>22.97</v>
      </c>
      <c r="L936">
        <v>16.47</v>
      </c>
      <c r="M936">
        <v>0.99</v>
      </c>
      <c r="N936">
        <v>1.64</v>
      </c>
      <c r="O936">
        <v>19.33</v>
      </c>
      <c r="P936">
        <v>22.91</v>
      </c>
      <c r="Q936">
        <v>17.49</v>
      </c>
      <c r="R936">
        <v>1.33</v>
      </c>
    </row>
    <row r="937">
      <c r="A937" s="9">
        <v>39468</v>
      </c>
      <c r="B937" s="2" t="inlineStr">
        <is>
          <t xml:space="preserve">2008-01</t>
        </is>
      </c>
      <c r="C937" s="2" t="inlineStr">
        <is>
          <t xml:space="preserve">2007/08</t>
        </is>
      </c>
      <c r="D937">
        <v>0.079</v>
      </c>
      <c r="E937">
        <v>19.53</v>
      </c>
      <c r="F937">
        <v>25.73</v>
      </c>
      <c r="G937">
        <v>15.42</v>
      </c>
      <c r="H937">
        <v>1.63</v>
      </c>
      <c r="I937">
        <v>0.767</v>
      </c>
      <c r="J937">
        <v>18.03</v>
      </c>
      <c r="K937">
        <v>22.79</v>
      </c>
      <c r="L937">
        <v>14.88</v>
      </c>
      <c r="M937">
        <v>1.19</v>
      </c>
      <c r="N937">
        <v>1.181</v>
      </c>
      <c r="O937">
        <v>18.3</v>
      </c>
      <c r="P937">
        <v>22.14</v>
      </c>
      <c r="Q937">
        <v>15.73</v>
      </c>
      <c r="R937">
        <v>1.27</v>
      </c>
    </row>
    <row r="938">
      <c r="A938" s="9">
        <v>39469</v>
      </c>
      <c r="B938" s="2" t="inlineStr">
        <is>
          <t xml:space="preserve">2008-01</t>
        </is>
      </c>
      <c r="C938" s="2" t="inlineStr">
        <is>
          <t xml:space="preserve">2007/08</t>
        </is>
      </c>
      <c r="D938">
        <v>0.143</v>
      </c>
      <c r="E938">
        <v>19.49</v>
      </c>
      <c r="F938">
        <v>26.33</v>
      </c>
      <c r="G938">
        <v>14.92</v>
      </c>
      <c r="H938">
        <v>0.54</v>
      </c>
      <c r="I938">
        <v>1.615</v>
      </c>
      <c r="J938">
        <v>18.93</v>
      </c>
      <c r="K938">
        <v>24.59</v>
      </c>
      <c r="L938">
        <v>15.33</v>
      </c>
      <c r="M938">
        <v>1.18</v>
      </c>
      <c r="N938">
        <v>2.375</v>
      </c>
      <c r="O938">
        <v>18.92</v>
      </c>
      <c r="P938">
        <v>23.5</v>
      </c>
      <c r="Q938">
        <v>16.17</v>
      </c>
      <c r="R938">
        <v>1.94</v>
      </c>
    </row>
    <row r="939">
      <c r="A939" s="9">
        <v>39470</v>
      </c>
      <c r="B939" s="2" t="inlineStr">
        <is>
          <t xml:space="preserve">2008-01</t>
        </is>
      </c>
      <c r="C939" s="2" t="inlineStr">
        <is>
          <t xml:space="preserve">2007/08</t>
        </is>
      </c>
      <c r="D939">
        <v>0.0</v>
      </c>
      <c r="E939">
        <v>20.11</v>
      </c>
      <c r="F939">
        <v>26.75</v>
      </c>
      <c r="G939">
        <v>14.79</v>
      </c>
      <c r="H939">
        <v>0.45</v>
      </c>
      <c r="I939">
        <v>0.1</v>
      </c>
      <c r="J939">
        <v>19.54</v>
      </c>
      <c r="K939">
        <v>24.99</v>
      </c>
      <c r="L939">
        <v>15.4</v>
      </c>
      <c r="M939">
        <v>0.92</v>
      </c>
      <c r="N939">
        <v>0.468</v>
      </c>
      <c r="O939">
        <v>19.49</v>
      </c>
      <c r="P939">
        <v>23.89</v>
      </c>
      <c r="Q939">
        <v>16.56</v>
      </c>
      <c r="R939">
        <v>3.08</v>
      </c>
    </row>
    <row r="940">
      <c r="A940" s="9">
        <v>39471</v>
      </c>
      <c r="B940" s="2" t="inlineStr">
        <is>
          <t xml:space="preserve">2008-01</t>
        </is>
      </c>
      <c r="C940" s="2" t="inlineStr">
        <is>
          <t xml:space="preserve">2007/08</t>
        </is>
      </c>
      <c r="D940">
        <v>0.066</v>
      </c>
      <c r="E940">
        <v>20.27</v>
      </c>
      <c r="F940">
        <v>26.49</v>
      </c>
      <c r="G940">
        <v>15.69</v>
      </c>
      <c r="H940">
        <v>1.4</v>
      </c>
      <c r="I940">
        <v>0.142</v>
      </c>
      <c r="J940">
        <v>19.94</v>
      </c>
      <c r="K940">
        <v>24.99</v>
      </c>
      <c r="L940">
        <v>16.47</v>
      </c>
      <c r="M940">
        <v>1.54</v>
      </c>
      <c r="N940">
        <v>0.869</v>
      </c>
      <c r="O940">
        <v>19.64</v>
      </c>
      <c r="P940">
        <v>23.64</v>
      </c>
      <c r="Q940">
        <v>17.11</v>
      </c>
      <c r="R940">
        <v>3.96</v>
      </c>
    </row>
    <row r="941">
      <c r="A941" s="9">
        <v>39472</v>
      </c>
      <c r="B941" s="2" t="inlineStr">
        <is>
          <t xml:space="preserve">2008-01</t>
        </is>
      </c>
      <c r="C941" s="2" t="inlineStr">
        <is>
          <t xml:space="preserve">2007/08</t>
        </is>
      </c>
      <c r="D941">
        <v>0.547</v>
      </c>
      <c r="E941">
        <v>19.96</v>
      </c>
      <c r="F941">
        <v>26.0</v>
      </c>
      <c r="G941">
        <v>15.93</v>
      </c>
      <c r="H941">
        <v>1.04</v>
      </c>
      <c r="I941">
        <v>2.535</v>
      </c>
      <c r="J941">
        <v>19.97</v>
      </c>
      <c r="K941">
        <v>24.62</v>
      </c>
      <c r="L941">
        <v>17.22</v>
      </c>
      <c r="M941">
        <v>2.89</v>
      </c>
      <c r="N941">
        <v>3.671</v>
      </c>
      <c r="O941">
        <v>19.87</v>
      </c>
      <c r="P941">
        <v>23.71</v>
      </c>
      <c r="Q941">
        <v>17.82</v>
      </c>
      <c r="R941">
        <v>5.49</v>
      </c>
    </row>
    <row r="942">
      <c r="A942" s="9">
        <v>39473</v>
      </c>
      <c r="B942" s="2" t="inlineStr">
        <is>
          <t xml:space="preserve">2008-01</t>
        </is>
      </c>
      <c r="C942" s="2" t="inlineStr">
        <is>
          <t xml:space="preserve">2007/08</t>
        </is>
      </c>
      <c r="D942">
        <v>0.0</v>
      </c>
      <c r="E942">
        <v>19.86</v>
      </c>
      <c r="F942">
        <v>26.4</v>
      </c>
      <c r="G942">
        <v>15.55</v>
      </c>
      <c r="H942">
        <v>0.48</v>
      </c>
      <c r="I942">
        <v>0.334</v>
      </c>
      <c r="J942">
        <v>19.72</v>
      </c>
      <c r="K942">
        <v>25.1</v>
      </c>
      <c r="L942">
        <v>16.48</v>
      </c>
      <c r="M942">
        <v>0.5</v>
      </c>
      <c r="N942">
        <v>0.545</v>
      </c>
      <c r="O942">
        <v>19.7</v>
      </c>
      <c r="P942">
        <v>24.0</v>
      </c>
      <c r="Q942">
        <v>17.31</v>
      </c>
      <c r="R942">
        <v>1.12</v>
      </c>
    </row>
    <row r="943">
      <c r="A943" s="9">
        <v>39474</v>
      </c>
      <c r="B943" s="2" t="inlineStr">
        <is>
          <t xml:space="preserve">2008-01</t>
        </is>
      </c>
      <c r="C943" s="2" t="inlineStr">
        <is>
          <t xml:space="preserve">2007/08</t>
        </is>
      </c>
      <c r="D943">
        <v>0.0</v>
      </c>
      <c r="E943">
        <v>19.0</v>
      </c>
      <c r="F943">
        <v>25.04</v>
      </c>
      <c r="G943">
        <v>15.43</v>
      </c>
      <c r="H943">
        <v>2.55</v>
      </c>
      <c r="I943">
        <v>0.516</v>
      </c>
      <c r="J943">
        <v>18.64</v>
      </c>
      <c r="K943">
        <v>23.27</v>
      </c>
      <c r="L943">
        <v>15.82</v>
      </c>
      <c r="M943">
        <v>1.55</v>
      </c>
      <c r="N943">
        <v>1.227</v>
      </c>
      <c r="O943">
        <v>18.72</v>
      </c>
      <c r="P943">
        <v>22.62</v>
      </c>
      <c r="Q943">
        <v>16.44</v>
      </c>
      <c r="R943">
        <v>3.73</v>
      </c>
    </row>
    <row r="944">
      <c r="A944" s="9">
        <v>39475</v>
      </c>
      <c r="B944" s="2" t="inlineStr">
        <is>
          <t xml:space="preserve">2008-01</t>
        </is>
      </c>
      <c r="C944" s="2" t="inlineStr">
        <is>
          <t xml:space="preserve">2007/08</t>
        </is>
      </c>
      <c r="D944">
        <v>0.0</v>
      </c>
      <c r="E944">
        <v>18.97</v>
      </c>
      <c r="F944">
        <v>25.73</v>
      </c>
      <c r="G944">
        <v>14.43</v>
      </c>
      <c r="H944">
        <v>0.7</v>
      </c>
      <c r="I944">
        <v>0.572</v>
      </c>
      <c r="J944">
        <v>18.54</v>
      </c>
      <c r="K944">
        <v>24.2</v>
      </c>
      <c r="L944">
        <v>14.86</v>
      </c>
      <c r="M944">
        <v>0.63</v>
      </c>
      <c r="N944">
        <v>0.992</v>
      </c>
      <c r="O944">
        <v>18.5</v>
      </c>
      <c r="P944">
        <v>23.05</v>
      </c>
      <c r="Q944">
        <v>15.7</v>
      </c>
      <c r="R944">
        <v>1.06</v>
      </c>
    </row>
    <row r="945">
      <c r="A945" s="9">
        <v>39476</v>
      </c>
      <c r="B945" s="2" t="inlineStr">
        <is>
          <t xml:space="preserve">2008-01</t>
        </is>
      </c>
      <c r="C945" s="2" t="inlineStr">
        <is>
          <t xml:space="preserve">2007/08</t>
        </is>
      </c>
      <c r="D945">
        <v>0.0</v>
      </c>
      <c r="E945">
        <v>20.17</v>
      </c>
      <c r="F945">
        <v>28.13</v>
      </c>
      <c r="G945">
        <v>14.36</v>
      </c>
      <c r="H945">
        <v>0.27</v>
      </c>
      <c r="I945">
        <v>0.0</v>
      </c>
      <c r="J945">
        <v>20.03</v>
      </c>
      <c r="K945">
        <v>27.05</v>
      </c>
      <c r="L945">
        <v>14.3</v>
      </c>
      <c r="M945">
        <v>0.05</v>
      </c>
      <c r="N945">
        <v>0.063</v>
      </c>
      <c r="O945">
        <v>19.39</v>
      </c>
      <c r="P945">
        <v>25.2</v>
      </c>
      <c r="Q945">
        <v>15.48</v>
      </c>
      <c r="R945">
        <v>0.09</v>
      </c>
    </row>
    <row r="946">
      <c r="A946" s="9">
        <v>39477</v>
      </c>
      <c r="B946" s="2" t="inlineStr">
        <is>
          <t xml:space="preserve">2008-01</t>
        </is>
      </c>
      <c r="C946" s="2" t="inlineStr">
        <is>
          <t xml:space="preserve">2007/08</t>
        </is>
      </c>
      <c r="D946">
        <v>0.0</v>
      </c>
      <c r="E946">
        <v>20.94</v>
      </c>
      <c r="F946">
        <v>29.66</v>
      </c>
      <c r="G946">
        <v>13.63</v>
      </c>
      <c r="H946">
        <v>0.01</v>
      </c>
      <c r="I946">
        <v>0.0</v>
      </c>
      <c r="J946">
        <v>20.86</v>
      </c>
      <c r="K946">
        <v>27.98</v>
      </c>
      <c r="L946">
        <v>15.05</v>
      </c>
      <c r="M946">
        <v>0.0</v>
      </c>
      <c r="N946">
        <v>0.0</v>
      </c>
      <c r="O946">
        <v>20.15</v>
      </c>
      <c r="P946">
        <v>26.5</v>
      </c>
      <c r="Q946">
        <v>14.92</v>
      </c>
      <c r="R946">
        <v>0.0</v>
      </c>
    </row>
    <row r="947">
      <c r="A947" s="9">
        <v>39478</v>
      </c>
      <c r="B947" s="2" t="inlineStr">
        <is>
          <t xml:space="preserve">2008-01</t>
        </is>
      </c>
      <c r="C947" s="2" t="inlineStr">
        <is>
          <t xml:space="preserve">2007/08</t>
        </is>
      </c>
      <c r="D947">
        <v>0.025</v>
      </c>
      <c r="E947">
        <v>20.81</v>
      </c>
      <c r="F947">
        <v>29.08</v>
      </c>
      <c r="G947">
        <v>14.24</v>
      </c>
      <c r="H947">
        <v>0.01</v>
      </c>
      <c r="I947">
        <v>0.0</v>
      </c>
      <c r="J947">
        <v>21.0</v>
      </c>
      <c r="K947">
        <v>27.51</v>
      </c>
      <c r="L947">
        <v>16.16</v>
      </c>
      <c r="M947">
        <v>0.01</v>
      </c>
      <c r="N947">
        <v>0.0</v>
      </c>
      <c r="O947">
        <v>20.46</v>
      </c>
      <c r="P947">
        <v>26.52</v>
      </c>
      <c r="Q947">
        <v>15.86</v>
      </c>
      <c r="R947">
        <v>0.01</v>
      </c>
    </row>
    <row r="948">
      <c r="A948" s="9">
        <v>39479</v>
      </c>
      <c r="B948" s="2" t="inlineStr">
        <is>
          <t xml:space="preserve">2008-02</t>
        </is>
      </c>
      <c r="C948" s="2" t="inlineStr">
        <is>
          <t xml:space="preserve">2007/08</t>
        </is>
      </c>
      <c r="D948">
        <v>0.0</v>
      </c>
      <c r="E948">
        <v>20.92</v>
      </c>
      <c r="F948">
        <v>28.52</v>
      </c>
      <c r="G948">
        <v>15.21</v>
      </c>
      <c r="H948">
        <v>0.15</v>
      </c>
      <c r="I948">
        <v>0.0</v>
      </c>
      <c r="J948">
        <v>20.1</v>
      </c>
      <c r="K948">
        <v>25.86</v>
      </c>
      <c r="L948">
        <v>14.96</v>
      </c>
      <c r="M948">
        <v>0.46</v>
      </c>
      <c r="N948">
        <v>0.0</v>
      </c>
      <c r="O948">
        <v>19.91</v>
      </c>
      <c r="P948">
        <v>24.46</v>
      </c>
      <c r="Q948">
        <v>16.53</v>
      </c>
      <c r="R948">
        <v>0.62</v>
      </c>
    </row>
    <row r="949">
      <c r="A949" s="9">
        <v>39480</v>
      </c>
      <c r="B949" s="2" t="inlineStr">
        <is>
          <t xml:space="preserve">2008-02</t>
        </is>
      </c>
      <c r="C949" s="2" t="inlineStr">
        <is>
          <t xml:space="preserve">2007/08</t>
        </is>
      </c>
      <c r="D949">
        <v>0.119</v>
      </c>
      <c r="E949">
        <v>19.54</v>
      </c>
      <c r="F949">
        <v>27.06</v>
      </c>
      <c r="G949">
        <v>14.45</v>
      </c>
      <c r="H949">
        <v>0.07</v>
      </c>
      <c r="I949">
        <v>0.671</v>
      </c>
      <c r="J949">
        <v>19.42</v>
      </c>
      <c r="K949">
        <v>25.11</v>
      </c>
      <c r="L949">
        <v>15.47</v>
      </c>
      <c r="M949">
        <v>0.35</v>
      </c>
      <c r="N949">
        <v>0.9</v>
      </c>
      <c r="O949">
        <v>18.97</v>
      </c>
      <c r="P949">
        <v>23.56</v>
      </c>
      <c r="Q949">
        <v>16.01</v>
      </c>
      <c r="R949">
        <v>0.93</v>
      </c>
    </row>
    <row r="950">
      <c r="A950" s="9">
        <v>39481</v>
      </c>
      <c r="B950" s="2" t="inlineStr">
        <is>
          <t xml:space="preserve">2008-02</t>
        </is>
      </c>
      <c r="C950" s="2" t="inlineStr">
        <is>
          <t xml:space="preserve">2007/08</t>
        </is>
      </c>
      <c r="D950">
        <v>0.0</v>
      </c>
      <c r="E950">
        <v>19.82</v>
      </c>
      <c r="F950">
        <v>27.53</v>
      </c>
      <c r="G950">
        <v>13.76</v>
      </c>
      <c r="H950">
        <v>0.01</v>
      </c>
      <c r="I950">
        <v>0.0</v>
      </c>
      <c r="J950">
        <v>19.29</v>
      </c>
      <c r="K950">
        <v>25.43</v>
      </c>
      <c r="L950">
        <v>14.27</v>
      </c>
      <c r="M950">
        <v>0.03</v>
      </c>
      <c r="N950">
        <v>0.0</v>
      </c>
      <c r="O950">
        <v>18.74</v>
      </c>
      <c r="P950">
        <v>23.77</v>
      </c>
      <c r="Q950">
        <v>14.91</v>
      </c>
      <c r="R950">
        <v>0.12</v>
      </c>
    </row>
    <row r="951">
      <c r="A951" s="9">
        <v>39482</v>
      </c>
      <c r="B951" s="2" t="inlineStr">
        <is>
          <t xml:space="preserve">2008-02</t>
        </is>
      </c>
      <c r="C951" s="2" t="inlineStr">
        <is>
          <t xml:space="preserve">2007/08</t>
        </is>
      </c>
      <c r="D951">
        <v>0.025</v>
      </c>
      <c r="E951">
        <v>20.32</v>
      </c>
      <c r="F951">
        <v>27.47</v>
      </c>
      <c r="G951">
        <v>13.98</v>
      </c>
      <c r="H951">
        <v>0.3</v>
      </c>
      <c r="I951">
        <v>0.0</v>
      </c>
      <c r="J951">
        <v>20.63</v>
      </c>
      <c r="K951">
        <v>27.04</v>
      </c>
      <c r="L951">
        <v>15.61</v>
      </c>
      <c r="M951">
        <v>0.05</v>
      </c>
      <c r="N951">
        <v>0.0</v>
      </c>
      <c r="O951">
        <v>19.85</v>
      </c>
      <c r="P951">
        <v>25.24</v>
      </c>
      <c r="Q951">
        <v>16.41</v>
      </c>
      <c r="R951">
        <v>0.04</v>
      </c>
    </row>
    <row r="952">
      <c r="A952" s="9">
        <v>39483</v>
      </c>
      <c r="B952" s="2" t="inlineStr">
        <is>
          <t xml:space="preserve">2008-02</t>
        </is>
      </c>
      <c r="C952" s="2" t="inlineStr">
        <is>
          <t xml:space="preserve">2007/08</t>
        </is>
      </c>
      <c r="D952">
        <v>0.365</v>
      </c>
      <c r="E952">
        <v>20.86</v>
      </c>
      <c r="F952">
        <v>27.61</v>
      </c>
      <c r="G952">
        <v>15.72</v>
      </c>
      <c r="H952">
        <v>0.43</v>
      </c>
      <c r="I952">
        <v>0.293</v>
      </c>
      <c r="J952">
        <v>21.53</v>
      </c>
      <c r="K952">
        <v>27.36</v>
      </c>
      <c r="L952">
        <v>16.6</v>
      </c>
      <c r="M952">
        <v>0.19</v>
      </c>
      <c r="N952">
        <v>0.308</v>
      </c>
      <c r="O952">
        <v>20.8</v>
      </c>
      <c r="P952">
        <v>26.18</v>
      </c>
      <c r="Q952">
        <v>16.45</v>
      </c>
      <c r="R952">
        <v>0.15</v>
      </c>
    </row>
    <row r="953">
      <c r="A953" s="9">
        <v>39484</v>
      </c>
      <c r="B953" s="2" t="inlineStr">
        <is>
          <t xml:space="preserve">2008-02</t>
        </is>
      </c>
      <c r="C953" s="2" t="inlineStr">
        <is>
          <t xml:space="preserve">2007/08</t>
        </is>
      </c>
      <c r="D953">
        <v>0.1</v>
      </c>
      <c r="E953">
        <v>21.89</v>
      </c>
      <c r="F953">
        <v>29.25</v>
      </c>
      <c r="G953">
        <v>15.28</v>
      </c>
      <c r="H953">
        <v>0.32</v>
      </c>
      <c r="I953">
        <v>0.0</v>
      </c>
      <c r="J953">
        <v>22.29</v>
      </c>
      <c r="K953">
        <v>28.24</v>
      </c>
      <c r="L953">
        <v>17.45</v>
      </c>
      <c r="M953">
        <v>0.03</v>
      </c>
      <c r="N953">
        <v>0.0</v>
      </c>
      <c r="O953">
        <v>21.28</v>
      </c>
      <c r="P953">
        <v>27.02</v>
      </c>
      <c r="Q953">
        <v>16.6</v>
      </c>
      <c r="R953">
        <v>0.06</v>
      </c>
    </row>
    <row r="954">
      <c r="A954" s="9">
        <v>39485</v>
      </c>
      <c r="B954" s="2" t="inlineStr">
        <is>
          <t xml:space="preserve">2008-02</t>
        </is>
      </c>
      <c r="C954" s="2" t="inlineStr">
        <is>
          <t xml:space="preserve">2007/08</t>
        </is>
      </c>
      <c r="D954">
        <v>0.077</v>
      </c>
      <c r="E954">
        <v>21.7</v>
      </c>
      <c r="F954">
        <v>27.77</v>
      </c>
      <c r="G954">
        <v>18.37</v>
      </c>
      <c r="H954">
        <v>1.15</v>
      </c>
      <c r="I954">
        <v>0.032</v>
      </c>
      <c r="J954">
        <v>21.56</v>
      </c>
      <c r="K954">
        <v>27.2</v>
      </c>
      <c r="L954">
        <v>17.58</v>
      </c>
      <c r="M954">
        <v>0.64</v>
      </c>
      <c r="N954">
        <v>0.089</v>
      </c>
      <c r="O954">
        <v>20.36</v>
      </c>
      <c r="P954">
        <v>23.09</v>
      </c>
      <c r="Q954">
        <v>17.77</v>
      </c>
      <c r="R954">
        <v>1.05</v>
      </c>
    </row>
    <row r="955">
      <c r="A955" s="9">
        <v>39486</v>
      </c>
      <c r="B955" s="2" t="inlineStr">
        <is>
          <t xml:space="preserve">2008-02</t>
        </is>
      </c>
      <c r="C955" s="2" t="inlineStr">
        <is>
          <t xml:space="preserve">2007/08</t>
        </is>
      </c>
      <c r="D955">
        <v>0.0</v>
      </c>
      <c r="E955">
        <v>22.23</v>
      </c>
      <c r="F955">
        <v>29.21</v>
      </c>
      <c r="G955">
        <v>17.28</v>
      </c>
      <c r="H955">
        <v>0.33</v>
      </c>
      <c r="I955">
        <v>1.046</v>
      </c>
      <c r="J955">
        <v>21.6</v>
      </c>
      <c r="K955">
        <v>27.41</v>
      </c>
      <c r="L955">
        <v>17.3</v>
      </c>
      <c r="M955">
        <v>0.6</v>
      </c>
      <c r="N955">
        <v>0.0</v>
      </c>
      <c r="O955">
        <v>20.68</v>
      </c>
      <c r="P955">
        <v>25.41</v>
      </c>
      <c r="Q955">
        <v>17.71</v>
      </c>
      <c r="R955">
        <v>0.38</v>
      </c>
    </row>
    <row r="956">
      <c r="A956" s="9">
        <v>39487</v>
      </c>
      <c r="B956" s="2" t="inlineStr">
        <is>
          <t xml:space="preserve">2008-02</t>
        </is>
      </c>
      <c r="C956" s="2" t="inlineStr">
        <is>
          <t xml:space="preserve">2007/08</t>
        </is>
      </c>
      <c r="D956">
        <v>0.0</v>
      </c>
      <c r="E956">
        <v>22.25</v>
      </c>
      <c r="F956">
        <v>29.38</v>
      </c>
      <c r="G956">
        <v>17.01</v>
      </c>
      <c r="H956">
        <v>0.53</v>
      </c>
      <c r="I956">
        <v>0.0</v>
      </c>
      <c r="J956">
        <v>21.2</v>
      </c>
      <c r="K956">
        <v>27.31</v>
      </c>
      <c r="L956">
        <v>16.79</v>
      </c>
      <c r="M956">
        <v>0.54</v>
      </c>
      <c r="N956">
        <v>0.0</v>
      </c>
      <c r="O956">
        <v>20.55</v>
      </c>
      <c r="P956">
        <v>25.29</v>
      </c>
      <c r="Q956">
        <v>17.13</v>
      </c>
      <c r="R956">
        <v>1.28</v>
      </c>
    </row>
    <row r="957">
      <c r="A957" s="9">
        <v>39488</v>
      </c>
      <c r="B957" s="2" t="inlineStr">
        <is>
          <t xml:space="preserve">2008-02</t>
        </is>
      </c>
      <c r="C957" s="2" t="inlineStr">
        <is>
          <t xml:space="preserve">2007/08</t>
        </is>
      </c>
      <c r="D957">
        <v>0.46</v>
      </c>
      <c r="E957">
        <v>21.41</v>
      </c>
      <c r="F957">
        <v>27.8</v>
      </c>
      <c r="G957">
        <v>17.42</v>
      </c>
      <c r="H957">
        <v>2.99</v>
      </c>
      <c r="I957">
        <v>2.155</v>
      </c>
      <c r="J957">
        <v>20.78</v>
      </c>
      <c r="K957">
        <v>26.38</v>
      </c>
      <c r="L957">
        <v>16.69</v>
      </c>
      <c r="M957">
        <v>6.15</v>
      </c>
      <c r="N957">
        <v>3.435</v>
      </c>
      <c r="O957">
        <v>20.26</v>
      </c>
      <c r="P957">
        <v>24.79</v>
      </c>
      <c r="Q957">
        <v>17.08</v>
      </c>
      <c r="R957">
        <v>18.13</v>
      </c>
    </row>
    <row r="958">
      <c r="A958" s="9">
        <v>39489</v>
      </c>
      <c r="B958" s="2" t="inlineStr">
        <is>
          <t xml:space="preserve">2008-02</t>
        </is>
      </c>
      <c r="C958" s="2" t="inlineStr">
        <is>
          <t xml:space="preserve">2007/08</t>
        </is>
      </c>
      <c r="D958">
        <v>0.0</v>
      </c>
      <c r="E958">
        <v>20.94</v>
      </c>
      <c r="F958">
        <v>28.32</v>
      </c>
      <c r="G958">
        <v>16.06</v>
      </c>
      <c r="H958">
        <v>0.88</v>
      </c>
      <c r="I958">
        <v>3.493</v>
      </c>
      <c r="J958">
        <v>20.65</v>
      </c>
      <c r="K958">
        <v>26.2</v>
      </c>
      <c r="L958">
        <v>17.02</v>
      </c>
      <c r="M958">
        <v>4.07</v>
      </c>
      <c r="N958">
        <v>5.805</v>
      </c>
      <c r="O958">
        <v>19.82</v>
      </c>
      <c r="P958">
        <v>23.81</v>
      </c>
      <c r="Q958">
        <v>17.55</v>
      </c>
      <c r="R958">
        <v>9.21</v>
      </c>
    </row>
    <row r="959">
      <c r="A959" s="9">
        <v>39490</v>
      </c>
      <c r="B959" s="2" t="inlineStr">
        <is>
          <t xml:space="preserve">2008-02</t>
        </is>
      </c>
      <c r="C959" s="2" t="inlineStr">
        <is>
          <t xml:space="preserve">2007/08</t>
        </is>
      </c>
      <c r="D959">
        <v>0.0</v>
      </c>
      <c r="E959">
        <v>22.3</v>
      </c>
      <c r="F959">
        <v>30.81</v>
      </c>
      <c r="G959">
        <v>15.22</v>
      </c>
      <c r="H959">
        <v>0.04</v>
      </c>
      <c r="I959">
        <v>0.047</v>
      </c>
      <c r="J959">
        <v>21.85</v>
      </c>
      <c r="K959">
        <v>28.11</v>
      </c>
      <c r="L959">
        <v>16.54</v>
      </c>
      <c r="M959">
        <v>0.29</v>
      </c>
      <c r="N959">
        <v>0.219</v>
      </c>
      <c r="O959">
        <v>20.66</v>
      </c>
      <c r="P959">
        <v>25.93</v>
      </c>
      <c r="Q959">
        <v>17.25</v>
      </c>
      <c r="R959">
        <v>1.22</v>
      </c>
    </row>
    <row r="960">
      <c r="A960" s="9">
        <v>39491</v>
      </c>
      <c r="B960" s="2" t="inlineStr">
        <is>
          <t xml:space="preserve">2008-02</t>
        </is>
      </c>
      <c r="C960" s="2" t="inlineStr">
        <is>
          <t xml:space="preserve">2007/08</t>
        </is>
      </c>
      <c r="D960">
        <v>0.0</v>
      </c>
      <c r="E960">
        <v>22.52</v>
      </c>
      <c r="F960">
        <v>31.11</v>
      </c>
      <c r="G960">
        <v>16.03</v>
      </c>
      <c r="H960">
        <v>0.95</v>
      </c>
      <c r="I960">
        <v>0.0</v>
      </c>
      <c r="J960">
        <v>22.13</v>
      </c>
      <c r="K960">
        <v>28.49</v>
      </c>
      <c r="L960">
        <v>17.66</v>
      </c>
      <c r="M960">
        <v>0.01</v>
      </c>
      <c r="N960">
        <v>0.0</v>
      </c>
      <c r="O960">
        <v>21.0</v>
      </c>
      <c r="P960">
        <v>26.51</v>
      </c>
      <c r="Q960">
        <v>16.72</v>
      </c>
      <c r="R960">
        <v>0.0</v>
      </c>
    </row>
    <row r="961">
      <c r="A961" s="9">
        <v>39492</v>
      </c>
      <c r="B961" s="2" t="inlineStr">
        <is>
          <t xml:space="preserve">2008-02</t>
        </is>
      </c>
      <c r="C961" s="2" t="inlineStr">
        <is>
          <t xml:space="preserve">2007/08</t>
        </is>
      </c>
      <c r="D961">
        <v>1.034</v>
      </c>
      <c r="E961">
        <v>21.67</v>
      </c>
      <c r="F961">
        <v>28.54</v>
      </c>
      <c r="G961">
        <v>16.87</v>
      </c>
      <c r="H961">
        <v>0.78</v>
      </c>
      <c r="I961">
        <v>0.0</v>
      </c>
      <c r="J961">
        <v>21.35</v>
      </c>
      <c r="K961">
        <v>27.31</v>
      </c>
      <c r="L961">
        <v>17.19</v>
      </c>
      <c r="M961">
        <v>0.3</v>
      </c>
      <c r="N961">
        <v>0.0</v>
      </c>
      <c r="O961">
        <v>20.52</v>
      </c>
      <c r="P961">
        <v>25.12</v>
      </c>
      <c r="Q961">
        <v>16.99</v>
      </c>
      <c r="R961">
        <v>0.78</v>
      </c>
    </row>
    <row r="962">
      <c r="A962" s="9">
        <v>39493</v>
      </c>
      <c r="B962" s="2" t="inlineStr">
        <is>
          <t xml:space="preserve">2008-02</t>
        </is>
      </c>
      <c r="C962" s="2" t="inlineStr">
        <is>
          <t xml:space="preserve">2007/08</t>
        </is>
      </c>
      <c r="D962">
        <v>0.0</v>
      </c>
      <c r="E962">
        <v>20.67</v>
      </c>
      <c r="F962">
        <v>26.45</v>
      </c>
      <c r="G962">
        <v>16.84</v>
      </c>
      <c r="H962">
        <v>0.25</v>
      </c>
      <c r="I962">
        <v>0.135</v>
      </c>
      <c r="J962">
        <v>21.03</v>
      </c>
      <c r="K962">
        <v>26.72</v>
      </c>
      <c r="L962">
        <v>17.33</v>
      </c>
      <c r="M962">
        <v>0.94</v>
      </c>
      <c r="N962">
        <v>0.551</v>
      </c>
      <c r="O962">
        <v>20.28</v>
      </c>
      <c r="P962">
        <v>24.29</v>
      </c>
      <c r="Q962">
        <v>17.84</v>
      </c>
      <c r="R962">
        <v>3.5</v>
      </c>
    </row>
    <row r="963">
      <c r="A963" s="9">
        <v>39494</v>
      </c>
      <c r="B963" s="2" t="inlineStr">
        <is>
          <t xml:space="preserve">2008-02</t>
        </is>
      </c>
      <c r="C963" s="2" t="inlineStr">
        <is>
          <t xml:space="preserve">2007/08</t>
        </is>
      </c>
      <c r="D963">
        <v>0.125</v>
      </c>
      <c r="E963">
        <v>20.63</v>
      </c>
      <c r="F963">
        <v>27.78</v>
      </c>
      <c r="G963">
        <v>14.95</v>
      </c>
      <c r="H963">
        <v>0.49</v>
      </c>
      <c r="I963">
        <v>0.057</v>
      </c>
      <c r="J963">
        <v>21.54</v>
      </c>
      <c r="K963">
        <v>27.7</v>
      </c>
      <c r="L963">
        <v>16.49</v>
      </c>
      <c r="M963">
        <v>0.28</v>
      </c>
      <c r="N963">
        <v>0.265</v>
      </c>
      <c r="O963">
        <v>20.16</v>
      </c>
      <c r="P963">
        <v>24.94</v>
      </c>
      <c r="Q963">
        <v>16.95</v>
      </c>
      <c r="R963">
        <v>1.07</v>
      </c>
    </row>
    <row r="964">
      <c r="A964" s="9">
        <v>39495</v>
      </c>
      <c r="B964" s="2" t="inlineStr">
        <is>
          <t xml:space="preserve">2008-02</t>
        </is>
      </c>
      <c r="C964" s="2" t="inlineStr">
        <is>
          <t xml:space="preserve">2007/08</t>
        </is>
      </c>
      <c r="D964">
        <v>1.309</v>
      </c>
      <c r="E964">
        <v>22.15</v>
      </c>
      <c r="F964">
        <v>30.63</v>
      </c>
      <c r="G964">
        <v>15.4</v>
      </c>
      <c r="H964">
        <v>0.54</v>
      </c>
      <c r="I964">
        <v>0.0</v>
      </c>
      <c r="J964">
        <v>22.1</v>
      </c>
      <c r="K964">
        <v>28.23</v>
      </c>
      <c r="L964">
        <v>17.17</v>
      </c>
      <c r="M964">
        <v>0.65</v>
      </c>
      <c r="N964">
        <v>0.0</v>
      </c>
      <c r="O964">
        <v>21.17</v>
      </c>
      <c r="P964">
        <v>26.29</v>
      </c>
      <c r="Q964">
        <v>16.39</v>
      </c>
      <c r="R964">
        <v>0.1</v>
      </c>
    </row>
    <row r="965">
      <c r="A965" s="9">
        <v>39496</v>
      </c>
      <c r="B965" s="2" t="inlineStr">
        <is>
          <t xml:space="preserve">2008-02</t>
        </is>
      </c>
      <c r="C965" s="2" t="inlineStr">
        <is>
          <t xml:space="preserve">2007/08</t>
        </is>
      </c>
      <c r="D965">
        <v>0.026</v>
      </c>
      <c r="E965">
        <v>21.99</v>
      </c>
      <c r="F965">
        <v>29.75</v>
      </c>
      <c r="G965">
        <v>16.49</v>
      </c>
      <c r="H965">
        <v>1.2</v>
      </c>
      <c r="I965">
        <v>2.582</v>
      </c>
      <c r="J965">
        <v>21.64</v>
      </c>
      <c r="K965">
        <v>28.23</v>
      </c>
      <c r="L965">
        <v>17.12</v>
      </c>
      <c r="M965">
        <v>2.99</v>
      </c>
      <c r="N965">
        <v>0.0</v>
      </c>
      <c r="O965">
        <v>20.97</v>
      </c>
      <c r="P965">
        <v>27.01</v>
      </c>
      <c r="Q965">
        <v>16.77</v>
      </c>
      <c r="R965">
        <v>0.21</v>
      </c>
    </row>
    <row r="966">
      <c r="A966" s="9">
        <v>39497</v>
      </c>
      <c r="B966" s="2" t="inlineStr">
        <is>
          <t xml:space="preserve">2008-02</t>
        </is>
      </c>
      <c r="C966" s="2" t="inlineStr">
        <is>
          <t xml:space="preserve">2007/08</t>
        </is>
      </c>
      <c r="D966">
        <v>2.115</v>
      </c>
      <c r="E966">
        <v>21.37</v>
      </c>
      <c r="F966">
        <v>26.85</v>
      </c>
      <c r="G966">
        <v>17.47</v>
      </c>
      <c r="H966">
        <v>2.15</v>
      </c>
      <c r="I966">
        <v>0.0</v>
      </c>
      <c r="J966">
        <v>21.61</v>
      </c>
      <c r="K966">
        <v>26.56</v>
      </c>
      <c r="L966">
        <v>17.58</v>
      </c>
      <c r="M966">
        <v>0.06</v>
      </c>
      <c r="N966">
        <v>0.0</v>
      </c>
      <c r="O966">
        <v>20.88</v>
      </c>
      <c r="P966">
        <v>24.67</v>
      </c>
      <c r="Q966">
        <v>17.82</v>
      </c>
      <c r="R966">
        <v>0.04</v>
      </c>
    </row>
    <row r="967">
      <c r="A967" s="9">
        <v>39498</v>
      </c>
      <c r="B967" s="2" t="inlineStr">
        <is>
          <t xml:space="preserve">2008-02</t>
        </is>
      </c>
      <c r="C967" s="2" t="inlineStr">
        <is>
          <t xml:space="preserve">2007/08</t>
        </is>
      </c>
      <c r="D967">
        <v>0.0</v>
      </c>
      <c r="E967">
        <v>21.98</v>
      </c>
      <c r="F967">
        <v>29.41</v>
      </c>
      <c r="G967">
        <v>16.36</v>
      </c>
      <c r="H967">
        <v>0.03</v>
      </c>
      <c r="I967">
        <v>0.129</v>
      </c>
      <c r="J967">
        <v>21.5</v>
      </c>
      <c r="K967">
        <v>26.6</v>
      </c>
      <c r="L967">
        <v>17.24</v>
      </c>
      <c r="M967">
        <v>0.12</v>
      </c>
      <c r="N967">
        <v>0.0</v>
      </c>
      <c r="O967">
        <v>20.39</v>
      </c>
      <c r="P967">
        <v>24.79</v>
      </c>
      <c r="Q967">
        <v>17.41</v>
      </c>
      <c r="R967">
        <v>0.07</v>
      </c>
    </row>
    <row r="968">
      <c r="A968" s="9">
        <v>39499</v>
      </c>
      <c r="B968" s="2" t="inlineStr">
        <is>
          <t xml:space="preserve">2008-02</t>
        </is>
      </c>
      <c r="C968" s="2" t="inlineStr">
        <is>
          <t xml:space="preserve">2007/08</t>
        </is>
      </c>
      <c r="D968">
        <v>0.0</v>
      </c>
      <c r="E968">
        <v>21.74</v>
      </c>
      <c r="F968">
        <v>30.53</v>
      </c>
      <c r="G968">
        <v>15.17</v>
      </c>
      <c r="H968">
        <v>0.0</v>
      </c>
      <c r="I968">
        <v>0.0</v>
      </c>
      <c r="J968">
        <v>22.44</v>
      </c>
      <c r="K968">
        <v>29.61</v>
      </c>
      <c r="L968">
        <v>17.26</v>
      </c>
      <c r="M968">
        <v>0.0</v>
      </c>
      <c r="N968">
        <v>0.0</v>
      </c>
      <c r="O968">
        <v>21.01</v>
      </c>
      <c r="P968">
        <v>27.52</v>
      </c>
      <c r="Q968">
        <v>15.74</v>
      </c>
      <c r="R968">
        <v>0.0</v>
      </c>
    </row>
    <row r="969">
      <c r="A969" s="9">
        <v>39500</v>
      </c>
      <c r="B969" s="2" t="inlineStr">
        <is>
          <t xml:space="preserve">2008-02</t>
        </is>
      </c>
      <c r="C969" s="2" t="inlineStr">
        <is>
          <t xml:space="preserve">2007/08</t>
        </is>
      </c>
      <c r="D969">
        <v>0.025</v>
      </c>
      <c r="E969">
        <v>21.88</v>
      </c>
      <c r="F969">
        <v>30.06</v>
      </c>
      <c r="G969">
        <v>14.71</v>
      </c>
      <c r="H969">
        <v>0.02</v>
      </c>
      <c r="I969">
        <v>0.0</v>
      </c>
      <c r="J969">
        <v>22.03</v>
      </c>
      <c r="K969">
        <v>28.75</v>
      </c>
      <c r="L969">
        <v>16.09</v>
      </c>
      <c r="M969">
        <v>0.02</v>
      </c>
      <c r="N969">
        <v>0.0</v>
      </c>
      <c r="O969">
        <v>21.72</v>
      </c>
      <c r="P969">
        <v>27.74</v>
      </c>
      <c r="Q969">
        <v>16.27</v>
      </c>
      <c r="R969">
        <v>0.01</v>
      </c>
    </row>
    <row r="970">
      <c r="A970" s="9">
        <v>39501</v>
      </c>
      <c r="B970" s="2" t="inlineStr">
        <is>
          <t xml:space="preserve">2008-02</t>
        </is>
      </c>
      <c r="C970" s="2" t="inlineStr">
        <is>
          <t xml:space="preserve">2007/08</t>
        </is>
      </c>
      <c r="D970">
        <v>0.0</v>
      </c>
      <c r="E970">
        <v>22.74</v>
      </c>
      <c r="F970">
        <v>31.67</v>
      </c>
      <c r="G970">
        <v>14.81</v>
      </c>
      <c r="H970">
        <v>0.02</v>
      </c>
      <c r="I970">
        <v>0.0</v>
      </c>
      <c r="J970">
        <v>22.52</v>
      </c>
      <c r="K970">
        <v>29.55</v>
      </c>
      <c r="L970">
        <v>17.36</v>
      </c>
      <c r="M970">
        <v>0.03</v>
      </c>
      <c r="N970">
        <v>0.0</v>
      </c>
      <c r="O970">
        <v>21.29</v>
      </c>
      <c r="P970">
        <v>27.06</v>
      </c>
      <c r="Q970">
        <v>17.16</v>
      </c>
      <c r="R970">
        <v>0.0</v>
      </c>
    </row>
    <row r="971">
      <c r="A971" s="9">
        <v>39502</v>
      </c>
      <c r="B971" s="2" t="inlineStr">
        <is>
          <t xml:space="preserve">2008-02</t>
        </is>
      </c>
      <c r="C971" s="2" t="inlineStr">
        <is>
          <t xml:space="preserve">2007/08</t>
        </is>
      </c>
      <c r="D971">
        <v>0.0</v>
      </c>
      <c r="E971">
        <v>22.91</v>
      </c>
      <c r="F971">
        <v>31.18</v>
      </c>
      <c r="G971">
        <v>16.75</v>
      </c>
      <c r="H971">
        <v>0.06</v>
      </c>
      <c r="I971">
        <v>0.0</v>
      </c>
      <c r="J971">
        <v>22.33</v>
      </c>
      <c r="K971">
        <v>29.5</v>
      </c>
      <c r="L971">
        <v>16.31</v>
      </c>
      <c r="M971">
        <v>0.0</v>
      </c>
      <c r="N971">
        <v>0.0</v>
      </c>
      <c r="O971">
        <v>21.02</v>
      </c>
      <c r="P971">
        <v>26.86</v>
      </c>
      <c r="Q971">
        <v>16.47</v>
      </c>
      <c r="R971">
        <v>0.01</v>
      </c>
    </row>
    <row r="972">
      <c r="A972" s="9">
        <v>39503</v>
      </c>
      <c r="B972" s="2" t="inlineStr">
        <is>
          <t xml:space="preserve">2008-02</t>
        </is>
      </c>
      <c r="C972" s="2" t="inlineStr">
        <is>
          <t xml:space="preserve">2007/08</t>
        </is>
      </c>
      <c r="D972">
        <v>0.0</v>
      </c>
      <c r="E972">
        <v>22.58</v>
      </c>
      <c r="F972">
        <v>30.76</v>
      </c>
      <c r="G972">
        <v>16.48</v>
      </c>
      <c r="H972">
        <v>0.0</v>
      </c>
      <c r="I972">
        <v>0.0</v>
      </c>
      <c r="J972">
        <v>22.25</v>
      </c>
      <c r="K972">
        <v>28.79</v>
      </c>
      <c r="L972">
        <v>17.4</v>
      </c>
      <c r="M972">
        <v>0.02</v>
      </c>
      <c r="N972">
        <v>0.0</v>
      </c>
      <c r="O972">
        <v>20.72</v>
      </c>
      <c r="P972">
        <v>25.67</v>
      </c>
      <c r="Q972">
        <v>17.59</v>
      </c>
      <c r="R972">
        <v>0.1</v>
      </c>
    </row>
    <row r="973">
      <c r="A973" s="9">
        <v>39504</v>
      </c>
      <c r="B973" s="2" t="inlineStr">
        <is>
          <t xml:space="preserve">2008-02</t>
        </is>
      </c>
      <c r="C973" s="2" t="inlineStr">
        <is>
          <t xml:space="preserve">2007/08</t>
        </is>
      </c>
      <c r="D973">
        <v>0.0</v>
      </c>
      <c r="E973">
        <v>23.47</v>
      </c>
      <c r="F973">
        <v>32.55</v>
      </c>
      <c r="G973">
        <v>15.13</v>
      </c>
      <c r="H973">
        <v>0.0</v>
      </c>
      <c r="I973">
        <v>0.0</v>
      </c>
      <c r="J973">
        <v>23.03</v>
      </c>
      <c r="K973">
        <v>30.96</v>
      </c>
      <c r="L973">
        <v>16.47</v>
      </c>
      <c r="M973">
        <v>0.0</v>
      </c>
      <c r="N973">
        <v>0.0</v>
      </c>
      <c r="O973">
        <v>22.35</v>
      </c>
      <c r="P973">
        <v>28.93</v>
      </c>
      <c r="Q973">
        <v>16.16</v>
      </c>
      <c r="R973">
        <v>0.01</v>
      </c>
    </row>
    <row r="974">
      <c r="A974" s="9">
        <v>39505</v>
      </c>
      <c r="B974" s="2" t="inlineStr">
        <is>
          <t xml:space="preserve">2008-02</t>
        </is>
      </c>
      <c r="C974" s="2" t="inlineStr">
        <is>
          <t xml:space="preserve">2007/08</t>
        </is>
      </c>
      <c r="D974">
        <v>0.0</v>
      </c>
      <c r="E974">
        <v>22.42</v>
      </c>
      <c r="F974">
        <v>29.36</v>
      </c>
      <c r="G974">
        <v>17.39</v>
      </c>
      <c r="H974">
        <v>0.7</v>
      </c>
      <c r="I974">
        <v>0.0</v>
      </c>
      <c r="J974">
        <v>22.34</v>
      </c>
      <c r="K974">
        <v>27.68</v>
      </c>
      <c r="L974">
        <v>18.57</v>
      </c>
      <c r="M974">
        <v>0.94</v>
      </c>
      <c r="N974">
        <v>0.0</v>
      </c>
      <c r="O974">
        <v>21.3</v>
      </c>
      <c r="P974">
        <v>25.5</v>
      </c>
      <c r="Q974">
        <v>18.36</v>
      </c>
      <c r="R974">
        <v>3.69</v>
      </c>
    </row>
    <row r="975">
      <c r="A975" s="9">
        <v>39506</v>
      </c>
      <c r="B975" s="2" t="inlineStr">
        <is>
          <t xml:space="preserve">2008-02</t>
        </is>
      </c>
      <c r="C975" s="2" t="inlineStr">
        <is>
          <t xml:space="preserve">2007/08</t>
        </is>
      </c>
      <c r="D975">
        <v>0.599</v>
      </c>
      <c r="E975">
        <v>19.16</v>
      </c>
      <c r="F975">
        <v>24.74</v>
      </c>
      <c r="G975">
        <v>16.1</v>
      </c>
      <c r="H975">
        <v>7.41</v>
      </c>
      <c r="I975">
        <v>2.731</v>
      </c>
      <c r="J975">
        <v>18.63</v>
      </c>
      <c r="K975">
        <v>22.98</v>
      </c>
      <c r="L975">
        <v>15.69</v>
      </c>
      <c r="M975">
        <v>3.95</v>
      </c>
      <c r="N975">
        <v>4.505</v>
      </c>
      <c r="O975">
        <v>17.87</v>
      </c>
      <c r="P975">
        <v>20.67</v>
      </c>
      <c r="Q975">
        <v>15.84</v>
      </c>
      <c r="R975">
        <v>7.66</v>
      </c>
    </row>
    <row r="976">
      <c r="A976" s="9">
        <v>39507</v>
      </c>
      <c r="B976" s="2" t="inlineStr">
        <is>
          <t xml:space="preserve">2008-02</t>
        </is>
      </c>
      <c r="C976" s="2" t="inlineStr">
        <is>
          <t xml:space="preserve">2007/08</t>
        </is>
      </c>
      <c r="D976">
        <v>0.604</v>
      </c>
      <c r="E976">
        <v>20.12</v>
      </c>
      <c r="F976">
        <v>27.19</v>
      </c>
      <c r="G976">
        <v>15.65</v>
      </c>
      <c r="H976">
        <v>3.85</v>
      </c>
      <c r="I976">
        <v>1.867</v>
      </c>
      <c r="J976">
        <v>19.98</v>
      </c>
      <c r="K976">
        <v>27.02</v>
      </c>
      <c r="L976">
        <v>15.16</v>
      </c>
      <c r="M976">
        <v>1.76</v>
      </c>
      <c r="N976">
        <v>2.789</v>
      </c>
      <c r="O976">
        <v>19.44</v>
      </c>
      <c r="P976">
        <v>25.03</v>
      </c>
      <c r="Q976">
        <v>15.72</v>
      </c>
      <c r="R976">
        <v>2.6</v>
      </c>
    </row>
    <row r="977">
      <c r="A977" s="9">
        <v>39508</v>
      </c>
      <c r="B977" s="2" t="inlineStr">
        <is>
          <t xml:space="preserve">2008-03</t>
        </is>
      </c>
      <c r="C977" s="2" t="inlineStr">
        <is>
          <t xml:space="preserve">2007/08</t>
        </is>
      </c>
      <c r="D977">
        <v>0.0</v>
      </c>
      <c r="E977">
        <v>20.8</v>
      </c>
      <c r="F977">
        <v>28.39</v>
      </c>
      <c r="G977">
        <v>15.36</v>
      </c>
      <c r="H977">
        <v>0.68</v>
      </c>
      <c r="I977">
        <v>0.023</v>
      </c>
      <c r="J977">
        <v>21.44</v>
      </c>
      <c r="K977">
        <v>28.44</v>
      </c>
      <c r="L977">
        <v>16.54</v>
      </c>
      <c r="M977">
        <v>0.55</v>
      </c>
      <c r="N977">
        <v>0.13</v>
      </c>
      <c r="O977">
        <v>20.33</v>
      </c>
      <c r="P977">
        <v>25.82</v>
      </c>
      <c r="Q977">
        <v>16.5</v>
      </c>
      <c r="R977">
        <v>1.83</v>
      </c>
    </row>
    <row r="978">
      <c r="A978" s="9">
        <v>39509</v>
      </c>
      <c r="B978" s="2" t="inlineStr">
        <is>
          <t xml:space="preserve">2008-03</t>
        </is>
      </c>
      <c r="C978" s="2" t="inlineStr">
        <is>
          <t xml:space="preserve">2007/08</t>
        </is>
      </c>
      <c r="D978">
        <v>0.026</v>
      </c>
      <c r="E978">
        <v>22.01</v>
      </c>
      <c r="F978">
        <v>29.72</v>
      </c>
      <c r="G978">
        <v>15.88</v>
      </c>
      <c r="H978">
        <v>0.1</v>
      </c>
      <c r="I978">
        <v>0.663</v>
      </c>
      <c r="J978">
        <v>21.82</v>
      </c>
      <c r="K978">
        <v>28.33</v>
      </c>
      <c r="L978">
        <v>16.73</v>
      </c>
      <c r="M978">
        <v>0.99</v>
      </c>
      <c r="N978">
        <v>0.718</v>
      </c>
      <c r="O978">
        <v>20.3</v>
      </c>
      <c r="P978">
        <v>25.13</v>
      </c>
      <c r="Q978">
        <v>16.68</v>
      </c>
      <c r="R978">
        <v>2.56</v>
      </c>
    </row>
    <row r="979">
      <c r="A979" s="9">
        <v>39510</v>
      </c>
      <c r="B979" s="2" t="inlineStr">
        <is>
          <t xml:space="preserve">2008-03</t>
        </is>
      </c>
      <c r="C979" s="2" t="inlineStr">
        <is>
          <t xml:space="preserve">2007/08</t>
        </is>
      </c>
      <c r="D979">
        <v>0.0</v>
      </c>
      <c r="E979">
        <v>23.12</v>
      </c>
      <c r="F979">
        <v>31.84</v>
      </c>
      <c r="G979">
        <v>16.23</v>
      </c>
      <c r="H979">
        <v>0.0</v>
      </c>
      <c r="I979">
        <v>0.0</v>
      </c>
      <c r="J979">
        <v>23.33</v>
      </c>
      <c r="K979">
        <v>31.23</v>
      </c>
      <c r="L979">
        <v>16.81</v>
      </c>
      <c r="M979">
        <v>0.0</v>
      </c>
      <c r="N979">
        <v>0.0</v>
      </c>
      <c r="O979">
        <v>22.28</v>
      </c>
      <c r="P979">
        <v>28.9</v>
      </c>
      <c r="Q979">
        <v>17.64</v>
      </c>
      <c r="R979">
        <v>0.0</v>
      </c>
    </row>
    <row r="980">
      <c r="A980" s="9">
        <v>39511</v>
      </c>
      <c r="B980" s="2" t="inlineStr">
        <is>
          <t xml:space="preserve">2008-03</t>
        </is>
      </c>
      <c r="C980" s="2" t="inlineStr">
        <is>
          <t xml:space="preserve">2007/08</t>
        </is>
      </c>
      <c r="D980">
        <v>0.0</v>
      </c>
      <c r="E980">
        <v>23.84</v>
      </c>
      <c r="F980">
        <v>33.02</v>
      </c>
      <c r="G980">
        <v>16.02</v>
      </c>
      <c r="H980">
        <v>0.0</v>
      </c>
      <c r="I980">
        <v>0.0</v>
      </c>
      <c r="J980">
        <v>24.0</v>
      </c>
      <c r="K980">
        <v>32.13</v>
      </c>
      <c r="L980">
        <v>17.4</v>
      </c>
      <c r="M980">
        <v>0.0</v>
      </c>
      <c r="N980">
        <v>0.0</v>
      </c>
      <c r="O980">
        <v>22.41</v>
      </c>
      <c r="P980">
        <v>29.5</v>
      </c>
      <c r="Q980">
        <v>16.54</v>
      </c>
      <c r="R980">
        <v>0.0</v>
      </c>
    </row>
    <row r="981">
      <c r="A981" s="9">
        <v>39512</v>
      </c>
      <c r="B981" s="2" t="inlineStr">
        <is>
          <t xml:space="preserve">2008-03</t>
        </is>
      </c>
      <c r="C981" s="2" t="inlineStr">
        <is>
          <t xml:space="preserve">2007/08</t>
        </is>
      </c>
      <c r="D981">
        <v>0.0</v>
      </c>
      <c r="E981">
        <v>24.24</v>
      </c>
      <c r="F981">
        <v>32.13</v>
      </c>
      <c r="G981">
        <v>17.63</v>
      </c>
      <c r="H981">
        <v>0.01</v>
      </c>
      <c r="I981">
        <v>0.0</v>
      </c>
      <c r="J981">
        <v>23.98</v>
      </c>
      <c r="K981">
        <v>30.99</v>
      </c>
      <c r="L981">
        <v>18.24</v>
      </c>
      <c r="M981">
        <v>0.0</v>
      </c>
      <c r="N981">
        <v>0.0</v>
      </c>
      <c r="O981">
        <v>22.62</v>
      </c>
      <c r="P981">
        <v>28.77</v>
      </c>
      <c r="Q981">
        <v>17.85</v>
      </c>
      <c r="R981">
        <v>0.0</v>
      </c>
    </row>
    <row r="982">
      <c r="A982" s="9">
        <v>39513</v>
      </c>
      <c r="B982" s="2" t="inlineStr">
        <is>
          <t xml:space="preserve">2008-03</t>
        </is>
      </c>
      <c r="C982" s="2" t="inlineStr">
        <is>
          <t xml:space="preserve">2007/08</t>
        </is>
      </c>
      <c r="D982">
        <v>0.065</v>
      </c>
      <c r="E982">
        <v>24.13</v>
      </c>
      <c r="F982">
        <v>32.29</v>
      </c>
      <c r="G982">
        <v>17.29</v>
      </c>
      <c r="H982">
        <v>0.06</v>
      </c>
      <c r="I982">
        <v>0.0</v>
      </c>
      <c r="J982">
        <v>23.38</v>
      </c>
      <c r="K982">
        <v>30.72</v>
      </c>
      <c r="L982">
        <v>18.07</v>
      </c>
      <c r="M982">
        <v>0.02</v>
      </c>
      <c r="N982">
        <v>0.0</v>
      </c>
      <c r="O982">
        <v>23.27</v>
      </c>
      <c r="P982">
        <v>29.72</v>
      </c>
      <c r="Q982">
        <v>17.75</v>
      </c>
      <c r="R982">
        <v>0.0</v>
      </c>
    </row>
    <row r="983">
      <c r="A983" s="9">
        <v>39514</v>
      </c>
      <c r="B983" s="2" t="inlineStr">
        <is>
          <t xml:space="preserve">2008-03</t>
        </is>
      </c>
      <c r="C983" s="2" t="inlineStr">
        <is>
          <t xml:space="preserve">2007/08</t>
        </is>
      </c>
      <c r="D983">
        <v>0.0</v>
      </c>
      <c r="E983">
        <v>24.13</v>
      </c>
      <c r="F983">
        <v>31.92</v>
      </c>
      <c r="G983">
        <v>17.03</v>
      </c>
      <c r="H983">
        <v>0.0</v>
      </c>
      <c r="I983">
        <v>0.0</v>
      </c>
      <c r="J983">
        <v>23.39</v>
      </c>
      <c r="K983">
        <v>31.23</v>
      </c>
      <c r="L983">
        <v>17.31</v>
      </c>
      <c r="M983">
        <v>0.0</v>
      </c>
      <c r="N983">
        <v>0.0</v>
      </c>
      <c r="O983">
        <v>23.69</v>
      </c>
      <c r="P983">
        <v>30.47</v>
      </c>
      <c r="Q983">
        <v>18.05</v>
      </c>
      <c r="R983">
        <v>0.0</v>
      </c>
    </row>
    <row r="984">
      <c r="A984" s="9">
        <v>39515</v>
      </c>
      <c r="B984" s="2" t="inlineStr">
        <is>
          <t xml:space="preserve">2008-03</t>
        </is>
      </c>
      <c r="C984" s="2" t="inlineStr">
        <is>
          <t xml:space="preserve">2007/08</t>
        </is>
      </c>
      <c r="D984">
        <v>0.0</v>
      </c>
      <c r="E984">
        <v>19.35</v>
      </c>
      <c r="F984">
        <v>24.59</v>
      </c>
      <c r="G984">
        <v>14.08</v>
      </c>
      <c r="H984">
        <v>1.73</v>
      </c>
      <c r="I984">
        <v>0.0</v>
      </c>
      <c r="J984">
        <v>18.54</v>
      </c>
      <c r="K984">
        <v>23.33</v>
      </c>
      <c r="L984">
        <v>13.93</v>
      </c>
      <c r="M984">
        <v>0.03</v>
      </c>
      <c r="N984">
        <v>0.0</v>
      </c>
      <c r="O984">
        <v>17.79</v>
      </c>
      <c r="P984">
        <v>21.51</v>
      </c>
      <c r="Q984">
        <v>13.49</v>
      </c>
      <c r="R984">
        <v>0.03</v>
      </c>
    </row>
    <row r="985">
      <c r="A985" s="9">
        <v>39516</v>
      </c>
      <c r="B985" s="2" t="inlineStr">
        <is>
          <t xml:space="preserve">2008-03</t>
        </is>
      </c>
      <c r="C985" s="2" t="inlineStr">
        <is>
          <t xml:space="preserve">2007/08</t>
        </is>
      </c>
      <c r="D985">
        <v>0.0</v>
      </c>
      <c r="E985">
        <v>20.54</v>
      </c>
      <c r="F985">
        <v>28.53</v>
      </c>
      <c r="G985">
        <v>14.27</v>
      </c>
      <c r="H985">
        <v>3.09</v>
      </c>
      <c r="I985">
        <v>0.184</v>
      </c>
      <c r="J985">
        <v>19.4</v>
      </c>
      <c r="K985">
        <v>26.73</v>
      </c>
      <c r="L985">
        <v>13.49</v>
      </c>
      <c r="M985">
        <v>0.16</v>
      </c>
      <c r="N985">
        <v>0.366</v>
      </c>
      <c r="O985">
        <v>18.21</v>
      </c>
      <c r="P985">
        <v>24.17</v>
      </c>
      <c r="Q985">
        <v>13.25</v>
      </c>
      <c r="R985">
        <v>0.17</v>
      </c>
    </row>
    <row r="986">
      <c r="A986" s="9">
        <v>39517</v>
      </c>
      <c r="B986" s="2" t="inlineStr">
        <is>
          <t xml:space="preserve">2008-03</t>
        </is>
      </c>
      <c r="C986" s="2" t="inlineStr">
        <is>
          <t xml:space="preserve">2007/08</t>
        </is>
      </c>
      <c r="D986">
        <v>0.113</v>
      </c>
      <c r="E986">
        <v>22.22</v>
      </c>
      <c r="F986">
        <v>30.06</v>
      </c>
      <c r="G986">
        <v>16.5</v>
      </c>
      <c r="H986">
        <v>0.81</v>
      </c>
      <c r="I986">
        <v>0.0</v>
      </c>
      <c r="J986">
        <v>22.43</v>
      </c>
      <c r="K986">
        <v>30.02</v>
      </c>
      <c r="L986">
        <v>16.27</v>
      </c>
      <c r="M986">
        <v>0.44</v>
      </c>
      <c r="N986">
        <v>0.0</v>
      </c>
      <c r="O986">
        <v>21.23</v>
      </c>
      <c r="P986">
        <v>27.39</v>
      </c>
      <c r="Q986">
        <v>16.65</v>
      </c>
      <c r="R986">
        <v>0.5</v>
      </c>
    </row>
    <row r="987">
      <c r="A987" s="9">
        <v>39518</v>
      </c>
      <c r="B987" s="2" t="inlineStr">
        <is>
          <t xml:space="preserve">2008-03</t>
        </is>
      </c>
      <c r="C987" s="2" t="inlineStr">
        <is>
          <t xml:space="preserve">2007/08</t>
        </is>
      </c>
      <c r="D987">
        <v>0.92</v>
      </c>
      <c r="E987">
        <v>21.91</v>
      </c>
      <c r="F987">
        <v>30.23</v>
      </c>
      <c r="G987">
        <v>16.62</v>
      </c>
      <c r="H987">
        <v>0.27</v>
      </c>
      <c r="I987">
        <v>0.659</v>
      </c>
      <c r="J987">
        <v>21.95</v>
      </c>
      <c r="K987">
        <v>29.01</v>
      </c>
      <c r="L987">
        <v>17.2</v>
      </c>
      <c r="M987">
        <v>0.32</v>
      </c>
      <c r="N987">
        <v>0.402</v>
      </c>
      <c r="O987">
        <v>20.85</v>
      </c>
      <c r="P987">
        <v>26.49</v>
      </c>
      <c r="Q987">
        <v>17.36</v>
      </c>
      <c r="R987">
        <v>0.64</v>
      </c>
    </row>
    <row r="988">
      <c r="A988" s="9">
        <v>39519</v>
      </c>
      <c r="B988" s="2" t="inlineStr">
        <is>
          <t xml:space="preserve">2008-03</t>
        </is>
      </c>
      <c r="C988" s="2" t="inlineStr">
        <is>
          <t xml:space="preserve">2007/08</t>
        </is>
      </c>
      <c r="D988">
        <v>0.087</v>
      </c>
      <c r="E988">
        <v>21.72</v>
      </c>
      <c r="F988">
        <v>29.95</v>
      </c>
      <c r="G988">
        <v>15.71</v>
      </c>
      <c r="H988">
        <v>0.08</v>
      </c>
      <c r="I988">
        <v>0.0</v>
      </c>
      <c r="J988">
        <v>21.23</v>
      </c>
      <c r="K988">
        <v>29.45</v>
      </c>
      <c r="L988">
        <v>14.38</v>
      </c>
      <c r="M988">
        <v>0.04</v>
      </c>
      <c r="N988">
        <v>0.0</v>
      </c>
      <c r="O988">
        <v>20.33</v>
      </c>
      <c r="P988">
        <v>26.62</v>
      </c>
      <c r="Q988">
        <v>16.02</v>
      </c>
      <c r="R988">
        <v>0.03</v>
      </c>
    </row>
    <row r="989">
      <c r="A989" s="9">
        <v>39520</v>
      </c>
      <c r="B989" s="2" t="inlineStr">
        <is>
          <t xml:space="preserve">2008-03</t>
        </is>
      </c>
      <c r="C989" s="2" t="inlineStr">
        <is>
          <t xml:space="preserve">2007/08</t>
        </is>
      </c>
      <c r="D989">
        <v>0.0</v>
      </c>
      <c r="E989">
        <v>22.51</v>
      </c>
      <c r="F989">
        <v>30.29</v>
      </c>
      <c r="G989">
        <v>15.87</v>
      </c>
      <c r="H989">
        <v>0.02</v>
      </c>
      <c r="I989">
        <v>0.0</v>
      </c>
      <c r="J989">
        <v>22.44</v>
      </c>
      <c r="K989">
        <v>29.99</v>
      </c>
      <c r="L989">
        <v>15.93</v>
      </c>
      <c r="M989">
        <v>0.05</v>
      </c>
      <c r="N989">
        <v>0.0</v>
      </c>
      <c r="O989">
        <v>21.57</v>
      </c>
      <c r="P989">
        <v>28.28</v>
      </c>
      <c r="Q989">
        <v>16.48</v>
      </c>
      <c r="R989">
        <v>0.01</v>
      </c>
    </row>
    <row r="990">
      <c r="A990" s="9">
        <v>39521</v>
      </c>
      <c r="B990" s="2" t="inlineStr">
        <is>
          <t xml:space="preserve">2008-03</t>
        </is>
      </c>
      <c r="C990" s="2" t="inlineStr">
        <is>
          <t xml:space="preserve">2007/08</t>
        </is>
      </c>
      <c r="D990">
        <v>0.0</v>
      </c>
      <c r="E990">
        <v>23.07</v>
      </c>
      <c r="F990">
        <v>31.65</v>
      </c>
      <c r="G990">
        <v>14.96</v>
      </c>
      <c r="H990">
        <v>0.01</v>
      </c>
      <c r="I990">
        <v>0.088</v>
      </c>
      <c r="J990">
        <v>22.6</v>
      </c>
      <c r="K990">
        <v>30.66</v>
      </c>
      <c r="L990">
        <v>16.21</v>
      </c>
      <c r="M990">
        <v>0.09</v>
      </c>
      <c r="N990">
        <v>0.0</v>
      </c>
      <c r="O990">
        <v>22.57</v>
      </c>
      <c r="P990">
        <v>30.34</v>
      </c>
      <c r="Q990">
        <v>15.27</v>
      </c>
      <c r="R990">
        <v>0.01</v>
      </c>
    </row>
    <row r="991">
      <c r="A991" s="9">
        <v>39522</v>
      </c>
      <c r="B991" s="2" t="inlineStr">
        <is>
          <t xml:space="preserve">2008-03</t>
        </is>
      </c>
      <c r="C991" s="2" t="inlineStr">
        <is>
          <t xml:space="preserve">2007/08</t>
        </is>
      </c>
      <c r="D991">
        <v>0.062</v>
      </c>
      <c r="E991">
        <v>24.26</v>
      </c>
      <c r="F991">
        <v>32.79</v>
      </c>
      <c r="G991">
        <v>15.88</v>
      </c>
      <c r="H991">
        <v>0.04</v>
      </c>
      <c r="I991">
        <v>0.0</v>
      </c>
      <c r="J991">
        <v>23.6</v>
      </c>
      <c r="K991">
        <v>32.41</v>
      </c>
      <c r="L991">
        <v>16.29</v>
      </c>
      <c r="M991">
        <v>0.03</v>
      </c>
      <c r="N991">
        <v>0.0</v>
      </c>
      <c r="O991">
        <v>23.71</v>
      </c>
      <c r="P991">
        <v>31.76</v>
      </c>
      <c r="Q991">
        <v>16.75</v>
      </c>
      <c r="R991">
        <v>0.02</v>
      </c>
    </row>
    <row r="992">
      <c r="A992" s="9">
        <v>39523</v>
      </c>
      <c r="B992" s="2" t="inlineStr">
        <is>
          <t xml:space="preserve">2008-03</t>
        </is>
      </c>
      <c r="C992" s="2" t="inlineStr">
        <is>
          <t xml:space="preserve">2007/08</t>
        </is>
      </c>
      <c r="D992">
        <v>0.0</v>
      </c>
      <c r="E992">
        <v>25.06</v>
      </c>
      <c r="F992">
        <v>33.67</v>
      </c>
      <c r="G992">
        <v>16.84</v>
      </c>
      <c r="H992">
        <v>0.0</v>
      </c>
      <c r="I992">
        <v>0.0</v>
      </c>
      <c r="J992">
        <v>24.82</v>
      </c>
      <c r="K992">
        <v>33.44</v>
      </c>
      <c r="L992">
        <v>17.49</v>
      </c>
      <c r="M992">
        <v>0.0</v>
      </c>
      <c r="N992">
        <v>0.0</v>
      </c>
      <c r="O992">
        <v>24.02</v>
      </c>
      <c r="P992">
        <v>31.72</v>
      </c>
      <c r="Q992">
        <v>18.25</v>
      </c>
      <c r="R992">
        <v>0.0</v>
      </c>
    </row>
    <row r="993">
      <c r="A993" s="9">
        <v>39524</v>
      </c>
      <c r="B993" s="2" t="inlineStr">
        <is>
          <t xml:space="preserve">2008-03</t>
        </is>
      </c>
      <c r="C993" s="2" t="inlineStr">
        <is>
          <t xml:space="preserve">2007/08</t>
        </is>
      </c>
      <c r="D993">
        <v>0.0</v>
      </c>
      <c r="E993">
        <v>23.99</v>
      </c>
      <c r="F993">
        <v>31.83</v>
      </c>
      <c r="G993">
        <v>16.61</v>
      </c>
      <c r="H993">
        <v>0.02</v>
      </c>
      <c r="I993">
        <v>0.0</v>
      </c>
      <c r="J993">
        <v>25.43</v>
      </c>
      <c r="K993">
        <v>33.24</v>
      </c>
      <c r="L993">
        <v>18.77</v>
      </c>
      <c r="M993">
        <v>0.0</v>
      </c>
      <c r="N993">
        <v>0.0</v>
      </c>
      <c r="O993">
        <v>24.02</v>
      </c>
      <c r="P993">
        <v>31.52</v>
      </c>
      <c r="Q993">
        <v>18.1</v>
      </c>
      <c r="R993">
        <v>0.0</v>
      </c>
    </row>
    <row r="994">
      <c r="A994" s="9">
        <v>39525</v>
      </c>
      <c r="B994" s="2" t="inlineStr">
        <is>
          <t xml:space="preserve">2008-03</t>
        </is>
      </c>
      <c r="C994" s="2" t="inlineStr">
        <is>
          <t xml:space="preserve">2007/08</t>
        </is>
      </c>
      <c r="D994">
        <v>0.0</v>
      </c>
      <c r="E994">
        <v>23.76</v>
      </c>
      <c r="F994">
        <v>30.8</v>
      </c>
      <c r="G994">
        <v>17.32</v>
      </c>
      <c r="H994">
        <v>0.1</v>
      </c>
      <c r="I994">
        <v>0.0</v>
      </c>
      <c r="J994">
        <v>24.81</v>
      </c>
      <c r="K994">
        <v>31.63</v>
      </c>
      <c r="L994">
        <v>20.75</v>
      </c>
      <c r="M994">
        <v>0.0</v>
      </c>
      <c r="N994">
        <v>0.0</v>
      </c>
      <c r="O994">
        <v>24.81</v>
      </c>
      <c r="P994">
        <v>31.41</v>
      </c>
      <c r="Q994">
        <v>20.18</v>
      </c>
      <c r="R994">
        <v>0.0</v>
      </c>
    </row>
    <row r="995">
      <c r="A995" s="9">
        <v>39526</v>
      </c>
      <c r="B995" s="2" t="inlineStr">
        <is>
          <t xml:space="preserve">2008-03</t>
        </is>
      </c>
      <c r="C995" s="2" t="inlineStr">
        <is>
          <t xml:space="preserve">2007/08</t>
        </is>
      </c>
      <c r="D995">
        <v>0.0</v>
      </c>
      <c r="E995">
        <v>24.77</v>
      </c>
      <c r="F995">
        <v>33.56</v>
      </c>
      <c r="G995">
        <v>16.44</v>
      </c>
      <c r="H995">
        <v>0.82</v>
      </c>
      <c r="I995">
        <v>0.0</v>
      </c>
      <c r="J995">
        <v>24.67</v>
      </c>
      <c r="K995">
        <v>32.36</v>
      </c>
      <c r="L995">
        <v>17.4</v>
      </c>
      <c r="M995">
        <v>0.48</v>
      </c>
      <c r="N995">
        <v>0.0</v>
      </c>
      <c r="O995">
        <v>24.39</v>
      </c>
      <c r="P995">
        <v>32.23</v>
      </c>
      <c r="Q995">
        <v>17.96</v>
      </c>
      <c r="R995">
        <v>0.52</v>
      </c>
    </row>
    <row r="996">
      <c r="A996" s="9">
        <v>39527</v>
      </c>
      <c r="B996" s="2" t="inlineStr">
        <is>
          <t xml:space="preserve">2008-03</t>
        </is>
      </c>
      <c r="C996" s="2" t="inlineStr">
        <is>
          <t xml:space="preserve">2007/08</t>
        </is>
      </c>
      <c r="D996">
        <v>2.671</v>
      </c>
      <c r="E996">
        <v>22.58</v>
      </c>
      <c r="F996">
        <v>29.63</v>
      </c>
      <c r="G996">
        <v>18.22</v>
      </c>
      <c r="H996">
        <v>3.05</v>
      </c>
      <c r="I996">
        <v>2.697</v>
      </c>
      <c r="J996">
        <v>21.69</v>
      </c>
      <c r="K996">
        <v>26.64</v>
      </c>
      <c r="L996">
        <v>16.87</v>
      </c>
      <c r="M996">
        <v>2.11</v>
      </c>
      <c r="N996">
        <v>3.881</v>
      </c>
      <c r="O996">
        <v>21.52</v>
      </c>
      <c r="P996">
        <v>26.42</v>
      </c>
      <c r="Q996">
        <v>18.45</v>
      </c>
      <c r="R996">
        <v>2.28</v>
      </c>
    </row>
    <row r="997">
      <c r="A997" s="9">
        <v>39528</v>
      </c>
      <c r="B997" s="2" t="inlineStr">
        <is>
          <t xml:space="preserve">2008-03</t>
        </is>
      </c>
      <c r="C997" s="2" t="inlineStr">
        <is>
          <t xml:space="preserve">2007/08</t>
        </is>
      </c>
      <c r="D997">
        <v>0.0</v>
      </c>
      <c r="E997">
        <v>21.65</v>
      </c>
      <c r="F997">
        <v>28.92</v>
      </c>
      <c r="G997">
        <v>17.07</v>
      </c>
      <c r="H997">
        <v>0.27</v>
      </c>
      <c r="I997">
        <v>0.381</v>
      </c>
      <c r="J997">
        <v>19.5</v>
      </c>
      <c r="K997">
        <v>26.36</v>
      </c>
      <c r="L997">
        <v>14.71</v>
      </c>
      <c r="M997">
        <v>0.22</v>
      </c>
      <c r="N997">
        <v>0.574</v>
      </c>
      <c r="O997">
        <v>19.34</v>
      </c>
      <c r="P997">
        <v>24.87</v>
      </c>
      <c r="Q997">
        <v>15.12</v>
      </c>
      <c r="R997">
        <v>0.2</v>
      </c>
    </row>
    <row r="998">
      <c r="A998" s="9">
        <v>39529</v>
      </c>
      <c r="B998" s="2" t="inlineStr">
        <is>
          <t xml:space="preserve">2008-03</t>
        </is>
      </c>
      <c r="C998" s="2" t="inlineStr">
        <is>
          <t xml:space="preserve">2007/08</t>
        </is>
      </c>
      <c r="D998">
        <v>0.0</v>
      </c>
      <c r="E998">
        <v>21.86</v>
      </c>
      <c r="F998">
        <v>29.9</v>
      </c>
      <c r="G998">
        <v>15.68</v>
      </c>
      <c r="H998">
        <v>0.33</v>
      </c>
      <c r="I998">
        <v>0.0</v>
      </c>
      <c r="J998">
        <v>21.71</v>
      </c>
      <c r="K998">
        <v>29.68</v>
      </c>
      <c r="L998">
        <v>15.43</v>
      </c>
      <c r="M998">
        <v>0.0</v>
      </c>
      <c r="N998">
        <v>0.0</v>
      </c>
      <c r="O998">
        <v>20.77</v>
      </c>
      <c r="P998">
        <v>27.48</v>
      </c>
      <c r="Q998">
        <v>15.55</v>
      </c>
      <c r="R998">
        <v>0.0</v>
      </c>
    </row>
    <row r="999">
      <c r="A999" s="9">
        <v>39530</v>
      </c>
      <c r="B999" s="2" t="inlineStr">
        <is>
          <t xml:space="preserve">2008-03</t>
        </is>
      </c>
      <c r="C999" s="2" t="inlineStr">
        <is>
          <t xml:space="preserve">2007/08</t>
        </is>
      </c>
      <c r="D999">
        <v>0.0</v>
      </c>
      <c r="E999">
        <v>22.97</v>
      </c>
      <c r="F999">
        <v>31.03</v>
      </c>
      <c r="G999">
        <v>16.86</v>
      </c>
      <c r="H999">
        <v>0.1</v>
      </c>
      <c r="I999">
        <v>0.0</v>
      </c>
      <c r="J999">
        <v>22.96</v>
      </c>
      <c r="K999">
        <v>31.06</v>
      </c>
      <c r="L999">
        <v>16.87</v>
      </c>
      <c r="M999">
        <v>0.29</v>
      </c>
      <c r="N999">
        <v>0.0</v>
      </c>
      <c r="O999">
        <v>21.93</v>
      </c>
      <c r="P999">
        <v>29.12</v>
      </c>
      <c r="Q999">
        <v>17.12</v>
      </c>
      <c r="R999">
        <v>0.2</v>
      </c>
    </row>
    <row r="1000">
      <c r="A1000" s="9">
        <v>39531</v>
      </c>
      <c r="B1000" s="2" t="inlineStr">
        <is>
          <t xml:space="preserve">2008-03</t>
        </is>
      </c>
      <c r="C1000" s="2" t="inlineStr">
        <is>
          <t xml:space="preserve">2007/08</t>
        </is>
      </c>
      <c r="D1000">
        <v>0.021</v>
      </c>
      <c r="E1000">
        <v>21.98</v>
      </c>
      <c r="F1000">
        <v>29.78</v>
      </c>
      <c r="G1000">
        <v>16.98</v>
      </c>
      <c r="H1000">
        <v>0.77</v>
      </c>
      <c r="I1000">
        <v>1.665</v>
      </c>
      <c r="J1000">
        <v>21.04</v>
      </c>
      <c r="K1000">
        <v>28.39</v>
      </c>
      <c r="L1000">
        <v>16.39</v>
      </c>
      <c r="M1000">
        <v>1.66</v>
      </c>
      <c r="N1000">
        <v>2.638</v>
      </c>
      <c r="O1000">
        <v>20.5</v>
      </c>
      <c r="P1000">
        <v>27.06</v>
      </c>
      <c r="Q1000">
        <v>16.36</v>
      </c>
      <c r="R1000">
        <v>3.08</v>
      </c>
    </row>
    <row r="1001">
      <c r="A1001" s="9">
        <v>39532</v>
      </c>
      <c r="B1001" s="2" t="inlineStr">
        <is>
          <t xml:space="preserve">2008-03</t>
        </is>
      </c>
      <c r="C1001" s="2" t="inlineStr">
        <is>
          <t xml:space="preserve">2007/08</t>
        </is>
      </c>
      <c r="D1001">
        <v>0.216</v>
      </c>
      <c r="E1001">
        <v>20.12</v>
      </c>
      <c r="F1001">
        <v>27.23</v>
      </c>
      <c r="G1001">
        <v>16.18</v>
      </c>
      <c r="H1001">
        <v>3.36</v>
      </c>
      <c r="I1001">
        <v>1.807</v>
      </c>
      <c r="J1001">
        <v>19.69</v>
      </c>
      <c r="K1001">
        <v>25.79</v>
      </c>
      <c r="L1001">
        <v>16.13</v>
      </c>
      <c r="M1001">
        <v>3.04</v>
      </c>
      <c r="N1001">
        <v>3.031</v>
      </c>
      <c r="O1001">
        <v>19.06</v>
      </c>
      <c r="P1001">
        <v>24.35</v>
      </c>
      <c r="Q1001">
        <v>16.31</v>
      </c>
      <c r="R1001">
        <v>6.51</v>
      </c>
    </row>
    <row r="1002">
      <c r="A1002" s="9">
        <v>39533</v>
      </c>
      <c r="B1002" s="2" t="inlineStr">
        <is>
          <t xml:space="preserve">2008-03</t>
        </is>
      </c>
      <c r="C1002" s="2" t="inlineStr">
        <is>
          <t xml:space="preserve">2007/08</t>
        </is>
      </c>
      <c r="D1002">
        <v>0.0</v>
      </c>
      <c r="E1002">
        <v>20.64</v>
      </c>
      <c r="F1002">
        <v>28.56</v>
      </c>
      <c r="G1002">
        <v>15.57</v>
      </c>
      <c r="H1002">
        <v>0.41</v>
      </c>
      <c r="I1002">
        <v>0.0</v>
      </c>
      <c r="J1002">
        <v>20.7</v>
      </c>
      <c r="K1002">
        <v>28.19</v>
      </c>
      <c r="L1002">
        <v>15.21</v>
      </c>
      <c r="M1002">
        <v>0.25</v>
      </c>
      <c r="N1002">
        <v>0.0</v>
      </c>
      <c r="O1002">
        <v>20.01</v>
      </c>
      <c r="P1002">
        <v>26.47</v>
      </c>
      <c r="Q1002">
        <v>15.58</v>
      </c>
      <c r="R1002">
        <v>0.87</v>
      </c>
    </row>
    <row r="1003">
      <c r="A1003" s="9">
        <v>39534</v>
      </c>
      <c r="B1003" s="2" t="inlineStr">
        <is>
          <t xml:space="preserve">2008-03</t>
        </is>
      </c>
      <c r="C1003" s="2" t="inlineStr">
        <is>
          <t xml:space="preserve">2007/08</t>
        </is>
      </c>
      <c r="D1003">
        <v>0.0</v>
      </c>
      <c r="E1003">
        <v>22.84</v>
      </c>
      <c r="F1003">
        <v>29.12</v>
      </c>
      <c r="G1003">
        <v>17.39</v>
      </c>
      <c r="H1003">
        <v>0.44</v>
      </c>
      <c r="I1003">
        <v>0.6</v>
      </c>
      <c r="J1003">
        <v>22.48</v>
      </c>
      <c r="K1003">
        <v>29.3</v>
      </c>
      <c r="L1003">
        <v>17.4</v>
      </c>
      <c r="M1003">
        <v>1.76</v>
      </c>
      <c r="N1003">
        <v>1.163</v>
      </c>
      <c r="O1003">
        <v>21.43</v>
      </c>
      <c r="P1003">
        <v>26.63</v>
      </c>
      <c r="Q1003">
        <v>18.15</v>
      </c>
      <c r="R1003">
        <v>5.86</v>
      </c>
    </row>
    <row r="1004">
      <c r="A1004" s="9">
        <v>39535</v>
      </c>
      <c r="B1004" s="2" t="inlineStr">
        <is>
          <t xml:space="preserve">2008-03</t>
        </is>
      </c>
      <c r="C1004" s="2" t="inlineStr">
        <is>
          <t xml:space="preserve">2007/08</t>
        </is>
      </c>
      <c r="D1004">
        <v>0.0</v>
      </c>
      <c r="E1004">
        <v>24.69</v>
      </c>
      <c r="F1004">
        <v>32.96</v>
      </c>
      <c r="G1004">
        <v>17.12</v>
      </c>
      <c r="H1004">
        <v>0.0</v>
      </c>
      <c r="I1004">
        <v>0.0</v>
      </c>
      <c r="J1004">
        <v>23.92</v>
      </c>
      <c r="K1004">
        <v>30.08</v>
      </c>
      <c r="L1004">
        <v>18.87</v>
      </c>
      <c r="M1004">
        <v>0.0</v>
      </c>
      <c r="N1004">
        <v>0.0</v>
      </c>
      <c r="O1004">
        <v>23.5</v>
      </c>
      <c r="P1004">
        <v>30.67</v>
      </c>
      <c r="Q1004">
        <v>19.11</v>
      </c>
      <c r="R1004">
        <v>0.0</v>
      </c>
    </row>
    <row r="1005">
      <c r="A1005" s="9">
        <v>39536</v>
      </c>
      <c r="B1005" s="2" t="inlineStr">
        <is>
          <t xml:space="preserve">2008-03</t>
        </is>
      </c>
      <c r="C1005" s="2" t="inlineStr">
        <is>
          <t xml:space="preserve">2007/08</t>
        </is>
      </c>
      <c r="D1005">
        <v>0.0</v>
      </c>
      <c r="E1005">
        <v>25.61</v>
      </c>
      <c r="F1005">
        <v>33.63</v>
      </c>
      <c r="G1005">
        <v>18.72</v>
      </c>
      <c r="H1005">
        <v>0.0</v>
      </c>
      <c r="I1005">
        <v>0.0</v>
      </c>
      <c r="J1005">
        <v>25.35</v>
      </c>
      <c r="K1005">
        <v>32.63</v>
      </c>
      <c r="L1005">
        <v>19.29</v>
      </c>
      <c r="M1005">
        <v>0.0</v>
      </c>
      <c r="N1005">
        <v>0.0</v>
      </c>
      <c r="O1005">
        <v>23.81</v>
      </c>
      <c r="P1005">
        <v>30.98</v>
      </c>
      <c r="Q1005">
        <v>18.56</v>
      </c>
      <c r="R1005">
        <v>0.0</v>
      </c>
    </row>
    <row r="1006">
      <c r="A1006" s="9">
        <v>39537</v>
      </c>
      <c r="B1006" s="2" t="inlineStr">
        <is>
          <t xml:space="preserve">2008-03</t>
        </is>
      </c>
      <c r="C1006" s="2" t="inlineStr">
        <is>
          <t xml:space="preserve">2007/08</t>
        </is>
      </c>
      <c r="D1006">
        <v>0.141</v>
      </c>
      <c r="E1006">
        <v>24.94</v>
      </c>
      <c r="F1006">
        <v>33.68</v>
      </c>
      <c r="G1006">
        <v>17.84</v>
      </c>
      <c r="H1006">
        <v>0.04</v>
      </c>
      <c r="I1006">
        <v>0.0</v>
      </c>
      <c r="J1006">
        <v>25.73</v>
      </c>
      <c r="K1006">
        <v>33.51</v>
      </c>
      <c r="L1006">
        <v>19.4</v>
      </c>
      <c r="M1006">
        <v>0.0</v>
      </c>
      <c r="N1006">
        <v>0.0</v>
      </c>
      <c r="O1006">
        <v>23.96</v>
      </c>
      <c r="P1006">
        <v>31.85</v>
      </c>
      <c r="Q1006">
        <v>18.36</v>
      </c>
      <c r="R1006">
        <v>0.02</v>
      </c>
    </row>
    <row r="1007">
      <c r="A1007" s="9">
        <v>39538</v>
      </c>
      <c r="B1007" s="2" t="inlineStr">
        <is>
          <t xml:space="preserve">2008-03</t>
        </is>
      </c>
      <c r="C1007" s="2" t="inlineStr">
        <is>
          <t xml:space="preserve">2007/08</t>
        </is>
      </c>
      <c r="D1007">
        <v>0.0</v>
      </c>
      <c r="E1007">
        <v>24.65</v>
      </c>
      <c r="F1007">
        <v>32.96</v>
      </c>
      <c r="G1007">
        <v>18.06</v>
      </c>
      <c r="H1007">
        <v>0.0</v>
      </c>
      <c r="I1007">
        <v>0.0</v>
      </c>
      <c r="J1007">
        <v>24.61</v>
      </c>
      <c r="K1007">
        <v>32.8</v>
      </c>
      <c r="L1007">
        <v>18.21</v>
      </c>
      <c r="M1007">
        <v>0.01</v>
      </c>
      <c r="N1007">
        <v>0.0</v>
      </c>
      <c r="O1007">
        <v>22.98</v>
      </c>
      <c r="P1007">
        <v>30.11</v>
      </c>
      <c r="Q1007">
        <v>18.09</v>
      </c>
      <c r="R1007">
        <v>0.03</v>
      </c>
    </row>
    <row r="1008">
      <c r="A1008" s="9">
        <v>39539</v>
      </c>
      <c r="B1008" s="2" t="inlineStr">
        <is>
          <t xml:space="preserve">2008-04</t>
        </is>
      </c>
      <c r="C1008" s="2" t="inlineStr">
        <is>
          <t xml:space="preserve">2007/08</t>
        </is>
      </c>
      <c r="D1008">
        <v>0.0</v>
      </c>
      <c r="E1008">
        <v>24.89</v>
      </c>
      <c r="F1008">
        <v>32.65</v>
      </c>
      <c r="G1008">
        <v>17.81</v>
      </c>
      <c r="H1008">
        <v>0.2</v>
      </c>
      <c r="I1008">
        <v>0.0</v>
      </c>
      <c r="J1008">
        <v>24.98</v>
      </c>
      <c r="K1008">
        <v>33.39</v>
      </c>
      <c r="L1008">
        <v>17.45</v>
      </c>
      <c r="M1008">
        <v>1.19</v>
      </c>
      <c r="N1008">
        <v>0.0</v>
      </c>
      <c r="O1008">
        <v>23.56</v>
      </c>
      <c r="P1008">
        <v>31.26</v>
      </c>
      <c r="Q1008">
        <v>17.85</v>
      </c>
      <c r="R1008">
        <v>1.21</v>
      </c>
    </row>
    <row r="1009">
      <c r="A1009" s="9">
        <v>39540</v>
      </c>
      <c r="B1009" s="2" t="inlineStr">
        <is>
          <t xml:space="preserve">2008-04</t>
        </is>
      </c>
      <c r="C1009" s="2" t="inlineStr">
        <is>
          <t xml:space="preserve">2007/08</t>
        </is>
      </c>
      <c r="D1009">
        <v>0.039</v>
      </c>
      <c r="E1009">
        <v>24.67</v>
      </c>
      <c r="F1009">
        <v>32.6</v>
      </c>
      <c r="G1009">
        <v>18.6</v>
      </c>
      <c r="H1009">
        <v>0.3</v>
      </c>
      <c r="I1009">
        <v>5.198</v>
      </c>
      <c r="J1009">
        <v>23.48</v>
      </c>
      <c r="K1009">
        <v>29.7</v>
      </c>
      <c r="L1009">
        <v>18.85</v>
      </c>
      <c r="M1009">
        <v>3.61</v>
      </c>
      <c r="N1009">
        <v>7.797</v>
      </c>
      <c r="O1009">
        <v>22.59</v>
      </c>
      <c r="P1009">
        <v>28.77</v>
      </c>
      <c r="Q1009">
        <v>18.9</v>
      </c>
      <c r="R1009">
        <v>3.67</v>
      </c>
    </row>
    <row r="1010">
      <c r="A1010" s="9">
        <v>39541</v>
      </c>
      <c r="B1010" s="2" t="inlineStr">
        <is>
          <t xml:space="preserve">2008-04</t>
        </is>
      </c>
      <c r="C1010" s="2" t="inlineStr">
        <is>
          <t xml:space="preserve">2007/08</t>
        </is>
      </c>
      <c r="D1010">
        <v>0.0</v>
      </c>
      <c r="E1010">
        <v>23.64</v>
      </c>
      <c r="F1010">
        <v>31.8</v>
      </c>
      <c r="G1010">
        <v>17.25</v>
      </c>
      <c r="H1010">
        <v>0.42</v>
      </c>
      <c r="I1010">
        <v>1.106</v>
      </c>
      <c r="J1010">
        <v>23.17</v>
      </c>
      <c r="K1010">
        <v>30.56</v>
      </c>
      <c r="L1010">
        <v>17.14</v>
      </c>
      <c r="M1010">
        <v>0.61</v>
      </c>
      <c r="N1010">
        <v>1.688</v>
      </c>
      <c r="O1010">
        <v>22.11</v>
      </c>
      <c r="P1010">
        <v>28.91</v>
      </c>
      <c r="Q1010">
        <v>17.47</v>
      </c>
      <c r="R1010">
        <v>0.77</v>
      </c>
    </row>
    <row r="1011">
      <c r="A1011" s="9">
        <v>39542</v>
      </c>
      <c r="B1011" s="2" t="inlineStr">
        <is>
          <t xml:space="preserve">2008-04</t>
        </is>
      </c>
      <c r="C1011" s="2" t="inlineStr">
        <is>
          <t xml:space="preserve">2007/08</t>
        </is>
      </c>
      <c r="D1011">
        <v>0.166</v>
      </c>
      <c r="E1011">
        <v>24.63</v>
      </c>
      <c r="F1011">
        <v>32.28</v>
      </c>
      <c r="G1011">
        <v>18.03</v>
      </c>
      <c r="H1011">
        <v>0.14</v>
      </c>
      <c r="I1011">
        <v>0.0</v>
      </c>
      <c r="J1011">
        <v>23.52</v>
      </c>
      <c r="K1011">
        <v>29.73</v>
      </c>
      <c r="L1011">
        <v>18.56</v>
      </c>
      <c r="M1011">
        <v>0.23</v>
      </c>
      <c r="N1011">
        <v>0.0</v>
      </c>
      <c r="O1011">
        <v>24.08</v>
      </c>
      <c r="P1011">
        <v>31.1</v>
      </c>
      <c r="Q1011">
        <v>18.97</v>
      </c>
      <c r="R1011">
        <v>0.01</v>
      </c>
    </row>
    <row r="1012">
      <c r="A1012" s="9">
        <v>39543</v>
      </c>
      <c r="B1012" s="2" t="inlineStr">
        <is>
          <t xml:space="preserve">2008-04</t>
        </is>
      </c>
      <c r="C1012" s="2" t="inlineStr">
        <is>
          <t xml:space="preserve">2007/08</t>
        </is>
      </c>
      <c r="D1012">
        <v>0.033</v>
      </c>
      <c r="E1012">
        <v>25.05</v>
      </c>
      <c r="F1012">
        <v>32.68</v>
      </c>
      <c r="G1012">
        <v>18.63</v>
      </c>
      <c r="H1012">
        <v>0.04</v>
      </c>
      <c r="I1012">
        <v>0.651</v>
      </c>
      <c r="J1012">
        <v>24.2</v>
      </c>
      <c r="K1012">
        <v>31.84</v>
      </c>
      <c r="L1012">
        <v>18.54</v>
      </c>
      <c r="M1012">
        <v>0.81</v>
      </c>
      <c r="N1012">
        <v>0.0</v>
      </c>
      <c r="O1012">
        <v>25.64</v>
      </c>
      <c r="P1012">
        <v>33.44</v>
      </c>
      <c r="Q1012">
        <v>19.17</v>
      </c>
      <c r="R1012">
        <v>0.07</v>
      </c>
    </row>
    <row r="1013">
      <c r="A1013" s="9">
        <v>39544</v>
      </c>
      <c r="B1013" s="2" t="inlineStr">
        <is>
          <t xml:space="preserve">2008-04</t>
        </is>
      </c>
      <c r="C1013" s="2" t="inlineStr">
        <is>
          <t xml:space="preserve">2007/08</t>
        </is>
      </c>
      <c r="D1013">
        <v>0.126</v>
      </c>
      <c r="E1013">
        <v>25.68</v>
      </c>
      <c r="F1013">
        <v>33.15</v>
      </c>
      <c r="G1013">
        <v>18.67</v>
      </c>
      <c r="H1013">
        <v>0.13</v>
      </c>
      <c r="I1013">
        <v>0.0</v>
      </c>
      <c r="J1013">
        <v>24.97</v>
      </c>
      <c r="K1013">
        <v>33.37</v>
      </c>
      <c r="L1013">
        <v>18.52</v>
      </c>
      <c r="M1013">
        <v>0.06</v>
      </c>
      <c r="N1013">
        <v>0.0</v>
      </c>
      <c r="O1013">
        <v>26.31</v>
      </c>
      <c r="P1013">
        <v>34.17</v>
      </c>
      <c r="Q1013">
        <v>20.36</v>
      </c>
      <c r="R1013">
        <v>0.08</v>
      </c>
    </row>
    <row r="1014">
      <c r="A1014" s="9">
        <v>39545</v>
      </c>
      <c r="B1014" s="2" t="inlineStr">
        <is>
          <t xml:space="preserve">2008-04</t>
        </is>
      </c>
      <c r="C1014" s="2" t="inlineStr">
        <is>
          <t xml:space="preserve">2007/08</t>
        </is>
      </c>
      <c r="D1014">
        <v>0.215</v>
      </c>
      <c r="E1014">
        <v>26.39</v>
      </c>
      <c r="F1014">
        <v>33.88</v>
      </c>
      <c r="G1014">
        <v>19.74</v>
      </c>
      <c r="H1014">
        <v>0.69</v>
      </c>
      <c r="I1014">
        <v>1.024</v>
      </c>
      <c r="J1014">
        <v>25.56</v>
      </c>
      <c r="K1014">
        <v>33.54</v>
      </c>
      <c r="L1014">
        <v>18.31</v>
      </c>
      <c r="M1014">
        <v>0.94</v>
      </c>
      <c r="N1014">
        <v>0.971</v>
      </c>
      <c r="O1014">
        <v>26.2</v>
      </c>
      <c r="P1014">
        <v>33.65</v>
      </c>
      <c r="Q1014">
        <v>19.02</v>
      </c>
      <c r="R1014">
        <v>0.86</v>
      </c>
    </row>
    <row r="1015">
      <c r="A1015" s="9">
        <v>39546</v>
      </c>
      <c r="B1015" s="2" t="inlineStr">
        <is>
          <t xml:space="preserve">2008-04</t>
        </is>
      </c>
      <c r="C1015" s="2" t="inlineStr">
        <is>
          <t xml:space="preserve">2007/08</t>
        </is>
      </c>
      <c r="D1015">
        <v>5.651</v>
      </c>
      <c r="E1015">
        <v>25.77</v>
      </c>
      <c r="F1015">
        <v>33.36</v>
      </c>
      <c r="G1015">
        <v>19.63</v>
      </c>
      <c r="H1015">
        <v>2.22</v>
      </c>
      <c r="I1015">
        <v>0.119</v>
      </c>
      <c r="J1015">
        <v>26.06</v>
      </c>
      <c r="K1015">
        <v>34.02</v>
      </c>
      <c r="L1015">
        <v>19.83</v>
      </c>
      <c r="M1015">
        <v>0.24</v>
      </c>
      <c r="N1015">
        <v>0.116</v>
      </c>
      <c r="O1015">
        <v>25.69</v>
      </c>
      <c r="P1015">
        <v>33.0</v>
      </c>
      <c r="Q1015">
        <v>19.96</v>
      </c>
      <c r="R1015">
        <v>0.56</v>
      </c>
    </row>
    <row r="1016">
      <c r="A1016" s="9">
        <v>39547</v>
      </c>
      <c r="B1016" s="2" t="inlineStr">
        <is>
          <t xml:space="preserve">2008-04</t>
        </is>
      </c>
      <c r="C1016" s="2" t="inlineStr">
        <is>
          <t xml:space="preserve">2007/08</t>
        </is>
      </c>
      <c r="D1016">
        <v>0.432</v>
      </c>
      <c r="E1016">
        <v>25.31</v>
      </c>
      <c r="F1016">
        <v>31.44</v>
      </c>
      <c r="G1016">
        <v>19.67</v>
      </c>
      <c r="H1016">
        <v>0.29</v>
      </c>
      <c r="I1016">
        <v>0.139</v>
      </c>
      <c r="J1016">
        <v>26.18</v>
      </c>
      <c r="K1016">
        <v>34.59</v>
      </c>
      <c r="L1016">
        <v>19.66</v>
      </c>
      <c r="M1016">
        <v>0.37</v>
      </c>
      <c r="N1016">
        <v>0.0</v>
      </c>
      <c r="O1016">
        <v>25.98</v>
      </c>
      <c r="P1016">
        <v>33.98</v>
      </c>
      <c r="Q1016">
        <v>19.64</v>
      </c>
      <c r="R1016">
        <v>0.17</v>
      </c>
    </row>
    <row r="1017">
      <c r="A1017" s="9">
        <v>39548</v>
      </c>
      <c r="B1017" s="2" t="inlineStr">
        <is>
          <t xml:space="preserve">2008-04</t>
        </is>
      </c>
      <c r="C1017" s="2" t="inlineStr">
        <is>
          <t xml:space="preserve">2007/08</t>
        </is>
      </c>
      <c r="D1017">
        <v>1.146</v>
      </c>
      <c r="E1017">
        <v>25.48</v>
      </c>
      <c r="F1017">
        <v>32.54</v>
      </c>
      <c r="G1017">
        <v>19.14</v>
      </c>
      <c r="H1017">
        <v>0.51</v>
      </c>
      <c r="I1017">
        <v>1.087</v>
      </c>
      <c r="J1017">
        <v>24.94</v>
      </c>
      <c r="K1017">
        <v>31.5</v>
      </c>
      <c r="L1017">
        <v>20.31</v>
      </c>
      <c r="M1017">
        <v>0.75</v>
      </c>
      <c r="N1017">
        <v>0.55</v>
      </c>
      <c r="O1017">
        <v>26.45</v>
      </c>
      <c r="P1017">
        <v>34.23</v>
      </c>
      <c r="Q1017">
        <v>20.04</v>
      </c>
      <c r="R1017">
        <v>0.44</v>
      </c>
    </row>
    <row r="1018">
      <c r="A1018" s="9">
        <v>39549</v>
      </c>
      <c r="B1018" s="2" t="inlineStr">
        <is>
          <t xml:space="preserve">2008-04</t>
        </is>
      </c>
      <c r="C1018" s="2" t="inlineStr">
        <is>
          <t xml:space="preserve">2007/08</t>
        </is>
      </c>
      <c r="D1018">
        <v>0.0</v>
      </c>
      <c r="E1018">
        <v>25.91</v>
      </c>
      <c r="F1018">
        <v>33.41</v>
      </c>
      <c r="G1018">
        <v>19.36</v>
      </c>
      <c r="H1018">
        <v>0.27</v>
      </c>
      <c r="I1018">
        <v>0.0</v>
      </c>
      <c r="J1018">
        <v>24.75</v>
      </c>
      <c r="K1018">
        <v>31.04</v>
      </c>
      <c r="L1018">
        <v>19.96</v>
      </c>
      <c r="M1018">
        <v>0.71</v>
      </c>
      <c r="N1018">
        <v>0.0</v>
      </c>
      <c r="O1018">
        <v>25.61</v>
      </c>
      <c r="P1018">
        <v>32.43</v>
      </c>
      <c r="Q1018">
        <v>21.44</v>
      </c>
      <c r="R1018">
        <v>0.93</v>
      </c>
    </row>
    <row r="1019">
      <c r="A1019" s="9">
        <v>39550</v>
      </c>
      <c r="B1019" s="2" t="inlineStr">
        <is>
          <t xml:space="preserve">2008-04</t>
        </is>
      </c>
      <c r="C1019" s="2" t="inlineStr">
        <is>
          <t xml:space="preserve">2007/08</t>
        </is>
      </c>
      <c r="D1019">
        <v>2.912</v>
      </c>
      <c r="E1019">
        <v>25.1</v>
      </c>
      <c r="F1019">
        <v>32.32</v>
      </c>
      <c r="G1019">
        <v>20.22</v>
      </c>
      <c r="H1019">
        <v>5.78</v>
      </c>
      <c r="I1019">
        <v>11.609</v>
      </c>
      <c r="J1019">
        <v>23.91</v>
      </c>
      <c r="K1019">
        <v>29.16</v>
      </c>
      <c r="L1019">
        <v>20.63</v>
      </c>
      <c r="M1019">
        <v>19.36</v>
      </c>
      <c r="N1019">
        <v>15.364</v>
      </c>
      <c r="O1019">
        <v>23.16</v>
      </c>
      <c r="P1019">
        <v>27.34</v>
      </c>
      <c r="Q1019">
        <v>20.86</v>
      </c>
      <c r="R1019">
        <v>15.35</v>
      </c>
    </row>
    <row r="1020">
      <c r="A1020" s="9">
        <v>39551</v>
      </c>
      <c r="B1020" s="2" t="inlineStr">
        <is>
          <t xml:space="preserve">2008-04</t>
        </is>
      </c>
      <c r="C1020" s="2" t="inlineStr">
        <is>
          <t xml:space="preserve">2007/08</t>
        </is>
      </c>
      <c r="D1020">
        <v>16.173</v>
      </c>
      <c r="E1020">
        <v>21.7</v>
      </c>
      <c r="F1020">
        <v>26.08</v>
      </c>
      <c r="G1020">
        <v>18.49</v>
      </c>
      <c r="H1020">
        <v>9.39</v>
      </c>
      <c r="I1020">
        <v>18.241</v>
      </c>
      <c r="J1020">
        <v>21.19</v>
      </c>
      <c r="K1020">
        <v>24.3</v>
      </c>
      <c r="L1020">
        <v>18.8</v>
      </c>
      <c r="M1020">
        <v>8.65</v>
      </c>
      <c r="N1020">
        <v>13.466</v>
      </c>
      <c r="O1020">
        <v>20.86</v>
      </c>
      <c r="P1020">
        <v>23.38</v>
      </c>
      <c r="Q1020">
        <v>18.66</v>
      </c>
      <c r="R1020">
        <v>11.74</v>
      </c>
    </row>
    <row r="1021">
      <c r="A1021" s="9">
        <v>39552</v>
      </c>
      <c r="B1021" s="2" t="inlineStr">
        <is>
          <t xml:space="preserve">2008-04</t>
        </is>
      </c>
      <c r="C1021" s="2" t="inlineStr">
        <is>
          <t xml:space="preserve">2007/08</t>
        </is>
      </c>
      <c r="D1021">
        <v>2.741</v>
      </c>
      <c r="E1021">
        <v>22.44</v>
      </c>
      <c r="F1021">
        <v>30.5</v>
      </c>
      <c r="G1021">
        <v>17.46</v>
      </c>
      <c r="H1021">
        <v>2.07</v>
      </c>
      <c r="I1021">
        <v>0.552</v>
      </c>
      <c r="J1021">
        <v>21.71</v>
      </c>
      <c r="K1021">
        <v>28.3</v>
      </c>
      <c r="L1021">
        <v>17.53</v>
      </c>
      <c r="M1021">
        <v>1.7</v>
      </c>
      <c r="N1021">
        <v>1.028</v>
      </c>
      <c r="O1021">
        <v>20.87</v>
      </c>
      <c r="P1021">
        <v>26.06</v>
      </c>
      <c r="Q1021">
        <v>17.66</v>
      </c>
      <c r="R1021">
        <v>4.51</v>
      </c>
    </row>
    <row r="1022">
      <c r="A1022" s="9">
        <v>39553</v>
      </c>
      <c r="B1022" s="2" t="inlineStr">
        <is>
          <t xml:space="preserve">2008-04</t>
        </is>
      </c>
      <c r="C1022" s="2" t="inlineStr">
        <is>
          <t xml:space="preserve">2007/08</t>
        </is>
      </c>
      <c r="D1022">
        <v>1.047</v>
      </c>
      <c r="E1022">
        <v>20.78</v>
      </c>
      <c r="F1022">
        <v>27.55</v>
      </c>
      <c r="G1022">
        <v>16.61</v>
      </c>
      <c r="H1022">
        <v>5.8</v>
      </c>
      <c r="I1022">
        <v>8.001</v>
      </c>
      <c r="J1022">
        <v>20.5</v>
      </c>
      <c r="K1022">
        <v>27.01</v>
      </c>
      <c r="L1022">
        <v>16.83</v>
      </c>
      <c r="M1022">
        <v>7.96</v>
      </c>
      <c r="N1022">
        <v>11.779</v>
      </c>
      <c r="O1022">
        <v>19.93</v>
      </c>
      <c r="P1022">
        <v>25.25</v>
      </c>
      <c r="Q1022">
        <v>16.74</v>
      </c>
      <c r="R1022">
        <v>10.15</v>
      </c>
    </row>
    <row r="1023">
      <c r="A1023" s="9">
        <v>39554</v>
      </c>
      <c r="B1023" s="2" t="inlineStr">
        <is>
          <t xml:space="preserve">2008-04</t>
        </is>
      </c>
      <c r="C1023" s="2" t="inlineStr">
        <is>
          <t xml:space="preserve">2007/08</t>
        </is>
      </c>
      <c r="D1023">
        <v>1.108</v>
      </c>
      <c r="E1023">
        <v>20.66</v>
      </c>
      <c r="F1023">
        <v>28.08</v>
      </c>
      <c r="G1023">
        <v>16.44</v>
      </c>
      <c r="H1023">
        <v>1.53</v>
      </c>
      <c r="I1023">
        <v>1.505</v>
      </c>
      <c r="J1023">
        <v>20.21</v>
      </c>
      <c r="K1023">
        <v>27.14</v>
      </c>
      <c r="L1023">
        <v>15.59</v>
      </c>
      <c r="M1023">
        <v>1.29</v>
      </c>
      <c r="N1023">
        <v>1.421</v>
      </c>
      <c r="O1023">
        <v>19.29</v>
      </c>
      <c r="P1023">
        <v>25.06</v>
      </c>
      <c r="Q1023">
        <v>16.11</v>
      </c>
      <c r="R1023">
        <v>1.32</v>
      </c>
    </row>
    <row r="1024">
      <c r="A1024" s="9">
        <v>39555</v>
      </c>
      <c r="B1024" s="2" t="inlineStr">
        <is>
          <t xml:space="preserve">2008-04</t>
        </is>
      </c>
      <c r="C1024" s="2" t="inlineStr">
        <is>
          <t xml:space="preserve">2007/08</t>
        </is>
      </c>
      <c r="D1024">
        <v>0.0</v>
      </c>
      <c r="E1024">
        <v>22.13</v>
      </c>
      <c r="F1024">
        <v>30.15</v>
      </c>
      <c r="G1024">
        <v>15.41</v>
      </c>
      <c r="H1024">
        <v>0.32</v>
      </c>
      <c r="I1024">
        <v>1.482</v>
      </c>
      <c r="J1024">
        <v>22.54</v>
      </c>
      <c r="K1024">
        <v>30.94</v>
      </c>
      <c r="L1024">
        <v>15.49</v>
      </c>
      <c r="M1024">
        <v>1.16</v>
      </c>
      <c r="N1024">
        <v>2.276</v>
      </c>
      <c r="O1024">
        <v>20.63</v>
      </c>
      <c r="P1024">
        <v>27.97</v>
      </c>
      <c r="Q1024">
        <v>15.69</v>
      </c>
      <c r="R1024">
        <v>1.49</v>
      </c>
    </row>
    <row r="1025">
      <c r="A1025" s="9">
        <v>39556</v>
      </c>
      <c r="B1025" s="2" t="inlineStr">
        <is>
          <t xml:space="preserve">2008-04</t>
        </is>
      </c>
      <c r="C1025" s="2" t="inlineStr">
        <is>
          <t xml:space="preserve">2007/08</t>
        </is>
      </c>
      <c r="D1025">
        <v>0.0</v>
      </c>
      <c r="E1025">
        <v>24.6</v>
      </c>
      <c r="F1025">
        <v>33.42</v>
      </c>
      <c r="G1025">
        <v>17.1</v>
      </c>
      <c r="H1025">
        <v>0.0</v>
      </c>
      <c r="I1025">
        <v>0.0</v>
      </c>
      <c r="J1025">
        <v>24.26</v>
      </c>
      <c r="K1025">
        <v>32.94</v>
      </c>
      <c r="L1025">
        <v>16.79</v>
      </c>
      <c r="M1025">
        <v>0.01</v>
      </c>
      <c r="N1025">
        <v>0.0</v>
      </c>
      <c r="O1025">
        <v>22.9</v>
      </c>
      <c r="P1025">
        <v>30.68</v>
      </c>
      <c r="Q1025">
        <v>16.88</v>
      </c>
      <c r="R1025">
        <v>0.01</v>
      </c>
    </row>
    <row r="1026">
      <c r="A1026" s="9">
        <v>39557</v>
      </c>
      <c r="B1026" s="2" t="inlineStr">
        <is>
          <t xml:space="preserve">2008-04</t>
        </is>
      </c>
      <c r="C1026" s="2" t="inlineStr">
        <is>
          <t xml:space="preserve">2007/08</t>
        </is>
      </c>
      <c r="D1026">
        <v>0.0</v>
      </c>
      <c r="E1026">
        <v>24.35</v>
      </c>
      <c r="F1026">
        <v>30.59</v>
      </c>
      <c r="G1026">
        <v>19.98</v>
      </c>
      <c r="H1026">
        <v>0.14</v>
      </c>
      <c r="I1026">
        <v>0.021</v>
      </c>
      <c r="J1026">
        <v>24.42</v>
      </c>
      <c r="K1026">
        <v>31.78</v>
      </c>
      <c r="L1026">
        <v>18.9</v>
      </c>
      <c r="M1026">
        <v>0.48</v>
      </c>
      <c r="N1026">
        <v>0.1</v>
      </c>
      <c r="O1026">
        <v>23.25</v>
      </c>
      <c r="P1026">
        <v>29.88</v>
      </c>
      <c r="Q1026">
        <v>18.85</v>
      </c>
      <c r="R1026">
        <v>1.49</v>
      </c>
    </row>
    <row r="1027">
      <c r="A1027" s="9">
        <v>39558</v>
      </c>
      <c r="B1027" s="2" t="inlineStr">
        <is>
          <t xml:space="preserve">2008-04</t>
        </is>
      </c>
      <c r="C1027" s="2" t="inlineStr">
        <is>
          <t xml:space="preserve">2007/08</t>
        </is>
      </c>
      <c r="D1027">
        <v>0.038</v>
      </c>
      <c r="E1027">
        <v>25.12</v>
      </c>
      <c r="F1027">
        <v>32.7</v>
      </c>
      <c r="G1027">
        <v>19.73</v>
      </c>
      <c r="H1027">
        <v>0.54</v>
      </c>
      <c r="I1027">
        <v>1.15</v>
      </c>
      <c r="J1027">
        <v>23.3</v>
      </c>
      <c r="K1027">
        <v>28.58</v>
      </c>
      <c r="L1027">
        <v>19.19</v>
      </c>
      <c r="M1027">
        <v>2.43</v>
      </c>
      <c r="N1027">
        <v>2.042</v>
      </c>
      <c r="O1027">
        <v>22.94</v>
      </c>
      <c r="P1027">
        <v>28.88</v>
      </c>
      <c r="Q1027">
        <v>19.18</v>
      </c>
      <c r="R1027">
        <v>7.36</v>
      </c>
    </row>
    <row r="1028">
      <c r="A1028" s="9">
        <v>39559</v>
      </c>
      <c r="B1028" s="2" t="inlineStr">
        <is>
          <t xml:space="preserve">2008-04</t>
        </is>
      </c>
      <c r="C1028" s="2" t="inlineStr">
        <is>
          <t xml:space="preserve">2007/08</t>
        </is>
      </c>
      <c r="D1028">
        <v>0.039</v>
      </c>
      <c r="E1028">
        <v>25.36</v>
      </c>
      <c r="F1028">
        <v>32.49</v>
      </c>
      <c r="G1028">
        <v>18.94</v>
      </c>
      <c r="H1028">
        <v>0.32</v>
      </c>
      <c r="I1028">
        <v>0.02</v>
      </c>
      <c r="J1028">
        <v>24.92</v>
      </c>
      <c r="K1028">
        <v>31.06</v>
      </c>
      <c r="L1028">
        <v>20.08</v>
      </c>
      <c r="M1028">
        <v>0.55</v>
      </c>
      <c r="N1028">
        <v>0.063</v>
      </c>
      <c r="O1028">
        <v>24.16</v>
      </c>
      <c r="P1028">
        <v>30.65</v>
      </c>
      <c r="Q1028">
        <v>19.36</v>
      </c>
      <c r="R1028">
        <v>0.52</v>
      </c>
    </row>
    <row r="1029">
      <c r="A1029" s="9">
        <v>39560</v>
      </c>
      <c r="B1029" s="2" t="inlineStr">
        <is>
          <t xml:space="preserve">2008-04</t>
        </is>
      </c>
      <c r="C1029" s="2" t="inlineStr">
        <is>
          <t xml:space="preserve">2007/08</t>
        </is>
      </c>
      <c r="D1029">
        <v>0.54</v>
      </c>
      <c r="E1029">
        <v>25.79</v>
      </c>
      <c r="F1029">
        <v>33.8</v>
      </c>
      <c r="G1029">
        <v>19.02</v>
      </c>
      <c r="H1029">
        <v>0.17</v>
      </c>
      <c r="I1029">
        <v>0.96</v>
      </c>
      <c r="J1029">
        <v>25.21</v>
      </c>
      <c r="K1029">
        <v>31.01</v>
      </c>
      <c r="L1029">
        <v>20.35</v>
      </c>
      <c r="M1029">
        <v>1.31</v>
      </c>
      <c r="N1029">
        <v>0.172</v>
      </c>
      <c r="O1029">
        <v>24.45</v>
      </c>
      <c r="P1029">
        <v>31.52</v>
      </c>
      <c r="Q1029">
        <v>19.41</v>
      </c>
      <c r="R1029">
        <v>0.8</v>
      </c>
    </row>
    <row r="1030">
      <c r="A1030" s="9">
        <v>39561</v>
      </c>
      <c r="B1030" s="2" t="inlineStr">
        <is>
          <t xml:space="preserve">2008-04</t>
        </is>
      </c>
      <c r="C1030" s="2" t="inlineStr">
        <is>
          <t xml:space="preserve">2007/08</t>
        </is>
      </c>
      <c r="D1030">
        <v>0.0</v>
      </c>
      <c r="E1030">
        <v>24.67</v>
      </c>
      <c r="F1030">
        <v>31.29</v>
      </c>
      <c r="G1030">
        <v>18.6</v>
      </c>
      <c r="H1030">
        <v>0.0</v>
      </c>
      <c r="I1030">
        <v>0.0</v>
      </c>
      <c r="J1030">
        <v>24.71</v>
      </c>
      <c r="K1030">
        <v>30.71</v>
      </c>
      <c r="L1030">
        <v>19.66</v>
      </c>
      <c r="M1030">
        <v>0.0</v>
      </c>
      <c r="N1030">
        <v>0.0</v>
      </c>
      <c r="O1030">
        <v>23.57</v>
      </c>
      <c r="P1030">
        <v>29.24</v>
      </c>
      <c r="Q1030">
        <v>19.38</v>
      </c>
      <c r="R1030">
        <v>0.0</v>
      </c>
    </row>
    <row r="1031">
      <c r="A1031" s="9">
        <v>39562</v>
      </c>
      <c r="B1031" s="2" t="inlineStr">
        <is>
          <t xml:space="preserve">2008-04</t>
        </is>
      </c>
      <c r="C1031" s="2" t="inlineStr">
        <is>
          <t xml:space="preserve">2007/08</t>
        </is>
      </c>
      <c r="D1031">
        <v>0.025</v>
      </c>
      <c r="E1031">
        <v>25.06</v>
      </c>
      <c r="F1031">
        <v>32.96</v>
      </c>
      <c r="G1031">
        <v>18.34</v>
      </c>
      <c r="H1031">
        <v>0.02</v>
      </c>
      <c r="I1031">
        <v>0.0</v>
      </c>
      <c r="J1031">
        <v>24.99</v>
      </c>
      <c r="K1031">
        <v>33.27</v>
      </c>
      <c r="L1031">
        <v>18.81</v>
      </c>
      <c r="M1031">
        <v>0.01</v>
      </c>
      <c r="N1031">
        <v>0.0</v>
      </c>
      <c r="O1031">
        <v>23.84</v>
      </c>
      <c r="P1031">
        <v>31.13</v>
      </c>
      <c r="Q1031">
        <v>19.06</v>
      </c>
      <c r="R1031">
        <v>0.01</v>
      </c>
    </row>
    <row r="1032">
      <c r="A1032" s="9">
        <v>39563</v>
      </c>
      <c r="B1032" s="2" t="inlineStr">
        <is>
          <t xml:space="preserve">2008-04</t>
        </is>
      </c>
      <c r="C1032" s="2" t="inlineStr">
        <is>
          <t xml:space="preserve">2007/08</t>
        </is>
      </c>
      <c r="D1032">
        <v>0.0</v>
      </c>
      <c r="E1032">
        <v>25.56</v>
      </c>
      <c r="F1032">
        <v>34.3</v>
      </c>
      <c r="G1032">
        <v>18.45</v>
      </c>
      <c r="H1032">
        <v>0.0</v>
      </c>
      <c r="I1032">
        <v>0.0</v>
      </c>
      <c r="J1032">
        <v>25.34</v>
      </c>
      <c r="K1032">
        <v>34.12</v>
      </c>
      <c r="L1032">
        <v>17.74</v>
      </c>
      <c r="M1032">
        <v>0.0</v>
      </c>
      <c r="N1032">
        <v>0.0</v>
      </c>
      <c r="O1032">
        <v>23.9</v>
      </c>
      <c r="P1032">
        <v>32.2</v>
      </c>
      <c r="Q1032">
        <v>18.05</v>
      </c>
      <c r="R1032">
        <v>0.0</v>
      </c>
    </row>
    <row r="1033">
      <c r="A1033" s="9">
        <v>39564</v>
      </c>
      <c r="B1033" s="2" t="inlineStr">
        <is>
          <t xml:space="preserve">2008-04</t>
        </is>
      </c>
      <c r="C1033" s="2" t="inlineStr">
        <is>
          <t xml:space="preserve">2007/08</t>
        </is>
      </c>
      <c r="D1033">
        <v>0.0</v>
      </c>
      <c r="E1033">
        <v>24.18</v>
      </c>
      <c r="F1033">
        <v>33.57</v>
      </c>
      <c r="G1033">
        <v>15.94</v>
      </c>
      <c r="H1033">
        <v>0.0</v>
      </c>
      <c r="I1033">
        <v>0.0</v>
      </c>
      <c r="J1033">
        <v>24.84</v>
      </c>
      <c r="K1033">
        <v>33.27</v>
      </c>
      <c r="L1033">
        <v>17.64</v>
      </c>
      <c r="M1033">
        <v>0.0</v>
      </c>
      <c r="N1033">
        <v>0.0</v>
      </c>
      <c r="O1033">
        <v>23.26</v>
      </c>
      <c r="P1033">
        <v>31.75</v>
      </c>
      <c r="Q1033">
        <v>16.95</v>
      </c>
      <c r="R1033">
        <v>0.0</v>
      </c>
    </row>
    <row r="1034">
      <c r="A1034" s="9">
        <v>39565</v>
      </c>
      <c r="B1034" s="2" t="inlineStr">
        <is>
          <t xml:space="preserve">2008-04</t>
        </is>
      </c>
      <c r="C1034" s="2" t="inlineStr">
        <is>
          <t xml:space="preserve">2007/08</t>
        </is>
      </c>
      <c r="D1034">
        <v>0.0</v>
      </c>
      <c r="E1034">
        <v>24.56</v>
      </c>
      <c r="F1034">
        <v>33.95</v>
      </c>
      <c r="G1034">
        <v>16.05</v>
      </c>
      <c r="H1034">
        <v>0.0</v>
      </c>
      <c r="I1034">
        <v>0.0</v>
      </c>
      <c r="J1034">
        <v>25.26</v>
      </c>
      <c r="K1034">
        <v>33.84</v>
      </c>
      <c r="L1034">
        <v>17.78</v>
      </c>
      <c r="M1034">
        <v>0.0</v>
      </c>
      <c r="N1034">
        <v>0.0</v>
      </c>
      <c r="O1034">
        <v>23.81</v>
      </c>
      <c r="P1034">
        <v>32.49</v>
      </c>
      <c r="Q1034">
        <v>17.64</v>
      </c>
      <c r="R1034">
        <v>0.0</v>
      </c>
    </row>
    <row r="1035">
      <c r="A1035" s="9">
        <v>39566</v>
      </c>
      <c r="B1035" s="2" t="inlineStr">
        <is>
          <t xml:space="preserve">2008-04</t>
        </is>
      </c>
      <c r="C1035" s="2" t="inlineStr">
        <is>
          <t xml:space="preserve">2007/08</t>
        </is>
      </c>
      <c r="D1035">
        <v>0.0</v>
      </c>
      <c r="E1035">
        <v>24.7</v>
      </c>
      <c r="F1035">
        <v>34.16</v>
      </c>
      <c r="G1035">
        <v>16.42</v>
      </c>
      <c r="H1035">
        <v>0.01</v>
      </c>
      <c r="I1035">
        <v>0.0</v>
      </c>
      <c r="J1035">
        <v>25.36</v>
      </c>
      <c r="K1035">
        <v>33.4</v>
      </c>
      <c r="L1035">
        <v>18.55</v>
      </c>
      <c r="M1035">
        <v>0.05</v>
      </c>
      <c r="N1035">
        <v>0.0</v>
      </c>
      <c r="O1035">
        <v>24.05</v>
      </c>
      <c r="P1035">
        <v>32.65</v>
      </c>
      <c r="Q1035">
        <v>17.9</v>
      </c>
      <c r="R1035">
        <v>0.08</v>
      </c>
    </row>
    <row r="1036">
      <c r="A1036" s="9">
        <v>39567</v>
      </c>
      <c r="B1036" s="2" t="inlineStr">
        <is>
          <t xml:space="preserve">2008-04</t>
        </is>
      </c>
      <c r="C1036" s="2" t="inlineStr">
        <is>
          <t xml:space="preserve">2007/08</t>
        </is>
      </c>
      <c r="D1036">
        <v>0.0</v>
      </c>
      <c r="E1036">
        <v>24.4</v>
      </c>
      <c r="F1036">
        <v>32.84</v>
      </c>
      <c r="G1036">
        <v>18.58</v>
      </c>
      <c r="H1036">
        <v>0.06</v>
      </c>
      <c r="I1036">
        <v>0.0</v>
      </c>
      <c r="J1036">
        <v>23.7</v>
      </c>
      <c r="K1036">
        <v>30.84</v>
      </c>
      <c r="L1036">
        <v>18.22</v>
      </c>
      <c r="M1036">
        <v>0.08</v>
      </c>
      <c r="N1036">
        <v>0.061</v>
      </c>
      <c r="O1036">
        <v>22.65</v>
      </c>
      <c r="P1036">
        <v>29.2</v>
      </c>
      <c r="Q1036">
        <v>18.23</v>
      </c>
      <c r="R1036">
        <v>0.35</v>
      </c>
    </row>
    <row r="1037">
      <c r="A1037" s="9">
        <v>39568</v>
      </c>
      <c r="B1037" s="2" t="inlineStr">
        <is>
          <t xml:space="preserve">2008-04</t>
        </is>
      </c>
      <c r="C1037" s="2" t="inlineStr">
        <is>
          <t xml:space="preserve">2007/08</t>
        </is>
      </c>
      <c r="D1037">
        <v>0.085</v>
      </c>
      <c r="E1037">
        <v>24.52</v>
      </c>
      <c r="F1037">
        <v>33.06</v>
      </c>
      <c r="G1037">
        <v>17.53</v>
      </c>
      <c r="H1037">
        <v>0.33</v>
      </c>
      <c r="I1037">
        <v>0.0</v>
      </c>
      <c r="J1037">
        <v>24.32</v>
      </c>
      <c r="K1037">
        <v>32.48</v>
      </c>
      <c r="L1037">
        <v>17.94</v>
      </c>
      <c r="M1037">
        <v>0.03</v>
      </c>
      <c r="N1037">
        <v>0.0</v>
      </c>
      <c r="O1037">
        <v>22.74</v>
      </c>
      <c r="P1037">
        <v>30.42</v>
      </c>
      <c r="Q1037">
        <v>17.33</v>
      </c>
      <c r="R1037">
        <v>0.14</v>
      </c>
    </row>
    <row r="1038">
      <c r="A1038" s="9">
        <v>39569</v>
      </c>
      <c r="B1038" s="2" t="inlineStr">
        <is>
          <t xml:space="preserve">2008-05</t>
        </is>
      </c>
      <c r="C1038" s="2" t="inlineStr">
        <is>
          <t xml:space="preserve">2007/08</t>
        </is>
      </c>
      <c r="D1038">
        <v>6.133</v>
      </c>
      <c r="E1038">
        <v>25.15</v>
      </c>
      <c r="F1038">
        <v>33.43</v>
      </c>
      <c r="G1038">
        <v>17.97</v>
      </c>
      <c r="H1038">
        <v>4.51</v>
      </c>
      <c r="I1038">
        <v>3.541</v>
      </c>
      <c r="J1038">
        <v>24.76</v>
      </c>
      <c r="K1038">
        <v>34.19</v>
      </c>
      <c r="L1038">
        <v>17.3</v>
      </c>
      <c r="M1038">
        <v>3.4</v>
      </c>
      <c r="N1038">
        <v>1.393</v>
      </c>
      <c r="O1038">
        <v>24.67</v>
      </c>
      <c r="P1038">
        <v>33.61</v>
      </c>
      <c r="Q1038">
        <v>16.81</v>
      </c>
      <c r="R1038">
        <v>1.76</v>
      </c>
    </row>
    <row r="1039">
      <c r="A1039" s="9">
        <v>39570</v>
      </c>
      <c r="B1039" s="2" t="inlineStr">
        <is>
          <t xml:space="preserve">2008-05</t>
        </is>
      </c>
      <c r="C1039" s="2" t="inlineStr">
        <is>
          <t xml:space="preserve">2007/08</t>
        </is>
      </c>
      <c r="D1039">
        <v>0.0</v>
      </c>
      <c r="E1039">
        <v>26.07</v>
      </c>
      <c r="F1039">
        <v>33.12</v>
      </c>
      <c r="G1039">
        <v>20.06</v>
      </c>
      <c r="H1039">
        <v>0.3</v>
      </c>
      <c r="I1039">
        <v>0.0</v>
      </c>
      <c r="J1039">
        <v>25.18</v>
      </c>
      <c r="K1039">
        <v>32.54</v>
      </c>
      <c r="L1039">
        <v>19.61</v>
      </c>
      <c r="M1039">
        <v>0.07</v>
      </c>
      <c r="N1039">
        <v>0.0</v>
      </c>
      <c r="O1039">
        <v>26.37</v>
      </c>
      <c r="P1039">
        <v>34.37</v>
      </c>
      <c r="Q1039">
        <v>19.48</v>
      </c>
      <c r="R1039">
        <v>0.11</v>
      </c>
    </row>
    <row r="1040">
      <c r="A1040" s="9">
        <v>39571</v>
      </c>
      <c r="B1040" s="2" t="inlineStr">
        <is>
          <t xml:space="preserve">2008-05</t>
        </is>
      </c>
      <c r="C1040" s="2" t="inlineStr">
        <is>
          <t xml:space="preserve">2007/08</t>
        </is>
      </c>
      <c r="D1040">
        <v>0.0</v>
      </c>
      <c r="E1040">
        <v>25.98</v>
      </c>
      <c r="F1040">
        <v>33.57</v>
      </c>
      <c r="G1040">
        <v>20.04</v>
      </c>
      <c r="H1040">
        <v>1.5</v>
      </c>
      <c r="I1040">
        <v>1.548</v>
      </c>
      <c r="J1040">
        <v>25.06</v>
      </c>
      <c r="K1040">
        <v>31.26</v>
      </c>
      <c r="L1040">
        <v>20.02</v>
      </c>
      <c r="M1040">
        <v>2.43</v>
      </c>
      <c r="N1040">
        <v>2.317</v>
      </c>
      <c r="O1040">
        <v>25.23</v>
      </c>
      <c r="P1040">
        <v>30.51</v>
      </c>
      <c r="Q1040">
        <v>21.47</v>
      </c>
      <c r="R1040">
        <v>2.29</v>
      </c>
    </row>
    <row r="1041">
      <c r="A1041" s="9">
        <v>39572</v>
      </c>
      <c r="B1041" s="2" t="inlineStr">
        <is>
          <t xml:space="preserve">2008-05</t>
        </is>
      </c>
      <c r="C1041" s="2" t="inlineStr">
        <is>
          <t xml:space="preserve">2007/08</t>
        </is>
      </c>
      <c r="D1041">
        <v>8.616</v>
      </c>
      <c r="E1041">
        <v>25.01</v>
      </c>
      <c r="F1041">
        <v>31.07</v>
      </c>
      <c r="G1041">
        <v>20.62</v>
      </c>
      <c r="H1041">
        <v>4.15</v>
      </c>
      <c r="I1041">
        <v>10.569</v>
      </c>
      <c r="J1041">
        <v>22.85</v>
      </c>
      <c r="K1041">
        <v>26.28</v>
      </c>
      <c r="L1041">
        <v>20.84</v>
      </c>
      <c r="M1041">
        <v>8.51</v>
      </c>
      <c r="N1041">
        <v>11.965</v>
      </c>
      <c r="O1041">
        <v>23.18</v>
      </c>
      <c r="P1041">
        <v>27.99</v>
      </c>
      <c r="Q1041">
        <v>20.59</v>
      </c>
      <c r="R1041">
        <v>7.4</v>
      </c>
    </row>
    <row r="1042">
      <c r="A1042" s="9">
        <v>39573</v>
      </c>
      <c r="B1042" s="2" t="inlineStr">
        <is>
          <t xml:space="preserve">2008-05</t>
        </is>
      </c>
      <c r="C1042" s="2" t="inlineStr">
        <is>
          <t xml:space="preserve">2007/08</t>
        </is>
      </c>
      <c r="D1042">
        <v>2.523</v>
      </c>
      <c r="E1042">
        <v>23.36</v>
      </c>
      <c r="F1042">
        <v>28.28</v>
      </c>
      <c r="G1042">
        <v>19.99</v>
      </c>
      <c r="H1042">
        <v>1.17</v>
      </c>
      <c r="I1042">
        <v>2.023</v>
      </c>
      <c r="J1042">
        <v>23.58</v>
      </c>
      <c r="K1042">
        <v>29.29</v>
      </c>
      <c r="L1042">
        <v>19.41</v>
      </c>
      <c r="M1042">
        <v>1.23</v>
      </c>
      <c r="N1042">
        <v>0.95</v>
      </c>
      <c r="O1042">
        <v>23.24</v>
      </c>
      <c r="P1042">
        <v>28.57</v>
      </c>
      <c r="Q1042">
        <v>19.72</v>
      </c>
      <c r="R1042">
        <v>1.0</v>
      </c>
    </row>
    <row r="1043">
      <c r="A1043" s="9">
        <v>39574</v>
      </c>
      <c r="B1043" s="2" t="inlineStr">
        <is>
          <t xml:space="preserve">2008-05</t>
        </is>
      </c>
      <c r="C1043" s="2" t="inlineStr">
        <is>
          <t xml:space="preserve">2007/08</t>
        </is>
      </c>
      <c r="D1043">
        <v>0.41</v>
      </c>
      <c r="E1043">
        <v>24.13</v>
      </c>
      <c r="F1043">
        <v>31.67</v>
      </c>
      <c r="G1043">
        <v>19.15</v>
      </c>
      <c r="H1043">
        <v>0.28</v>
      </c>
      <c r="I1043">
        <v>0.0</v>
      </c>
      <c r="J1043">
        <v>23.72</v>
      </c>
      <c r="K1043">
        <v>31.12</v>
      </c>
      <c r="L1043">
        <v>17.74</v>
      </c>
      <c r="M1043">
        <v>0.09</v>
      </c>
      <c r="N1043">
        <v>0.0</v>
      </c>
      <c r="O1043">
        <v>22.84</v>
      </c>
      <c r="P1043">
        <v>28.89</v>
      </c>
      <c r="Q1043">
        <v>18.62</v>
      </c>
      <c r="R1043">
        <v>0.02</v>
      </c>
    </row>
    <row r="1044">
      <c r="A1044" s="9">
        <v>39575</v>
      </c>
      <c r="B1044" s="2" t="inlineStr">
        <is>
          <t xml:space="preserve">2008-05</t>
        </is>
      </c>
      <c r="C1044" s="2" t="inlineStr">
        <is>
          <t xml:space="preserve">2007/08</t>
        </is>
      </c>
      <c r="D1044">
        <v>0.0</v>
      </c>
      <c r="E1044">
        <v>24.54</v>
      </c>
      <c r="F1044">
        <v>32.63</v>
      </c>
      <c r="G1044">
        <v>17.81</v>
      </c>
      <c r="H1044">
        <v>1.83</v>
      </c>
      <c r="I1044">
        <v>0.0</v>
      </c>
      <c r="J1044">
        <v>25.03</v>
      </c>
      <c r="K1044">
        <v>32.7</v>
      </c>
      <c r="L1044">
        <v>17.77</v>
      </c>
      <c r="M1044">
        <v>0.58</v>
      </c>
      <c r="N1044">
        <v>0.0</v>
      </c>
      <c r="O1044">
        <v>24.08</v>
      </c>
      <c r="P1044">
        <v>31.63</v>
      </c>
      <c r="Q1044">
        <v>18.22</v>
      </c>
      <c r="R1044">
        <v>0.47</v>
      </c>
    </row>
    <row r="1045">
      <c r="A1045" s="9">
        <v>39576</v>
      </c>
      <c r="B1045" s="2" t="inlineStr">
        <is>
          <t xml:space="preserve">2008-05</t>
        </is>
      </c>
      <c r="C1045" s="2" t="inlineStr">
        <is>
          <t xml:space="preserve">2007/08</t>
        </is>
      </c>
      <c r="D1045">
        <v>4.103</v>
      </c>
      <c r="E1045">
        <v>26.38</v>
      </c>
      <c r="F1045">
        <v>35.57</v>
      </c>
      <c r="G1045">
        <v>18.55</v>
      </c>
      <c r="H1045">
        <v>1.3</v>
      </c>
      <c r="I1045">
        <v>3.271</v>
      </c>
      <c r="J1045">
        <v>26.65</v>
      </c>
      <c r="K1045">
        <v>34.38</v>
      </c>
      <c r="L1045">
        <v>19.99</v>
      </c>
      <c r="M1045">
        <v>3.23</v>
      </c>
      <c r="N1045">
        <v>1.479</v>
      </c>
      <c r="O1045">
        <v>26.34</v>
      </c>
      <c r="P1045">
        <v>35.28</v>
      </c>
      <c r="Q1045">
        <v>19.44</v>
      </c>
      <c r="R1045">
        <v>2.7</v>
      </c>
    </row>
    <row r="1046">
      <c r="A1046" s="9">
        <v>39577</v>
      </c>
      <c r="B1046" s="2" t="inlineStr">
        <is>
          <t xml:space="preserve">2008-05</t>
        </is>
      </c>
      <c r="C1046" s="2" t="inlineStr">
        <is>
          <t xml:space="preserve">2007/08</t>
        </is>
      </c>
      <c r="D1046">
        <v>0.098</v>
      </c>
      <c r="E1046">
        <v>27.76</v>
      </c>
      <c r="F1046">
        <v>36.21</v>
      </c>
      <c r="G1046">
        <v>19.44</v>
      </c>
      <c r="H1046">
        <v>0.37</v>
      </c>
      <c r="I1046">
        <v>6.346</v>
      </c>
      <c r="J1046">
        <v>26.89</v>
      </c>
      <c r="K1046">
        <v>33.79</v>
      </c>
      <c r="L1046">
        <v>20.91</v>
      </c>
      <c r="M1046">
        <v>4.42</v>
      </c>
      <c r="N1046">
        <v>9.29</v>
      </c>
      <c r="O1046">
        <v>26.7</v>
      </c>
      <c r="P1046">
        <v>35.54</v>
      </c>
      <c r="Q1046">
        <v>19.62</v>
      </c>
      <c r="R1046">
        <v>4.0</v>
      </c>
    </row>
    <row r="1047">
      <c r="A1047" s="9">
        <v>39578</v>
      </c>
      <c r="B1047" s="2" t="inlineStr">
        <is>
          <t xml:space="preserve">2008-05</t>
        </is>
      </c>
      <c r="C1047" s="2" t="inlineStr">
        <is>
          <t xml:space="preserve">2007/08</t>
        </is>
      </c>
      <c r="D1047">
        <v>0.0</v>
      </c>
      <c r="E1047">
        <v>27.6</v>
      </c>
      <c r="F1047">
        <v>35.71</v>
      </c>
      <c r="G1047">
        <v>20.35</v>
      </c>
      <c r="H1047">
        <v>1.1</v>
      </c>
      <c r="I1047">
        <v>0.0</v>
      </c>
      <c r="J1047">
        <v>26.88</v>
      </c>
      <c r="K1047">
        <v>33.82</v>
      </c>
      <c r="L1047">
        <v>21.14</v>
      </c>
      <c r="M1047">
        <v>0.35</v>
      </c>
      <c r="N1047">
        <v>0.0</v>
      </c>
      <c r="O1047">
        <v>26.98</v>
      </c>
      <c r="P1047">
        <v>35.15</v>
      </c>
      <c r="Q1047">
        <v>20.84</v>
      </c>
      <c r="R1047">
        <v>0.16</v>
      </c>
    </row>
    <row r="1048">
      <c r="A1048" s="9">
        <v>39579</v>
      </c>
      <c r="B1048" s="2" t="inlineStr">
        <is>
          <t xml:space="preserve">2008-05</t>
        </is>
      </c>
      <c r="C1048" s="2" t="inlineStr">
        <is>
          <t xml:space="preserve">2007/08</t>
        </is>
      </c>
      <c r="D1048">
        <v>5.593</v>
      </c>
      <c r="E1048">
        <v>27.32</v>
      </c>
      <c r="F1048">
        <v>34.76</v>
      </c>
      <c r="G1048">
        <v>21.46</v>
      </c>
      <c r="H1048">
        <v>2.06</v>
      </c>
      <c r="I1048">
        <v>0.739</v>
      </c>
      <c r="J1048">
        <v>26.2</v>
      </c>
      <c r="K1048">
        <v>32.37</v>
      </c>
      <c r="L1048">
        <v>21.49</v>
      </c>
      <c r="M1048">
        <v>0.51</v>
      </c>
      <c r="N1048">
        <v>0.175</v>
      </c>
      <c r="O1048">
        <v>27.51</v>
      </c>
      <c r="P1048">
        <v>34.53</v>
      </c>
      <c r="Q1048">
        <v>21.27</v>
      </c>
      <c r="R1048">
        <v>0.19</v>
      </c>
    </row>
    <row r="1049">
      <c r="A1049" s="9">
        <v>39580</v>
      </c>
      <c r="B1049" s="2" t="inlineStr">
        <is>
          <t xml:space="preserve">2008-05</t>
        </is>
      </c>
      <c r="C1049" s="2" t="inlineStr">
        <is>
          <t xml:space="preserve">2007/08</t>
        </is>
      </c>
      <c r="D1049">
        <v>0.194</v>
      </c>
      <c r="E1049">
        <v>27.68</v>
      </c>
      <c r="F1049">
        <v>35.36</v>
      </c>
      <c r="G1049">
        <v>20.73</v>
      </c>
      <c r="H1049">
        <v>0.23</v>
      </c>
      <c r="I1049">
        <v>0.359</v>
      </c>
      <c r="J1049">
        <v>26.77</v>
      </c>
      <c r="K1049">
        <v>33.11</v>
      </c>
      <c r="L1049">
        <v>21.43</v>
      </c>
      <c r="M1049">
        <v>0.65</v>
      </c>
      <c r="N1049">
        <v>0.0</v>
      </c>
      <c r="O1049">
        <v>27.17</v>
      </c>
      <c r="P1049">
        <v>33.31</v>
      </c>
      <c r="Q1049">
        <v>22.42</v>
      </c>
      <c r="R1049">
        <v>0.47</v>
      </c>
    </row>
    <row r="1050">
      <c r="A1050" s="9">
        <v>39581</v>
      </c>
      <c r="B1050" s="2" t="inlineStr">
        <is>
          <t xml:space="preserve">2008-05</t>
        </is>
      </c>
      <c r="C1050" s="2" t="inlineStr">
        <is>
          <t xml:space="preserve">2007/08</t>
        </is>
      </c>
      <c r="D1050">
        <v>0.094</v>
      </c>
      <c r="E1050">
        <v>28.03</v>
      </c>
      <c r="F1050">
        <v>36.87</v>
      </c>
      <c r="G1050">
        <v>20.76</v>
      </c>
      <c r="H1050">
        <v>0.06</v>
      </c>
      <c r="I1050">
        <v>1.003</v>
      </c>
      <c r="J1050">
        <v>27.37</v>
      </c>
      <c r="K1050">
        <v>35.15</v>
      </c>
      <c r="L1050">
        <v>21.35</v>
      </c>
      <c r="M1050">
        <v>0.59</v>
      </c>
      <c r="N1050">
        <v>1.501</v>
      </c>
      <c r="O1050">
        <v>27.08</v>
      </c>
      <c r="P1050">
        <v>35.35</v>
      </c>
      <c r="Q1050">
        <v>21.07</v>
      </c>
      <c r="R1050">
        <v>0.57</v>
      </c>
    </row>
    <row r="1051">
      <c r="A1051" s="9">
        <v>39582</v>
      </c>
      <c r="B1051" s="2" t="inlineStr">
        <is>
          <t xml:space="preserve">2008-05</t>
        </is>
      </c>
      <c r="C1051" s="2" t="inlineStr">
        <is>
          <t xml:space="preserve">2007/08</t>
        </is>
      </c>
      <c r="D1051">
        <v>0.0</v>
      </c>
      <c r="E1051">
        <v>27.6</v>
      </c>
      <c r="F1051">
        <v>36.17</v>
      </c>
      <c r="G1051">
        <v>20.2</v>
      </c>
      <c r="H1051">
        <v>0.0</v>
      </c>
      <c r="I1051">
        <v>0.0</v>
      </c>
      <c r="J1051">
        <v>27.62</v>
      </c>
      <c r="K1051">
        <v>35.5</v>
      </c>
      <c r="L1051">
        <v>21.24</v>
      </c>
      <c r="M1051">
        <v>0.01</v>
      </c>
      <c r="N1051">
        <v>0.0</v>
      </c>
      <c r="O1051">
        <v>27.29</v>
      </c>
      <c r="P1051">
        <v>35.5</v>
      </c>
      <c r="Q1051">
        <v>20.77</v>
      </c>
      <c r="R1051">
        <v>0.0</v>
      </c>
    </row>
    <row r="1052">
      <c r="A1052" s="9">
        <v>39583</v>
      </c>
      <c r="B1052" s="2" t="inlineStr">
        <is>
          <t xml:space="preserve">2008-05</t>
        </is>
      </c>
      <c r="C1052" s="2" t="inlineStr">
        <is>
          <t xml:space="preserve">2007/08</t>
        </is>
      </c>
      <c r="D1052">
        <v>0.0</v>
      </c>
      <c r="E1052">
        <v>27.39</v>
      </c>
      <c r="F1052">
        <v>36.15</v>
      </c>
      <c r="G1052">
        <v>19.73</v>
      </c>
      <c r="H1052">
        <v>0.0</v>
      </c>
      <c r="I1052">
        <v>0.0</v>
      </c>
      <c r="J1052">
        <v>27.7</v>
      </c>
      <c r="K1052">
        <v>35.58</v>
      </c>
      <c r="L1052">
        <v>21.26</v>
      </c>
      <c r="M1052">
        <v>0.02</v>
      </c>
      <c r="N1052">
        <v>0.0</v>
      </c>
      <c r="O1052">
        <v>27.9</v>
      </c>
      <c r="P1052">
        <v>36.16</v>
      </c>
      <c r="Q1052">
        <v>21.28</v>
      </c>
      <c r="R1052">
        <v>0.0</v>
      </c>
    </row>
    <row r="1053">
      <c r="A1053" s="9">
        <v>39584</v>
      </c>
      <c r="B1053" s="2" t="inlineStr">
        <is>
          <t xml:space="preserve">2008-05</t>
        </is>
      </c>
      <c r="C1053" s="2" t="inlineStr">
        <is>
          <t xml:space="preserve">2007/08</t>
        </is>
      </c>
      <c r="D1053">
        <v>0.025</v>
      </c>
      <c r="E1053">
        <v>27.27</v>
      </c>
      <c r="F1053">
        <v>36.09</v>
      </c>
      <c r="G1053">
        <v>19.3</v>
      </c>
      <c r="H1053">
        <v>0.91</v>
      </c>
      <c r="I1053">
        <v>0.0</v>
      </c>
      <c r="J1053">
        <v>26.75</v>
      </c>
      <c r="K1053">
        <v>33.57</v>
      </c>
      <c r="L1053">
        <v>21.03</v>
      </c>
      <c r="M1053">
        <v>0.48</v>
      </c>
      <c r="N1053">
        <v>0.0</v>
      </c>
      <c r="O1053">
        <v>27.09</v>
      </c>
      <c r="P1053">
        <v>35.15</v>
      </c>
      <c r="Q1053">
        <v>20.34</v>
      </c>
      <c r="R1053">
        <v>0.11</v>
      </c>
    </row>
    <row r="1054">
      <c r="A1054" s="9">
        <v>39585</v>
      </c>
      <c r="B1054" s="2" t="inlineStr">
        <is>
          <t xml:space="preserve">2008-05</t>
        </is>
      </c>
      <c r="C1054" s="2" t="inlineStr">
        <is>
          <t xml:space="preserve">2007/08</t>
        </is>
      </c>
      <c r="D1054">
        <v>5.226</v>
      </c>
      <c r="E1054">
        <v>26.78</v>
      </c>
      <c r="F1054">
        <v>34.84</v>
      </c>
      <c r="G1054">
        <v>19.37</v>
      </c>
      <c r="H1054">
        <v>1.72</v>
      </c>
      <c r="I1054">
        <v>3.831</v>
      </c>
      <c r="J1054">
        <v>26.16</v>
      </c>
      <c r="K1054">
        <v>32.62</v>
      </c>
      <c r="L1054">
        <v>21.28</v>
      </c>
      <c r="M1054">
        <v>5.91</v>
      </c>
      <c r="N1054">
        <v>0.081</v>
      </c>
      <c r="O1054">
        <v>26.67</v>
      </c>
      <c r="P1054">
        <v>34.06</v>
      </c>
      <c r="Q1054">
        <v>21.15</v>
      </c>
      <c r="R1054">
        <v>0.93</v>
      </c>
    </row>
    <row r="1055">
      <c r="A1055" s="9">
        <v>39586</v>
      </c>
      <c r="B1055" s="2" t="inlineStr">
        <is>
          <t xml:space="preserve">2008-05</t>
        </is>
      </c>
      <c r="C1055" s="2" t="inlineStr">
        <is>
          <t xml:space="preserve">2007/08</t>
        </is>
      </c>
      <c r="D1055">
        <v>1.601</v>
      </c>
      <c r="E1055">
        <v>26.54</v>
      </c>
      <c r="F1055">
        <v>33.95</v>
      </c>
      <c r="G1055">
        <v>20.58</v>
      </c>
      <c r="H1055">
        <v>0.66</v>
      </c>
      <c r="I1055">
        <v>4.999</v>
      </c>
      <c r="J1055">
        <v>23.28</v>
      </c>
      <c r="K1055">
        <v>25.89</v>
      </c>
      <c r="L1055">
        <v>20.91</v>
      </c>
      <c r="M1055">
        <v>4.31</v>
      </c>
      <c r="N1055">
        <v>2.533</v>
      </c>
      <c r="O1055">
        <v>24.66</v>
      </c>
      <c r="P1055">
        <v>29.73</v>
      </c>
      <c r="Q1055">
        <v>21.32</v>
      </c>
      <c r="R1055">
        <v>1.7</v>
      </c>
    </row>
    <row r="1056">
      <c r="A1056" s="9">
        <v>39587</v>
      </c>
      <c r="B1056" s="2" t="inlineStr">
        <is>
          <t xml:space="preserve">2008-05</t>
        </is>
      </c>
      <c r="C1056" s="2" t="inlineStr">
        <is>
          <t xml:space="preserve">2007/08</t>
        </is>
      </c>
      <c r="D1056">
        <v>0.04</v>
      </c>
      <c r="E1056">
        <v>26.71</v>
      </c>
      <c r="F1056">
        <v>34.08</v>
      </c>
      <c r="G1056">
        <v>19.86</v>
      </c>
      <c r="H1056">
        <v>0.34</v>
      </c>
      <c r="I1056">
        <v>0.26</v>
      </c>
      <c r="J1056">
        <v>24.45</v>
      </c>
      <c r="K1056">
        <v>29.61</v>
      </c>
      <c r="L1056">
        <v>20.35</v>
      </c>
      <c r="M1056">
        <v>3.11</v>
      </c>
      <c r="N1056">
        <v>0.352</v>
      </c>
      <c r="O1056">
        <v>26.0</v>
      </c>
      <c r="P1056">
        <v>33.22</v>
      </c>
      <c r="Q1056">
        <v>20.94</v>
      </c>
      <c r="R1056">
        <v>2.84</v>
      </c>
    </row>
    <row r="1057">
      <c r="A1057" s="9">
        <v>39588</v>
      </c>
      <c r="B1057" s="2" t="inlineStr">
        <is>
          <t xml:space="preserve">2008-05</t>
        </is>
      </c>
      <c r="C1057" s="2" t="inlineStr">
        <is>
          <t xml:space="preserve">2007/08</t>
        </is>
      </c>
      <c r="D1057">
        <v>0.094</v>
      </c>
      <c r="E1057">
        <v>26.08</v>
      </c>
      <c r="F1057">
        <v>33.91</v>
      </c>
      <c r="G1057">
        <v>19.92</v>
      </c>
      <c r="H1057">
        <v>2.91</v>
      </c>
      <c r="I1057">
        <v>7.713</v>
      </c>
      <c r="J1057">
        <v>24.56</v>
      </c>
      <c r="K1057">
        <v>31.54</v>
      </c>
      <c r="L1057">
        <v>19.03</v>
      </c>
      <c r="M1057">
        <v>6.79</v>
      </c>
      <c r="N1057">
        <v>2.176</v>
      </c>
      <c r="O1057">
        <v>25.55</v>
      </c>
      <c r="P1057">
        <v>33.59</v>
      </c>
      <c r="Q1057">
        <v>19.53</v>
      </c>
      <c r="R1057">
        <v>5.58</v>
      </c>
    </row>
    <row r="1058">
      <c r="A1058" s="9">
        <v>39589</v>
      </c>
      <c r="B1058" s="2" t="inlineStr">
        <is>
          <t xml:space="preserve">2008-05</t>
        </is>
      </c>
      <c r="C1058" s="2" t="inlineStr">
        <is>
          <t xml:space="preserve">2007/08</t>
        </is>
      </c>
      <c r="D1058">
        <v>25.467</v>
      </c>
      <c r="E1058">
        <v>22.82</v>
      </c>
      <c r="F1058">
        <v>26.32</v>
      </c>
      <c r="G1058">
        <v>20.24</v>
      </c>
      <c r="H1058">
        <v>12.31</v>
      </c>
      <c r="I1058">
        <v>8.064</v>
      </c>
      <c r="J1058">
        <v>23.39</v>
      </c>
      <c r="K1058">
        <v>28.86</v>
      </c>
      <c r="L1058">
        <v>20.55</v>
      </c>
      <c r="M1058">
        <v>6.05</v>
      </c>
      <c r="N1058">
        <v>7.472</v>
      </c>
      <c r="O1058">
        <v>23.76</v>
      </c>
      <c r="P1058">
        <v>29.01</v>
      </c>
      <c r="Q1058">
        <v>20.52</v>
      </c>
      <c r="R1058">
        <v>5.33</v>
      </c>
    </row>
    <row r="1059">
      <c r="A1059" s="9">
        <v>39590</v>
      </c>
      <c r="B1059" s="2" t="inlineStr">
        <is>
          <t xml:space="preserve">2008-05</t>
        </is>
      </c>
      <c r="C1059" s="2" t="inlineStr">
        <is>
          <t xml:space="preserve">2007/08</t>
        </is>
      </c>
      <c r="D1059">
        <v>1.792</v>
      </c>
      <c r="E1059">
        <v>23.23</v>
      </c>
      <c r="F1059">
        <v>28.66</v>
      </c>
      <c r="G1059">
        <v>19.29</v>
      </c>
      <c r="H1059">
        <v>3.31</v>
      </c>
      <c r="I1059">
        <v>0.507</v>
      </c>
      <c r="J1059">
        <v>22.67</v>
      </c>
      <c r="K1059">
        <v>26.35</v>
      </c>
      <c r="L1059">
        <v>20.25</v>
      </c>
      <c r="M1059">
        <v>1.11</v>
      </c>
      <c r="N1059">
        <v>0.442</v>
      </c>
      <c r="O1059">
        <v>24.51</v>
      </c>
      <c r="P1059">
        <v>29.85</v>
      </c>
      <c r="Q1059">
        <v>20.78</v>
      </c>
      <c r="R1059">
        <v>0.97</v>
      </c>
    </row>
    <row r="1060">
      <c r="A1060" s="9">
        <v>39591</v>
      </c>
      <c r="B1060" s="2" t="inlineStr">
        <is>
          <t xml:space="preserve">2008-05</t>
        </is>
      </c>
      <c r="C1060" s="2" t="inlineStr">
        <is>
          <t xml:space="preserve">2007/08</t>
        </is>
      </c>
      <c r="D1060">
        <v>2.986</v>
      </c>
      <c r="E1060">
        <v>22.93</v>
      </c>
      <c r="F1060">
        <v>27.44</v>
      </c>
      <c r="G1060">
        <v>19.69</v>
      </c>
      <c r="H1060">
        <v>2.39</v>
      </c>
      <c r="I1060">
        <v>1.044</v>
      </c>
      <c r="J1060">
        <v>23.88</v>
      </c>
      <c r="K1060">
        <v>29.56</v>
      </c>
      <c r="L1060">
        <v>20.1</v>
      </c>
      <c r="M1060">
        <v>1.17</v>
      </c>
      <c r="N1060">
        <v>0.298</v>
      </c>
      <c r="O1060">
        <v>25.61</v>
      </c>
      <c r="P1060">
        <v>31.37</v>
      </c>
      <c r="Q1060">
        <v>20.98</v>
      </c>
      <c r="R1060">
        <v>0.51</v>
      </c>
    </row>
    <row r="1061">
      <c r="A1061" s="9">
        <v>39592</v>
      </c>
      <c r="B1061" s="2" t="inlineStr">
        <is>
          <t xml:space="preserve">2008-05</t>
        </is>
      </c>
      <c r="C1061" s="2" t="inlineStr">
        <is>
          <t xml:space="preserve">2007/08</t>
        </is>
      </c>
      <c r="D1061">
        <v>0.232</v>
      </c>
      <c r="E1061">
        <v>24.79</v>
      </c>
      <c r="F1061">
        <v>31.68</v>
      </c>
      <c r="G1061">
        <v>19.65</v>
      </c>
      <c r="H1061">
        <v>1.54</v>
      </c>
      <c r="I1061">
        <v>0.0</v>
      </c>
      <c r="J1061">
        <v>23.06</v>
      </c>
      <c r="K1061">
        <v>26.32</v>
      </c>
      <c r="L1061">
        <v>20.35</v>
      </c>
      <c r="M1061">
        <v>1.92</v>
      </c>
      <c r="N1061">
        <v>0.0</v>
      </c>
      <c r="O1061">
        <v>24.99</v>
      </c>
      <c r="P1061">
        <v>29.72</v>
      </c>
      <c r="Q1061">
        <v>22.01</v>
      </c>
      <c r="R1061">
        <v>3.08</v>
      </c>
    </row>
    <row r="1062">
      <c r="A1062" s="9">
        <v>39593</v>
      </c>
      <c r="B1062" s="2" t="inlineStr">
        <is>
          <t xml:space="preserve">2008-05</t>
        </is>
      </c>
      <c r="C1062" s="2" t="inlineStr">
        <is>
          <t xml:space="preserve">2007/08</t>
        </is>
      </c>
      <c r="D1062">
        <v>8.817</v>
      </c>
      <c r="E1062">
        <v>23.87</v>
      </c>
      <c r="F1062">
        <v>29.05</v>
      </c>
      <c r="G1062">
        <v>20.31</v>
      </c>
      <c r="H1062">
        <v>10.72</v>
      </c>
      <c r="I1062">
        <v>15.393</v>
      </c>
      <c r="J1062">
        <v>23.5</v>
      </c>
      <c r="K1062">
        <v>29.76</v>
      </c>
      <c r="L1062">
        <v>19.51</v>
      </c>
      <c r="M1062">
        <v>18.59</v>
      </c>
      <c r="N1062">
        <v>10.319</v>
      </c>
      <c r="O1062">
        <v>24.21</v>
      </c>
      <c r="P1062">
        <v>29.83</v>
      </c>
      <c r="Q1062">
        <v>20.58</v>
      </c>
      <c r="R1062">
        <v>17.69</v>
      </c>
    </row>
    <row r="1063">
      <c r="A1063" s="9">
        <v>39594</v>
      </c>
      <c r="B1063" s="2" t="inlineStr">
        <is>
          <t xml:space="preserve">2008-05</t>
        </is>
      </c>
      <c r="C1063" s="2" t="inlineStr">
        <is>
          <t xml:space="preserve">2007/08</t>
        </is>
      </c>
      <c r="D1063">
        <v>19.422</v>
      </c>
      <c r="E1063">
        <v>22.28</v>
      </c>
      <c r="F1063">
        <v>26.61</v>
      </c>
      <c r="G1063">
        <v>19.38</v>
      </c>
      <c r="H1063">
        <v>10.7</v>
      </c>
      <c r="I1063">
        <v>7.151</v>
      </c>
      <c r="J1063">
        <v>22.68</v>
      </c>
      <c r="K1063">
        <v>25.78</v>
      </c>
      <c r="L1063">
        <v>20.42</v>
      </c>
      <c r="M1063">
        <v>4.24</v>
      </c>
      <c r="N1063">
        <v>5.361</v>
      </c>
      <c r="O1063">
        <v>22.82</v>
      </c>
      <c r="P1063">
        <v>26.52</v>
      </c>
      <c r="Q1063">
        <v>20.6</v>
      </c>
      <c r="R1063">
        <v>3.4</v>
      </c>
    </row>
    <row r="1064">
      <c r="A1064" s="9">
        <v>39595</v>
      </c>
      <c r="B1064" s="2" t="inlineStr">
        <is>
          <t xml:space="preserve">2008-05</t>
        </is>
      </c>
      <c r="C1064" s="2" t="inlineStr">
        <is>
          <t xml:space="preserve">2007/08</t>
        </is>
      </c>
      <c r="D1064">
        <v>1.251</v>
      </c>
      <c r="E1064">
        <v>23.69</v>
      </c>
      <c r="F1064">
        <v>31.14</v>
      </c>
      <c r="G1064">
        <v>17.67</v>
      </c>
      <c r="H1064">
        <v>1.17</v>
      </c>
      <c r="I1064">
        <v>1.615</v>
      </c>
      <c r="J1064">
        <v>24.04</v>
      </c>
      <c r="K1064">
        <v>30.3</v>
      </c>
      <c r="L1064">
        <v>18.84</v>
      </c>
      <c r="M1064">
        <v>1.13</v>
      </c>
      <c r="N1064">
        <v>1.781</v>
      </c>
      <c r="O1064">
        <v>23.8</v>
      </c>
      <c r="P1064">
        <v>29.91</v>
      </c>
      <c r="Q1064">
        <v>19.52</v>
      </c>
      <c r="R1064">
        <v>0.88</v>
      </c>
    </row>
    <row r="1065">
      <c r="A1065" s="9">
        <v>39596</v>
      </c>
      <c r="B1065" s="2" t="inlineStr">
        <is>
          <t xml:space="preserve">2008-05</t>
        </is>
      </c>
      <c r="C1065" s="2" t="inlineStr">
        <is>
          <t xml:space="preserve">2007/08</t>
        </is>
      </c>
      <c r="D1065">
        <v>0.0</v>
      </c>
      <c r="E1065">
        <v>23.08</v>
      </c>
      <c r="F1065">
        <v>29.88</v>
      </c>
      <c r="G1065">
        <v>18.83</v>
      </c>
      <c r="H1065">
        <v>1.24</v>
      </c>
      <c r="I1065">
        <v>0.181</v>
      </c>
      <c r="J1065">
        <v>22.87</v>
      </c>
      <c r="K1065">
        <v>27.85</v>
      </c>
      <c r="L1065">
        <v>18.38</v>
      </c>
      <c r="M1065">
        <v>1.09</v>
      </c>
      <c r="N1065">
        <v>0.284</v>
      </c>
      <c r="O1065">
        <v>22.48</v>
      </c>
      <c r="P1065">
        <v>26.75</v>
      </c>
      <c r="Q1065">
        <v>19.32</v>
      </c>
      <c r="R1065">
        <v>2.06</v>
      </c>
    </row>
    <row r="1066">
      <c r="A1066" s="9">
        <v>39597</v>
      </c>
      <c r="B1066" s="2" t="inlineStr">
        <is>
          <t xml:space="preserve">2008-05</t>
        </is>
      </c>
      <c r="C1066" s="2" t="inlineStr">
        <is>
          <t xml:space="preserve">2007/08</t>
        </is>
      </c>
      <c r="D1066">
        <v>4.408</v>
      </c>
      <c r="E1066">
        <v>20.74</v>
      </c>
      <c r="F1066">
        <v>24.0</v>
      </c>
      <c r="G1066">
        <v>18.75</v>
      </c>
      <c r="H1066">
        <v>12.2</v>
      </c>
      <c r="I1066">
        <v>3.952</v>
      </c>
      <c r="J1066">
        <v>21.87</v>
      </c>
      <c r="K1066">
        <v>26.22</v>
      </c>
      <c r="L1066">
        <v>18.98</v>
      </c>
      <c r="M1066">
        <v>8.53</v>
      </c>
      <c r="N1066">
        <v>5.009</v>
      </c>
      <c r="O1066">
        <v>21.69</v>
      </c>
      <c r="P1066">
        <v>25.47</v>
      </c>
      <c r="Q1066">
        <v>19.72</v>
      </c>
      <c r="R1066">
        <v>12.73</v>
      </c>
    </row>
    <row r="1067">
      <c r="A1067" s="9">
        <v>39598</v>
      </c>
      <c r="B1067" s="2" t="inlineStr">
        <is>
          <t xml:space="preserve">2008-05</t>
        </is>
      </c>
      <c r="C1067" s="2" t="inlineStr">
        <is>
          <t xml:space="preserve">2007/08</t>
        </is>
      </c>
      <c r="D1067">
        <v>22.334</v>
      </c>
      <c r="E1067">
        <v>21.08</v>
      </c>
      <c r="F1067">
        <v>23.52</v>
      </c>
      <c r="G1067">
        <v>19.24</v>
      </c>
      <c r="H1067">
        <v>24.82</v>
      </c>
      <c r="I1067">
        <v>16.494</v>
      </c>
      <c r="J1067">
        <v>20.98</v>
      </c>
      <c r="K1067">
        <v>23.79</v>
      </c>
      <c r="L1067">
        <v>19.24</v>
      </c>
      <c r="M1067">
        <v>13.35</v>
      </c>
      <c r="N1067">
        <v>17.991</v>
      </c>
      <c r="O1067">
        <v>21.55</v>
      </c>
      <c r="P1067">
        <v>23.76</v>
      </c>
      <c r="Q1067">
        <v>19.57</v>
      </c>
      <c r="R1067">
        <v>11.13</v>
      </c>
    </row>
    <row r="1068">
      <c r="A1068" s="9">
        <v>39599</v>
      </c>
      <c r="B1068" s="2" t="inlineStr">
        <is>
          <t xml:space="preserve">2008-05</t>
        </is>
      </c>
      <c r="C1068" s="2" t="inlineStr">
        <is>
          <t xml:space="preserve">2007/08</t>
        </is>
      </c>
      <c r="D1068">
        <v>17.639</v>
      </c>
      <c r="E1068">
        <v>21.16</v>
      </c>
      <c r="F1068">
        <v>25.29</v>
      </c>
      <c r="G1068">
        <v>18.37</v>
      </c>
      <c r="H1068">
        <v>15.78</v>
      </c>
      <c r="I1068">
        <v>5.561</v>
      </c>
      <c r="J1068">
        <v>21.14</v>
      </c>
      <c r="K1068">
        <v>24.41</v>
      </c>
      <c r="L1068">
        <v>19.14</v>
      </c>
      <c r="M1068">
        <v>4.37</v>
      </c>
      <c r="N1068">
        <v>3.025</v>
      </c>
      <c r="O1068">
        <v>21.64</v>
      </c>
      <c r="P1068">
        <v>25.47</v>
      </c>
      <c r="Q1068">
        <v>19.21</v>
      </c>
      <c r="R1068">
        <v>5.46</v>
      </c>
    </row>
    <row r="1069">
      <c r="A1069" s="9">
        <v>39600</v>
      </c>
      <c r="B1069" s="2" t="inlineStr">
        <is>
          <t xml:space="preserve">2008-06</t>
        </is>
      </c>
      <c r="C1069" s="2" t="inlineStr">
        <is>
          <t xml:space="preserve">2007/08</t>
        </is>
      </c>
      <c r="D1069">
        <v>14.534</v>
      </c>
      <c r="E1069">
        <v>21.55</v>
      </c>
      <c r="F1069">
        <v>26.55</v>
      </c>
      <c r="G1069">
        <v>18.16</v>
      </c>
      <c r="H1069">
        <v>16.0</v>
      </c>
      <c r="I1069">
        <v>7.446</v>
      </c>
      <c r="J1069">
        <v>21.48</v>
      </c>
      <c r="K1069">
        <v>24.67</v>
      </c>
      <c r="L1069">
        <v>19.5</v>
      </c>
      <c r="M1069">
        <v>12.85</v>
      </c>
      <c r="N1069">
        <v>3.938</v>
      </c>
      <c r="O1069">
        <v>22.02</v>
      </c>
      <c r="P1069">
        <v>26.56</v>
      </c>
      <c r="Q1069">
        <v>19.12</v>
      </c>
      <c r="R1069">
        <v>9.05</v>
      </c>
    </row>
    <row r="1070">
      <c r="A1070" s="9">
        <v>39601</v>
      </c>
      <c r="B1070" s="2" t="inlineStr">
        <is>
          <t xml:space="preserve">2008-06</t>
        </is>
      </c>
      <c r="C1070" s="2" t="inlineStr">
        <is>
          <t xml:space="preserve">2007/08</t>
        </is>
      </c>
      <c r="D1070">
        <v>18.666</v>
      </c>
      <c r="E1070">
        <v>21.34</v>
      </c>
      <c r="F1070">
        <v>25.25</v>
      </c>
      <c r="G1070">
        <v>18.55</v>
      </c>
      <c r="H1070">
        <v>19.38</v>
      </c>
      <c r="I1070">
        <v>16.102</v>
      </c>
      <c r="J1070">
        <v>21.44</v>
      </c>
      <c r="K1070">
        <v>24.97</v>
      </c>
      <c r="L1070">
        <v>18.94</v>
      </c>
      <c r="M1070">
        <v>12.5</v>
      </c>
      <c r="N1070">
        <v>14.61</v>
      </c>
      <c r="O1070">
        <v>22.14</v>
      </c>
      <c r="P1070">
        <v>26.44</v>
      </c>
      <c r="Q1070">
        <v>18.98</v>
      </c>
      <c r="R1070">
        <v>11.17</v>
      </c>
    </row>
    <row r="1071">
      <c r="A1071" s="9">
        <v>39602</v>
      </c>
      <c r="B1071" s="2" t="inlineStr">
        <is>
          <t xml:space="preserve">2008-06</t>
        </is>
      </c>
      <c r="C1071" s="2" t="inlineStr">
        <is>
          <t xml:space="preserve">2007/08</t>
        </is>
      </c>
      <c r="D1071">
        <v>4.908</v>
      </c>
      <c r="E1071">
        <v>21.64</v>
      </c>
      <c r="F1071">
        <v>25.89</v>
      </c>
      <c r="G1071">
        <v>18.05</v>
      </c>
      <c r="H1071">
        <v>5.54</v>
      </c>
      <c r="I1071">
        <v>5.221</v>
      </c>
      <c r="J1071">
        <v>21.52</v>
      </c>
      <c r="K1071">
        <v>25.54</v>
      </c>
      <c r="L1071">
        <v>18.77</v>
      </c>
      <c r="M1071">
        <v>6.93</v>
      </c>
      <c r="N1071">
        <v>3.881</v>
      </c>
      <c r="O1071">
        <v>22.9</v>
      </c>
      <c r="P1071">
        <v>28.74</v>
      </c>
      <c r="Q1071">
        <v>18.38</v>
      </c>
      <c r="R1071">
        <v>10.24</v>
      </c>
    </row>
    <row r="1072">
      <c r="A1072" s="9">
        <v>39603</v>
      </c>
      <c r="B1072" s="2" t="inlineStr">
        <is>
          <t xml:space="preserve">2008-06</t>
        </is>
      </c>
      <c r="C1072" s="2" t="inlineStr">
        <is>
          <t xml:space="preserve">2007/08</t>
        </is>
      </c>
      <c r="D1072">
        <v>1.774</v>
      </c>
      <c r="E1072">
        <v>21.87</v>
      </c>
      <c r="F1072">
        <v>26.06</v>
      </c>
      <c r="G1072">
        <v>18.11</v>
      </c>
      <c r="H1072">
        <v>7.53</v>
      </c>
      <c r="I1072">
        <v>1.915</v>
      </c>
      <c r="J1072">
        <v>22.21</v>
      </c>
      <c r="K1072">
        <v>27.7</v>
      </c>
      <c r="L1072">
        <v>18.08</v>
      </c>
      <c r="M1072">
        <v>3.9</v>
      </c>
      <c r="N1072">
        <v>2.062</v>
      </c>
      <c r="O1072">
        <v>22.89</v>
      </c>
      <c r="P1072">
        <v>28.25</v>
      </c>
      <c r="Q1072">
        <v>18.71</v>
      </c>
      <c r="R1072">
        <v>3.87</v>
      </c>
    </row>
    <row r="1073">
      <c r="A1073" s="9">
        <v>39604</v>
      </c>
      <c r="B1073" s="2" t="inlineStr">
        <is>
          <t xml:space="preserve">2008-06</t>
        </is>
      </c>
      <c r="C1073" s="2" t="inlineStr">
        <is>
          <t xml:space="preserve">2007/08</t>
        </is>
      </c>
      <c r="D1073">
        <v>13.807</v>
      </c>
      <c r="E1073">
        <v>21.47</v>
      </c>
      <c r="F1073">
        <v>25.23</v>
      </c>
      <c r="G1073">
        <v>19.21</v>
      </c>
      <c r="H1073">
        <v>8.94</v>
      </c>
      <c r="I1073">
        <v>5.087</v>
      </c>
      <c r="J1073">
        <v>22.24</v>
      </c>
      <c r="K1073">
        <v>27.62</v>
      </c>
      <c r="L1073">
        <v>18.34</v>
      </c>
      <c r="M1073">
        <v>5.54</v>
      </c>
      <c r="N1073">
        <v>6.66</v>
      </c>
      <c r="O1073">
        <v>23.25</v>
      </c>
      <c r="P1073">
        <v>28.3</v>
      </c>
      <c r="Q1073">
        <v>19.61</v>
      </c>
      <c r="R1073">
        <v>4.6</v>
      </c>
    </row>
    <row r="1074">
      <c r="A1074" s="9">
        <v>39605</v>
      </c>
      <c r="B1074" s="2" t="inlineStr">
        <is>
          <t xml:space="preserve">2008-06</t>
        </is>
      </c>
      <c r="C1074" s="2" t="inlineStr">
        <is>
          <t xml:space="preserve">2007/08</t>
        </is>
      </c>
      <c r="D1074">
        <v>4.592</v>
      </c>
      <c r="E1074">
        <v>22.14</v>
      </c>
      <c r="F1074">
        <v>27.09</v>
      </c>
      <c r="G1074">
        <v>18.62</v>
      </c>
      <c r="H1074">
        <v>7.95</v>
      </c>
      <c r="I1074">
        <v>10.29</v>
      </c>
      <c r="J1074">
        <v>22.13</v>
      </c>
      <c r="K1074">
        <v>26.39</v>
      </c>
      <c r="L1074">
        <v>19.13</v>
      </c>
      <c r="M1074">
        <v>12.85</v>
      </c>
      <c r="N1074">
        <v>11.132</v>
      </c>
      <c r="O1074">
        <v>23.16</v>
      </c>
      <c r="P1074">
        <v>28.76</v>
      </c>
      <c r="Q1074">
        <v>19.54</v>
      </c>
      <c r="R1074">
        <v>11.94</v>
      </c>
    </row>
    <row r="1075">
      <c r="A1075" s="9">
        <v>39606</v>
      </c>
      <c r="B1075" s="2" t="inlineStr">
        <is>
          <t xml:space="preserve">2008-06</t>
        </is>
      </c>
      <c r="C1075" s="2" t="inlineStr">
        <is>
          <t xml:space="preserve">2007/08</t>
        </is>
      </c>
      <c r="D1075">
        <v>9.474</v>
      </c>
      <c r="E1075">
        <v>21.34</v>
      </c>
      <c r="F1075">
        <v>25.62</v>
      </c>
      <c r="G1075">
        <v>18.25</v>
      </c>
      <c r="H1075">
        <v>10.63</v>
      </c>
      <c r="I1075">
        <v>17.623</v>
      </c>
      <c r="J1075">
        <v>21.96</v>
      </c>
      <c r="K1075">
        <v>25.87</v>
      </c>
      <c r="L1075">
        <v>19.25</v>
      </c>
      <c r="M1075">
        <v>22.27</v>
      </c>
      <c r="N1075">
        <v>16.039</v>
      </c>
      <c r="O1075">
        <v>23.12</v>
      </c>
      <c r="P1075">
        <v>27.91</v>
      </c>
      <c r="Q1075">
        <v>19.9</v>
      </c>
      <c r="R1075">
        <v>17.04</v>
      </c>
    </row>
    <row r="1076">
      <c r="A1076" s="9">
        <v>39607</v>
      </c>
      <c r="B1076" s="2" t="inlineStr">
        <is>
          <t xml:space="preserve">2008-06</t>
        </is>
      </c>
      <c r="C1076" s="2" t="inlineStr">
        <is>
          <t xml:space="preserve">2007/08</t>
        </is>
      </c>
      <c r="D1076">
        <v>24.297</v>
      </c>
      <c r="E1076">
        <v>21.2</v>
      </c>
      <c r="F1076">
        <v>26.79</v>
      </c>
      <c r="G1076">
        <v>17.09</v>
      </c>
      <c r="H1076">
        <v>6.88</v>
      </c>
      <c r="I1076">
        <v>20.016</v>
      </c>
      <c r="J1076">
        <v>22.57</v>
      </c>
      <c r="K1076">
        <v>27.46</v>
      </c>
      <c r="L1076">
        <v>18.65</v>
      </c>
      <c r="M1076">
        <v>12.83</v>
      </c>
      <c r="N1076">
        <v>24.135</v>
      </c>
      <c r="O1076">
        <v>22.46</v>
      </c>
      <c r="P1076">
        <v>27.28</v>
      </c>
      <c r="Q1076">
        <v>19.74</v>
      </c>
      <c r="R1076">
        <v>15.21</v>
      </c>
    </row>
    <row r="1077">
      <c r="A1077" s="9">
        <v>39608</v>
      </c>
      <c r="B1077" s="2" t="inlineStr">
        <is>
          <t xml:space="preserve">2008-06</t>
        </is>
      </c>
      <c r="C1077" s="2" t="inlineStr">
        <is>
          <t xml:space="preserve">2007/08</t>
        </is>
      </c>
      <c r="D1077">
        <v>2.588</v>
      </c>
      <c r="E1077">
        <v>21.74</v>
      </c>
      <c r="F1077">
        <v>27.26</v>
      </c>
      <c r="G1077">
        <v>17.41</v>
      </c>
      <c r="H1077">
        <v>3.51</v>
      </c>
      <c r="I1077">
        <v>12.02</v>
      </c>
      <c r="J1077">
        <v>21.86</v>
      </c>
      <c r="K1077">
        <v>25.05</v>
      </c>
      <c r="L1077">
        <v>19.78</v>
      </c>
      <c r="M1077">
        <v>8.93</v>
      </c>
      <c r="N1077">
        <v>13.2</v>
      </c>
      <c r="O1077">
        <v>22.15</v>
      </c>
      <c r="P1077">
        <v>25.25</v>
      </c>
      <c r="Q1077">
        <v>20.19</v>
      </c>
      <c r="R1077">
        <v>8.16</v>
      </c>
    </row>
    <row r="1078">
      <c r="A1078" s="9">
        <v>39609</v>
      </c>
      <c r="B1078" s="2" t="inlineStr">
        <is>
          <t xml:space="preserve">2008-06</t>
        </is>
      </c>
      <c r="C1078" s="2" t="inlineStr">
        <is>
          <t xml:space="preserve">2007/08</t>
        </is>
      </c>
      <c r="D1078">
        <v>6.318</v>
      </c>
      <c r="E1078">
        <v>21.96</v>
      </c>
      <c r="F1078">
        <v>26.72</v>
      </c>
      <c r="G1078">
        <v>18.37</v>
      </c>
      <c r="H1078">
        <v>5.04</v>
      </c>
      <c r="I1078">
        <v>13.162</v>
      </c>
      <c r="J1078">
        <v>22.56</v>
      </c>
      <c r="K1078">
        <v>26.77</v>
      </c>
      <c r="L1078">
        <v>19.04</v>
      </c>
      <c r="M1078">
        <v>9.38</v>
      </c>
      <c r="N1078">
        <v>17.203</v>
      </c>
      <c r="O1078">
        <v>22.13</v>
      </c>
      <c r="P1078">
        <v>25.76</v>
      </c>
      <c r="Q1078">
        <v>19.53</v>
      </c>
      <c r="R1078">
        <v>8.17</v>
      </c>
    </row>
    <row r="1079">
      <c r="A1079" s="9">
        <v>39610</v>
      </c>
      <c r="B1079" s="2" t="inlineStr">
        <is>
          <t xml:space="preserve">2008-06</t>
        </is>
      </c>
      <c r="C1079" s="2" t="inlineStr">
        <is>
          <t xml:space="preserve">2007/08</t>
        </is>
      </c>
      <c r="D1079">
        <v>2.107</v>
      </c>
      <c r="E1079">
        <v>21.61</v>
      </c>
      <c r="F1079">
        <v>25.67</v>
      </c>
      <c r="G1079">
        <v>19.16</v>
      </c>
      <c r="H1079">
        <v>5.16</v>
      </c>
      <c r="I1079">
        <v>2.914</v>
      </c>
      <c r="J1079">
        <v>22.34</v>
      </c>
      <c r="K1079">
        <v>25.59</v>
      </c>
      <c r="L1079">
        <v>19.99</v>
      </c>
      <c r="M1079">
        <v>5.21</v>
      </c>
      <c r="N1079">
        <v>3.618</v>
      </c>
      <c r="O1079">
        <v>22.27</v>
      </c>
      <c r="P1079">
        <v>25.17</v>
      </c>
      <c r="Q1079">
        <v>20.1</v>
      </c>
      <c r="R1079">
        <v>5.19</v>
      </c>
    </row>
    <row r="1080">
      <c r="A1080" s="9">
        <v>39611</v>
      </c>
      <c r="B1080" s="2" t="inlineStr">
        <is>
          <t xml:space="preserve">2008-06</t>
        </is>
      </c>
      <c r="C1080" s="2" t="inlineStr">
        <is>
          <t xml:space="preserve">2007/08</t>
        </is>
      </c>
      <c r="D1080">
        <v>6.171</v>
      </c>
      <c r="E1080">
        <v>22.35</v>
      </c>
      <c r="F1080">
        <v>27.7</v>
      </c>
      <c r="G1080">
        <v>18.42</v>
      </c>
      <c r="H1080">
        <v>3.26</v>
      </c>
      <c r="I1080">
        <v>17.608</v>
      </c>
      <c r="J1080">
        <v>22.44</v>
      </c>
      <c r="K1080">
        <v>25.78</v>
      </c>
      <c r="L1080">
        <v>19.54</v>
      </c>
      <c r="M1080">
        <v>12.37</v>
      </c>
      <c r="N1080">
        <v>23.409</v>
      </c>
      <c r="O1080">
        <v>22.72</v>
      </c>
      <c r="P1080">
        <v>26.42</v>
      </c>
      <c r="Q1080">
        <v>20.46</v>
      </c>
      <c r="R1080">
        <v>11.8</v>
      </c>
    </row>
    <row r="1081">
      <c r="A1081" s="9">
        <v>39612</v>
      </c>
      <c r="B1081" s="2" t="inlineStr">
        <is>
          <t xml:space="preserve">2008-06</t>
        </is>
      </c>
      <c r="C1081" s="2" t="inlineStr">
        <is>
          <t xml:space="preserve">2007/08</t>
        </is>
      </c>
      <c r="D1081">
        <v>2.968</v>
      </c>
      <c r="E1081">
        <v>22.5</v>
      </c>
      <c r="F1081">
        <v>28.38</v>
      </c>
      <c r="G1081">
        <v>16.98</v>
      </c>
      <c r="H1081">
        <v>1.22</v>
      </c>
      <c r="I1081">
        <v>0.038</v>
      </c>
      <c r="J1081">
        <v>23.62</v>
      </c>
      <c r="K1081">
        <v>28.58</v>
      </c>
      <c r="L1081">
        <v>19.77</v>
      </c>
      <c r="M1081">
        <v>0.68</v>
      </c>
      <c r="N1081">
        <v>0.044</v>
      </c>
      <c r="O1081">
        <v>23.61</v>
      </c>
      <c r="P1081">
        <v>28.69</v>
      </c>
      <c r="Q1081">
        <v>20.15</v>
      </c>
      <c r="R1081">
        <v>2.44</v>
      </c>
    </row>
    <row r="1082">
      <c r="A1082" s="9">
        <v>39613</v>
      </c>
      <c r="B1082" s="2" t="inlineStr">
        <is>
          <t xml:space="preserve">2008-06</t>
        </is>
      </c>
      <c r="C1082" s="2" t="inlineStr">
        <is>
          <t xml:space="preserve">2007/08</t>
        </is>
      </c>
      <c r="D1082">
        <v>3.883</v>
      </c>
      <c r="E1082">
        <v>22.46</v>
      </c>
      <c r="F1082">
        <v>27.98</v>
      </c>
      <c r="G1082">
        <v>18.16</v>
      </c>
      <c r="H1082">
        <v>1.67</v>
      </c>
      <c r="I1082">
        <v>0.392</v>
      </c>
      <c r="J1082">
        <v>23.04</v>
      </c>
      <c r="K1082">
        <v>27.01</v>
      </c>
      <c r="L1082">
        <v>19.29</v>
      </c>
      <c r="M1082">
        <v>1.73</v>
      </c>
      <c r="N1082">
        <v>1.312</v>
      </c>
      <c r="O1082">
        <v>22.87</v>
      </c>
      <c r="P1082">
        <v>26.72</v>
      </c>
      <c r="Q1082">
        <v>20.21</v>
      </c>
      <c r="R1082">
        <v>5.65</v>
      </c>
    </row>
    <row r="1083">
      <c r="A1083" s="9">
        <v>39614</v>
      </c>
      <c r="B1083" s="2" t="inlineStr">
        <is>
          <t xml:space="preserve">2008-06</t>
        </is>
      </c>
      <c r="C1083" s="2" t="inlineStr">
        <is>
          <t xml:space="preserve">2007/08</t>
        </is>
      </c>
      <c r="D1083">
        <v>0.037</v>
      </c>
      <c r="E1083">
        <v>22.17</v>
      </c>
      <c r="F1083">
        <v>26.83</v>
      </c>
      <c r="G1083">
        <v>18.72</v>
      </c>
      <c r="H1083">
        <v>0.08</v>
      </c>
      <c r="I1083">
        <v>0.0</v>
      </c>
      <c r="J1083">
        <v>22.43</v>
      </c>
      <c r="K1083">
        <v>26.42</v>
      </c>
      <c r="L1083">
        <v>19.37</v>
      </c>
      <c r="M1083">
        <v>0.06</v>
      </c>
      <c r="N1083">
        <v>0.0</v>
      </c>
      <c r="O1083">
        <v>22.58</v>
      </c>
      <c r="P1083">
        <v>26.37</v>
      </c>
      <c r="Q1083">
        <v>19.9</v>
      </c>
      <c r="R1083">
        <v>0.06</v>
      </c>
    </row>
    <row r="1084">
      <c r="A1084" s="9">
        <v>39615</v>
      </c>
      <c r="B1084" s="2" t="inlineStr">
        <is>
          <t xml:space="preserve">2008-06</t>
        </is>
      </c>
      <c r="C1084" s="2" t="inlineStr">
        <is>
          <t xml:space="preserve">2007/08</t>
        </is>
      </c>
      <c r="D1084">
        <v>1.186</v>
      </c>
      <c r="E1084">
        <v>21.88</v>
      </c>
      <c r="F1084">
        <v>25.99</v>
      </c>
      <c r="G1084">
        <v>18.78</v>
      </c>
      <c r="H1084">
        <v>2.31</v>
      </c>
      <c r="I1084">
        <v>0.0</v>
      </c>
      <c r="J1084">
        <v>23.11</v>
      </c>
      <c r="K1084">
        <v>28.41</v>
      </c>
      <c r="L1084">
        <v>17.99</v>
      </c>
      <c r="M1084">
        <v>0.96</v>
      </c>
      <c r="N1084">
        <v>0.0</v>
      </c>
      <c r="O1084">
        <v>23.15</v>
      </c>
      <c r="P1084">
        <v>28.46</v>
      </c>
      <c r="Q1084">
        <v>18.88</v>
      </c>
      <c r="R1084">
        <v>0.3</v>
      </c>
    </row>
    <row r="1085">
      <c r="A1085" s="9">
        <v>39616</v>
      </c>
      <c r="B1085" s="2" t="inlineStr">
        <is>
          <t xml:space="preserve">2008-06</t>
        </is>
      </c>
      <c r="C1085" s="2" t="inlineStr">
        <is>
          <t xml:space="preserve">2007/08</t>
        </is>
      </c>
      <c r="D1085">
        <v>3.743</v>
      </c>
      <c r="E1085">
        <v>22.97</v>
      </c>
      <c r="F1085">
        <v>27.34</v>
      </c>
      <c r="G1085">
        <v>19.17</v>
      </c>
      <c r="H1085">
        <v>3.6</v>
      </c>
      <c r="I1085">
        <v>1.856</v>
      </c>
      <c r="J1085">
        <v>22.88</v>
      </c>
      <c r="K1085">
        <v>26.72</v>
      </c>
      <c r="L1085">
        <v>19.74</v>
      </c>
      <c r="M1085">
        <v>2.67</v>
      </c>
      <c r="N1085">
        <v>0.0</v>
      </c>
      <c r="O1085">
        <v>23.22</v>
      </c>
      <c r="P1085">
        <v>27.47</v>
      </c>
      <c r="Q1085">
        <v>20.14</v>
      </c>
      <c r="R1085">
        <v>1.33</v>
      </c>
    </row>
    <row r="1086">
      <c r="A1086" s="9">
        <v>39617</v>
      </c>
      <c r="B1086" s="2" t="inlineStr">
        <is>
          <t xml:space="preserve">2008-06</t>
        </is>
      </c>
      <c r="C1086" s="2" t="inlineStr">
        <is>
          <t xml:space="preserve">2007/08</t>
        </is>
      </c>
      <c r="D1086">
        <v>2.393</v>
      </c>
      <c r="E1086">
        <v>22.54</v>
      </c>
      <c r="F1086">
        <v>26.25</v>
      </c>
      <c r="G1086">
        <v>19.54</v>
      </c>
      <c r="H1086">
        <v>1.75</v>
      </c>
      <c r="I1086">
        <v>4.405</v>
      </c>
      <c r="J1086">
        <v>23.2</v>
      </c>
      <c r="K1086">
        <v>27.75</v>
      </c>
      <c r="L1086">
        <v>19.64</v>
      </c>
      <c r="M1086">
        <v>5.04</v>
      </c>
      <c r="N1086">
        <v>0.899</v>
      </c>
      <c r="O1086">
        <v>23.39</v>
      </c>
      <c r="P1086">
        <v>27.63</v>
      </c>
      <c r="Q1086">
        <v>20.42</v>
      </c>
      <c r="R1086">
        <v>5.06</v>
      </c>
    </row>
    <row r="1087">
      <c r="A1087" s="9">
        <v>39618</v>
      </c>
      <c r="B1087" s="2" t="inlineStr">
        <is>
          <t xml:space="preserve">2008-06</t>
        </is>
      </c>
      <c r="C1087" s="2" t="inlineStr">
        <is>
          <t xml:space="preserve">2007/08</t>
        </is>
      </c>
      <c r="D1087">
        <v>1.286</v>
      </c>
      <c r="E1087">
        <v>23.31</v>
      </c>
      <c r="F1087">
        <v>28.57</v>
      </c>
      <c r="G1087">
        <v>18.86</v>
      </c>
      <c r="H1087">
        <v>2.85</v>
      </c>
      <c r="I1087">
        <v>12.047</v>
      </c>
      <c r="J1087">
        <v>22.73</v>
      </c>
      <c r="K1087">
        <v>26.33</v>
      </c>
      <c r="L1087">
        <v>19.39</v>
      </c>
      <c r="M1087">
        <v>15.56</v>
      </c>
      <c r="N1087">
        <v>1.672</v>
      </c>
      <c r="O1087">
        <v>23.15</v>
      </c>
      <c r="P1087">
        <v>27.2</v>
      </c>
      <c r="Q1087">
        <v>20.29</v>
      </c>
      <c r="R1087">
        <v>17.59</v>
      </c>
    </row>
    <row r="1088">
      <c r="A1088" s="9">
        <v>39619</v>
      </c>
      <c r="B1088" s="2" t="inlineStr">
        <is>
          <t xml:space="preserve">2008-06</t>
        </is>
      </c>
      <c r="C1088" s="2" t="inlineStr">
        <is>
          <t xml:space="preserve">2007/08</t>
        </is>
      </c>
      <c r="D1088">
        <v>7.582</v>
      </c>
      <c r="E1088">
        <v>23.24</v>
      </c>
      <c r="F1088">
        <v>28.58</v>
      </c>
      <c r="G1088">
        <v>19.29</v>
      </c>
      <c r="H1088">
        <v>3.98</v>
      </c>
      <c r="I1088">
        <v>15.976</v>
      </c>
      <c r="J1088">
        <v>22.1</v>
      </c>
      <c r="K1088">
        <v>24.43</v>
      </c>
      <c r="L1088">
        <v>20.43</v>
      </c>
      <c r="M1088">
        <v>12.72</v>
      </c>
      <c r="N1088">
        <v>24.411</v>
      </c>
      <c r="O1088">
        <v>22.53</v>
      </c>
      <c r="P1088">
        <v>25.47</v>
      </c>
      <c r="Q1088">
        <v>20.71</v>
      </c>
      <c r="R1088">
        <v>14.8</v>
      </c>
    </row>
    <row r="1089">
      <c r="A1089" s="9">
        <v>39620</v>
      </c>
      <c r="B1089" s="2" t="inlineStr">
        <is>
          <t xml:space="preserve">2008-06</t>
        </is>
      </c>
      <c r="C1089" s="2" t="inlineStr">
        <is>
          <t xml:space="preserve">2007/08</t>
        </is>
      </c>
      <c r="D1089">
        <v>0.381</v>
      </c>
      <c r="E1089">
        <v>22.79</v>
      </c>
      <c r="F1089">
        <v>29.18</v>
      </c>
      <c r="G1089">
        <v>16.89</v>
      </c>
      <c r="H1089">
        <v>0.44</v>
      </c>
      <c r="I1089">
        <v>0.849</v>
      </c>
      <c r="J1089">
        <v>23.43</v>
      </c>
      <c r="K1089">
        <v>28.57</v>
      </c>
      <c r="L1089">
        <v>19.54</v>
      </c>
      <c r="M1089">
        <v>1.29</v>
      </c>
      <c r="N1089">
        <v>0.669</v>
      </c>
      <c r="O1089">
        <v>23.37</v>
      </c>
      <c r="P1089">
        <v>28.33</v>
      </c>
      <c r="Q1089">
        <v>20.29</v>
      </c>
      <c r="R1089">
        <v>2.4</v>
      </c>
    </row>
    <row r="1090">
      <c r="A1090" s="9">
        <v>39621</v>
      </c>
      <c r="B1090" s="2" t="inlineStr">
        <is>
          <t xml:space="preserve">2008-06</t>
        </is>
      </c>
      <c r="C1090" s="2" t="inlineStr">
        <is>
          <t xml:space="preserve">2007/08</t>
        </is>
      </c>
      <c r="D1090">
        <v>1.06</v>
      </c>
      <c r="E1090">
        <v>22.49</v>
      </c>
      <c r="F1090">
        <v>27.75</v>
      </c>
      <c r="G1090">
        <v>18.18</v>
      </c>
      <c r="H1090">
        <v>1.3</v>
      </c>
      <c r="I1090">
        <v>1.454</v>
      </c>
      <c r="J1090">
        <v>22.65</v>
      </c>
      <c r="K1090">
        <v>27.38</v>
      </c>
      <c r="L1090">
        <v>19.22</v>
      </c>
      <c r="M1090">
        <v>2.03</v>
      </c>
      <c r="N1090">
        <v>1.572</v>
      </c>
      <c r="O1090">
        <v>22.61</v>
      </c>
      <c r="P1090">
        <v>26.45</v>
      </c>
      <c r="Q1090">
        <v>20.1</v>
      </c>
      <c r="R1090">
        <v>5.98</v>
      </c>
    </row>
    <row r="1091">
      <c r="A1091" s="9">
        <v>39622</v>
      </c>
      <c r="B1091" s="2" t="inlineStr">
        <is>
          <t xml:space="preserve">2008-06</t>
        </is>
      </c>
      <c r="C1091" s="2" t="inlineStr">
        <is>
          <t xml:space="preserve">2007/08</t>
        </is>
      </c>
      <c r="D1091">
        <v>0.0</v>
      </c>
      <c r="E1091">
        <v>22.61</v>
      </c>
      <c r="F1091">
        <v>28.56</v>
      </c>
      <c r="G1091">
        <v>18.45</v>
      </c>
      <c r="H1091">
        <v>0.53</v>
      </c>
      <c r="I1091">
        <v>0.0</v>
      </c>
      <c r="J1091">
        <v>22.65</v>
      </c>
      <c r="K1091">
        <v>27.04</v>
      </c>
      <c r="L1091">
        <v>19.59</v>
      </c>
      <c r="M1091">
        <v>0.7</v>
      </c>
      <c r="N1091">
        <v>0.0</v>
      </c>
      <c r="O1091">
        <v>22.93</v>
      </c>
      <c r="P1091">
        <v>27.21</v>
      </c>
      <c r="Q1091">
        <v>20.46</v>
      </c>
      <c r="R1091">
        <v>2.02</v>
      </c>
    </row>
    <row r="1092">
      <c r="A1092" s="9">
        <v>39623</v>
      </c>
      <c r="B1092" s="2" t="inlineStr">
        <is>
          <t xml:space="preserve">2008-06</t>
        </is>
      </c>
      <c r="C1092" s="2" t="inlineStr">
        <is>
          <t xml:space="preserve">2007/08</t>
        </is>
      </c>
      <c r="D1092">
        <v>0.143</v>
      </c>
      <c r="E1092">
        <v>21.71</v>
      </c>
      <c r="F1092">
        <v>27.22</v>
      </c>
      <c r="G1092">
        <v>17.6</v>
      </c>
      <c r="H1092">
        <v>3.31</v>
      </c>
      <c r="I1092">
        <v>2.112</v>
      </c>
      <c r="J1092">
        <v>22.4</v>
      </c>
      <c r="K1092">
        <v>26.76</v>
      </c>
      <c r="L1092">
        <v>18.96</v>
      </c>
      <c r="M1092">
        <v>4.33</v>
      </c>
      <c r="N1092">
        <v>3.902</v>
      </c>
      <c r="O1092">
        <v>22.45</v>
      </c>
      <c r="P1092">
        <v>27.04</v>
      </c>
      <c r="Q1092">
        <v>19.68</v>
      </c>
      <c r="R1092">
        <v>8.97</v>
      </c>
    </row>
    <row r="1093">
      <c r="A1093" s="9">
        <v>39624</v>
      </c>
      <c r="B1093" s="2" t="inlineStr">
        <is>
          <t xml:space="preserve">2008-06</t>
        </is>
      </c>
      <c r="C1093" s="2" t="inlineStr">
        <is>
          <t xml:space="preserve">2007/08</t>
        </is>
      </c>
      <c r="D1093">
        <v>2.42</v>
      </c>
      <c r="E1093">
        <v>21.83</v>
      </c>
      <c r="F1093">
        <v>27.68</v>
      </c>
      <c r="G1093">
        <v>17.64</v>
      </c>
      <c r="H1093">
        <v>5.32</v>
      </c>
      <c r="I1093">
        <v>2.29</v>
      </c>
      <c r="J1093">
        <v>22.9</v>
      </c>
      <c r="K1093">
        <v>27.16</v>
      </c>
      <c r="L1093">
        <v>19.04</v>
      </c>
      <c r="M1093">
        <v>4.6</v>
      </c>
      <c r="N1093">
        <v>1.383</v>
      </c>
      <c r="O1093">
        <v>23.03</v>
      </c>
      <c r="P1093">
        <v>27.57</v>
      </c>
      <c r="Q1093">
        <v>19.78</v>
      </c>
      <c r="R1093">
        <v>4.68</v>
      </c>
    </row>
    <row r="1094">
      <c r="A1094" s="9">
        <v>39625</v>
      </c>
      <c r="B1094" s="2" t="inlineStr">
        <is>
          <t xml:space="preserve">2008-06</t>
        </is>
      </c>
      <c r="C1094" s="2" t="inlineStr">
        <is>
          <t xml:space="preserve">2007/08</t>
        </is>
      </c>
      <c r="D1094">
        <v>13.046</v>
      </c>
      <c r="E1094">
        <v>21.68</v>
      </c>
      <c r="F1094">
        <v>26.85</v>
      </c>
      <c r="G1094">
        <v>18.4</v>
      </c>
      <c r="H1094">
        <v>8.4</v>
      </c>
      <c r="I1094">
        <v>7.781</v>
      </c>
      <c r="J1094">
        <v>22.61</v>
      </c>
      <c r="K1094">
        <v>26.77</v>
      </c>
      <c r="L1094">
        <v>19.28</v>
      </c>
      <c r="M1094">
        <v>7.67</v>
      </c>
      <c r="N1094">
        <v>5.787</v>
      </c>
      <c r="O1094">
        <v>22.24</v>
      </c>
      <c r="P1094">
        <v>25.55</v>
      </c>
      <c r="Q1094">
        <v>20.07</v>
      </c>
      <c r="R1094">
        <v>8.17</v>
      </c>
    </row>
    <row r="1095">
      <c r="A1095" s="9">
        <v>39626</v>
      </c>
      <c r="B1095" s="2" t="inlineStr">
        <is>
          <t xml:space="preserve">2008-06</t>
        </is>
      </c>
      <c r="C1095" s="2" t="inlineStr">
        <is>
          <t xml:space="preserve">2007/08</t>
        </is>
      </c>
      <c r="D1095">
        <v>8.194</v>
      </c>
      <c r="E1095">
        <v>21.4</v>
      </c>
      <c r="F1095">
        <v>26.08</v>
      </c>
      <c r="G1095">
        <v>17.64</v>
      </c>
      <c r="H1095">
        <v>7.25</v>
      </c>
      <c r="I1095">
        <v>4.652</v>
      </c>
      <c r="J1095">
        <v>22.73</v>
      </c>
      <c r="K1095">
        <v>26.93</v>
      </c>
      <c r="L1095">
        <v>19.25</v>
      </c>
      <c r="M1095">
        <v>3.35</v>
      </c>
      <c r="N1095">
        <v>4.814</v>
      </c>
      <c r="O1095">
        <v>22.64</v>
      </c>
      <c r="P1095">
        <v>27.3</v>
      </c>
      <c r="Q1095">
        <v>19.51</v>
      </c>
      <c r="R1095">
        <v>3.85</v>
      </c>
    </row>
    <row r="1096">
      <c r="A1096" s="9">
        <v>39627</v>
      </c>
      <c r="B1096" s="2" t="inlineStr">
        <is>
          <t xml:space="preserve">2008-06</t>
        </is>
      </c>
      <c r="C1096" s="2" t="inlineStr">
        <is>
          <t xml:space="preserve">2007/08</t>
        </is>
      </c>
      <c r="D1096">
        <v>4.614</v>
      </c>
      <c r="E1096">
        <v>21.89</v>
      </c>
      <c r="F1096">
        <v>27.23</v>
      </c>
      <c r="G1096">
        <v>17.76</v>
      </c>
      <c r="H1096">
        <v>5.81</v>
      </c>
      <c r="I1096">
        <v>0.067</v>
      </c>
      <c r="J1096">
        <v>23.37</v>
      </c>
      <c r="K1096">
        <v>28.08</v>
      </c>
      <c r="L1096">
        <v>19.23</v>
      </c>
      <c r="M1096">
        <v>1.06</v>
      </c>
      <c r="N1096">
        <v>0.417</v>
      </c>
      <c r="O1096">
        <v>23.22</v>
      </c>
      <c r="P1096">
        <v>28.08</v>
      </c>
      <c r="Q1096">
        <v>19.76</v>
      </c>
      <c r="R1096">
        <v>1.2</v>
      </c>
    </row>
    <row r="1097">
      <c r="A1097" s="9">
        <v>39628</v>
      </c>
      <c r="B1097" s="2" t="inlineStr">
        <is>
          <t xml:space="preserve">2008-06</t>
        </is>
      </c>
      <c r="C1097" s="2" t="inlineStr">
        <is>
          <t xml:space="preserve">2007/08</t>
        </is>
      </c>
      <c r="D1097">
        <v>10.093</v>
      </c>
      <c r="E1097">
        <v>22.06</v>
      </c>
      <c r="F1097">
        <v>27.19</v>
      </c>
      <c r="G1097">
        <v>17.86</v>
      </c>
      <c r="H1097">
        <v>8.03</v>
      </c>
      <c r="I1097">
        <v>3.342</v>
      </c>
      <c r="J1097">
        <v>23.42</v>
      </c>
      <c r="K1097">
        <v>27.61</v>
      </c>
      <c r="L1097">
        <v>19.81</v>
      </c>
      <c r="M1097">
        <v>2.4</v>
      </c>
      <c r="N1097">
        <v>1.563</v>
      </c>
      <c r="O1097">
        <v>23.38</v>
      </c>
      <c r="P1097">
        <v>28.24</v>
      </c>
      <c r="Q1097">
        <v>20.18</v>
      </c>
      <c r="R1097">
        <v>2.21</v>
      </c>
    </row>
    <row r="1098">
      <c r="A1098" s="9">
        <v>39629</v>
      </c>
      <c r="B1098" s="2" t="inlineStr">
        <is>
          <t xml:space="preserve">2008-06</t>
        </is>
      </c>
      <c r="C1098" s="2" t="inlineStr">
        <is>
          <t xml:space="preserve">2007/08</t>
        </is>
      </c>
      <c r="D1098">
        <v>0.056</v>
      </c>
      <c r="E1098">
        <v>22.15</v>
      </c>
      <c r="F1098">
        <v>26.95</v>
      </c>
      <c r="G1098">
        <v>18.59</v>
      </c>
      <c r="H1098">
        <v>1.75</v>
      </c>
      <c r="I1098">
        <v>0.0</v>
      </c>
      <c r="J1098">
        <v>23.07</v>
      </c>
      <c r="K1098">
        <v>26.59</v>
      </c>
      <c r="L1098">
        <v>20.33</v>
      </c>
      <c r="M1098">
        <v>2.09</v>
      </c>
      <c r="N1098">
        <v>0.0</v>
      </c>
      <c r="O1098">
        <v>22.87</v>
      </c>
      <c r="P1098">
        <v>26.04</v>
      </c>
      <c r="Q1098">
        <v>20.77</v>
      </c>
      <c r="R1098">
        <v>3.67</v>
      </c>
    </row>
    <row r="1099">
      <c r="A1099" s="9">
        <v>39630</v>
      </c>
      <c r="B1099" s="2" t="inlineStr">
        <is>
          <t xml:space="preserve">2008-07</t>
        </is>
      </c>
      <c r="C1099" s="2" t="inlineStr">
        <is>
          <t xml:space="preserve">2008/09</t>
        </is>
      </c>
      <c r="D1099">
        <v>2.124</v>
      </c>
      <c r="E1099">
        <v>21.06</v>
      </c>
      <c r="F1099">
        <v>24.99</v>
      </c>
      <c r="G1099">
        <v>18.32</v>
      </c>
      <c r="H1099">
        <v>7.17</v>
      </c>
      <c r="I1099">
        <v>8.134</v>
      </c>
      <c r="J1099">
        <v>22.04</v>
      </c>
      <c r="K1099">
        <v>25.68</v>
      </c>
      <c r="L1099">
        <v>19.5</v>
      </c>
      <c r="M1099">
        <v>14.49</v>
      </c>
      <c r="N1099">
        <v>9.658</v>
      </c>
      <c r="O1099">
        <v>22.08</v>
      </c>
      <c r="P1099">
        <v>25.12</v>
      </c>
      <c r="Q1099">
        <v>20.3</v>
      </c>
      <c r="R1099">
        <v>16.07</v>
      </c>
    </row>
    <row r="1100">
      <c r="A1100" s="9">
        <v>39631</v>
      </c>
      <c r="B1100" s="2" t="inlineStr">
        <is>
          <t xml:space="preserve">2008-07</t>
        </is>
      </c>
      <c r="C1100" s="2" t="inlineStr">
        <is>
          <t xml:space="preserve">2008/09</t>
        </is>
      </c>
      <c r="D1100">
        <v>24.594</v>
      </c>
      <c r="E1100">
        <v>20.89</v>
      </c>
      <c r="F1100">
        <v>25.45</v>
      </c>
      <c r="G1100">
        <v>17.41</v>
      </c>
      <c r="H1100">
        <v>22.12</v>
      </c>
      <c r="I1100">
        <v>21.585</v>
      </c>
      <c r="J1100">
        <v>21.96</v>
      </c>
      <c r="K1100">
        <v>26.17</v>
      </c>
      <c r="L1100">
        <v>18.25</v>
      </c>
      <c r="M1100">
        <v>21.31</v>
      </c>
      <c r="N1100">
        <v>12.1</v>
      </c>
      <c r="O1100">
        <v>22.0</v>
      </c>
      <c r="P1100">
        <v>25.81</v>
      </c>
      <c r="Q1100">
        <v>19.28</v>
      </c>
      <c r="R1100">
        <v>16.98</v>
      </c>
    </row>
    <row r="1101">
      <c r="A1101" s="9">
        <v>39632</v>
      </c>
      <c r="B1101" s="2" t="inlineStr">
        <is>
          <t xml:space="preserve">2008-07</t>
        </is>
      </c>
      <c r="C1101" s="2" t="inlineStr">
        <is>
          <t xml:space="preserve">2008/09</t>
        </is>
      </c>
      <c r="D1101">
        <v>47.006</v>
      </c>
      <c r="E1101">
        <v>21.22</v>
      </c>
      <c r="F1101">
        <v>26.03</v>
      </c>
      <c r="G1101">
        <v>18.01</v>
      </c>
      <c r="H1101">
        <v>16.95</v>
      </c>
      <c r="I1101">
        <v>15.429</v>
      </c>
      <c r="J1101">
        <v>21.79</v>
      </c>
      <c r="K1101">
        <v>25.44</v>
      </c>
      <c r="L1101">
        <v>19.26</v>
      </c>
      <c r="M1101">
        <v>11.73</v>
      </c>
      <c r="N1101">
        <v>13.308</v>
      </c>
      <c r="O1101">
        <v>22.52</v>
      </c>
      <c r="P1101">
        <v>26.44</v>
      </c>
      <c r="Q1101">
        <v>19.58</v>
      </c>
      <c r="R1101">
        <v>9.59</v>
      </c>
    </row>
    <row r="1102">
      <c r="A1102" s="9">
        <v>39633</v>
      </c>
      <c r="B1102" s="2" t="inlineStr">
        <is>
          <t xml:space="preserve">2008-07</t>
        </is>
      </c>
      <c r="C1102" s="2" t="inlineStr">
        <is>
          <t xml:space="preserve">2008/09</t>
        </is>
      </c>
      <c r="D1102">
        <v>28.659</v>
      </c>
      <c r="E1102">
        <v>20.51</v>
      </c>
      <c r="F1102">
        <v>23.7</v>
      </c>
      <c r="G1102">
        <v>17.89</v>
      </c>
      <c r="H1102">
        <v>24.4</v>
      </c>
      <c r="I1102">
        <v>24.774</v>
      </c>
      <c r="J1102">
        <v>21.35</v>
      </c>
      <c r="K1102">
        <v>23.95</v>
      </c>
      <c r="L1102">
        <v>19.28</v>
      </c>
      <c r="M1102">
        <v>28.24</v>
      </c>
      <c r="N1102">
        <v>32.656</v>
      </c>
      <c r="O1102">
        <v>22.04</v>
      </c>
      <c r="P1102">
        <v>24.17</v>
      </c>
      <c r="Q1102">
        <v>20.34</v>
      </c>
      <c r="R1102">
        <v>28.07</v>
      </c>
    </row>
    <row r="1103">
      <c r="A1103" s="9">
        <v>39634</v>
      </c>
      <c r="B1103" s="2" t="inlineStr">
        <is>
          <t xml:space="preserve">2008-07</t>
        </is>
      </c>
      <c r="C1103" s="2" t="inlineStr">
        <is>
          <t xml:space="preserve">2008/09</t>
        </is>
      </c>
      <c r="D1103">
        <v>12.794</v>
      </c>
      <c r="E1103">
        <v>21.17</v>
      </c>
      <c r="F1103">
        <v>26.08</v>
      </c>
      <c r="G1103">
        <v>17.51</v>
      </c>
      <c r="H1103">
        <v>6.83</v>
      </c>
      <c r="I1103">
        <v>25.572</v>
      </c>
      <c r="J1103">
        <v>21.74</v>
      </c>
      <c r="K1103">
        <v>24.93</v>
      </c>
      <c r="L1103">
        <v>19.37</v>
      </c>
      <c r="M1103">
        <v>18.54</v>
      </c>
      <c r="N1103">
        <v>29.729</v>
      </c>
      <c r="O1103">
        <v>22.45</v>
      </c>
      <c r="P1103">
        <v>25.94</v>
      </c>
      <c r="Q1103">
        <v>20.0</v>
      </c>
      <c r="R1103">
        <v>14.22</v>
      </c>
    </row>
    <row r="1104">
      <c r="A1104" s="9">
        <v>39635</v>
      </c>
      <c r="B1104" s="2" t="inlineStr">
        <is>
          <t xml:space="preserve">2008-07</t>
        </is>
      </c>
      <c r="C1104" s="2" t="inlineStr">
        <is>
          <t xml:space="preserve">2008/09</t>
        </is>
      </c>
      <c r="D1104">
        <v>6.735</v>
      </c>
      <c r="E1104">
        <v>21.09</v>
      </c>
      <c r="F1104">
        <v>26.59</v>
      </c>
      <c r="G1104">
        <v>17.25</v>
      </c>
      <c r="H1104">
        <v>7.67</v>
      </c>
      <c r="I1104">
        <v>20.829</v>
      </c>
      <c r="J1104">
        <v>22.11</v>
      </c>
      <c r="K1104">
        <v>25.88</v>
      </c>
      <c r="L1104">
        <v>19.71</v>
      </c>
      <c r="M1104">
        <v>17.75</v>
      </c>
      <c r="N1104">
        <v>23.204</v>
      </c>
      <c r="O1104">
        <v>22.7</v>
      </c>
      <c r="P1104">
        <v>26.64</v>
      </c>
      <c r="Q1104">
        <v>19.88</v>
      </c>
      <c r="R1104">
        <v>15.06</v>
      </c>
    </row>
    <row r="1105">
      <c r="A1105" s="9">
        <v>39636</v>
      </c>
      <c r="B1105" s="2" t="inlineStr">
        <is>
          <t xml:space="preserve">2008-07</t>
        </is>
      </c>
      <c r="C1105" s="2" t="inlineStr">
        <is>
          <t xml:space="preserve">2008/09</t>
        </is>
      </c>
      <c r="D1105">
        <v>4.779</v>
      </c>
      <c r="E1105">
        <v>21.2</v>
      </c>
      <c r="F1105">
        <v>24.77</v>
      </c>
      <c r="G1105">
        <v>18.41</v>
      </c>
      <c r="H1105">
        <v>3.88</v>
      </c>
      <c r="I1105">
        <v>13.474</v>
      </c>
      <c r="J1105">
        <v>22.56</v>
      </c>
      <c r="K1105">
        <v>26.3</v>
      </c>
      <c r="L1105">
        <v>19.12</v>
      </c>
      <c r="M1105">
        <v>6.22</v>
      </c>
      <c r="N1105">
        <v>17.589</v>
      </c>
      <c r="O1105">
        <v>22.1</v>
      </c>
      <c r="P1105">
        <v>25.21</v>
      </c>
      <c r="Q1105">
        <v>20.08</v>
      </c>
      <c r="R1105">
        <v>6.85</v>
      </c>
    </row>
    <row r="1106">
      <c r="A1106" s="9">
        <v>39637</v>
      </c>
      <c r="B1106" s="2" t="inlineStr">
        <is>
          <t xml:space="preserve">2008-07</t>
        </is>
      </c>
      <c r="C1106" s="2" t="inlineStr">
        <is>
          <t xml:space="preserve">2008/09</t>
        </is>
      </c>
      <c r="D1106">
        <v>4.63</v>
      </c>
      <c r="E1106">
        <v>20.55</v>
      </c>
      <c r="F1106">
        <v>23.79</v>
      </c>
      <c r="G1106">
        <v>17.66</v>
      </c>
      <c r="H1106">
        <v>6.68</v>
      </c>
      <c r="I1106">
        <v>0.476</v>
      </c>
      <c r="J1106">
        <v>22.56</v>
      </c>
      <c r="K1106">
        <v>26.48</v>
      </c>
      <c r="L1106">
        <v>19.27</v>
      </c>
      <c r="M1106">
        <v>10.03</v>
      </c>
      <c r="N1106">
        <v>0.068</v>
      </c>
      <c r="O1106">
        <v>21.99</v>
      </c>
      <c r="P1106">
        <v>25.35</v>
      </c>
      <c r="Q1106">
        <v>19.28</v>
      </c>
      <c r="R1106">
        <v>7.83</v>
      </c>
    </row>
    <row r="1107">
      <c r="A1107" s="9">
        <v>39638</v>
      </c>
      <c r="B1107" s="2" t="inlineStr">
        <is>
          <t xml:space="preserve">2008-07</t>
        </is>
      </c>
      <c r="C1107" s="2" t="inlineStr">
        <is>
          <t xml:space="preserve">2008/09</t>
        </is>
      </c>
      <c r="D1107">
        <v>12.791</v>
      </c>
      <c r="E1107">
        <v>20.57</v>
      </c>
      <c r="F1107">
        <v>24.54</v>
      </c>
      <c r="G1107">
        <v>17.39</v>
      </c>
      <c r="H1107">
        <v>6.4</v>
      </c>
      <c r="I1107">
        <v>24.934</v>
      </c>
      <c r="J1107">
        <v>21.87</v>
      </c>
      <c r="K1107">
        <v>25.53</v>
      </c>
      <c r="L1107">
        <v>19.24</v>
      </c>
      <c r="M1107">
        <v>18.26</v>
      </c>
      <c r="N1107">
        <v>27.205</v>
      </c>
      <c r="O1107">
        <v>21.75</v>
      </c>
      <c r="P1107">
        <v>25.03</v>
      </c>
      <c r="Q1107">
        <v>19.21</v>
      </c>
      <c r="R1107">
        <v>17.54</v>
      </c>
    </row>
    <row r="1108">
      <c r="A1108" s="9">
        <v>39639</v>
      </c>
      <c r="B1108" s="2" t="inlineStr">
        <is>
          <t xml:space="preserve">2008-07</t>
        </is>
      </c>
      <c r="C1108" s="2" t="inlineStr">
        <is>
          <t xml:space="preserve">2008/09</t>
        </is>
      </c>
      <c r="D1108">
        <v>8.259</v>
      </c>
      <c r="E1108">
        <v>21.08</v>
      </c>
      <c r="F1108">
        <v>25.46</v>
      </c>
      <c r="G1108">
        <v>17.64</v>
      </c>
      <c r="H1108">
        <v>7.38</v>
      </c>
      <c r="I1108">
        <v>16.655</v>
      </c>
      <c r="J1108">
        <v>21.86</v>
      </c>
      <c r="K1108">
        <v>25.76</v>
      </c>
      <c r="L1108">
        <v>18.15</v>
      </c>
      <c r="M1108">
        <v>14.09</v>
      </c>
      <c r="N1108">
        <v>25.151</v>
      </c>
      <c r="O1108">
        <v>21.98</v>
      </c>
      <c r="P1108">
        <v>25.45</v>
      </c>
      <c r="Q1108">
        <v>19.43</v>
      </c>
      <c r="R1108">
        <v>16.5</v>
      </c>
    </row>
    <row r="1109">
      <c r="A1109" s="9">
        <v>39640</v>
      </c>
      <c r="B1109" s="2" t="inlineStr">
        <is>
          <t xml:space="preserve">2008-07</t>
        </is>
      </c>
      <c r="C1109" s="2" t="inlineStr">
        <is>
          <t xml:space="preserve">2008/09</t>
        </is>
      </c>
      <c r="D1109">
        <v>4.413</v>
      </c>
      <c r="E1109">
        <v>20.72</v>
      </c>
      <c r="F1109">
        <v>25.82</v>
      </c>
      <c r="G1109">
        <v>17.11</v>
      </c>
      <c r="H1109">
        <v>6.72</v>
      </c>
      <c r="I1109">
        <v>16.108</v>
      </c>
      <c r="J1109">
        <v>22.37</v>
      </c>
      <c r="K1109">
        <v>26.4</v>
      </c>
      <c r="L1109">
        <v>18.91</v>
      </c>
      <c r="M1109">
        <v>13.83</v>
      </c>
      <c r="N1109">
        <v>21.572</v>
      </c>
      <c r="O1109">
        <v>22.36</v>
      </c>
      <c r="P1109">
        <v>26.01</v>
      </c>
      <c r="Q1109">
        <v>19.88</v>
      </c>
      <c r="R1109">
        <v>15.89</v>
      </c>
    </row>
    <row r="1110">
      <c r="A1110" s="9">
        <v>39641</v>
      </c>
      <c r="B1110" s="2" t="inlineStr">
        <is>
          <t xml:space="preserve">2008-07</t>
        </is>
      </c>
      <c r="C1110" s="2" t="inlineStr">
        <is>
          <t xml:space="preserve">2008/09</t>
        </is>
      </c>
      <c r="D1110">
        <v>16.749</v>
      </c>
      <c r="E1110">
        <v>20.37</v>
      </c>
      <c r="F1110">
        <v>25.83</v>
      </c>
      <c r="G1110">
        <v>16.43</v>
      </c>
      <c r="H1110">
        <v>10.05</v>
      </c>
      <c r="I1110">
        <v>6.692</v>
      </c>
      <c r="J1110">
        <v>22.25</v>
      </c>
      <c r="K1110">
        <v>26.73</v>
      </c>
      <c r="L1110">
        <v>18.61</v>
      </c>
      <c r="M1110">
        <v>12.57</v>
      </c>
      <c r="N1110">
        <v>5.918</v>
      </c>
      <c r="O1110">
        <v>22.14</v>
      </c>
      <c r="P1110">
        <v>26.24</v>
      </c>
      <c r="Q1110">
        <v>18.94</v>
      </c>
      <c r="R1110">
        <v>9.93</v>
      </c>
    </row>
    <row r="1111">
      <c r="A1111" s="9">
        <v>39642</v>
      </c>
      <c r="B1111" s="2" t="inlineStr">
        <is>
          <t xml:space="preserve">2008-07</t>
        </is>
      </c>
      <c r="C1111" s="2" t="inlineStr">
        <is>
          <t xml:space="preserve">2008/09</t>
        </is>
      </c>
      <c r="D1111">
        <v>16.217</v>
      </c>
      <c r="E1111">
        <v>20.08</v>
      </c>
      <c r="F1111">
        <v>24.73</v>
      </c>
      <c r="G1111">
        <v>16.6</v>
      </c>
      <c r="H1111">
        <v>9.04</v>
      </c>
      <c r="I1111">
        <v>21.75</v>
      </c>
      <c r="J1111">
        <v>21.95</v>
      </c>
      <c r="K1111">
        <v>26.05</v>
      </c>
      <c r="L1111">
        <v>18.51</v>
      </c>
      <c r="M1111">
        <v>15.99</v>
      </c>
      <c r="N1111">
        <v>24.577</v>
      </c>
      <c r="O1111">
        <v>22.03</v>
      </c>
      <c r="P1111">
        <v>25.81</v>
      </c>
      <c r="Q1111">
        <v>19.38</v>
      </c>
      <c r="R1111">
        <v>13.59</v>
      </c>
    </row>
    <row r="1112">
      <c r="A1112" s="9">
        <v>39643</v>
      </c>
      <c r="B1112" s="2" t="inlineStr">
        <is>
          <t xml:space="preserve">2008-07</t>
        </is>
      </c>
      <c r="C1112" s="2" t="inlineStr">
        <is>
          <t xml:space="preserve">2008/09</t>
        </is>
      </c>
      <c r="D1112">
        <v>5.47</v>
      </c>
      <c r="E1112">
        <v>20.69</v>
      </c>
      <c r="F1112">
        <v>25.56</v>
      </c>
      <c r="G1112">
        <v>16.03</v>
      </c>
      <c r="H1112">
        <v>4.19</v>
      </c>
      <c r="I1112">
        <v>11.542</v>
      </c>
      <c r="J1112">
        <v>21.96</v>
      </c>
      <c r="K1112">
        <v>26.26</v>
      </c>
      <c r="L1112">
        <v>18.31</v>
      </c>
      <c r="M1112">
        <v>11.07</v>
      </c>
      <c r="N1112">
        <v>4.764</v>
      </c>
      <c r="O1112">
        <v>21.88</v>
      </c>
      <c r="P1112">
        <v>26.39</v>
      </c>
      <c r="Q1112">
        <v>19.0</v>
      </c>
      <c r="R1112">
        <v>10.74</v>
      </c>
    </row>
    <row r="1113">
      <c r="A1113" s="9">
        <v>39644</v>
      </c>
      <c r="B1113" s="2" t="inlineStr">
        <is>
          <t xml:space="preserve">2008-07</t>
        </is>
      </c>
      <c r="C1113" s="2" t="inlineStr">
        <is>
          <t xml:space="preserve">2008/09</t>
        </is>
      </c>
      <c r="D1113">
        <v>8.832</v>
      </c>
      <c r="E1113">
        <v>20.85</v>
      </c>
      <c r="F1113">
        <v>25.62</v>
      </c>
      <c r="G1113">
        <v>17.17</v>
      </c>
      <c r="H1113">
        <v>4.1</v>
      </c>
      <c r="I1113">
        <v>5.998</v>
      </c>
      <c r="J1113">
        <v>22.61</v>
      </c>
      <c r="K1113">
        <v>27.6</v>
      </c>
      <c r="L1113">
        <v>18.25</v>
      </c>
      <c r="M1113">
        <v>2.9</v>
      </c>
      <c r="N1113">
        <v>7.247</v>
      </c>
      <c r="O1113">
        <v>22.47</v>
      </c>
      <c r="P1113">
        <v>27.17</v>
      </c>
      <c r="Q1113">
        <v>19.39</v>
      </c>
      <c r="R1113">
        <v>2.77</v>
      </c>
    </row>
    <row r="1114">
      <c r="A1114" s="9">
        <v>39645</v>
      </c>
      <c r="B1114" s="2" t="inlineStr">
        <is>
          <t xml:space="preserve">2008-07</t>
        </is>
      </c>
      <c r="C1114" s="2" t="inlineStr">
        <is>
          <t xml:space="preserve">2008/09</t>
        </is>
      </c>
      <c r="D1114">
        <v>0.025</v>
      </c>
      <c r="E1114">
        <v>21.21</v>
      </c>
      <c r="F1114">
        <v>26.75</v>
      </c>
      <c r="G1114">
        <v>16.41</v>
      </c>
      <c r="H1114">
        <v>0.2</v>
      </c>
      <c r="I1114">
        <v>1.501</v>
      </c>
      <c r="J1114">
        <v>22.42</v>
      </c>
      <c r="K1114">
        <v>27.74</v>
      </c>
      <c r="L1114">
        <v>18.28</v>
      </c>
      <c r="M1114">
        <v>1.36</v>
      </c>
      <c r="N1114">
        <v>0.0</v>
      </c>
      <c r="O1114">
        <v>22.56</v>
      </c>
      <c r="P1114">
        <v>27.33</v>
      </c>
      <c r="Q1114">
        <v>19.11</v>
      </c>
      <c r="R1114">
        <v>0.95</v>
      </c>
    </row>
    <row r="1115">
      <c r="A1115" s="9">
        <v>39646</v>
      </c>
      <c r="B1115" s="2" t="inlineStr">
        <is>
          <t xml:space="preserve">2008-07</t>
        </is>
      </c>
      <c r="C1115" s="2" t="inlineStr">
        <is>
          <t xml:space="preserve">2008/09</t>
        </is>
      </c>
      <c r="D1115">
        <v>0.837</v>
      </c>
      <c r="E1115">
        <v>20.77</v>
      </c>
      <c r="F1115">
        <v>24.94</v>
      </c>
      <c r="G1115">
        <v>18.01</v>
      </c>
      <c r="H1115">
        <v>2.57</v>
      </c>
      <c r="I1115">
        <v>2.447</v>
      </c>
      <c r="J1115">
        <v>21.38</v>
      </c>
      <c r="K1115">
        <v>25.12</v>
      </c>
      <c r="L1115">
        <v>18.18</v>
      </c>
      <c r="M1115">
        <v>2.97</v>
      </c>
      <c r="N1115">
        <v>3.734</v>
      </c>
      <c r="O1115">
        <v>21.89</v>
      </c>
      <c r="P1115">
        <v>25.37</v>
      </c>
      <c r="Q1115">
        <v>19.0</v>
      </c>
      <c r="R1115">
        <v>5.14</v>
      </c>
    </row>
    <row r="1116">
      <c r="A1116" s="9">
        <v>39647</v>
      </c>
      <c r="B1116" s="2" t="inlineStr">
        <is>
          <t xml:space="preserve">2008-07</t>
        </is>
      </c>
      <c r="C1116" s="2" t="inlineStr">
        <is>
          <t xml:space="preserve">2008/09</t>
        </is>
      </c>
      <c r="D1116">
        <v>8.446</v>
      </c>
      <c r="E1116">
        <v>19.96</v>
      </c>
      <c r="F1116">
        <v>22.87</v>
      </c>
      <c r="G1116">
        <v>17.18</v>
      </c>
      <c r="H1116">
        <v>17.99</v>
      </c>
      <c r="I1116">
        <v>10.553</v>
      </c>
      <c r="J1116">
        <v>20.84</v>
      </c>
      <c r="K1116">
        <v>24.29</v>
      </c>
      <c r="L1116">
        <v>18.2</v>
      </c>
      <c r="M1116">
        <v>15.84</v>
      </c>
      <c r="N1116">
        <v>13.495</v>
      </c>
      <c r="O1116">
        <v>20.96</v>
      </c>
      <c r="P1116">
        <v>23.54</v>
      </c>
      <c r="Q1116">
        <v>18.92</v>
      </c>
      <c r="R1116">
        <v>23.55</v>
      </c>
    </row>
    <row r="1117">
      <c r="A1117" s="9">
        <v>39648</v>
      </c>
      <c r="B1117" s="2" t="inlineStr">
        <is>
          <t xml:space="preserve">2008-07</t>
        </is>
      </c>
      <c r="C1117" s="2" t="inlineStr">
        <is>
          <t xml:space="preserve">2008/09</t>
        </is>
      </c>
      <c r="D1117">
        <v>11.878</v>
      </c>
      <c r="E1117">
        <v>20.99</v>
      </c>
      <c r="F1117">
        <v>24.79</v>
      </c>
      <c r="G1117">
        <v>18.38</v>
      </c>
      <c r="H1117">
        <v>14.56</v>
      </c>
      <c r="I1117">
        <v>14.875</v>
      </c>
      <c r="J1117">
        <v>21.53</v>
      </c>
      <c r="K1117">
        <v>24.85</v>
      </c>
      <c r="L1117">
        <v>19.09</v>
      </c>
      <c r="M1117">
        <v>18.14</v>
      </c>
      <c r="N1117">
        <v>14.132</v>
      </c>
      <c r="O1117">
        <v>22.1</v>
      </c>
      <c r="P1117">
        <v>26.12</v>
      </c>
      <c r="Q1117">
        <v>19.75</v>
      </c>
      <c r="R1117">
        <v>15.54</v>
      </c>
    </row>
    <row r="1118">
      <c r="A1118" s="9">
        <v>39649</v>
      </c>
      <c r="B1118" s="2" t="inlineStr">
        <is>
          <t xml:space="preserve">2008-07</t>
        </is>
      </c>
      <c r="C1118" s="2" t="inlineStr">
        <is>
          <t xml:space="preserve">2008/09</t>
        </is>
      </c>
      <c r="D1118">
        <v>22.183</v>
      </c>
      <c r="E1118">
        <v>21.61</v>
      </c>
      <c r="F1118">
        <v>25.7</v>
      </c>
      <c r="G1118">
        <v>17.78</v>
      </c>
      <c r="H1118">
        <v>13.08</v>
      </c>
      <c r="I1118">
        <v>24.467</v>
      </c>
      <c r="J1118">
        <v>21.91</v>
      </c>
      <c r="K1118">
        <v>25.22</v>
      </c>
      <c r="L1118">
        <v>19.26</v>
      </c>
      <c r="M1118">
        <v>21.71</v>
      </c>
      <c r="N1118">
        <v>25.602</v>
      </c>
      <c r="O1118">
        <v>22.05</v>
      </c>
      <c r="P1118">
        <v>25.33</v>
      </c>
      <c r="Q1118">
        <v>20.05</v>
      </c>
      <c r="R1118">
        <v>21.09</v>
      </c>
    </row>
    <row r="1119">
      <c r="A1119" s="9">
        <v>39650</v>
      </c>
      <c r="B1119" s="2" t="inlineStr">
        <is>
          <t xml:space="preserve">2008-07</t>
        </is>
      </c>
      <c r="C1119" s="2" t="inlineStr">
        <is>
          <t xml:space="preserve">2008/09</t>
        </is>
      </c>
      <c r="D1119">
        <v>8.282</v>
      </c>
      <c r="E1119">
        <v>21.55</v>
      </c>
      <c r="F1119">
        <v>25.16</v>
      </c>
      <c r="G1119">
        <v>18.81</v>
      </c>
      <c r="H1119">
        <v>9.87</v>
      </c>
      <c r="I1119">
        <v>28.832</v>
      </c>
      <c r="J1119">
        <v>22.45</v>
      </c>
      <c r="K1119">
        <v>25.82</v>
      </c>
      <c r="L1119">
        <v>19.35</v>
      </c>
      <c r="M1119">
        <v>24.52</v>
      </c>
      <c r="N1119">
        <v>33.525</v>
      </c>
      <c r="O1119">
        <v>22.77</v>
      </c>
      <c r="P1119">
        <v>26.26</v>
      </c>
      <c r="Q1119">
        <v>19.99</v>
      </c>
      <c r="R1119">
        <v>33.93</v>
      </c>
    </row>
    <row r="1120">
      <c r="A1120" s="9">
        <v>39651</v>
      </c>
      <c r="B1120" s="2" t="inlineStr">
        <is>
          <t xml:space="preserve">2008-07</t>
        </is>
      </c>
      <c r="C1120" s="2" t="inlineStr">
        <is>
          <t xml:space="preserve">2008/09</t>
        </is>
      </c>
      <c r="D1120">
        <v>6.153</v>
      </c>
      <c r="E1120">
        <v>21.33</v>
      </c>
      <c r="F1120">
        <v>26.52</v>
      </c>
      <c r="G1120">
        <v>16.74</v>
      </c>
      <c r="H1120">
        <v>6.54</v>
      </c>
      <c r="I1120">
        <v>4.904</v>
      </c>
      <c r="J1120">
        <v>22.52</v>
      </c>
      <c r="K1120">
        <v>27.02</v>
      </c>
      <c r="L1120">
        <v>19.0</v>
      </c>
      <c r="M1120">
        <v>7.47</v>
      </c>
      <c r="N1120">
        <v>8.156</v>
      </c>
      <c r="O1120">
        <v>22.96</v>
      </c>
      <c r="P1120">
        <v>27.24</v>
      </c>
      <c r="Q1120">
        <v>19.87</v>
      </c>
      <c r="R1120">
        <v>12.46</v>
      </c>
    </row>
    <row r="1121">
      <c r="A1121" s="9">
        <v>39652</v>
      </c>
      <c r="B1121" s="2" t="inlineStr">
        <is>
          <t xml:space="preserve">2008-07</t>
        </is>
      </c>
      <c r="C1121" s="2" t="inlineStr">
        <is>
          <t xml:space="preserve">2008/09</t>
        </is>
      </c>
      <c r="D1121">
        <v>3.498</v>
      </c>
      <c r="E1121">
        <v>20.7</v>
      </c>
      <c r="F1121">
        <v>24.99</v>
      </c>
      <c r="G1121">
        <v>17.04</v>
      </c>
      <c r="H1121">
        <v>2.83</v>
      </c>
      <c r="I1121">
        <v>3.289</v>
      </c>
      <c r="J1121">
        <v>22.74</v>
      </c>
      <c r="K1121">
        <v>26.08</v>
      </c>
      <c r="L1121">
        <v>20.61</v>
      </c>
      <c r="M1121">
        <v>1.48</v>
      </c>
      <c r="N1121">
        <v>4.228</v>
      </c>
      <c r="O1121">
        <v>22.48</v>
      </c>
      <c r="P1121">
        <v>25.8</v>
      </c>
      <c r="Q1121">
        <v>20.2</v>
      </c>
      <c r="R1121">
        <v>1.59</v>
      </c>
    </row>
    <row r="1122">
      <c r="A1122" s="9">
        <v>39653</v>
      </c>
      <c r="B1122" s="2" t="inlineStr">
        <is>
          <t xml:space="preserve">2008-07</t>
        </is>
      </c>
      <c r="C1122" s="2" t="inlineStr">
        <is>
          <t xml:space="preserve">2008/09</t>
        </is>
      </c>
      <c r="D1122">
        <v>2.449</v>
      </c>
      <c r="E1122">
        <v>19.87</v>
      </c>
      <c r="F1122">
        <v>25.19</v>
      </c>
      <c r="G1122">
        <v>14.68</v>
      </c>
      <c r="H1122">
        <v>1.24</v>
      </c>
      <c r="I1122">
        <v>1.224</v>
      </c>
      <c r="J1122">
        <v>22.7</v>
      </c>
      <c r="K1122">
        <v>27.28</v>
      </c>
      <c r="L1122">
        <v>19.1</v>
      </c>
      <c r="M1122">
        <v>0.93</v>
      </c>
      <c r="N1122">
        <v>1.194</v>
      </c>
      <c r="O1122">
        <v>22.17</v>
      </c>
      <c r="P1122">
        <v>27.22</v>
      </c>
      <c r="Q1122">
        <v>17.38</v>
      </c>
      <c r="R1122">
        <v>0.97</v>
      </c>
    </row>
    <row r="1123">
      <c r="A1123" s="9">
        <v>39654</v>
      </c>
      <c r="B1123" s="2" t="inlineStr">
        <is>
          <t xml:space="preserve">2008-07</t>
        </is>
      </c>
      <c r="C1123" s="2" t="inlineStr">
        <is>
          <t xml:space="preserve">2008/09</t>
        </is>
      </c>
      <c r="D1123">
        <v>0.0</v>
      </c>
      <c r="E1123">
        <v>21.02</v>
      </c>
      <c r="F1123">
        <v>26.05</v>
      </c>
      <c r="G1123">
        <v>16.65</v>
      </c>
      <c r="H1123">
        <v>0.75</v>
      </c>
      <c r="I1123">
        <v>0.0</v>
      </c>
      <c r="J1123">
        <v>22.54</v>
      </c>
      <c r="K1123">
        <v>27.31</v>
      </c>
      <c r="L1123">
        <v>18.63</v>
      </c>
      <c r="M1123">
        <v>3.22</v>
      </c>
      <c r="N1123">
        <v>0.0</v>
      </c>
      <c r="O1123">
        <v>22.29</v>
      </c>
      <c r="P1123">
        <v>26.61</v>
      </c>
      <c r="Q1123">
        <v>18.96</v>
      </c>
      <c r="R1123">
        <v>11.33</v>
      </c>
    </row>
    <row r="1124">
      <c r="A1124" s="9">
        <v>39655</v>
      </c>
      <c r="B1124" s="2" t="inlineStr">
        <is>
          <t xml:space="preserve">2008-07</t>
        </is>
      </c>
      <c r="C1124" s="2" t="inlineStr">
        <is>
          <t xml:space="preserve">2008/09</t>
        </is>
      </c>
      <c r="D1124">
        <v>0.0</v>
      </c>
      <c r="E1124">
        <v>21.34</v>
      </c>
      <c r="F1124">
        <v>26.61</v>
      </c>
      <c r="G1124">
        <v>17.62</v>
      </c>
      <c r="H1124">
        <v>1.44</v>
      </c>
      <c r="I1124">
        <v>0.861</v>
      </c>
      <c r="J1124">
        <v>21.72</v>
      </c>
      <c r="K1124">
        <v>25.61</v>
      </c>
      <c r="L1124">
        <v>18.95</v>
      </c>
      <c r="M1124">
        <v>4.73</v>
      </c>
      <c r="N1124">
        <v>3.969</v>
      </c>
      <c r="O1124">
        <v>21.83</v>
      </c>
      <c r="P1124">
        <v>25.07</v>
      </c>
      <c r="Q1124">
        <v>19.68</v>
      </c>
      <c r="R1124">
        <v>17.14</v>
      </c>
    </row>
    <row r="1125">
      <c r="A1125" s="9">
        <v>39656</v>
      </c>
      <c r="B1125" s="2" t="inlineStr">
        <is>
          <t xml:space="preserve">2008-07</t>
        </is>
      </c>
      <c r="C1125" s="2" t="inlineStr">
        <is>
          <t xml:space="preserve">2008/09</t>
        </is>
      </c>
      <c r="D1125">
        <v>0.025</v>
      </c>
      <c r="E1125">
        <v>21.27</v>
      </c>
      <c r="F1125">
        <v>26.79</v>
      </c>
      <c r="G1125">
        <v>17.01</v>
      </c>
      <c r="H1125">
        <v>0.12</v>
      </c>
      <c r="I1125">
        <v>0.124</v>
      </c>
      <c r="J1125">
        <v>22.16</v>
      </c>
      <c r="K1125">
        <v>26.67</v>
      </c>
      <c r="L1125">
        <v>18.38</v>
      </c>
      <c r="M1125">
        <v>0.6</v>
      </c>
      <c r="N1125">
        <v>0.549</v>
      </c>
      <c r="O1125">
        <v>22.27</v>
      </c>
      <c r="P1125">
        <v>26.51</v>
      </c>
      <c r="Q1125">
        <v>19.22</v>
      </c>
      <c r="R1125">
        <v>2.31</v>
      </c>
    </row>
    <row r="1126">
      <c r="A1126" s="9">
        <v>39657</v>
      </c>
      <c r="B1126" s="2" t="inlineStr">
        <is>
          <t xml:space="preserve">2008-07</t>
        </is>
      </c>
      <c r="C1126" s="2" t="inlineStr">
        <is>
          <t xml:space="preserve">2008/09</t>
        </is>
      </c>
      <c r="D1126">
        <v>0.0</v>
      </c>
      <c r="E1126">
        <v>21.8</v>
      </c>
      <c r="F1126">
        <v>27.39</v>
      </c>
      <c r="G1126">
        <v>16.88</v>
      </c>
      <c r="H1126">
        <v>0.61</v>
      </c>
      <c r="I1126">
        <v>0.0</v>
      </c>
      <c r="J1126">
        <v>22.68</v>
      </c>
      <c r="K1126">
        <v>27.42</v>
      </c>
      <c r="L1126">
        <v>17.8</v>
      </c>
      <c r="M1126">
        <v>0.09</v>
      </c>
      <c r="N1126">
        <v>0.0</v>
      </c>
      <c r="O1126">
        <v>22.73</v>
      </c>
      <c r="P1126">
        <v>27.37</v>
      </c>
      <c r="Q1126">
        <v>19.19</v>
      </c>
      <c r="R1126">
        <v>0.03</v>
      </c>
    </row>
    <row r="1127">
      <c r="A1127" s="9">
        <v>39658</v>
      </c>
      <c r="B1127" s="2" t="inlineStr">
        <is>
          <t xml:space="preserve">2008-07</t>
        </is>
      </c>
      <c r="C1127" s="2" t="inlineStr">
        <is>
          <t xml:space="preserve">2008/09</t>
        </is>
      </c>
      <c r="D1127">
        <v>5.849</v>
      </c>
      <c r="E1127">
        <v>21.99</v>
      </c>
      <c r="F1127">
        <v>27.38</v>
      </c>
      <c r="G1127">
        <v>17.11</v>
      </c>
      <c r="H1127">
        <v>2.86</v>
      </c>
      <c r="I1127">
        <v>0.373</v>
      </c>
      <c r="J1127">
        <v>22.66</v>
      </c>
      <c r="K1127">
        <v>26.31</v>
      </c>
      <c r="L1127">
        <v>20.06</v>
      </c>
      <c r="M1127">
        <v>1.3</v>
      </c>
      <c r="N1127">
        <v>0.085</v>
      </c>
      <c r="O1127">
        <v>23.0</v>
      </c>
      <c r="P1127">
        <v>27.15</v>
      </c>
      <c r="Q1127">
        <v>20.0</v>
      </c>
      <c r="R1127">
        <v>0.85</v>
      </c>
    </row>
    <row r="1128">
      <c r="A1128" s="9">
        <v>39659</v>
      </c>
      <c r="B1128" s="2" t="inlineStr">
        <is>
          <t xml:space="preserve">2008-07</t>
        </is>
      </c>
      <c r="C1128" s="2" t="inlineStr">
        <is>
          <t xml:space="preserve">2008/09</t>
        </is>
      </c>
      <c r="D1128">
        <v>9.719</v>
      </c>
      <c r="E1128">
        <v>21.14</v>
      </c>
      <c r="F1128">
        <v>25.15</v>
      </c>
      <c r="G1128">
        <v>17.99</v>
      </c>
      <c r="H1128">
        <v>6.69</v>
      </c>
      <c r="I1128">
        <v>3.661</v>
      </c>
      <c r="J1128">
        <v>22.34</v>
      </c>
      <c r="K1128">
        <v>26.41</v>
      </c>
      <c r="L1128">
        <v>19.96</v>
      </c>
      <c r="M1128">
        <v>5.5</v>
      </c>
      <c r="N1128">
        <v>4.139</v>
      </c>
      <c r="O1128">
        <v>22.56</v>
      </c>
      <c r="P1128">
        <v>26.6</v>
      </c>
      <c r="Q1128">
        <v>19.3</v>
      </c>
      <c r="R1128">
        <v>5.78</v>
      </c>
    </row>
    <row r="1129">
      <c r="A1129" s="9">
        <v>39660</v>
      </c>
      <c r="B1129" s="2" t="inlineStr">
        <is>
          <t xml:space="preserve">2008-07</t>
        </is>
      </c>
      <c r="C1129" s="2" t="inlineStr">
        <is>
          <t xml:space="preserve">2008/09</t>
        </is>
      </c>
      <c r="D1129">
        <v>15.515</v>
      </c>
      <c r="E1129">
        <v>19.93</v>
      </c>
      <c r="F1129">
        <v>25.01</v>
      </c>
      <c r="G1129">
        <v>16.08</v>
      </c>
      <c r="H1129">
        <v>8.5</v>
      </c>
      <c r="I1129">
        <v>26.028</v>
      </c>
      <c r="J1129">
        <v>21.56</v>
      </c>
      <c r="K1129">
        <v>24.21</v>
      </c>
      <c r="L1129">
        <v>19.71</v>
      </c>
      <c r="M1129">
        <v>20.97</v>
      </c>
      <c r="N1129">
        <v>36.698</v>
      </c>
      <c r="O1129">
        <v>22.5</v>
      </c>
      <c r="P1129">
        <v>26.46</v>
      </c>
      <c r="Q1129">
        <v>19.27</v>
      </c>
      <c r="R1129">
        <v>19.42</v>
      </c>
    </row>
    <row r="1130">
      <c r="A1130" s="9">
        <v>39661</v>
      </c>
      <c r="B1130" s="2" t="inlineStr">
        <is>
          <t xml:space="preserve">2008-08</t>
        </is>
      </c>
      <c r="C1130" s="2" t="inlineStr">
        <is>
          <t xml:space="preserve">2008/09</t>
        </is>
      </c>
      <c r="D1130">
        <v>5.733</v>
      </c>
      <c r="E1130">
        <v>21.06</v>
      </c>
      <c r="F1130">
        <v>25.93</v>
      </c>
      <c r="G1130">
        <v>16.82</v>
      </c>
      <c r="H1130">
        <v>2.03</v>
      </c>
      <c r="I1130">
        <v>2.333</v>
      </c>
      <c r="J1130">
        <v>22.36</v>
      </c>
      <c r="K1130">
        <v>26.07</v>
      </c>
      <c r="L1130">
        <v>18.91</v>
      </c>
      <c r="M1130">
        <v>1.5</v>
      </c>
      <c r="N1130">
        <v>1.94</v>
      </c>
      <c r="O1130">
        <v>22.63</v>
      </c>
      <c r="P1130">
        <v>26.53</v>
      </c>
      <c r="Q1130">
        <v>19.51</v>
      </c>
      <c r="R1130">
        <v>1.1</v>
      </c>
    </row>
    <row r="1131">
      <c r="A1131" s="9">
        <v>39662</v>
      </c>
      <c r="B1131" s="2" t="inlineStr">
        <is>
          <t xml:space="preserve">2008-08</t>
        </is>
      </c>
      <c r="C1131" s="2" t="inlineStr">
        <is>
          <t xml:space="preserve">2008/09</t>
        </is>
      </c>
      <c r="D1131">
        <v>0.54</v>
      </c>
      <c r="E1131">
        <v>21.52</v>
      </c>
      <c r="F1131">
        <v>26.07</v>
      </c>
      <c r="G1131">
        <v>17.82</v>
      </c>
      <c r="H1131">
        <v>5.26</v>
      </c>
      <c r="I1131">
        <v>0.034</v>
      </c>
      <c r="J1131">
        <v>22.35</v>
      </c>
      <c r="K1131">
        <v>26.65</v>
      </c>
      <c r="L1131">
        <v>18.19</v>
      </c>
      <c r="M1131">
        <v>1.6</v>
      </c>
      <c r="N1131">
        <v>0.12</v>
      </c>
      <c r="O1131">
        <v>22.47</v>
      </c>
      <c r="P1131">
        <v>26.32</v>
      </c>
      <c r="Q1131">
        <v>19.72</v>
      </c>
      <c r="R1131">
        <v>2.94</v>
      </c>
    </row>
    <row r="1132">
      <c r="A1132" s="9">
        <v>39663</v>
      </c>
      <c r="B1132" s="2" t="inlineStr">
        <is>
          <t xml:space="preserve">2008-08</t>
        </is>
      </c>
      <c r="C1132" s="2" t="inlineStr">
        <is>
          <t xml:space="preserve">2008/09</t>
        </is>
      </c>
      <c r="D1132">
        <v>10.685</v>
      </c>
      <c r="E1132">
        <v>21.01</v>
      </c>
      <c r="F1132">
        <v>25.37</v>
      </c>
      <c r="G1132">
        <v>18.11</v>
      </c>
      <c r="H1132">
        <v>9.27</v>
      </c>
      <c r="I1132">
        <v>3.59</v>
      </c>
      <c r="J1132">
        <v>22.38</v>
      </c>
      <c r="K1132">
        <v>26.73</v>
      </c>
      <c r="L1132">
        <v>19.35</v>
      </c>
      <c r="M1132">
        <v>6.44</v>
      </c>
      <c r="N1132">
        <v>1.795</v>
      </c>
      <c r="O1132">
        <v>22.33</v>
      </c>
      <c r="P1132">
        <v>25.72</v>
      </c>
      <c r="Q1132">
        <v>20.4</v>
      </c>
      <c r="R1132">
        <v>9.39</v>
      </c>
    </row>
    <row r="1133">
      <c r="A1133" s="9">
        <v>39664</v>
      </c>
      <c r="B1133" s="2" t="inlineStr">
        <is>
          <t xml:space="preserve">2008-08</t>
        </is>
      </c>
      <c r="C1133" s="2" t="inlineStr">
        <is>
          <t xml:space="preserve">2008/09</t>
        </is>
      </c>
      <c r="D1133">
        <v>4.47</v>
      </c>
      <c r="E1133">
        <v>20.43</v>
      </c>
      <c r="F1133">
        <v>25.2</v>
      </c>
      <c r="G1133">
        <v>16.26</v>
      </c>
      <c r="H1133">
        <v>12.47</v>
      </c>
      <c r="I1133">
        <v>6.449</v>
      </c>
      <c r="J1133">
        <v>21.81</v>
      </c>
      <c r="K1133">
        <v>26.03</v>
      </c>
      <c r="L1133">
        <v>18.03</v>
      </c>
      <c r="M1133">
        <v>15.54</v>
      </c>
      <c r="N1133">
        <v>4.868</v>
      </c>
      <c r="O1133">
        <v>21.73</v>
      </c>
      <c r="P1133">
        <v>25.0</v>
      </c>
      <c r="Q1133">
        <v>19.05</v>
      </c>
      <c r="R1133">
        <v>14.94</v>
      </c>
    </row>
    <row r="1134">
      <c r="A1134" s="9">
        <v>39665</v>
      </c>
      <c r="B1134" s="2" t="inlineStr">
        <is>
          <t xml:space="preserve">2008-08</t>
        </is>
      </c>
      <c r="C1134" s="2" t="inlineStr">
        <is>
          <t xml:space="preserve">2008/09</t>
        </is>
      </c>
      <c r="D1134">
        <v>8.708</v>
      </c>
      <c r="E1134">
        <v>20.64</v>
      </c>
      <c r="F1134">
        <v>25.4</v>
      </c>
      <c r="G1134">
        <v>17.31</v>
      </c>
      <c r="H1134">
        <v>3.17</v>
      </c>
      <c r="I1134">
        <v>39.57</v>
      </c>
      <c r="J1134">
        <v>21.22</v>
      </c>
      <c r="K1134">
        <v>24.24</v>
      </c>
      <c r="L1134">
        <v>19.13</v>
      </c>
      <c r="M1134">
        <v>25.96</v>
      </c>
      <c r="N1134">
        <v>55.17</v>
      </c>
      <c r="O1134">
        <v>21.94</v>
      </c>
      <c r="P1134">
        <v>25.6</v>
      </c>
      <c r="Q1134">
        <v>19.9</v>
      </c>
      <c r="R1134">
        <v>27.7</v>
      </c>
    </row>
    <row r="1135">
      <c r="A1135" s="9">
        <v>39666</v>
      </c>
      <c r="B1135" s="2" t="inlineStr">
        <is>
          <t xml:space="preserve">2008-08</t>
        </is>
      </c>
      <c r="C1135" s="2" t="inlineStr">
        <is>
          <t xml:space="preserve">2008/09</t>
        </is>
      </c>
      <c r="D1135">
        <v>0.025</v>
      </c>
      <c r="E1135">
        <v>21.39</v>
      </c>
      <c r="F1135">
        <v>26.77</v>
      </c>
      <c r="G1135">
        <v>16.79</v>
      </c>
      <c r="H1135">
        <v>0.21</v>
      </c>
      <c r="I1135">
        <v>1.77</v>
      </c>
      <c r="J1135">
        <v>22.29</v>
      </c>
      <c r="K1135">
        <v>26.9</v>
      </c>
      <c r="L1135">
        <v>17.88</v>
      </c>
      <c r="M1135">
        <v>1.48</v>
      </c>
      <c r="N1135">
        <v>0.0</v>
      </c>
      <c r="O1135">
        <v>22.56</v>
      </c>
      <c r="P1135">
        <v>26.62</v>
      </c>
      <c r="Q1135">
        <v>19.6</v>
      </c>
      <c r="R1135">
        <v>2.96</v>
      </c>
    </row>
    <row r="1136">
      <c r="A1136" s="9">
        <v>39667</v>
      </c>
      <c r="B1136" s="2" t="inlineStr">
        <is>
          <t xml:space="preserve">2008-08</t>
        </is>
      </c>
      <c r="C1136" s="2" t="inlineStr">
        <is>
          <t xml:space="preserve">2008/09</t>
        </is>
      </c>
      <c r="D1136">
        <v>0.0</v>
      </c>
      <c r="E1136">
        <v>21.89</v>
      </c>
      <c r="F1136">
        <v>27.53</v>
      </c>
      <c r="G1136">
        <v>17.29</v>
      </c>
      <c r="H1136">
        <v>2.64</v>
      </c>
      <c r="I1136">
        <v>0.864</v>
      </c>
      <c r="J1136">
        <v>22.32</v>
      </c>
      <c r="K1136">
        <v>26.62</v>
      </c>
      <c r="L1136">
        <v>19.1</v>
      </c>
      <c r="M1136">
        <v>2.23</v>
      </c>
      <c r="N1136">
        <v>1.478</v>
      </c>
      <c r="O1136">
        <v>22.52</v>
      </c>
      <c r="P1136">
        <v>26.65</v>
      </c>
      <c r="Q1136">
        <v>19.88</v>
      </c>
      <c r="R1136">
        <v>5.18</v>
      </c>
    </row>
    <row r="1137">
      <c r="A1137" s="9">
        <v>39668</v>
      </c>
      <c r="B1137" s="2" t="inlineStr">
        <is>
          <t xml:space="preserve">2008-08</t>
        </is>
      </c>
      <c r="C1137" s="2" t="inlineStr">
        <is>
          <t xml:space="preserve">2008/09</t>
        </is>
      </c>
      <c r="D1137">
        <v>3.936</v>
      </c>
      <c r="E1137">
        <v>20.72</v>
      </c>
      <c r="F1137">
        <v>24.44</v>
      </c>
      <c r="G1137">
        <v>17.23</v>
      </c>
      <c r="H1137">
        <v>8.92</v>
      </c>
      <c r="I1137">
        <v>3.764</v>
      </c>
      <c r="J1137">
        <v>21.75</v>
      </c>
      <c r="K1137">
        <v>25.59</v>
      </c>
      <c r="L1137">
        <v>18.86</v>
      </c>
      <c r="M1137">
        <v>8.95</v>
      </c>
      <c r="N1137">
        <v>5.149</v>
      </c>
      <c r="O1137">
        <v>22.01</v>
      </c>
      <c r="P1137">
        <v>25.03</v>
      </c>
      <c r="Q1137">
        <v>20.11</v>
      </c>
      <c r="R1137">
        <v>14.57</v>
      </c>
    </row>
    <row r="1138">
      <c r="A1138" s="9">
        <v>39669</v>
      </c>
      <c r="B1138" s="2" t="inlineStr">
        <is>
          <t xml:space="preserve">2008-08</t>
        </is>
      </c>
      <c r="C1138" s="2" t="inlineStr">
        <is>
          <t xml:space="preserve">2008/09</t>
        </is>
      </c>
      <c r="D1138">
        <v>17.238</v>
      </c>
      <c r="E1138">
        <v>21.13</v>
      </c>
      <c r="F1138">
        <v>26.62</v>
      </c>
      <c r="G1138">
        <v>16.23</v>
      </c>
      <c r="H1138">
        <v>7.11</v>
      </c>
      <c r="I1138">
        <v>9.476</v>
      </c>
      <c r="J1138">
        <v>22.58</v>
      </c>
      <c r="K1138">
        <v>27.24</v>
      </c>
      <c r="L1138">
        <v>18.44</v>
      </c>
      <c r="M1138">
        <v>5.44</v>
      </c>
      <c r="N1138">
        <v>13.705</v>
      </c>
      <c r="O1138">
        <v>22.8</v>
      </c>
      <c r="P1138">
        <v>27.3</v>
      </c>
      <c r="Q1138">
        <v>19.23</v>
      </c>
      <c r="R1138">
        <v>5.53</v>
      </c>
    </row>
    <row r="1139">
      <c r="A1139" s="9">
        <v>39670</v>
      </c>
      <c r="B1139" s="2" t="inlineStr">
        <is>
          <t xml:space="preserve">2008-08</t>
        </is>
      </c>
      <c r="C1139" s="2" t="inlineStr">
        <is>
          <t xml:space="preserve">2008/09</t>
        </is>
      </c>
      <c r="D1139">
        <v>2.212</v>
      </c>
      <c r="E1139">
        <v>21.63</v>
      </c>
      <c r="F1139">
        <v>27.03</v>
      </c>
      <c r="G1139">
        <v>17.03</v>
      </c>
      <c r="H1139">
        <v>3.32</v>
      </c>
      <c r="I1139">
        <v>1.001</v>
      </c>
      <c r="J1139">
        <v>23.08</v>
      </c>
      <c r="K1139">
        <v>27.48</v>
      </c>
      <c r="L1139">
        <v>19.39</v>
      </c>
      <c r="M1139">
        <v>1.03</v>
      </c>
      <c r="N1139">
        <v>1.233</v>
      </c>
      <c r="O1139">
        <v>22.76</v>
      </c>
      <c r="P1139">
        <v>27.02</v>
      </c>
      <c r="Q1139">
        <v>19.59</v>
      </c>
      <c r="R1139">
        <v>1.49</v>
      </c>
    </row>
    <row r="1140">
      <c r="A1140" s="9">
        <v>39671</v>
      </c>
      <c r="B1140" s="2" t="inlineStr">
        <is>
          <t xml:space="preserve">2008-08</t>
        </is>
      </c>
      <c r="C1140" s="2" t="inlineStr">
        <is>
          <t xml:space="preserve">2008/09</t>
        </is>
      </c>
      <c r="D1140">
        <v>30.192</v>
      </c>
      <c r="E1140">
        <v>21.43</v>
      </c>
      <c r="F1140">
        <v>26.74</v>
      </c>
      <c r="G1140">
        <v>17.16</v>
      </c>
      <c r="H1140">
        <v>12.81</v>
      </c>
      <c r="I1140">
        <v>0.639</v>
      </c>
      <c r="J1140">
        <v>23.23</v>
      </c>
      <c r="K1140">
        <v>27.75</v>
      </c>
      <c r="L1140">
        <v>19.32</v>
      </c>
      <c r="M1140">
        <v>4.09</v>
      </c>
      <c r="N1140">
        <v>1.281</v>
      </c>
      <c r="O1140">
        <v>23.09</v>
      </c>
      <c r="P1140">
        <v>27.38</v>
      </c>
      <c r="Q1140">
        <v>20.05</v>
      </c>
      <c r="R1140">
        <v>4.51</v>
      </c>
    </row>
    <row r="1141">
      <c r="A1141" s="9">
        <v>39672</v>
      </c>
      <c r="B1141" s="2" t="inlineStr">
        <is>
          <t xml:space="preserve">2008-08</t>
        </is>
      </c>
      <c r="C1141" s="2" t="inlineStr">
        <is>
          <t xml:space="preserve">2008/09</t>
        </is>
      </c>
      <c r="D1141">
        <v>5.039</v>
      </c>
      <c r="E1141">
        <v>20.65</v>
      </c>
      <c r="F1141">
        <v>26.02</v>
      </c>
      <c r="G1141">
        <v>15.97</v>
      </c>
      <c r="H1141">
        <v>7.25</v>
      </c>
      <c r="I1141">
        <v>8.453</v>
      </c>
      <c r="J1141">
        <v>22.18</v>
      </c>
      <c r="K1141">
        <v>26.38</v>
      </c>
      <c r="L1141">
        <v>19.42</v>
      </c>
      <c r="M1141">
        <v>13.13</v>
      </c>
      <c r="N1141">
        <v>11.741</v>
      </c>
      <c r="O1141">
        <v>22.69</v>
      </c>
      <c r="P1141">
        <v>27.41</v>
      </c>
      <c r="Q1141">
        <v>18.8</v>
      </c>
      <c r="R1141">
        <v>12.72</v>
      </c>
    </row>
    <row r="1142">
      <c r="A1142" s="9">
        <v>39673</v>
      </c>
      <c r="B1142" s="2" t="inlineStr">
        <is>
          <t xml:space="preserve">2008-08</t>
        </is>
      </c>
      <c r="C1142" s="2" t="inlineStr">
        <is>
          <t xml:space="preserve">2008/09</t>
        </is>
      </c>
      <c r="D1142">
        <v>9.808</v>
      </c>
      <c r="E1142">
        <v>20.8</v>
      </c>
      <c r="F1142">
        <v>24.36</v>
      </c>
      <c r="G1142">
        <v>18.17</v>
      </c>
      <c r="H1142">
        <v>10.63</v>
      </c>
      <c r="I1142">
        <v>21.66</v>
      </c>
      <c r="J1142">
        <v>21.17</v>
      </c>
      <c r="K1142">
        <v>24.59</v>
      </c>
      <c r="L1142">
        <v>18.78</v>
      </c>
      <c r="M1142">
        <v>12.79</v>
      </c>
      <c r="N1142">
        <v>29.727</v>
      </c>
      <c r="O1142">
        <v>22.04</v>
      </c>
      <c r="P1142">
        <v>25.47</v>
      </c>
      <c r="Q1142">
        <v>19.66</v>
      </c>
      <c r="R1142">
        <v>14.23</v>
      </c>
    </row>
    <row r="1143">
      <c r="A1143" s="9">
        <v>39674</v>
      </c>
      <c r="B1143" s="2" t="inlineStr">
        <is>
          <t xml:space="preserve">2008-08</t>
        </is>
      </c>
      <c r="C1143" s="2" t="inlineStr">
        <is>
          <t xml:space="preserve">2008/09</t>
        </is>
      </c>
      <c r="D1143">
        <v>8.222</v>
      </c>
      <c r="E1143">
        <v>21.61</v>
      </c>
      <c r="F1143">
        <v>26.06</v>
      </c>
      <c r="G1143">
        <v>17.75</v>
      </c>
      <c r="H1143">
        <v>8.75</v>
      </c>
      <c r="I1143">
        <v>9.816</v>
      </c>
      <c r="J1143">
        <v>21.67</v>
      </c>
      <c r="K1143">
        <v>25.28</v>
      </c>
      <c r="L1143">
        <v>18.53</v>
      </c>
      <c r="M1143">
        <v>9.82</v>
      </c>
      <c r="N1143">
        <v>13.743</v>
      </c>
      <c r="O1143">
        <v>22.62</v>
      </c>
      <c r="P1143">
        <v>26.53</v>
      </c>
      <c r="Q1143">
        <v>19.36</v>
      </c>
      <c r="R1143">
        <v>9.93</v>
      </c>
    </row>
    <row r="1144">
      <c r="A1144" s="9">
        <v>39675</v>
      </c>
      <c r="B1144" s="2" t="inlineStr">
        <is>
          <t xml:space="preserve">2008-08</t>
        </is>
      </c>
      <c r="C1144" s="2" t="inlineStr">
        <is>
          <t xml:space="preserve">2008/09</t>
        </is>
      </c>
      <c r="D1144">
        <v>5.312</v>
      </c>
      <c r="E1144">
        <v>21.92</v>
      </c>
      <c r="F1144">
        <v>27.24</v>
      </c>
      <c r="G1144">
        <v>17.54</v>
      </c>
      <c r="H1144">
        <v>3.25</v>
      </c>
      <c r="I1144">
        <v>8.388</v>
      </c>
      <c r="J1144">
        <v>22.99</v>
      </c>
      <c r="K1144">
        <v>27.29</v>
      </c>
      <c r="L1144">
        <v>19.0</v>
      </c>
      <c r="M1144">
        <v>5.27</v>
      </c>
      <c r="N1144">
        <v>9.379</v>
      </c>
      <c r="O1144">
        <v>23.32</v>
      </c>
      <c r="P1144">
        <v>27.82</v>
      </c>
      <c r="Q1144">
        <v>20.21</v>
      </c>
      <c r="R1144">
        <v>5.08</v>
      </c>
    </row>
    <row r="1145">
      <c r="A1145" s="9">
        <v>39676</v>
      </c>
      <c r="B1145" s="2" t="inlineStr">
        <is>
          <t xml:space="preserve">2008-08</t>
        </is>
      </c>
      <c r="C1145" s="2" t="inlineStr">
        <is>
          <t xml:space="preserve">2008/09</t>
        </is>
      </c>
      <c r="D1145">
        <v>14.115</v>
      </c>
      <c r="E1145">
        <v>21.94</v>
      </c>
      <c r="F1145">
        <v>26.76</v>
      </c>
      <c r="G1145">
        <v>17.3</v>
      </c>
      <c r="H1145">
        <v>5.71</v>
      </c>
      <c r="I1145">
        <v>2.12</v>
      </c>
      <c r="J1145">
        <v>23.19</v>
      </c>
      <c r="K1145">
        <v>27.3</v>
      </c>
      <c r="L1145">
        <v>19.42</v>
      </c>
      <c r="M1145">
        <v>2.03</v>
      </c>
      <c r="N1145">
        <v>2.741</v>
      </c>
      <c r="O1145">
        <v>23.32</v>
      </c>
      <c r="P1145">
        <v>27.71</v>
      </c>
      <c r="Q1145">
        <v>20.21</v>
      </c>
      <c r="R1145">
        <v>2.81</v>
      </c>
    </row>
    <row r="1146">
      <c r="A1146" s="9">
        <v>39677</v>
      </c>
      <c r="B1146" s="2" t="inlineStr">
        <is>
          <t xml:space="preserve">2008-08</t>
        </is>
      </c>
      <c r="C1146" s="2" t="inlineStr">
        <is>
          <t xml:space="preserve">2008/09</t>
        </is>
      </c>
      <c r="D1146">
        <v>0.84</v>
      </c>
      <c r="E1146">
        <v>22.31</v>
      </c>
      <c r="F1146">
        <v>27.63</v>
      </c>
      <c r="G1146">
        <v>18.55</v>
      </c>
      <c r="H1146">
        <v>0.69</v>
      </c>
      <c r="I1146">
        <v>0.04</v>
      </c>
      <c r="J1146">
        <v>22.75</v>
      </c>
      <c r="K1146">
        <v>26.61</v>
      </c>
      <c r="L1146">
        <v>20.16</v>
      </c>
      <c r="M1146">
        <v>0.32</v>
      </c>
      <c r="N1146">
        <v>0.103</v>
      </c>
      <c r="O1146">
        <v>23.28</v>
      </c>
      <c r="P1146">
        <v>28.11</v>
      </c>
      <c r="Q1146">
        <v>20.04</v>
      </c>
      <c r="R1146">
        <v>0.58</v>
      </c>
    </row>
    <row r="1147">
      <c r="A1147" s="9">
        <v>39678</v>
      </c>
      <c r="B1147" s="2" t="inlineStr">
        <is>
          <t xml:space="preserve">2008-08</t>
        </is>
      </c>
      <c r="C1147" s="2" t="inlineStr">
        <is>
          <t xml:space="preserve">2008/09</t>
        </is>
      </c>
      <c r="D1147">
        <v>1.385</v>
      </c>
      <c r="E1147">
        <v>22.39</v>
      </c>
      <c r="F1147">
        <v>26.92</v>
      </c>
      <c r="G1147">
        <v>18.6</v>
      </c>
      <c r="H1147">
        <v>2.13</v>
      </c>
      <c r="I1147">
        <v>1.024</v>
      </c>
      <c r="J1147">
        <v>22.68</v>
      </c>
      <c r="K1147">
        <v>27.4</v>
      </c>
      <c r="L1147">
        <v>18.44</v>
      </c>
      <c r="M1147">
        <v>1.14</v>
      </c>
      <c r="N1147">
        <v>0.463</v>
      </c>
      <c r="O1147">
        <v>23.06</v>
      </c>
      <c r="P1147">
        <v>27.8</v>
      </c>
      <c r="Q1147">
        <v>19.79</v>
      </c>
      <c r="R1147">
        <v>0.64</v>
      </c>
    </row>
    <row r="1148">
      <c r="A1148" s="9">
        <v>39679</v>
      </c>
      <c r="B1148" s="2" t="inlineStr">
        <is>
          <t xml:space="preserve">2008-08</t>
        </is>
      </c>
      <c r="C1148" s="2" t="inlineStr">
        <is>
          <t xml:space="preserve">2008/09</t>
        </is>
      </c>
      <c r="D1148">
        <v>8.324</v>
      </c>
      <c r="E1148">
        <v>22.23</v>
      </c>
      <c r="F1148">
        <v>26.31</v>
      </c>
      <c r="G1148">
        <v>19.69</v>
      </c>
      <c r="H1148">
        <v>9.8</v>
      </c>
      <c r="I1148">
        <v>2.925</v>
      </c>
      <c r="J1148">
        <v>22.67</v>
      </c>
      <c r="K1148">
        <v>26.71</v>
      </c>
      <c r="L1148">
        <v>18.83</v>
      </c>
      <c r="M1148">
        <v>12.25</v>
      </c>
      <c r="N1148">
        <v>1.788</v>
      </c>
      <c r="O1148">
        <v>22.91</v>
      </c>
      <c r="P1148">
        <v>27.15</v>
      </c>
      <c r="Q1148">
        <v>19.55</v>
      </c>
      <c r="R1148">
        <v>12.59</v>
      </c>
    </row>
    <row r="1149">
      <c r="A1149" s="9">
        <v>39680</v>
      </c>
      <c r="B1149" s="2" t="inlineStr">
        <is>
          <t xml:space="preserve">2008-08</t>
        </is>
      </c>
      <c r="C1149" s="2" t="inlineStr">
        <is>
          <t xml:space="preserve">2008/09</t>
        </is>
      </c>
      <c r="D1149">
        <v>5.961</v>
      </c>
      <c r="E1149">
        <v>22.47</v>
      </c>
      <c r="F1149">
        <v>27.34</v>
      </c>
      <c r="G1149">
        <v>18.63</v>
      </c>
      <c r="H1149">
        <v>6.85</v>
      </c>
      <c r="I1149">
        <v>44.096</v>
      </c>
      <c r="J1149">
        <v>22.58</v>
      </c>
      <c r="K1149">
        <v>26.15</v>
      </c>
      <c r="L1149">
        <v>19.53</v>
      </c>
      <c r="M1149">
        <v>33.67</v>
      </c>
      <c r="N1149">
        <v>63.801</v>
      </c>
      <c r="O1149">
        <v>23.57</v>
      </c>
      <c r="P1149">
        <v>27.76</v>
      </c>
      <c r="Q1149">
        <v>20.94</v>
      </c>
      <c r="R1149">
        <v>30.63</v>
      </c>
    </row>
    <row r="1150">
      <c r="A1150" s="9">
        <v>39681</v>
      </c>
      <c r="B1150" s="2" t="inlineStr">
        <is>
          <t xml:space="preserve">2008-08</t>
        </is>
      </c>
      <c r="C1150" s="2" t="inlineStr">
        <is>
          <t xml:space="preserve">2008/09</t>
        </is>
      </c>
      <c r="D1150">
        <v>18.554</v>
      </c>
      <c r="E1150">
        <v>22.1</v>
      </c>
      <c r="F1150">
        <v>26.91</v>
      </c>
      <c r="G1150">
        <v>18.38</v>
      </c>
      <c r="H1150">
        <v>9.62</v>
      </c>
      <c r="I1150">
        <v>17.937</v>
      </c>
      <c r="J1150">
        <v>22.54</v>
      </c>
      <c r="K1150">
        <v>26.09</v>
      </c>
      <c r="L1150">
        <v>19.87</v>
      </c>
      <c r="M1150">
        <v>9.69</v>
      </c>
      <c r="N1150">
        <v>10.926</v>
      </c>
      <c r="O1150">
        <v>23.79</v>
      </c>
      <c r="P1150">
        <v>27.92</v>
      </c>
      <c r="Q1150">
        <v>20.22</v>
      </c>
      <c r="R1150">
        <v>6.35</v>
      </c>
    </row>
    <row r="1151">
      <c r="A1151" s="9">
        <v>39682</v>
      </c>
      <c r="B1151" s="2" t="inlineStr">
        <is>
          <t xml:space="preserve">2008-08</t>
        </is>
      </c>
      <c r="C1151" s="2" t="inlineStr">
        <is>
          <t xml:space="preserve">2008/09</t>
        </is>
      </c>
      <c r="D1151">
        <v>4.867</v>
      </c>
      <c r="E1151">
        <v>21.9</v>
      </c>
      <c r="F1151">
        <v>27.56</v>
      </c>
      <c r="G1151">
        <v>17.11</v>
      </c>
      <c r="H1151">
        <v>2.06</v>
      </c>
      <c r="I1151">
        <v>0.154</v>
      </c>
      <c r="J1151">
        <v>23.48</v>
      </c>
      <c r="K1151">
        <v>28.6</v>
      </c>
      <c r="L1151">
        <v>19.04</v>
      </c>
      <c r="M1151">
        <v>0.19</v>
      </c>
      <c r="N1151">
        <v>0.182</v>
      </c>
      <c r="O1151">
        <v>23.81</v>
      </c>
      <c r="P1151">
        <v>29.0</v>
      </c>
      <c r="Q1151">
        <v>19.44</v>
      </c>
      <c r="R1151">
        <v>0.12</v>
      </c>
    </row>
    <row r="1152">
      <c r="A1152" s="9">
        <v>39683</v>
      </c>
      <c r="B1152" s="2" t="inlineStr">
        <is>
          <t xml:space="preserve">2008-08</t>
        </is>
      </c>
      <c r="C1152" s="2" t="inlineStr">
        <is>
          <t xml:space="preserve">2008/09</t>
        </is>
      </c>
      <c r="D1152">
        <v>0.22</v>
      </c>
      <c r="E1152">
        <v>20.76</v>
      </c>
      <c r="F1152">
        <v>26.96</v>
      </c>
      <c r="G1152">
        <v>16.11</v>
      </c>
      <c r="H1152">
        <v>2.36</v>
      </c>
      <c r="I1152">
        <v>0.0</v>
      </c>
      <c r="J1152">
        <v>23.35</v>
      </c>
      <c r="K1152">
        <v>27.6</v>
      </c>
      <c r="L1152">
        <v>20.05</v>
      </c>
      <c r="M1152">
        <v>2.0</v>
      </c>
      <c r="N1152">
        <v>0.0</v>
      </c>
      <c r="O1152">
        <v>23.25</v>
      </c>
      <c r="P1152">
        <v>28.19</v>
      </c>
      <c r="Q1152">
        <v>20.04</v>
      </c>
      <c r="R1152">
        <v>1.4</v>
      </c>
    </row>
    <row r="1153">
      <c r="A1153" s="9">
        <v>39684</v>
      </c>
      <c r="B1153" s="2" t="inlineStr">
        <is>
          <t xml:space="preserve">2008-08</t>
        </is>
      </c>
      <c r="C1153" s="2" t="inlineStr">
        <is>
          <t xml:space="preserve">2008/09</t>
        </is>
      </c>
      <c r="D1153">
        <v>10.946</v>
      </c>
      <c r="E1153">
        <v>21.34</v>
      </c>
      <c r="F1153">
        <v>27.43</v>
      </c>
      <c r="G1153">
        <v>15.64</v>
      </c>
      <c r="H1153">
        <v>5.58</v>
      </c>
      <c r="I1153">
        <v>5.366</v>
      </c>
      <c r="J1153">
        <v>23.16</v>
      </c>
      <c r="K1153">
        <v>28.33</v>
      </c>
      <c r="L1153">
        <v>18.37</v>
      </c>
      <c r="M1153">
        <v>3.47</v>
      </c>
      <c r="N1153">
        <v>2.941</v>
      </c>
      <c r="O1153">
        <v>22.65</v>
      </c>
      <c r="P1153">
        <v>27.84</v>
      </c>
      <c r="Q1153">
        <v>18.14</v>
      </c>
      <c r="R1153">
        <v>2.2</v>
      </c>
    </row>
    <row r="1154">
      <c r="A1154" s="9">
        <v>39685</v>
      </c>
      <c r="B1154" s="2" t="inlineStr">
        <is>
          <t xml:space="preserve">2008-08</t>
        </is>
      </c>
      <c r="C1154" s="2" t="inlineStr">
        <is>
          <t xml:space="preserve">2008/09</t>
        </is>
      </c>
      <c r="D1154">
        <v>9.864</v>
      </c>
      <c r="E1154">
        <v>21.38</v>
      </c>
      <c r="F1154">
        <v>26.58</v>
      </c>
      <c r="G1154">
        <v>17.16</v>
      </c>
      <c r="H1154">
        <v>13.24</v>
      </c>
      <c r="I1154">
        <v>3.364</v>
      </c>
      <c r="J1154">
        <v>22.86</v>
      </c>
      <c r="K1154">
        <v>27.54</v>
      </c>
      <c r="L1154">
        <v>18.57</v>
      </c>
      <c r="M1154">
        <v>7.47</v>
      </c>
      <c r="N1154">
        <v>1.6</v>
      </c>
      <c r="O1154">
        <v>22.98</v>
      </c>
      <c r="P1154">
        <v>27.56</v>
      </c>
      <c r="Q1154">
        <v>19.71</v>
      </c>
      <c r="R1154">
        <v>5.35</v>
      </c>
    </row>
    <row r="1155">
      <c r="A1155" s="9">
        <v>39686</v>
      </c>
      <c r="B1155" s="2" t="inlineStr">
        <is>
          <t xml:space="preserve">2008-08</t>
        </is>
      </c>
      <c r="C1155" s="2" t="inlineStr">
        <is>
          <t xml:space="preserve">2008/09</t>
        </is>
      </c>
      <c r="D1155">
        <v>36.876</v>
      </c>
      <c r="E1155">
        <v>21.25</v>
      </c>
      <c r="F1155">
        <v>25.6</v>
      </c>
      <c r="G1155">
        <v>18.58</v>
      </c>
      <c r="H1155">
        <v>16.11</v>
      </c>
      <c r="I1155">
        <v>26.493</v>
      </c>
      <c r="J1155">
        <v>21.24</v>
      </c>
      <c r="K1155">
        <v>23.85</v>
      </c>
      <c r="L1155">
        <v>19.21</v>
      </c>
      <c r="M1155">
        <v>21.33</v>
      </c>
      <c r="N1155">
        <v>21.441</v>
      </c>
      <c r="O1155">
        <v>22.32</v>
      </c>
      <c r="P1155">
        <v>25.16</v>
      </c>
      <c r="Q1155">
        <v>19.94</v>
      </c>
      <c r="R1155">
        <v>18.57</v>
      </c>
    </row>
    <row r="1156">
      <c r="A1156" s="9">
        <v>39687</v>
      </c>
      <c r="B1156" s="2" t="inlineStr">
        <is>
          <t xml:space="preserve">2008-08</t>
        </is>
      </c>
      <c r="C1156" s="2" t="inlineStr">
        <is>
          <t xml:space="preserve">2008/09</t>
        </is>
      </c>
      <c r="D1156">
        <v>12.048</v>
      </c>
      <c r="E1156">
        <v>21.51</v>
      </c>
      <c r="F1156">
        <v>26.1</v>
      </c>
      <c r="G1156">
        <v>17.91</v>
      </c>
      <c r="H1156">
        <v>6.09</v>
      </c>
      <c r="I1156">
        <v>5.031</v>
      </c>
      <c r="J1156">
        <v>21.18</v>
      </c>
      <c r="K1156">
        <v>24.76</v>
      </c>
      <c r="L1156">
        <v>18.68</v>
      </c>
      <c r="M1156">
        <v>3.99</v>
      </c>
      <c r="N1156">
        <v>5.702</v>
      </c>
      <c r="O1156">
        <v>22.31</v>
      </c>
      <c r="P1156">
        <v>26.68</v>
      </c>
      <c r="Q1156">
        <v>19.32</v>
      </c>
      <c r="R1156">
        <v>4.33</v>
      </c>
    </row>
    <row r="1157">
      <c r="A1157" s="9">
        <v>39688</v>
      </c>
      <c r="B1157" s="2" t="inlineStr">
        <is>
          <t xml:space="preserve">2008-08</t>
        </is>
      </c>
      <c r="C1157" s="2" t="inlineStr">
        <is>
          <t xml:space="preserve">2008/09</t>
        </is>
      </c>
      <c r="D1157">
        <v>2.298</v>
      </c>
      <c r="E1157">
        <v>21.93</v>
      </c>
      <c r="F1157">
        <v>26.15</v>
      </c>
      <c r="G1157">
        <v>17.73</v>
      </c>
      <c r="H1157">
        <v>8.03</v>
      </c>
      <c r="I1157">
        <v>5.862</v>
      </c>
      <c r="J1157">
        <v>21.72</v>
      </c>
      <c r="K1157">
        <v>25.85</v>
      </c>
      <c r="L1157">
        <v>18.47</v>
      </c>
      <c r="M1157">
        <v>5.12</v>
      </c>
      <c r="N1157">
        <v>7.929</v>
      </c>
      <c r="O1157">
        <v>22.6</v>
      </c>
      <c r="P1157">
        <v>27.06</v>
      </c>
      <c r="Q1157">
        <v>18.53</v>
      </c>
      <c r="R1157">
        <v>5.04</v>
      </c>
    </row>
    <row r="1158">
      <c r="A1158" s="9">
        <v>39689</v>
      </c>
      <c r="B1158" s="2" t="inlineStr">
        <is>
          <t xml:space="preserve">2008-08</t>
        </is>
      </c>
      <c r="C1158" s="2" t="inlineStr">
        <is>
          <t xml:space="preserve">2008/09</t>
        </is>
      </c>
      <c r="D1158">
        <v>3.129</v>
      </c>
      <c r="E1158">
        <v>21.51</v>
      </c>
      <c r="F1158">
        <v>24.95</v>
      </c>
      <c r="G1158">
        <v>18.93</v>
      </c>
      <c r="H1158">
        <v>2.86</v>
      </c>
      <c r="I1158">
        <v>2.21</v>
      </c>
      <c r="J1158">
        <v>22.83</v>
      </c>
      <c r="K1158">
        <v>27.66</v>
      </c>
      <c r="L1158">
        <v>18.51</v>
      </c>
      <c r="M1158">
        <v>1.81</v>
      </c>
      <c r="N1158">
        <v>0.724</v>
      </c>
      <c r="O1158">
        <v>22.95</v>
      </c>
      <c r="P1158">
        <v>27.2</v>
      </c>
      <c r="Q1158">
        <v>20.06</v>
      </c>
      <c r="R1158">
        <v>1.66</v>
      </c>
    </row>
    <row r="1159">
      <c r="A1159" s="9">
        <v>39690</v>
      </c>
      <c r="B1159" s="2" t="inlineStr">
        <is>
          <t xml:space="preserve">2008-08</t>
        </is>
      </c>
      <c r="C1159" s="2" t="inlineStr">
        <is>
          <t xml:space="preserve">2008/09</t>
        </is>
      </c>
      <c r="D1159">
        <v>0.549</v>
      </c>
      <c r="E1159">
        <v>21.39</v>
      </c>
      <c r="F1159">
        <v>25.39</v>
      </c>
      <c r="G1159">
        <v>17.58</v>
      </c>
      <c r="H1159">
        <v>7.74</v>
      </c>
      <c r="I1159">
        <v>0.256</v>
      </c>
      <c r="J1159">
        <v>22.76</v>
      </c>
      <c r="K1159">
        <v>27.42</v>
      </c>
      <c r="L1159">
        <v>18.85</v>
      </c>
      <c r="M1159">
        <v>13.3</v>
      </c>
      <c r="N1159">
        <v>0.0</v>
      </c>
      <c r="O1159">
        <v>22.99</v>
      </c>
      <c r="P1159">
        <v>27.75</v>
      </c>
      <c r="Q1159">
        <v>18.29</v>
      </c>
      <c r="R1159">
        <v>9.31</v>
      </c>
    </row>
    <row r="1160">
      <c r="A1160" s="9">
        <v>39691</v>
      </c>
      <c r="B1160" s="2" t="inlineStr">
        <is>
          <t xml:space="preserve">2008-08</t>
        </is>
      </c>
      <c r="C1160" s="2" t="inlineStr">
        <is>
          <t xml:space="preserve">2008/09</t>
        </is>
      </c>
      <c r="D1160">
        <v>19.807</v>
      </c>
      <c r="E1160">
        <v>22.24</v>
      </c>
      <c r="F1160">
        <v>26.73</v>
      </c>
      <c r="G1160">
        <v>19.22</v>
      </c>
      <c r="H1160">
        <v>16.52</v>
      </c>
      <c r="I1160">
        <v>29.254</v>
      </c>
      <c r="J1160">
        <v>22.18</v>
      </c>
      <c r="K1160">
        <v>25.53</v>
      </c>
      <c r="L1160">
        <v>19.94</v>
      </c>
      <c r="M1160">
        <v>37.41</v>
      </c>
      <c r="N1160">
        <v>29.04</v>
      </c>
      <c r="O1160">
        <v>23.12</v>
      </c>
      <c r="P1160">
        <v>26.5</v>
      </c>
      <c r="Q1160">
        <v>20.47</v>
      </c>
      <c r="R1160">
        <v>38.1</v>
      </c>
    </row>
    <row r="1161">
      <c r="A1161" s="9">
        <v>39692</v>
      </c>
      <c r="B1161" s="2" t="inlineStr">
        <is>
          <t xml:space="preserve">2008-09</t>
        </is>
      </c>
      <c r="C1161" s="2" t="inlineStr">
        <is>
          <t xml:space="preserve">2008/09</t>
        </is>
      </c>
      <c r="D1161">
        <v>13.756</v>
      </c>
      <c r="E1161">
        <v>21.97</v>
      </c>
      <c r="F1161">
        <v>25.66</v>
      </c>
      <c r="G1161">
        <v>18.75</v>
      </c>
      <c r="H1161">
        <v>4.45</v>
      </c>
      <c r="I1161">
        <v>48.43</v>
      </c>
      <c r="J1161">
        <v>21.79</v>
      </c>
      <c r="K1161">
        <v>25.57</v>
      </c>
      <c r="L1161">
        <v>19.14</v>
      </c>
      <c r="M1161">
        <v>25.13</v>
      </c>
      <c r="N1161">
        <v>52.031</v>
      </c>
      <c r="O1161">
        <v>23.16</v>
      </c>
      <c r="P1161">
        <v>27.57</v>
      </c>
      <c r="Q1161">
        <v>19.52</v>
      </c>
      <c r="R1161">
        <v>25.44</v>
      </c>
    </row>
    <row r="1162">
      <c r="A1162" s="9">
        <v>39693</v>
      </c>
      <c r="B1162" s="2" t="inlineStr">
        <is>
          <t xml:space="preserve">2008-09</t>
        </is>
      </c>
      <c r="C1162" s="2" t="inlineStr">
        <is>
          <t xml:space="preserve">2008/09</t>
        </is>
      </c>
      <c r="D1162">
        <v>1.894</v>
      </c>
      <c r="E1162">
        <v>21.98</v>
      </c>
      <c r="F1162">
        <v>25.91</v>
      </c>
      <c r="G1162">
        <v>17.98</v>
      </c>
      <c r="H1162">
        <v>4.37</v>
      </c>
      <c r="I1162">
        <v>27.14</v>
      </c>
      <c r="J1162">
        <v>22.86</v>
      </c>
      <c r="K1162">
        <v>27.02</v>
      </c>
      <c r="L1162">
        <v>19.16</v>
      </c>
      <c r="M1162">
        <v>20.18</v>
      </c>
      <c r="N1162">
        <v>40.468</v>
      </c>
      <c r="O1162">
        <v>23.88</v>
      </c>
      <c r="P1162">
        <v>29.01</v>
      </c>
      <c r="Q1162">
        <v>19.34</v>
      </c>
      <c r="R1162">
        <v>17.99</v>
      </c>
    </row>
    <row r="1163">
      <c r="A1163" s="9">
        <v>39694</v>
      </c>
      <c r="B1163" s="2" t="inlineStr">
        <is>
          <t xml:space="preserve">2008-09</t>
        </is>
      </c>
      <c r="C1163" s="2" t="inlineStr">
        <is>
          <t xml:space="preserve">2008/09</t>
        </is>
      </c>
      <c r="D1163">
        <v>4.393</v>
      </c>
      <c r="E1163">
        <v>22.22</v>
      </c>
      <c r="F1163">
        <v>26.11</v>
      </c>
      <c r="G1163">
        <v>19.27</v>
      </c>
      <c r="H1163">
        <v>3.85</v>
      </c>
      <c r="I1163">
        <v>1.65</v>
      </c>
      <c r="J1163">
        <v>22.0</v>
      </c>
      <c r="K1163">
        <v>24.67</v>
      </c>
      <c r="L1163">
        <v>20.08</v>
      </c>
      <c r="M1163">
        <v>2.31</v>
      </c>
      <c r="N1163">
        <v>1.104</v>
      </c>
      <c r="O1163">
        <v>22.84</v>
      </c>
      <c r="P1163">
        <v>25.81</v>
      </c>
      <c r="Q1163">
        <v>20.58</v>
      </c>
      <c r="R1163">
        <v>3.26</v>
      </c>
    </row>
    <row r="1164">
      <c r="A1164" s="9">
        <v>39695</v>
      </c>
      <c r="B1164" s="2" t="inlineStr">
        <is>
          <t xml:space="preserve">2008-09</t>
        </is>
      </c>
      <c r="C1164" s="2" t="inlineStr">
        <is>
          <t xml:space="preserve">2008/09</t>
        </is>
      </c>
      <c r="D1164">
        <v>2.263</v>
      </c>
      <c r="E1164">
        <v>21.98</v>
      </c>
      <c r="F1164">
        <v>26.19</v>
      </c>
      <c r="G1164">
        <v>18.67</v>
      </c>
      <c r="H1164">
        <v>10.9</v>
      </c>
      <c r="I1164">
        <v>6.295</v>
      </c>
      <c r="J1164">
        <v>22.28</v>
      </c>
      <c r="K1164">
        <v>25.78</v>
      </c>
      <c r="L1164">
        <v>19.73</v>
      </c>
      <c r="M1164">
        <v>9.88</v>
      </c>
      <c r="N1164">
        <v>9.228</v>
      </c>
      <c r="O1164">
        <v>22.45</v>
      </c>
      <c r="P1164">
        <v>26.17</v>
      </c>
      <c r="Q1164">
        <v>19.88</v>
      </c>
      <c r="R1164">
        <v>10.3</v>
      </c>
    </row>
    <row r="1165">
      <c r="A1165" s="9">
        <v>39696</v>
      </c>
      <c r="B1165" s="2" t="inlineStr">
        <is>
          <t xml:space="preserve">2008-09</t>
        </is>
      </c>
      <c r="C1165" s="2" t="inlineStr">
        <is>
          <t xml:space="preserve">2008/09</t>
        </is>
      </c>
      <c r="D1165">
        <v>14.519</v>
      </c>
      <c r="E1165">
        <v>21.67</v>
      </c>
      <c r="F1165">
        <v>25.62</v>
      </c>
      <c r="G1165">
        <v>18.77</v>
      </c>
      <c r="H1165">
        <v>11.84</v>
      </c>
      <c r="I1165">
        <v>15.15</v>
      </c>
      <c r="J1165">
        <v>21.54</v>
      </c>
      <c r="K1165">
        <v>25.1</v>
      </c>
      <c r="L1165">
        <v>19.3</v>
      </c>
      <c r="M1165">
        <v>10.56</v>
      </c>
      <c r="N1165">
        <v>15.876</v>
      </c>
      <c r="O1165">
        <v>22.51</v>
      </c>
      <c r="P1165">
        <v>26.0</v>
      </c>
      <c r="Q1165">
        <v>20.17</v>
      </c>
      <c r="R1165">
        <v>8.67</v>
      </c>
    </row>
    <row r="1166">
      <c r="A1166" s="9">
        <v>39697</v>
      </c>
      <c r="B1166" s="2" t="inlineStr">
        <is>
          <t xml:space="preserve">2008-09</t>
        </is>
      </c>
      <c r="C1166" s="2" t="inlineStr">
        <is>
          <t xml:space="preserve">2008/09</t>
        </is>
      </c>
      <c r="D1166">
        <v>4.899</v>
      </c>
      <c r="E1166">
        <v>21.53</v>
      </c>
      <c r="F1166">
        <v>25.84</v>
      </c>
      <c r="G1166">
        <v>17.72</v>
      </c>
      <c r="H1166">
        <v>3.76</v>
      </c>
      <c r="I1166">
        <v>1.93</v>
      </c>
      <c r="J1166">
        <v>21.74</v>
      </c>
      <c r="K1166">
        <v>25.04</v>
      </c>
      <c r="L1166">
        <v>19.29</v>
      </c>
      <c r="M1166">
        <v>2.44</v>
      </c>
      <c r="N1166">
        <v>0.723</v>
      </c>
      <c r="O1166">
        <v>22.45</v>
      </c>
      <c r="P1166">
        <v>27.25</v>
      </c>
      <c r="Q1166">
        <v>18.63</v>
      </c>
      <c r="R1166">
        <v>0.79</v>
      </c>
    </row>
    <row r="1167">
      <c r="A1167" s="9">
        <v>39698</v>
      </c>
      <c r="B1167" s="2" t="inlineStr">
        <is>
          <t xml:space="preserve">2008-09</t>
        </is>
      </c>
      <c r="C1167" s="2" t="inlineStr">
        <is>
          <t xml:space="preserve">2008/09</t>
        </is>
      </c>
      <c r="D1167">
        <v>3.814</v>
      </c>
      <c r="E1167">
        <v>23.04</v>
      </c>
      <c r="F1167">
        <v>27.61</v>
      </c>
      <c r="G1167">
        <v>19.49</v>
      </c>
      <c r="H1167">
        <v>4.06</v>
      </c>
      <c r="I1167">
        <v>8.057</v>
      </c>
      <c r="J1167">
        <v>22.26</v>
      </c>
      <c r="K1167">
        <v>26.11</v>
      </c>
      <c r="L1167">
        <v>19.35</v>
      </c>
      <c r="M1167">
        <v>12.75</v>
      </c>
      <c r="N1167">
        <v>7.981</v>
      </c>
      <c r="O1167">
        <v>23.17</v>
      </c>
      <c r="P1167">
        <v>27.13</v>
      </c>
      <c r="Q1167">
        <v>19.81</v>
      </c>
      <c r="R1167">
        <v>11.71</v>
      </c>
    </row>
    <row r="1168">
      <c r="A1168" s="9">
        <v>39699</v>
      </c>
      <c r="B1168" s="2" t="inlineStr">
        <is>
          <t xml:space="preserve">2008-09</t>
        </is>
      </c>
      <c r="C1168" s="2" t="inlineStr">
        <is>
          <t xml:space="preserve">2008/09</t>
        </is>
      </c>
      <c r="D1168">
        <v>0.186</v>
      </c>
      <c r="E1168">
        <v>23.23</v>
      </c>
      <c r="F1168">
        <v>28.22</v>
      </c>
      <c r="G1168">
        <v>18.67</v>
      </c>
      <c r="H1168">
        <v>1.83</v>
      </c>
      <c r="I1168">
        <v>12.315</v>
      </c>
      <c r="J1168">
        <v>23.56</v>
      </c>
      <c r="K1168">
        <v>27.7</v>
      </c>
      <c r="L1168">
        <v>20.09</v>
      </c>
      <c r="M1168">
        <v>8.76</v>
      </c>
      <c r="N1168">
        <v>15.942</v>
      </c>
      <c r="O1168">
        <v>24.06</v>
      </c>
      <c r="P1168">
        <v>27.62</v>
      </c>
      <c r="Q1168">
        <v>21.02</v>
      </c>
      <c r="R1168">
        <v>9.4</v>
      </c>
    </row>
    <row r="1169">
      <c r="A1169" s="9">
        <v>39700</v>
      </c>
      <c r="B1169" s="2" t="inlineStr">
        <is>
          <t xml:space="preserve">2008-09</t>
        </is>
      </c>
      <c r="C1169" s="2" t="inlineStr">
        <is>
          <t xml:space="preserve">2008/09</t>
        </is>
      </c>
      <c r="D1169">
        <v>7.097</v>
      </c>
      <c r="E1169">
        <v>23.08</v>
      </c>
      <c r="F1169">
        <v>27.04</v>
      </c>
      <c r="G1169">
        <v>19.94</v>
      </c>
      <c r="H1169">
        <v>4.14</v>
      </c>
      <c r="I1169">
        <v>7.77</v>
      </c>
      <c r="J1169">
        <v>23.59</v>
      </c>
      <c r="K1169">
        <v>28.13</v>
      </c>
      <c r="L1169">
        <v>20.61</v>
      </c>
      <c r="M1169">
        <v>5.52</v>
      </c>
      <c r="N1169">
        <v>9.913</v>
      </c>
      <c r="O1169">
        <v>24.21</v>
      </c>
      <c r="P1169">
        <v>28.44</v>
      </c>
      <c r="Q1169">
        <v>20.91</v>
      </c>
      <c r="R1169">
        <v>5.47</v>
      </c>
    </row>
    <row r="1170">
      <c r="A1170" s="9">
        <v>39701</v>
      </c>
      <c r="B1170" s="2" t="inlineStr">
        <is>
          <t xml:space="preserve">2008-09</t>
        </is>
      </c>
      <c r="C1170" s="2" t="inlineStr">
        <is>
          <t xml:space="preserve">2008/09</t>
        </is>
      </c>
      <c r="D1170">
        <v>2.869</v>
      </c>
      <c r="E1170">
        <v>22.44</v>
      </c>
      <c r="F1170">
        <v>27.49</v>
      </c>
      <c r="G1170">
        <v>18.63</v>
      </c>
      <c r="H1170">
        <v>1.11</v>
      </c>
      <c r="I1170">
        <v>1.236</v>
      </c>
      <c r="J1170">
        <v>22.53</v>
      </c>
      <c r="K1170">
        <v>27.33</v>
      </c>
      <c r="L1170">
        <v>19.04</v>
      </c>
      <c r="M1170">
        <v>0.63</v>
      </c>
      <c r="N1170">
        <v>0.045</v>
      </c>
      <c r="O1170">
        <v>23.65</v>
      </c>
      <c r="P1170">
        <v>28.04</v>
      </c>
      <c r="Q1170">
        <v>19.63</v>
      </c>
      <c r="R1170">
        <v>0.26</v>
      </c>
    </row>
    <row r="1171">
      <c r="A1171" s="9">
        <v>39702</v>
      </c>
      <c r="B1171" s="2" t="inlineStr">
        <is>
          <t xml:space="preserve">2008-09</t>
        </is>
      </c>
      <c r="C1171" s="2" t="inlineStr">
        <is>
          <t xml:space="preserve">2008/09</t>
        </is>
      </c>
      <c r="D1171">
        <v>0.219</v>
      </c>
      <c r="E1171">
        <v>22.15</v>
      </c>
      <c r="F1171">
        <v>27.47</v>
      </c>
      <c r="G1171">
        <v>17.61</v>
      </c>
      <c r="H1171">
        <v>7.48</v>
      </c>
      <c r="I1171">
        <v>0.0</v>
      </c>
      <c r="J1171">
        <v>22.23</v>
      </c>
      <c r="K1171">
        <v>27.21</v>
      </c>
      <c r="L1171">
        <v>18.8</v>
      </c>
      <c r="M1171">
        <v>0.14</v>
      </c>
      <c r="N1171">
        <v>0.0</v>
      </c>
      <c r="O1171">
        <v>23.55</v>
      </c>
      <c r="P1171">
        <v>28.69</v>
      </c>
      <c r="Q1171">
        <v>19.31</v>
      </c>
      <c r="R1171">
        <v>0.18</v>
      </c>
    </row>
    <row r="1172">
      <c r="A1172" s="9">
        <v>39703</v>
      </c>
      <c r="B1172" s="2" t="inlineStr">
        <is>
          <t xml:space="preserve">2008-09</t>
        </is>
      </c>
      <c r="C1172" s="2" t="inlineStr">
        <is>
          <t xml:space="preserve">2008/09</t>
        </is>
      </c>
      <c r="D1172">
        <v>0.926</v>
      </c>
      <c r="E1172">
        <v>22.07</v>
      </c>
      <c r="F1172">
        <v>26.13</v>
      </c>
      <c r="G1172">
        <v>19.09</v>
      </c>
      <c r="H1172">
        <v>11.26</v>
      </c>
      <c r="I1172">
        <v>1.357</v>
      </c>
      <c r="J1172">
        <v>21.96</v>
      </c>
      <c r="K1172">
        <v>26.05</v>
      </c>
      <c r="L1172">
        <v>18.62</v>
      </c>
      <c r="M1172">
        <v>7.94</v>
      </c>
      <c r="N1172">
        <v>2.052</v>
      </c>
      <c r="O1172">
        <v>22.98</v>
      </c>
      <c r="P1172">
        <v>27.29</v>
      </c>
      <c r="Q1172">
        <v>19.59</v>
      </c>
      <c r="R1172">
        <v>6.17</v>
      </c>
    </row>
    <row r="1173">
      <c r="A1173" s="9">
        <v>39704</v>
      </c>
      <c r="B1173" s="2" t="inlineStr">
        <is>
          <t xml:space="preserve">2008-09</t>
        </is>
      </c>
      <c r="C1173" s="2" t="inlineStr">
        <is>
          <t xml:space="preserve">2008/09</t>
        </is>
      </c>
      <c r="D1173">
        <v>44.2</v>
      </c>
      <c r="E1173">
        <v>22.22</v>
      </c>
      <c r="F1173">
        <v>27.28</v>
      </c>
      <c r="G1173">
        <v>18.32</v>
      </c>
      <c r="H1173">
        <v>15.74</v>
      </c>
      <c r="I1173">
        <v>22.104</v>
      </c>
      <c r="J1173">
        <v>21.93</v>
      </c>
      <c r="K1173">
        <v>26.17</v>
      </c>
      <c r="L1173">
        <v>19.03</v>
      </c>
      <c r="M1173">
        <v>12.32</v>
      </c>
      <c r="N1173">
        <v>11.354</v>
      </c>
      <c r="O1173">
        <v>22.87</v>
      </c>
      <c r="P1173">
        <v>27.66</v>
      </c>
      <c r="Q1173">
        <v>19.17</v>
      </c>
      <c r="R1173">
        <v>7.44</v>
      </c>
    </row>
    <row r="1174">
      <c r="A1174" s="9">
        <v>39705</v>
      </c>
      <c r="B1174" s="2" t="inlineStr">
        <is>
          <t xml:space="preserve">2008-09</t>
        </is>
      </c>
      <c r="C1174" s="2" t="inlineStr">
        <is>
          <t xml:space="preserve">2008/09</t>
        </is>
      </c>
      <c r="D1174">
        <v>2.009</v>
      </c>
      <c r="E1174">
        <v>21.92</v>
      </c>
      <c r="F1174">
        <v>26.28</v>
      </c>
      <c r="G1174">
        <v>18.54</v>
      </c>
      <c r="H1174">
        <v>0.85</v>
      </c>
      <c r="I1174">
        <v>0.582</v>
      </c>
      <c r="J1174">
        <v>21.75</v>
      </c>
      <c r="K1174">
        <v>27.29</v>
      </c>
      <c r="L1174">
        <v>17.39</v>
      </c>
      <c r="M1174">
        <v>0.53</v>
      </c>
      <c r="N1174">
        <v>0.41</v>
      </c>
      <c r="O1174">
        <v>23.01</v>
      </c>
      <c r="P1174">
        <v>28.32</v>
      </c>
      <c r="Q1174">
        <v>18.28</v>
      </c>
      <c r="R1174">
        <v>0.75</v>
      </c>
    </row>
    <row r="1175">
      <c r="A1175" s="9">
        <v>39706</v>
      </c>
      <c r="B1175" s="2" t="inlineStr">
        <is>
          <t xml:space="preserve">2008-09</t>
        </is>
      </c>
      <c r="C1175" s="2" t="inlineStr">
        <is>
          <t xml:space="preserve">2008/09</t>
        </is>
      </c>
      <c r="D1175">
        <v>0.122</v>
      </c>
      <c r="E1175">
        <v>21.95</v>
      </c>
      <c r="F1175">
        <v>26.74</v>
      </c>
      <c r="G1175">
        <v>17.82</v>
      </c>
      <c r="H1175">
        <v>1.59</v>
      </c>
      <c r="I1175">
        <v>0.0</v>
      </c>
      <c r="J1175">
        <v>22.26</v>
      </c>
      <c r="K1175">
        <v>27.25</v>
      </c>
      <c r="L1175">
        <v>17.68</v>
      </c>
      <c r="M1175">
        <v>1.68</v>
      </c>
      <c r="N1175">
        <v>0.0</v>
      </c>
      <c r="O1175">
        <v>23.31</v>
      </c>
      <c r="P1175">
        <v>27.41</v>
      </c>
      <c r="Q1175">
        <v>19.96</v>
      </c>
      <c r="R1175">
        <v>4.53</v>
      </c>
    </row>
    <row r="1176">
      <c r="A1176" s="9">
        <v>39707</v>
      </c>
      <c r="B1176" s="2" t="inlineStr">
        <is>
          <t xml:space="preserve">2008-09</t>
        </is>
      </c>
      <c r="C1176" s="2" t="inlineStr">
        <is>
          <t xml:space="preserve">2008/09</t>
        </is>
      </c>
      <c r="D1176">
        <v>4.852</v>
      </c>
      <c r="E1176">
        <v>21.56</v>
      </c>
      <c r="F1176">
        <v>26.45</v>
      </c>
      <c r="G1176">
        <v>18.16</v>
      </c>
      <c r="H1176">
        <v>11.48</v>
      </c>
      <c r="I1176">
        <v>3.709</v>
      </c>
      <c r="J1176">
        <v>22.11</v>
      </c>
      <c r="K1176">
        <v>26.09</v>
      </c>
      <c r="L1176">
        <v>19.97</v>
      </c>
      <c r="M1176">
        <v>11.24</v>
      </c>
      <c r="N1176">
        <v>3.949</v>
      </c>
      <c r="O1176">
        <v>22.76</v>
      </c>
      <c r="P1176">
        <v>26.11</v>
      </c>
      <c r="Q1176">
        <v>20.79</v>
      </c>
      <c r="R1176">
        <v>21.15</v>
      </c>
    </row>
    <row r="1177">
      <c r="A1177" s="9">
        <v>39708</v>
      </c>
      <c r="B1177" s="2" t="inlineStr">
        <is>
          <t xml:space="preserve">2008-09</t>
        </is>
      </c>
      <c r="C1177" s="2" t="inlineStr">
        <is>
          <t xml:space="preserve">2008/09</t>
        </is>
      </c>
      <c r="D1177">
        <v>37.029</v>
      </c>
      <c r="E1177">
        <v>20.86</v>
      </c>
      <c r="F1177">
        <v>25.22</v>
      </c>
      <c r="G1177">
        <v>17.45</v>
      </c>
      <c r="H1177">
        <v>15.64</v>
      </c>
      <c r="I1177">
        <v>11.595</v>
      </c>
      <c r="J1177">
        <v>22.15</v>
      </c>
      <c r="K1177">
        <v>25.85</v>
      </c>
      <c r="L1177">
        <v>19.72</v>
      </c>
      <c r="M1177">
        <v>14.44</v>
      </c>
      <c r="N1177">
        <v>13.206</v>
      </c>
      <c r="O1177">
        <v>22.1</v>
      </c>
      <c r="P1177">
        <v>25.0</v>
      </c>
      <c r="Q1177">
        <v>19.97</v>
      </c>
      <c r="R1177">
        <v>19.17</v>
      </c>
    </row>
    <row r="1178">
      <c r="A1178" s="9">
        <v>39709</v>
      </c>
      <c r="B1178" s="2" t="inlineStr">
        <is>
          <t xml:space="preserve">2008-09</t>
        </is>
      </c>
      <c r="C1178" s="2" t="inlineStr">
        <is>
          <t xml:space="preserve">2008/09</t>
        </is>
      </c>
      <c r="D1178">
        <v>12.819</v>
      </c>
      <c r="E1178">
        <v>20.9</v>
      </c>
      <c r="F1178">
        <v>25.43</v>
      </c>
      <c r="G1178">
        <v>16.89</v>
      </c>
      <c r="H1178">
        <v>14.37</v>
      </c>
      <c r="I1178">
        <v>22.243</v>
      </c>
      <c r="J1178">
        <v>21.71</v>
      </c>
      <c r="K1178">
        <v>25.13</v>
      </c>
      <c r="L1178">
        <v>19.3</v>
      </c>
      <c r="M1178">
        <v>23.15</v>
      </c>
      <c r="N1178">
        <v>27.183</v>
      </c>
      <c r="O1178">
        <v>22.19</v>
      </c>
      <c r="P1178">
        <v>25.38</v>
      </c>
      <c r="Q1178">
        <v>19.74</v>
      </c>
      <c r="R1178">
        <v>23.47</v>
      </c>
    </row>
    <row r="1179">
      <c r="A1179" s="9">
        <v>39710</v>
      </c>
      <c r="B1179" s="2" t="inlineStr">
        <is>
          <t xml:space="preserve">2008-09</t>
        </is>
      </c>
      <c r="C1179" s="2" t="inlineStr">
        <is>
          <t xml:space="preserve">2008/09</t>
        </is>
      </c>
      <c r="D1179">
        <v>37.905</v>
      </c>
      <c r="E1179">
        <v>21.35</v>
      </c>
      <c r="F1179">
        <v>25.04</v>
      </c>
      <c r="G1179">
        <v>18.63</v>
      </c>
      <c r="H1179">
        <v>17.79</v>
      </c>
      <c r="I1179">
        <v>49.617</v>
      </c>
      <c r="J1179">
        <v>21.41</v>
      </c>
      <c r="K1179">
        <v>24.62</v>
      </c>
      <c r="L1179">
        <v>19.32</v>
      </c>
      <c r="M1179">
        <v>39.59</v>
      </c>
      <c r="N1179">
        <v>62.001</v>
      </c>
      <c r="O1179">
        <v>22.71</v>
      </c>
      <c r="P1179">
        <v>25.62</v>
      </c>
      <c r="Q1179">
        <v>20.55</v>
      </c>
      <c r="R1179">
        <v>40.15</v>
      </c>
    </row>
    <row r="1180">
      <c r="A1180" s="9">
        <v>39711</v>
      </c>
      <c r="B1180" s="2" t="inlineStr">
        <is>
          <t xml:space="preserve">2008-09</t>
        </is>
      </c>
      <c r="C1180" s="2" t="inlineStr">
        <is>
          <t xml:space="preserve">2008/09</t>
        </is>
      </c>
      <c r="D1180">
        <v>3.168</v>
      </c>
      <c r="E1180">
        <v>20.87</v>
      </c>
      <c r="F1180">
        <v>23.85</v>
      </c>
      <c r="G1180">
        <v>18.38</v>
      </c>
      <c r="H1180">
        <v>5.37</v>
      </c>
      <c r="I1180">
        <v>5.412</v>
      </c>
      <c r="J1180">
        <v>21.61</v>
      </c>
      <c r="K1180">
        <v>25.28</v>
      </c>
      <c r="L1180">
        <v>19.05</v>
      </c>
      <c r="M1180">
        <v>5.73</v>
      </c>
      <c r="N1180">
        <v>5.51</v>
      </c>
      <c r="O1180">
        <v>22.65</v>
      </c>
      <c r="P1180">
        <v>25.93</v>
      </c>
      <c r="Q1180">
        <v>20.5</v>
      </c>
      <c r="R1180">
        <v>9.48</v>
      </c>
    </row>
    <row r="1181">
      <c r="A1181" s="9">
        <v>39712</v>
      </c>
      <c r="B1181" s="2" t="inlineStr">
        <is>
          <t xml:space="preserve">2008-09</t>
        </is>
      </c>
      <c r="C1181" s="2" t="inlineStr">
        <is>
          <t xml:space="preserve">2008/09</t>
        </is>
      </c>
      <c r="D1181">
        <v>11.005</v>
      </c>
      <c r="E1181">
        <v>22.15</v>
      </c>
      <c r="F1181">
        <v>26.89</v>
      </c>
      <c r="G1181">
        <v>18.34</v>
      </c>
      <c r="H1181">
        <v>13.61</v>
      </c>
      <c r="I1181">
        <v>2.784</v>
      </c>
      <c r="J1181">
        <v>22.02</v>
      </c>
      <c r="K1181">
        <v>25.69</v>
      </c>
      <c r="L1181">
        <v>19.36</v>
      </c>
      <c r="M1181">
        <v>4.42</v>
      </c>
      <c r="N1181">
        <v>0.964</v>
      </c>
      <c r="O1181">
        <v>22.69</v>
      </c>
      <c r="P1181">
        <v>26.33</v>
      </c>
      <c r="Q1181">
        <v>20.54</v>
      </c>
      <c r="R1181">
        <v>2.33</v>
      </c>
    </row>
    <row r="1182">
      <c r="A1182" s="9">
        <v>39713</v>
      </c>
      <c r="B1182" s="2" t="inlineStr">
        <is>
          <t xml:space="preserve">2008-09</t>
        </is>
      </c>
      <c r="C1182" s="2" t="inlineStr">
        <is>
          <t xml:space="preserve">2008/09</t>
        </is>
      </c>
      <c r="D1182">
        <v>7.112</v>
      </c>
      <c r="E1182">
        <v>21.04</v>
      </c>
      <c r="F1182">
        <v>24.1</v>
      </c>
      <c r="G1182">
        <v>18.67</v>
      </c>
      <c r="H1182">
        <v>7.88</v>
      </c>
      <c r="I1182">
        <v>11.048</v>
      </c>
      <c r="J1182">
        <v>21.08</v>
      </c>
      <c r="K1182">
        <v>23.09</v>
      </c>
      <c r="L1182">
        <v>19.19</v>
      </c>
      <c r="M1182">
        <v>10.53</v>
      </c>
      <c r="N1182">
        <v>1.667</v>
      </c>
      <c r="O1182">
        <v>22.11</v>
      </c>
      <c r="P1182">
        <v>24.17</v>
      </c>
      <c r="Q1182">
        <v>20.52</v>
      </c>
      <c r="R1182">
        <v>6.74</v>
      </c>
    </row>
    <row r="1183">
      <c r="A1183" s="9">
        <v>39714</v>
      </c>
      <c r="B1183" s="2" t="inlineStr">
        <is>
          <t xml:space="preserve">2008-09</t>
        </is>
      </c>
      <c r="C1183" s="2" t="inlineStr">
        <is>
          <t xml:space="preserve">2008/09</t>
        </is>
      </c>
      <c r="D1183">
        <v>8.178</v>
      </c>
      <c r="E1183">
        <v>21.37</v>
      </c>
      <c r="F1183">
        <v>24.73</v>
      </c>
      <c r="G1183">
        <v>18.82</v>
      </c>
      <c r="H1183">
        <v>8.34</v>
      </c>
      <c r="I1183">
        <v>2.687</v>
      </c>
      <c r="J1183">
        <v>21.19</v>
      </c>
      <c r="K1183">
        <v>24.54</v>
      </c>
      <c r="L1183">
        <v>18.92</v>
      </c>
      <c r="M1183">
        <v>4.51</v>
      </c>
      <c r="N1183">
        <v>1.034</v>
      </c>
      <c r="O1183">
        <v>22.42</v>
      </c>
      <c r="P1183">
        <v>24.65</v>
      </c>
      <c r="Q1183">
        <v>20.99</v>
      </c>
      <c r="R1183">
        <v>8.42</v>
      </c>
    </row>
    <row r="1184">
      <c r="A1184" s="9">
        <v>39715</v>
      </c>
      <c r="B1184" s="2" t="inlineStr">
        <is>
          <t xml:space="preserve">2008-09</t>
        </is>
      </c>
      <c r="C1184" s="2" t="inlineStr">
        <is>
          <t xml:space="preserve">2008/09</t>
        </is>
      </c>
      <c r="D1184">
        <v>0.242</v>
      </c>
      <c r="E1184">
        <v>21.79</v>
      </c>
      <c r="F1184">
        <v>25.23</v>
      </c>
      <c r="G1184">
        <v>18.79</v>
      </c>
      <c r="H1184">
        <v>8.48</v>
      </c>
      <c r="I1184">
        <v>2.476</v>
      </c>
      <c r="J1184">
        <v>21.73</v>
      </c>
      <c r="K1184">
        <v>25.18</v>
      </c>
      <c r="L1184">
        <v>19.12</v>
      </c>
      <c r="M1184">
        <v>6.7</v>
      </c>
      <c r="N1184">
        <v>3.825</v>
      </c>
      <c r="O1184">
        <v>22.94</v>
      </c>
      <c r="P1184">
        <v>27.0</v>
      </c>
      <c r="Q1184">
        <v>19.66</v>
      </c>
      <c r="R1184">
        <v>14.23</v>
      </c>
    </row>
    <row r="1185">
      <c r="A1185" s="9">
        <v>39716</v>
      </c>
      <c r="B1185" s="2" t="inlineStr">
        <is>
          <t xml:space="preserve">2008-09</t>
        </is>
      </c>
      <c r="C1185" s="2" t="inlineStr">
        <is>
          <t xml:space="preserve">2008/09</t>
        </is>
      </c>
      <c r="D1185">
        <v>12.032</v>
      </c>
      <c r="E1185">
        <v>22.26</v>
      </c>
      <c r="F1185">
        <v>26.39</v>
      </c>
      <c r="G1185">
        <v>19.18</v>
      </c>
      <c r="H1185">
        <v>14.99</v>
      </c>
      <c r="I1185">
        <v>10.773</v>
      </c>
      <c r="J1185">
        <v>22.74</v>
      </c>
      <c r="K1185">
        <v>27.18</v>
      </c>
      <c r="L1185">
        <v>19.21</v>
      </c>
      <c r="M1185">
        <v>13.41</v>
      </c>
      <c r="N1185">
        <v>11.911</v>
      </c>
      <c r="O1185">
        <v>23.36</v>
      </c>
      <c r="P1185">
        <v>26.99</v>
      </c>
      <c r="Q1185">
        <v>20.17</v>
      </c>
      <c r="R1185">
        <v>16.8</v>
      </c>
    </row>
    <row r="1186">
      <c r="A1186" s="9">
        <v>39717</v>
      </c>
      <c r="B1186" s="2" t="inlineStr">
        <is>
          <t xml:space="preserve">2008-09</t>
        </is>
      </c>
      <c r="C1186" s="2" t="inlineStr">
        <is>
          <t xml:space="preserve">2008/09</t>
        </is>
      </c>
      <c r="D1186">
        <v>8.24</v>
      </c>
      <c r="E1186">
        <v>21.38</v>
      </c>
      <c r="F1186">
        <v>24.36</v>
      </c>
      <c r="G1186">
        <v>19.26</v>
      </c>
      <c r="H1186">
        <v>9.07</v>
      </c>
      <c r="I1186">
        <v>33.647</v>
      </c>
      <c r="J1186">
        <v>22.61</v>
      </c>
      <c r="K1186">
        <v>26.44</v>
      </c>
      <c r="L1186">
        <v>20.33</v>
      </c>
      <c r="M1186">
        <v>28.82</v>
      </c>
      <c r="N1186">
        <v>51.134</v>
      </c>
      <c r="O1186">
        <v>22.87</v>
      </c>
      <c r="P1186">
        <v>26.03</v>
      </c>
      <c r="Q1186">
        <v>20.46</v>
      </c>
      <c r="R1186">
        <v>38.27</v>
      </c>
    </row>
    <row r="1187">
      <c r="A1187" s="9">
        <v>39718</v>
      </c>
      <c r="B1187" s="2" t="inlineStr">
        <is>
          <t xml:space="preserve">2008-09</t>
        </is>
      </c>
      <c r="C1187" s="2" t="inlineStr">
        <is>
          <t xml:space="preserve">2008/09</t>
        </is>
      </c>
      <c r="D1187">
        <v>9.284</v>
      </c>
      <c r="E1187">
        <v>21.97</v>
      </c>
      <c r="F1187">
        <v>26.22</v>
      </c>
      <c r="G1187">
        <v>18.7</v>
      </c>
      <c r="H1187">
        <v>16.4</v>
      </c>
      <c r="I1187">
        <v>7.719</v>
      </c>
      <c r="J1187">
        <v>22.65</v>
      </c>
      <c r="K1187">
        <v>26.93</v>
      </c>
      <c r="L1187">
        <v>19.14</v>
      </c>
      <c r="M1187">
        <v>17.32</v>
      </c>
      <c r="N1187">
        <v>6.818</v>
      </c>
      <c r="O1187">
        <v>22.77</v>
      </c>
      <c r="P1187">
        <v>27.32</v>
      </c>
      <c r="Q1187">
        <v>19.18</v>
      </c>
      <c r="R1187">
        <v>13.86</v>
      </c>
    </row>
    <row r="1188">
      <c r="A1188" s="9">
        <v>39719</v>
      </c>
      <c r="B1188" s="2" t="inlineStr">
        <is>
          <t xml:space="preserve">2008-09</t>
        </is>
      </c>
      <c r="C1188" s="2" t="inlineStr">
        <is>
          <t xml:space="preserve">2008/09</t>
        </is>
      </c>
      <c r="D1188">
        <v>11.316</v>
      </c>
      <c r="E1188">
        <v>21.7</v>
      </c>
      <c r="F1188">
        <v>26.05</v>
      </c>
      <c r="G1188">
        <v>18.03</v>
      </c>
      <c r="H1188">
        <v>12.71</v>
      </c>
      <c r="I1188">
        <v>22.227</v>
      </c>
      <c r="J1188">
        <v>22.26</v>
      </c>
      <c r="K1188">
        <v>26.31</v>
      </c>
      <c r="L1188">
        <v>18.9</v>
      </c>
      <c r="M1188">
        <v>11.58</v>
      </c>
      <c r="N1188">
        <v>10.496</v>
      </c>
      <c r="O1188">
        <v>22.71</v>
      </c>
      <c r="P1188">
        <v>27.0</v>
      </c>
      <c r="Q1188">
        <v>19.78</v>
      </c>
      <c r="R1188">
        <v>8.5</v>
      </c>
    </row>
    <row r="1189">
      <c r="A1189" s="9">
        <v>39720</v>
      </c>
      <c r="B1189" s="2" t="inlineStr">
        <is>
          <t xml:space="preserve">2008-09</t>
        </is>
      </c>
      <c r="C1189" s="2" t="inlineStr">
        <is>
          <t xml:space="preserve">2008/09</t>
        </is>
      </c>
      <c r="D1189">
        <v>8.395</v>
      </c>
      <c r="E1189">
        <v>20.78</v>
      </c>
      <c r="F1189">
        <v>25.55</v>
      </c>
      <c r="G1189">
        <v>16.61</v>
      </c>
      <c r="H1189">
        <v>14.1</v>
      </c>
      <c r="I1189">
        <v>11.308</v>
      </c>
      <c r="J1189">
        <v>22.22</v>
      </c>
      <c r="K1189">
        <v>26.3</v>
      </c>
      <c r="L1189">
        <v>19.24</v>
      </c>
      <c r="M1189">
        <v>32.46</v>
      </c>
      <c r="N1189">
        <v>15.828</v>
      </c>
      <c r="O1189">
        <v>22.49</v>
      </c>
      <c r="P1189">
        <v>26.22</v>
      </c>
      <c r="Q1189">
        <v>19.71</v>
      </c>
      <c r="R1189">
        <v>29.79</v>
      </c>
    </row>
    <row r="1190">
      <c r="A1190" s="9">
        <v>39721</v>
      </c>
      <c r="B1190" s="2" t="inlineStr">
        <is>
          <t xml:space="preserve">2008-09</t>
        </is>
      </c>
      <c r="C1190" s="2" t="inlineStr">
        <is>
          <t xml:space="preserve">2008/09</t>
        </is>
      </c>
      <c r="D1190">
        <v>23.471</v>
      </c>
      <c r="E1190">
        <v>21.28</v>
      </c>
      <c r="F1190">
        <v>24.9</v>
      </c>
      <c r="G1190">
        <v>18.85</v>
      </c>
      <c r="H1190">
        <v>13.95</v>
      </c>
      <c r="I1190">
        <v>43.061</v>
      </c>
      <c r="J1190">
        <v>21.41</v>
      </c>
      <c r="K1190">
        <v>24.63</v>
      </c>
      <c r="L1190">
        <v>19.19</v>
      </c>
      <c r="M1190">
        <v>14.97</v>
      </c>
      <c r="N1190">
        <v>54.215</v>
      </c>
      <c r="O1190">
        <v>21.37</v>
      </c>
      <c r="P1190">
        <v>23.29</v>
      </c>
      <c r="Q1190">
        <v>19.9</v>
      </c>
      <c r="R1190">
        <v>15.5</v>
      </c>
    </row>
    <row r="1191">
      <c r="A1191" s="9">
        <v>39722</v>
      </c>
      <c r="B1191" s="2" t="inlineStr">
        <is>
          <t xml:space="preserve">2008-10</t>
        </is>
      </c>
      <c r="C1191" s="2" t="inlineStr">
        <is>
          <t xml:space="preserve">2008/09</t>
        </is>
      </c>
      <c r="D1191">
        <v>4.183</v>
      </c>
      <c r="E1191">
        <v>20.63</v>
      </c>
      <c r="F1191">
        <v>23.69</v>
      </c>
      <c r="G1191">
        <v>18.54</v>
      </c>
      <c r="H1191">
        <v>1.58</v>
      </c>
      <c r="I1191">
        <v>0.61</v>
      </c>
      <c r="J1191">
        <v>21.31</v>
      </c>
      <c r="K1191">
        <v>25.27</v>
      </c>
      <c r="L1191">
        <v>18.36</v>
      </c>
      <c r="M1191">
        <v>0.96</v>
      </c>
      <c r="N1191">
        <v>0.641</v>
      </c>
      <c r="O1191">
        <v>21.63</v>
      </c>
      <c r="P1191">
        <v>25.0</v>
      </c>
      <c r="Q1191">
        <v>19.3</v>
      </c>
      <c r="R1191">
        <v>0.79</v>
      </c>
    </row>
    <row r="1192">
      <c r="A1192" s="9">
        <v>39723</v>
      </c>
      <c r="B1192" s="2" t="inlineStr">
        <is>
          <t xml:space="preserve">2008-10</t>
        </is>
      </c>
      <c r="C1192" s="2" t="inlineStr">
        <is>
          <t xml:space="preserve">2008/09</t>
        </is>
      </c>
      <c r="D1192">
        <v>0.0</v>
      </c>
      <c r="E1192">
        <v>21.35</v>
      </c>
      <c r="F1192">
        <v>25.32</v>
      </c>
      <c r="G1192">
        <v>18.45</v>
      </c>
      <c r="H1192">
        <v>3.0</v>
      </c>
      <c r="I1192">
        <v>0.93</v>
      </c>
      <c r="J1192">
        <v>21.56</v>
      </c>
      <c r="K1192">
        <v>26.09</v>
      </c>
      <c r="L1192">
        <v>18.29</v>
      </c>
      <c r="M1192">
        <v>1.56</v>
      </c>
      <c r="N1192">
        <v>0.0</v>
      </c>
      <c r="O1192">
        <v>21.51</v>
      </c>
      <c r="P1192">
        <v>25.64</v>
      </c>
      <c r="Q1192">
        <v>18.76</v>
      </c>
      <c r="R1192">
        <v>1.47</v>
      </c>
    </row>
    <row r="1193">
      <c r="A1193" s="9">
        <v>39724</v>
      </c>
      <c r="B1193" s="2" t="inlineStr">
        <is>
          <t xml:space="preserve">2008-10</t>
        </is>
      </c>
      <c r="C1193" s="2" t="inlineStr">
        <is>
          <t xml:space="preserve">2008/09</t>
        </is>
      </c>
      <c r="D1193">
        <v>3.864</v>
      </c>
      <c r="E1193">
        <v>20.63</v>
      </c>
      <c r="F1193">
        <v>23.75</v>
      </c>
      <c r="G1193">
        <v>18.42</v>
      </c>
      <c r="H1193">
        <v>10.92</v>
      </c>
      <c r="I1193">
        <v>3.203</v>
      </c>
      <c r="J1193">
        <v>21.23</v>
      </c>
      <c r="K1193">
        <v>24.58</v>
      </c>
      <c r="L1193">
        <v>18.39</v>
      </c>
      <c r="M1193">
        <v>8.96</v>
      </c>
      <c r="N1193">
        <v>2.384</v>
      </c>
      <c r="O1193">
        <v>21.38</v>
      </c>
      <c r="P1193">
        <v>24.41</v>
      </c>
      <c r="Q1193">
        <v>19.24</v>
      </c>
      <c r="R1193">
        <v>10.32</v>
      </c>
    </row>
    <row r="1194">
      <c r="A1194" s="9">
        <v>39725</v>
      </c>
      <c r="B1194" s="2" t="inlineStr">
        <is>
          <t xml:space="preserve">2008-10</t>
        </is>
      </c>
      <c r="C1194" s="2" t="inlineStr">
        <is>
          <t xml:space="preserve">2008/09</t>
        </is>
      </c>
      <c r="D1194">
        <v>11.482</v>
      </c>
      <c r="E1194">
        <v>21.02</v>
      </c>
      <c r="F1194">
        <v>24.33</v>
      </c>
      <c r="G1194">
        <v>18.86</v>
      </c>
      <c r="H1194">
        <v>13.4</v>
      </c>
      <c r="I1194">
        <v>20.029</v>
      </c>
      <c r="J1194">
        <v>20.54</v>
      </c>
      <c r="K1194">
        <v>23.7</v>
      </c>
      <c r="L1194">
        <v>18.54</v>
      </c>
      <c r="M1194">
        <v>15.54</v>
      </c>
      <c r="N1194">
        <v>28.927</v>
      </c>
      <c r="O1194">
        <v>20.79</v>
      </c>
      <c r="P1194">
        <v>23.45</v>
      </c>
      <c r="Q1194">
        <v>19.28</v>
      </c>
      <c r="R1194">
        <v>17.36</v>
      </c>
    </row>
    <row r="1195">
      <c r="A1195" s="9">
        <v>39726</v>
      </c>
      <c r="B1195" s="2" t="inlineStr">
        <is>
          <t xml:space="preserve">2008-10</t>
        </is>
      </c>
      <c r="C1195" s="2" t="inlineStr">
        <is>
          <t xml:space="preserve">2008/09</t>
        </is>
      </c>
      <c r="D1195">
        <v>9.544</v>
      </c>
      <c r="E1195">
        <v>21.24</v>
      </c>
      <c r="F1195">
        <v>25.22</v>
      </c>
      <c r="G1195">
        <v>18.52</v>
      </c>
      <c r="H1195">
        <v>6.27</v>
      </c>
      <c r="I1195">
        <v>7.297</v>
      </c>
      <c r="J1195">
        <v>21.29</v>
      </c>
      <c r="K1195">
        <v>25.47</v>
      </c>
      <c r="L1195">
        <v>18.38</v>
      </c>
      <c r="M1195">
        <v>7.42</v>
      </c>
      <c r="N1195">
        <v>3.474</v>
      </c>
      <c r="O1195">
        <v>22.15</v>
      </c>
      <c r="P1195">
        <v>26.22</v>
      </c>
      <c r="Q1195">
        <v>19.69</v>
      </c>
      <c r="R1195">
        <v>4.94</v>
      </c>
    </row>
    <row r="1196">
      <c r="A1196" s="9">
        <v>39727</v>
      </c>
      <c r="B1196" s="2" t="inlineStr">
        <is>
          <t xml:space="preserve">2008-10</t>
        </is>
      </c>
      <c r="C1196" s="2" t="inlineStr">
        <is>
          <t xml:space="preserve">2008/09</t>
        </is>
      </c>
      <c r="D1196">
        <v>7.211</v>
      </c>
      <c r="E1196">
        <v>20.88</v>
      </c>
      <c r="F1196">
        <v>25.11</v>
      </c>
      <c r="G1196">
        <v>17.15</v>
      </c>
      <c r="H1196">
        <v>7.49</v>
      </c>
      <c r="I1196">
        <v>8.548</v>
      </c>
      <c r="J1196">
        <v>22.2</v>
      </c>
      <c r="K1196">
        <v>26.13</v>
      </c>
      <c r="L1196">
        <v>19.57</v>
      </c>
      <c r="M1196">
        <v>9.44</v>
      </c>
      <c r="N1196">
        <v>4.807</v>
      </c>
      <c r="O1196">
        <v>22.23</v>
      </c>
      <c r="P1196">
        <v>25.87</v>
      </c>
      <c r="Q1196">
        <v>19.85</v>
      </c>
      <c r="R1196">
        <v>7.56</v>
      </c>
    </row>
    <row r="1197">
      <c r="A1197" s="9">
        <v>39728</v>
      </c>
      <c r="B1197" s="2" t="inlineStr">
        <is>
          <t xml:space="preserve">2008-10</t>
        </is>
      </c>
      <c r="C1197" s="2" t="inlineStr">
        <is>
          <t xml:space="preserve">2008/09</t>
        </is>
      </c>
      <c r="D1197">
        <v>9.607</v>
      </c>
      <c r="E1197">
        <v>21.24</v>
      </c>
      <c r="F1197">
        <v>25.59</v>
      </c>
      <c r="G1197">
        <v>17.94</v>
      </c>
      <c r="H1197">
        <v>8.24</v>
      </c>
      <c r="I1197">
        <v>11.329</v>
      </c>
      <c r="J1197">
        <v>21.9</v>
      </c>
      <c r="K1197">
        <v>25.79</v>
      </c>
      <c r="L1197">
        <v>19.47</v>
      </c>
      <c r="M1197">
        <v>8.74</v>
      </c>
      <c r="N1197">
        <v>12.706</v>
      </c>
      <c r="O1197">
        <v>21.87</v>
      </c>
      <c r="P1197">
        <v>25.01</v>
      </c>
      <c r="Q1197">
        <v>19.93</v>
      </c>
      <c r="R1197">
        <v>9.88</v>
      </c>
    </row>
    <row r="1198">
      <c r="A1198" s="9">
        <v>39729</v>
      </c>
      <c r="B1198" s="2" t="inlineStr">
        <is>
          <t xml:space="preserve">2008-10</t>
        </is>
      </c>
      <c r="C1198" s="2" t="inlineStr">
        <is>
          <t xml:space="preserve">2008/09</t>
        </is>
      </c>
      <c r="D1198">
        <v>14.855</v>
      </c>
      <c r="E1198">
        <v>20.97</v>
      </c>
      <c r="F1198">
        <v>24.85</v>
      </c>
      <c r="G1198">
        <v>18.4</v>
      </c>
      <c r="H1198">
        <v>9.82</v>
      </c>
      <c r="I1198">
        <v>6.616</v>
      </c>
      <c r="J1198">
        <v>21.1</v>
      </c>
      <c r="K1198">
        <v>24.6</v>
      </c>
      <c r="L1198">
        <v>18.99</v>
      </c>
      <c r="M1198">
        <v>5.8</v>
      </c>
      <c r="N1198">
        <v>5.654</v>
      </c>
      <c r="O1198">
        <v>21.68</v>
      </c>
      <c r="P1198">
        <v>24.77</v>
      </c>
      <c r="Q1198">
        <v>19.9</v>
      </c>
      <c r="R1198">
        <v>5.96</v>
      </c>
    </row>
    <row r="1199">
      <c r="A1199" s="9">
        <v>39730</v>
      </c>
      <c r="B1199" s="2" t="inlineStr">
        <is>
          <t xml:space="preserve">2008-10</t>
        </is>
      </c>
      <c r="C1199" s="2" t="inlineStr">
        <is>
          <t xml:space="preserve">2008/09</t>
        </is>
      </c>
      <c r="D1199">
        <v>2.615</v>
      </c>
      <c r="E1199">
        <v>20.84</v>
      </c>
      <c r="F1199">
        <v>25.13</v>
      </c>
      <c r="G1199">
        <v>17.51</v>
      </c>
      <c r="H1199">
        <v>1.26</v>
      </c>
      <c r="I1199">
        <v>1.664</v>
      </c>
      <c r="J1199">
        <v>20.71</v>
      </c>
      <c r="K1199">
        <v>24.67</v>
      </c>
      <c r="L1199">
        <v>18.18</v>
      </c>
      <c r="M1199">
        <v>0.77</v>
      </c>
      <c r="N1199">
        <v>1.362</v>
      </c>
      <c r="O1199">
        <v>21.92</v>
      </c>
      <c r="P1199">
        <v>26.42</v>
      </c>
      <c r="Q1199">
        <v>18.79</v>
      </c>
      <c r="R1199">
        <v>0.84</v>
      </c>
    </row>
    <row r="1200">
      <c r="A1200" s="9">
        <v>39731</v>
      </c>
      <c r="B1200" s="2" t="inlineStr">
        <is>
          <t xml:space="preserve">2008-10</t>
        </is>
      </c>
      <c r="C1200" s="2" t="inlineStr">
        <is>
          <t xml:space="preserve">2008/09</t>
        </is>
      </c>
      <c r="D1200">
        <v>0.892</v>
      </c>
      <c r="E1200">
        <v>22.29</v>
      </c>
      <c r="F1200">
        <v>27.7</v>
      </c>
      <c r="G1200">
        <v>17.71</v>
      </c>
      <c r="H1200">
        <v>9.66</v>
      </c>
      <c r="I1200">
        <v>0.0</v>
      </c>
      <c r="J1200">
        <v>22.07</v>
      </c>
      <c r="K1200">
        <v>26.55</v>
      </c>
      <c r="L1200">
        <v>17.93</v>
      </c>
      <c r="M1200">
        <v>2.05</v>
      </c>
      <c r="N1200">
        <v>0.0</v>
      </c>
      <c r="O1200">
        <v>22.59</v>
      </c>
      <c r="P1200">
        <v>27.82</v>
      </c>
      <c r="Q1200">
        <v>18.42</v>
      </c>
      <c r="R1200">
        <v>3.3</v>
      </c>
    </row>
    <row r="1201">
      <c r="A1201" s="9">
        <v>39732</v>
      </c>
      <c r="B1201" s="2" t="inlineStr">
        <is>
          <t xml:space="preserve">2008-10</t>
        </is>
      </c>
      <c r="C1201" s="2" t="inlineStr">
        <is>
          <t xml:space="preserve">2008/09</t>
        </is>
      </c>
      <c r="D1201">
        <v>6.382</v>
      </c>
      <c r="E1201">
        <v>21.0</v>
      </c>
      <c r="F1201">
        <v>24.48</v>
      </c>
      <c r="G1201">
        <v>18.59</v>
      </c>
      <c r="H1201">
        <v>4.14</v>
      </c>
      <c r="I1201">
        <v>3.521</v>
      </c>
      <c r="J1201">
        <v>21.38</v>
      </c>
      <c r="K1201">
        <v>24.39</v>
      </c>
      <c r="L1201">
        <v>19.17</v>
      </c>
      <c r="M1201">
        <v>2.74</v>
      </c>
      <c r="N1201">
        <v>4.47</v>
      </c>
      <c r="O1201">
        <v>21.87</v>
      </c>
      <c r="P1201">
        <v>24.57</v>
      </c>
      <c r="Q1201">
        <v>20.38</v>
      </c>
      <c r="R1201">
        <v>4.38</v>
      </c>
    </row>
    <row r="1202">
      <c r="A1202" s="9">
        <v>39733</v>
      </c>
      <c r="B1202" s="2" t="inlineStr">
        <is>
          <t xml:space="preserve">2008-10</t>
        </is>
      </c>
      <c r="C1202" s="2" t="inlineStr">
        <is>
          <t xml:space="preserve">2008/09</t>
        </is>
      </c>
      <c r="D1202">
        <v>0.567</v>
      </c>
      <c r="E1202">
        <v>20.9</v>
      </c>
      <c r="F1202">
        <v>25.12</v>
      </c>
      <c r="G1202">
        <v>17.9</v>
      </c>
      <c r="H1202">
        <v>3.02</v>
      </c>
      <c r="I1202">
        <v>1.534</v>
      </c>
      <c r="J1202">
        <v>22.07</v>
      </c>
      <c r="K1202">
        <v>26.33</v>
      </c>
      <c r="L1202">
        <v>18.68</v>
      </c>
      <c r="M1202">
        <v>4.14</v>
      </c>
      <c r="N1202">
        <v>0.841</v>
      </c>
      <c r="O1202">
        <v>22.06</v>
      </c>
      <c r="P1202">
        <v>26.19</v>
      </c>
      <c r="Q1202">
        <v>19.36</v>
      </c>
      <c r="R1202">
        <v>5.42</v>
      </c>
    </row>
    <row r="1203">
      <c r="A1203" s="9">
        <v>39734</v>
      </c>
      <c r="B1203" s="2" t="inlineStr">
        <is>
          <t xml:space="preserve">2008-10</t>
        </is>
      </c>
      <c r="C1203" s="2" t="inlineStr">
        <is>
          <t xml:space="preserve">2008/09</t>
        </is>
      </c>
      <c r="D1203">
        <v>6.788</v>
      </c>
      <c r="E1203">
        <v>20.13</v>
      </c>
      <c r="F1203">
        <v>25.02</v>
      </c>
      <c r="G1203">
        <v>16.02</v>
      </c>
      <c r="H1203">
        <v>5.3</v>
      </c>
      <c r="I1203">
        <v>4.481</v>
      </c>
      <c r="J1203">
        <v>21.2</v>
      </c>
      <c r="K1203">
        <v>25.27</v>
      </c>
      <c r="L1203">
        <v>18.81</v>
      </c>
      <c r="M1203">
        <v>3.01</v>
      </c>
      <c r="N1203">
        <v>1.906</v>
      </c>
      <c r="O1203">
        <v>21.55</v>
      </c>
      <c r="P1203">
        <v>25.49</v>
      </c>
      <c r="Q1203">
        <v>19.13</v>
      </c>
      <c r="R1203">
        <v>2.56</v>
      </c>
    </row>
    <row r="1204">
      <c r="A1204" s="9">
        <v>39735</v>
      </c>
      <c r="B1204" s="2" t="inlineStr">
        <is>
          <t xml:space="preserve">2008-10</t>
        </is>
      </c>
      <c r="C1204" s="2" t="inlineStr">
        <is>
          <t xml:space="preserve">2008/09</t>
        </is>
      </c>
      <c r="D1204">
        <v>0.092</v>
      </c>
      <c r="E1204">
        <v>20.35</v>
      </c>
      <c r="F1204">
        <v>24.62</v>
      </c>
      <c r="G1204">
        <v>17.62</v>
      </c>
      <c r="H1204">
        <v>4.9</v>
      </c>
      <c r="I1204">
        <v>0.929</v>
      </c>
      <c r="J1204">
        <v>21.34</v>
      </c>
      <c r="K1204">
        <v>26.24</v>
      </c>
      <c r="L1204">
        <v>17.0</v>
      </c>
      <c r="M1204">
        <v>3.24</v>
      </c>
      <c r="N1204">
        <v>1.418</v>
      </c>
      <c r="O1204">
        <v>21.49</v>
      </c>
      <c r="P1204">
        <v>26.14</v>
      </c>
      <c r="Q1204">
        <v>18.21</v>
      </c>
      <c r="R1204">
        <v>6.52</v>
      </c>
    </row>
    <row r="1205">
      <c r="A1205" s="9">
        <v>39736</v>
      </c>
      <c r="B1205" s="2" t="inlineStr">
        <is>
          <t xml:space="preserve">2008-10</t>
        </is>
      </c>
      <c r="C1205" s="2" t="inlineStr">
        <is>
          <t xml:space="preserve">2008/09</t>
        </is>
      </c>
      <c r="D1205">
        <v>5.231</v>
      </c>
      <c r="E1205">
        <v>20.57</v>
      </c>
      <c r="F1205">
        <v>24.49</v>
      </c>
      <c r="G1205">
        <v>17.2</v>
      </c>
      <c r="H1205">
        <v>24.46</v>
      </c>
      <c r="I1205">
        <v>6.989</v>
      </c>
      <c r="J1205">
        <v>21.36</v>
      </c>
      <c r="K1205">
        <v>25.02</v>
      </c>
      <c r="L1205">
        <v>18.94</v>
      </c>
      <c r="M1205">
        <v>14.09</v>
      </c>
      <c r="N1205">
        <v>10.354</v>
      </c>
      <c r="O1205">
        <v>20.96</v>
      </c>
      <c r="P1205">
        <v>23.71</v>
      </c>
      <c r="Q1205">
        <v>18.81</v>
      </c>
      <c r="R1205">
        <v>24.63</v>
      </c>
    </row>
    <row r="1206">
      <c r="A1206" s="9">
        <v>39737</v>
      </c>
      <c r="B1206" s="2" t="inlineStr">
        <is>
          <t xml:space="preserve">2008-10</t>
        </is>
      </c>
      <c r="C1206" s="2" t="inlineStr">
        <is>
          <t xml:space="preserve">2008/09</t>
        </is>
      </c>
      <c r="D1206">
        <v>20.701</v>
      </c>
      <c r="E1206">
        <v>20.55</v>
      </c>
      <c r="F1206">
        <v>23.16</v>
      </c>
      <c r="G1206">
        <v>18.87</v>
      </c>
      <c r="H1206">
        <v>32.63</v>
      </c>
      <c r="I1206">
        <v>18.227</v>
      </c>
      <c r="J1206">
        <v>20.85</v>
      </c>
      <c r="K1206">
        <v>23.51</v>
      </c>
      <c r="L1206">
        <v>19.07</v>
      </c>
      <c r="M1206">
        <v>24.64</v>
      </c>
      <c r="N1206">
        <v>22.95</v>
      </c>
      <c r="O1206">
        <v>22.14</v>
      </c>
      <c r="P1206">
        <v>23.75</v>
      </c>
      <c r="Q1206">
        <v>20.57</v>
      </c>
      <c r="R1206">
        <v>46.79</v>
      </c>
    </row>
    <row r="1207">
      <c r="A1207" s="9">
        <v>39738</v>
      </c>
      <c r="B1207" s="2" t="inlineStr">
        <is>
          <t xml:space="preserve">2008-10</t>
        </is>
      </c>
      <c r="C1207" s="2" t="inlineStr">
        <is>
          <t xml:space="preserve">2008/09</t>
        </is>
      </c>
      <c r="D1207">
        <v>12.358</v>
      </c>
      <c r="E1207">
        <v>20.1</v>
      </c>
      <c r="F1207">
        <v>22.62</v>
      </c>
      <c r="G1207">
        <v>18.34</v>
      </c>
      <c r="H1207">
        <v>15.58</v>
      </c>
      <c r="I1207">
        <v>16.647</v>
      </c>
      <c r="J1207">
        <v>20.35</v>
      </c>
      <c r="K1207">
        <v>23.25</v>
      </c>
      <c r="L1207">
        <v>18.93</v>
      </c>
      <c r="M1207">
        <v>15.08</v>
      </c>
      <c r="N1207">
        <v>22.194</v>
      </c>
      <c r="O1207">
        <v>21.36</v>
      </c>
      <c r="P1207">
        <v>23.09</v>
      </c>
      <c r="Q1207">
        <v>19.75</v>
      </c>
      <c r="R1207">
        <v>17.88</v>
      </c>
    </row>
    <row r="1208">
      <c r="A1208" s="9">
        <v>39739</v>
      </c>
      <c r="B1208" s="2" t="inlineStr">
        <is>
          <t xml:space="preserve">2008-10</t>
        </is>
      </c>
      <c r="C1208" s="2" t="inlineStr">
        <is>
          <t xml:space="preserve">2008/09</t>
        </is>
      </c>
      <c r="D1208">
        <v>29.036</v>
      </c>
      <c r="E1208">
        <v>20.62</v>
      </c>
      <c r="F1208">
        <v>24.04</v>
      </c>
      <c r="G1208">
        <v>17.88</v>
      </c>
      <c r="H1208">
        <v>17.58</v>
      </c>
      <c r="I1208">
        <v>11.671</v>
      </c>
      <c r="J1208">
        <v>20.63</v>
      </c>
      <c r="K1208">
        <v>24.06</v>
      </c>
      <c r="L1208">
        <v>18.07</v>
      </c>
      <c r="M1208">
        <v>10.77</v>
      </c>
      <c r="N1208">
        <v>15.964</v>
      </c>
      <c r="O1208">
        <v>21.65</v>
      </c>
      <c r="P1208">
        <v>25.03</v>
      </c>
      <c r="Q1208">
        <v>19.0</v>
      </c>
      <c r="R1208">
        <v>10.7</v>
      </c>
    </row>
    <row r="1209">
      <c r="A1209" s="9">
        <v>39740</v>
      </c>
      <c r="B1209" s="2" t="inlineStr">
        <is>
          <t xml:space="preserve">2008-10</t>
        </is>
      </c>
      <c r="C1209" s="2" t="inlineStr">
        <is>
          <t xml:space="preserve">2008/09</t>
        </is>
      </c>
      <c r="D1209">
        <v>23.951</v>
      </c>
      <c r="E1209">
        <v>20.91</v>
      </c>
      <c r="F1209">
        <v>25.16</v>
      </c>
      <c r="G1209">
        <v>17.76</v>
      </c>
      <c r="H1209">
        <v>18.31</v>
      </c>
      <c r="I1209">
        <v>7.637</v>
      </c>
      <c r="J1209">
        <v>21.17</v>
      </c>
      <c r="K1209">
        <v>24.78</v>
      </c>
      <c r="L1209">
        <v>18.66</v>
      </c>
      <c r="M1209">
        <v>6.45</v>
      </c>
      <c r="N1209">
        <v>4.016</v>
      </c>
      <c r="O1209">
        <v>21.08</v>
      </c>
      <c r="P1209">
        <v>24.41</v>
      </c>
      <c r="Q1209">
        <v>19.27</v>
      </c>
      <c r="R1209">
        <v>7.86</v>
      </c>
    </row>
    <row r="1210">
      <c r="A1210" s="9">
        <v>39741</v>
      </c>
      <c r="B1210" s="2" t="inlineStr">
        <is>
          <t xml:space="preserve">2008-10</t>
        </is>
      </c>
      <c r="C1210" s="2" t="inlineStr">
        <is>
          <t xml:space="preserve">2008/09</t>
        </is>
      </c>
      <c r="D1210">
        <v>3.168</v>
      </c>
      <c r="E1210">
        <v>19.89</v>
      </c>
      <c r="F1210">
        <v>22.54</v>
      </c>
      <c r="G1210">
        <v>17.77</v>
      </c>
      <c r="H1210">
        <v>28.34</v>
      </c>
      <c r="I1210">
        <v>7.371</v>
      </c>
      <c r="J1210">
        <v>20.51</v>
      </c>
      <c r="K1210">
        <v>23.13</v>
      </c>
      <c r="L1210">
        <v>18.17</v>
      </c>
      <c r="M1210">
        <v>12.88</v>
      </c>
      <c r="N1210">
        <v>12.42</v>
      </c>
      <c r="O1210">
        <v>20.51</v>
      </c>
      <c r="P1210">
        <v>22.33</v>
      </c>
      <c r="Q1210">
        <v>19.46</v>
      </c>
      <c r="R1210">
        <v>19.11</v>
      </c>
    </row>
    <row r="1211">
      <c r="A1211" s="9">
        <v>39742</v>
      </c>
      <c r="B1211" s="2" t="inlineStr">
        <is>
          <t xml:space="preserve">2008-10</t>
        </is>
      </c>
      <c r="C1211" s="2" t="inlineStr">
        <is>
          <t xml:space="preserve">2008/09</t>
        </is>
      </c>
      <c r="D1211">
        <v>19.923</v>
      </c>
      <c r="E1211">
        <v>20.77</v>
      </c>
      <c r="F1211">
        <v>25.08</v>
      </c>
      <c r="G1211">
        <v>17.91</v>
      </c>
      <c r="H1211">
        <v>19.46</v>
      </c>
      <c r="I1211">
        <v>18.896</v>
      </c>
      <c r="J1211">
        <v>21.33</v>
      </c>
      <c r="K1211">
        <v>25.02</v>
      </c>
      <c r="L1211">
        <v>18.57</v>
      </c>
      <c r="M1211">
        <v>15.79</v>
      </c>
      <c r="N1211">
        <v>20.116</v>
      </c>
      <c r="O1211">
        <v>21.37</v>
      </c>
      <c r="P1211">
        <v>24.49</v>
      </c>
      <c r="Q1211">
        <v>18.79</v>
      </c>
      <c r="R1211">
        <v>17.32</v>
      </c>
    </row>
    <row r="1212">
      <c r="A1212" s="9">
        <v>39743</v>
      </c>
      <c r="B1212" s="2" t="inlineStr">
        <is>
          <t xml:space="preserve">2008-10</t>
        </is>
      </c>
      <c r="C1212" s="2" t="inlineStr">
        <is>
          <t xml:space="preserve">2008/09</t>
        </is>
      </c>
      <c r="D1212">
        <v>4.575</v>
      </c>
      <c r="E1212">
        <v>21.24</v>
      </c>
      <c r="F1212">
        <v>26.12</v>
      </c>
      <c r="G1212">
        <v>17.08</v>
      </c>
      <c r="H1212">
        <v>14.38</v>
      </c>
      <c r="I1212">
        <v>0.676</v>
      </c>
      <c r="J1212">
        <v>22.03</v>
      </c>
      <c r="K1212">
        <v>25.36</v>
      </c>
      <c r="L1212">
        <v>19.74</v>
      </c>
      <c r="M1212">
        <v>1.49</v>
      </c>
      <c r="N1212">
        <v>0.456</v>
      </c>
      <c r="O1212">
        <v>22.32</v>
      </c>
      <c r="P1212">
        <v>26.3</v>
      </c>
      <c r="Q1212">
        <v>19.6</v>
      </c>
      <c r="R1212">
        <v>1.43</v>
      </c>
    </row>
    <row r="1213">
      <c r="A1213" s="9">
        <v>39744</v>
      </c>
      <c r="B1213" s="2" t="inlineStr">
        <is>
          <t xml:space="preserve">2008-10</t>
        </is>
      </c>
      <c r="C1213" s="2" t="inlineStr">
        <is>
          <t xml:space="preserve">2008/09</t>
        </is>
      </c>
      <c r="D1213">
        <v>7.107</v>
      </c>
      <c r="E1213">
        <v>21.11</v>
      </c>
      <c r="F1213">
        <v>23.98</v>
      </c>
      <c r="G1213">
        <v>18.56</v>
      </c>
      <c r="H1213">
        <v>8.3</v>
      </c>
      <c r="I1213">
        <v>3.364</v>
      </c>
      <c r="J1213">
        <v>21.87</v>
      </c>
      <c r="K1213">
        <v>24.91</v>
      </c>
      <c r="L1213">
        <v>19.97</v>
      </c>
      <c r="M1213">
        <v>2.53</v>
      </c>
      <c r="N1213">
        <v>3.136</v>
      </c>
      <c r="O1213">
        <v>21.62</v>
      </c>
      <c r="P1213">
        <v>24.28</v>
      </c>
      <c r="Q1213">
        <v>19.84</v>
      </c>
      <c r="R1213">
        <v>2.77</v>
      </c>
    </row>
    <row r="1214">
      <c r="A1214" s="9">
        <v>39745</v>
      </c>
      <c r="B1214" s="2" t="inlineStr">
        <is>
          <t xml:space="preserve">2008-10</t>
        </is>
      </c>
      <c r="C1214" s="2" t="inlineStr">
        <is>
          <t xml:space="preserve">2008/09</t>
        </is>
      </c>
      <c r="D1214">
        <v>0.772</v>
      </c>
      <c r="E1214">
        <v>21.57</v>
      </c>
      <c r="F1214">
        <v>25.79</v>
      </c>
      <c r="G1214">
        <v>18.82</v>
      </c>
      <c r="H1214">
        <v>5.94</v>
      </c>
      <c r="I1214">
        <v>0.81</v>
      </c>
      <c r="J1214">
        <v>21.64</v>
      </c>
      <c r="K1214">
        <v>24.76</v>
      </c>
      <c r="L1214">
        <v>19.68</v>
      </c>
      <c r="M1214">
        <v>1.27</v>
      </c>
      <c r="N1214">
        <v>1.164</v>
      </c>
      <c r="O1214">
        <v>22.04</v>
      </c>
      <c r="P1214">
        <v>25.72</v>
      </c>
      <c r="Q1214">
        <v>19.86</v>
      </c>
      <c r="R1214">
        <v>4.51</v>
      </c>
    </row>
    <row r="1215">
      <c r="A1215" s="9">
        <v>39746</v>
      </c>
      <c r="B1215" s="2" t="inlineStr">
        <is>
          <t xml:space="preserve">2008-10</t>
        </is>
      </c>
      <c r="C1215" s="2" t="inlineStr">
        <is>
          <t xml:space="preserve">2008/09</t>
        </is>
      </c>
      <c r="D1215">
        <v>0.207</v>
      </c>
      <c r="E1215">
        <v>21.39</v>
      </c>
      <c r="F1215">
        <v>25.64</v>
      </c>
      <c r="G1215">
        <v>18.44</v>
      </c>
      <c r="H1215">
        <v>0.59</v>
      </c>
      <c r="I1215">
        <v>0.143</v>
      </c>
      <c r="J1215">
        <v>22.1</v>
      </c>
      <c r="K1215">
        <v>26.01</v>
      </c>
      <c r="L1215">
        <v>19.32</v>
      </c>
      <c r="M1215">
        <v>0.23</v>
      </c>
      <c r="N1215">
        <v>0.0</v>
      </c>
      <c r="O1215">
        <v>22.49</v>
      </c>
      <c r="P1215">
        <v>26.51</v>
      </c>
      <c r="Q1215">
        <v>20.07</v>
      </c>
      <c r="R1215">
        <v>0.33</v>
      </c>
    </row>
    <row r="1216">
      <c r="A1216" s="9">
        <v>39747</v>
      </c>
      <c r="B1216" s="2" t="inlineStr">
        <is>
          <t xml:space="preserve">2008-10</t>
        </is>
      </c>
      <c r="C1216" s="2" t="inlineStr">
        <is>
          <t xml:space="preserve">2008/09</t>
        </is>
      </c>
      <c r="D1216">
        <v>0.0</v>
      </c>
      <c r="E1216">
        <v>21.31</v>
      </c>
      <c r="F1216">
        <v>25.65</v>
      </c>
      <c r="G1216">
        <v>18.06</v>
      </c>
      <c r="H1216">
        <v>1.05</v>
      </c>
      <c r="I1216">
        <v>0.164</v>
      </c>
      <c r="J1216">
        <v>21.73</v>
      </c>
      <c r="K1216">
        <v>26.09</v>
      </c>
      <c r="L1216">
        <v>18.45</v>
      </c>
      <c r="M1216">
        <v>0.65</v>
      </c>
      <c r="N1216">
        <v>0.249</v>
      </c>
      <c r="O1216">
        <v>21.91</v>
      </c>
      <c r="P1216">
        <v>26.26</v>
      </c>
      <c r="Q1216">
        <v>18.7</v>
      </c>
      <c r="R1216">
        <v>1.83</v>
      </c>
    </row>
    <row r="1217">
      <c r="A1217" s="9">
        <v>39748</v>
      </c>
      <c r="B1217" s="2" t="inlineStr">
        <is>
          <t xml:space="preserve">2008-10</t>
        </is>
      </c>
      <c r="C1217" s="2" t="inlineStr">
        <is>
          <t xml:space="preserve">2008/09</t>
        </is>
      </c>
      <c r="D1217">
        <v>1.349</v>
      </c>
      <c r="E1217">
        <v>20.6</v>
      </c>
      <c r="F1217">
        <v>24.75</v>
      </c>
      <c r="G1217">
        <v>17.9</v>
      </c>
      <c r="H1217">
        <v>6.28</v>
      </c>
      <c r="I1217">
        <v>2.886</v>
      </c>
      <c r="J1217">
        <v>20.63</v>
      </c>
      <c r="K1217">
        <v>24.62</v>
      </c>
      <c r="L1217">
        <v>17.75</v>
      </c>
      <c r="M1217">
        <v>5.09</v>
      </c>
      <c r="N1217">
        <v>4.272</v>
      </c>
      <c r="O1217">
        <v>21.03</v>
      </c>
      <c r="P1217">
        <v>24.5</v>
      </c>
      <c r="Q1217">
        <v>18.64</v>
      </c>
      <c r="R1217">
        <v>10.09</v>
      </c>
    </row>
    <row r="1218">
      <c r="A1218" s="9">
        <v>39749</v>
      </c>
      <c r="B1218" s="2" t="inlineStr">
        <is>
          <t xml:space="preserve">2008-10</t>
        </is>
      </c>
      <c r="C1218" s="2" t="inlineStr">
        <is>
          <t xml:space="preserve">2008/09</t>
        </is>
      </c>
      <c r="D1218">
        <v>0.213</v>
      </c>
      <c r="E1218">
        <v>18.63</v>
      </c>
      <c r="F1218">
        <v>20.26</v>
      </c>
      <c r="G1218">
        <v>16.82</v>
      </c>
      <c r="H1218">
        <v>12.82</v>
      </c>
      <c r="I1218">
        <v>2.328</v>
      </c>
      <c r="J1218">
        <v>17.71</v>
      </c>
      <c r="K1218">
        <v>19.99</v>
      </c>
      <c r="L1218">
        <v>16.14</v>
      </c>
      <c r="M1218">
        <v>3.27</v>
      </c>
      <c r="N1218">
        <v>4.15</v>
      </c>
      <c r="O1218">
        <v>17.94</v>
      </c>
      <c r="P1218">
        <v>19.32</v>
      </c>
      <c r="Q1218">
        <v>16.44</v>
      </c>
      <c r="R1218">
        <v>5.23</v>
      </c>
    </row>
    <row r="1219">
      <c r="A1219" s="9">
        <v>39750</v>
      </c>
      <c r="B1219" s="2" t="inlineStr">
        <is>
          <t xml:space="preserve">2008-10</t>
        </is>
      </c>
      <c r="C1219" s="2" t="inlineStr">
        <is>
          <t xml:space="preserve">2008/09</t>
        </is>
      </c>
      <c r="D1219">
        <v>0.257</v>
      </c>
      <c r="E1219">
        <v>17.8</v>
      </c>
      <c r="F1219">
        <v>21.31</v>
      </c>
      <c r="G1219">
        <v>15.86</v>
      </c>
      <c r="H1219">
        <v>5.18</v>
      </c>
      <c r="I1219">
        <v>2.828</v>
      </c>
      <c r="J1219">
        <v>16.88</v>
      </c>
      <c r="K1219">
        <v>20.0</v>
      </c>
      <c r="L1219">
        <v>14.6</v>
      </c>
      <c r="M1219">
        <v>2.81</v>
      </c>
      <c r="N1219">
        <v>4.822</v>
      </c>
      <c r="O1219">
        <v>17.18</v>
      </c>
      <c r="P1219">
        <v>19.67</v>
      </c>
      <c r="Q1219">
        <v>15.33</v>
      </c>
      <c r="R1219">
        <v>3.81</v>
      </c>
    </row>
    <row r="1220">
      <c r="A1220" s="9">
        <v>39751</v>
      </c>
      <c r="B1220" s="2" t="inlineStr">
        <is>
          <t xml:space="preserve">2008-10</t>
        </is>
      </c>
      <c r="C1220" s="2" t="inlineStr">
        <is>
          <t xml:space="preserve">2008/09</t>
        </is>
      </c>
      <c r="D1220">
        <v>0.101</v>
      </c>
      <c r="E1220">
        <v>17.7</v>
      </c>
      <c r="F1220">
        <v>21.51</v>
      </c>
      <c r="G1220">
        <v>15.69</v>
      </c>
      <c r="H1220">
        <v>3.39</v>
      </c>
      <c r="I1220">
        <v>0.599</v>
      </c>
      <c r="J1220">
        <v>17.89</v>
      </c>
      <c r="K1220">
        <v>21.7</v>
      </c>
      <c r="L1220">
        <v>15.74</v>
      </c>
      <c r="M1220">
        <v>1.26</v>
      </c>
      <c r="N1220">
        <v>1.141</v>
      </c>
      <c r="O1220">
        <v>18.11</v>
      </c>
      <c r="P1220">
        <v>21.71</v>
      </c>
      <c r="Q1220">
        <v>16.25</v>
      </c>
      <c r="R1220">
        <v>1.74</v>
      </c>
    </row>
    <row r="1221">
      <c r="A1221" s="9">
        <v>39752</v>
      </c>
      <c r="B1221" s="2" t="inlineStr">
        <is>
          <t xml:space="preserve">2008-10</t>
        </is>
      </c>
      <c r="C1221" s="2" t="inlineStr">
        <is>
          <t xml:space="preserve">2008/09</t>
        </is>
      </c>
      <c r="D1221">
        <v>0.067</v>
      </c>
      <c r="E1221">
        <v>18.99</v>
      </c>
      <c r="F1221">
        <v>23.16</v>
      </c>
      <c r="G1221">
        <v>16.5</v>
      </c>
      <c r="H1221">
        <v>5.32</v>
      </c>
      <c r="I1221">
        <v>2.23</v>
      </c>
      <c r="J1221">
        <v>17.48</v>
      </c>
      <c r="K1221">
        <v>20.85</v>
      </c>
      <c r="L1221">
        <v>14.43</v>
      </c>
      <c r="M1221">
        <v>2.19</v>
      </c>
      <c r="N1221">
        <v>3.499</v>
      </c>
      <c r="O1221">
        <v>17.94</v>
      </c>
      <c r="P1221">
        <v>20.63</v>
      </c>
      <c r="Q1221">
        <v>15.37</v>
      </c>
      <c r="R1221">
        <v>2.61</v>
      </c>
    </row>
    <row r="1222">
      <c r="A1222" s="9">
        <v>39753</v>
      </c>
      <c r="B1222" s="2" t="inlineStr">
        <is>
          <t xml:space="preserve">2008-11</t>
        </is>
      </c>
      <c r="C1222" s="2" t="inlineStr">
        <is>
          <t xml:space="preserve">2008/09</t>
        </is>
      </c>
      <c r="D1222">
        <v>0.032</v>
      </c>
      <c r="E1222">
        <v>18.6</v>
      </c>
      <c r="F1222">
        <v>21.53</v>
      </c>
      <c r="G1222">
        <v>16.72</v>
      </c>
      <c r="H1222">
        <v>2.71</v>
      </c>
      <c r="I1222">
        <v>1.585</v>
      </c>
      <c r="J1222">
        <v>18.28</v>
      </c>
      <c r="K1222">
        <v>21.47</v>
      </c>
      <c r="L1222">
        <v>16.27</v>
      </c>
      <c r="M1222">
        <v>1.56</v>
      </c>
      <c r="N1222">
        <v>2.692</v>
      </c>
      <c r="O1222">
        <v>18.68</v>
      </c>
      <c r="P1222">
        <v>21.91</v>
      </c>
      <c r="Q1222">
        <v>16.88</v>
      </c>
      <c r="R1222">
        <v>1.62</v>
      </c>
    </row>
    <row r="1223">
      <c r="A1223" s="9">
        <v>39754</v>
      </c>
      <c r="B1223" s="2" t="inlineStr">
        <is>
          <t xml:space="preserve">2008-11</t>
        </is>
      </c>
      <c r="C1223" s="2" t="inlineStr">
        <is>
          <t xml:space="preserve">2008/09</t>
        </is>
      </c>
      <c r="D1223">
        <v>0.0</v>
      </c>
      <c r="E1223">
        <v>18.25</v>
      </c>
      <c r="F1223">
        <v>22.1</v>
      </c>
      <c r="G1223">
        <v>15.93</v>
      </c>
      <c r="H1223">
        <v>1.14</v>
      </c>
      <c r="I1223">
        <v>0.805</v>
      </c>
      <c r="J1223">
        <v>17.94</v>
      </c>
      <c r="K1223">
        <v>21.64</v>
      </c>
      <c r="L1223">
        <v>15.74</v>
      </c>
      <c r="M1223">
        <v>0.54</v>
      </c>
      <c r="N1223">
        <v>1.096</v>
      </c>
      <c r="O1223">
        <v>18.43</v>
      </c>
      <c r="P1223">
        <v>21.88</v>
      </c>
      <c r="Q1223">
        <v>16.28</v>
      </c>
      <c r="R1223">
        <v>0.58</v>
      </c>
    </row>
    <row r="1224">
      <c r="A1224" s="9">
        <v>39755</v>
      </c>
      <c r="B1224" s="2" t="inlineStr">
        <is>
          <t xml:space="preserve">2008-11</t>
        </is>
      </c>
      <c r="C1224" s="2" t="inlineStr">
        <is>
          <t xml:space="preserve">2008/09</t>
        </is>
      </c>
      <c r="D1224">
        <v>0.0</v>
      </c>
      <c r="E1224">
        <v>18.11</v>
      </c>
      <c r="F1224">
        <v>22.38</v>
      </c>
      <c r="G1224">
        <v>15.24</v>
      </c>
      <c r="H1224">
        <v>0.21</v>
      </c>
      <c r="I1224">
        <v>0.282</v>
      </c>
      <c r="J1224">
        <v>17.69</v>
      </c>
      <c r="K1224">
        <v>21.99</v>
      </c>
      <c r="L1224">
        <v>14.93</v>
      </c>
      <c r="M1224">
        <v>0.16</v>
      </c>
      <c r="N1224">
        <v>0.433</v>
      </c>
      <c r="O1224">
        <v>18.01</v>
      </c>
      <c r="P1224">
        <v>22.2</v>
      </c>
      <c r="Q1224">
        <v>15.16</v>
      </c>
      <c r="R1224">
        <v>0.13</v>
      </c>
    </row>
    <row r="1225">
      <c r="A1225" s="9">
        <v>39756</v>
      </c>
      <c r="B1225" s="2" t="inlineStr">
        <is>
          <t xml:space="preserve">2008-11</t>
        </is>
      </c>
      <c r="C1225" s="2" t="inlineStr">
        <is>
          <t xml:space="preserve">2008/09</t>
        </is>
      </c>
      <c r="D1225">
        <v>0.0</v>
      </c>
      <c r="E1225">
        <v>17.99</v>
      </c>
      <c r="F1225">
        <v>21.58</v>
      </c>
      <c r="G1225">
        <v>15.76</v>
      </c>
      <c r="H1225">
        <v>0.16</v>
      </c>
      <c r="I1225">
        <v>0.0</v>
      </c>
      <c r="J1225">
        <v>17.92</v>
      </c>
      <c r="K1225">
        <v>23.0</v>
      </c>
      <c r="L1225">
        <v>14.96</v>
      </c>
      <c r="M1225">
        <v>0.0</v>
      </c>
      <c r="N1225">
        <v>0.0</v>
      </c>
      <c r="O1225">
        <v>18.08</v>
      </c>
      <c r="P1225">
        <v>22.7</v>
      </c>
      <c r="Q1225">
        <v>15.11</v>
      </c>
      <c r="R1225">
        <v>0.0</v>
      </c>
    </row>
    <row r="1226">
      <c r="A1226" s="9">
        <v>39757</v>
      </c>
      <c r="B1226" s="2" t="inlineStr">
        <is>
          <t xml:space="preserve">2008-11</t>
        </is>
      </c>
      <c r="C1226" s="2" t="inlineStr">
        <is>
          <t xml:space="preserve">2008/09</t>
        </is>
      </c>
      <c r="D1226">
        <v>0.0</v>
      </c>
      <c r="E1226">
        <v>18.6</v>
      </c>
      <c r="F1226">
        <v>23.49</v>
      </c>
      <c r="G1226">
        <v>15.08</v>
      </c>
      <c r="H1226">
        <v>0.03</v>
      </c>
      <c r="I1226">
        <v>0.0</v>
      </c>
      <c r="J1226">
        <v>18.06</v>
      </c>
      <c r="K1226">
        <v>23.8</v>
      </c>
      <c r="L1226">
        <v>14.1</v>
      </c>
      <c r="M1226">
        <v>0.0</v>
      </c>
      <c r="N1226">
        <v>0.0</v>
      </c>
      <c r="O1226">
        <v>18.3</v>
      </c>
      <c r="P1226">
        <v>23.47</v>
      </c>
      <c r="Q1226">
        <v>14.62</v>
      </c>
      <c r="R1226">
        <v>0.0</v>
      </c>
    </row>
    <row r="1227">
      <c r="A1227" s="9">
        <v>39758</v>
      </c>
      <c r="B1227" s="2" t="inlineStr">
        <is>
          <t xml:space="preserve">2008-11</t>
        </is>
      </c>
      <c r="C1227" s="2" t="inlineStr">
        <is>
          <t xml:space="preserve">2008/09</t>
        </is>
      </c>
      <c r="D1227">
        <v>0.0</v>
      </c>
      <c r="E1227">
        <v>19.49</v>
      </c>
      <c r="F1227">
        <v>24.85</v>
      </c>
      <c r="G1227">
        <v>15.35</v>
      </c>
      <c r="H1227">
        <v>0.0</v>
      </c>
      <c r="I1227">
        <v>0.0</v>
      </c>
      <c r="J1227">
        <v>19.86</v>
      </c>
      <c r="K1227">
        <v>26.33</v>
      </c>
      <c r="L1227">
        <v>14.05</v>
      </c>
      <c r="M1227">
        <v>0.0</v>
      </c>
      <c r="N1227">
        <v>0.0</v>
      </c>
      <c r="O1227">
        <v>19.74</v>
      </c>
      <c r="P1227">
        <v>25.59</v>
      </c>
      <c r="Q1227">
        <v>15.36</v>
      </c>
      <c r="R1227">
        <v>0.0</v>
      </c>
    </row>
    <row r="1228">
      <c r="A1228" s="9">
        <v>39759</v>
      </c>
      <c r="B1228" s="2" t="inlineStr">
        <is>
          <t xml:space="preserve">2008-11</t>
        </is>
      </c>
      <c r="C1228" s="2" t="inlineStr">
        <is>
          <t xml:space="preserve">2008/09</t>
        </is>
      </c>
      <c r="D1228">
        <v>0.0</v>
      </c>
      <c r="E1228">
        <v>19.56</v>
      </c>
      <c r="F1228">
        <v>24.86</v>
      </c>
      <c r="G1228">
        <v>15.01</v>
      </c>
      <c r="H1228">
        <v>0.01</v>
      </c>
      <c r="I1228">
        <v>0.0</v>
      </c>
      <c r="J1228">
        <v>19.6</v>
      </c>
      <c r="K1228">
        <v>24.75</v>
      </c>
      <c r="L1228">
        <v>15.67</v>
      </c>
      <c r="M1228">
        <v>0.0</v>
      </c>
      <c r="N1228">
        <v>0.0</v>
      </c>
      <c r="O1228">
        <v>19.98</v>
      </c>
      <c r="P1228">
        <v>25.2</v>
      </c>
      <c r="Q1228">
        <v>15.95</v>
      </c>
      <c r="R1228">
        <v>0.0</v>
      </c>
    </row>
    <row r="1229">
      <c r="A1229" s="9">
        <v>39760</v>
      </c>
      <c r="B1229" s="2" t="inlineStr">
        <is>
          <t xml:space="preserve">2008-11</t>
        </is>
      </c>
      <c r="C1229" s="2" t="inlineStr">
        <is>
          <t xml:space="preserve">2008/09</t>
        </is>
      </c>
      <c r="D1229">
        <v>0.0</v>
      </c>
      <c r="E1229">
        <v>19.39</v>
      </c>
      <c r="F1229">
        <v>24.27</v>
      </c>
      <c r="G1229">
        <v>15.59</v>
      </c>
      <c r="H1229">
        <v>0.01</v>
      </c>
      <c r="I1229">
        <v>0.0</v>
      </c>
      <c r="J1229">
        <v>19.94</v>
      </c>
      <c r="K1229">
        <v>25.02</v>
      </c>
      <c r="L1229">
        <v>16.31</v>
      </c>
      <c r="M1229">
        <v>0.0</v>
      </c>
      <c r="N1229">
        <v>0.0</v>
      </c>
      <c r="O1229">
        <v>19.97</v>
      </c>
      <c r="P1229">
        <v>24.66</v>
      </c>
      <c r="Q1229">
        <v>17.08</v>
      </c>
      <c r="R1229">
        <v>0.0</v>
      </c>
    </row>
    <row r="1230">
      <c r="A1230" s="9">
        <v>39761</v>
      </c>
      <c r="B1230" s="2" t="inlineStr">
        <is>
          <t xml:space="preserve">2008-11</t>
        </is>
      </c>
      <c r="C1230" s="2" t="inlineStr">
        <is>
          <t xml:space="preserve">2008/09</t>
        </is>
      </c>
      <c r="D1230">
        <v>0.0</v>
      </c>
      <c r="E1230">
        <v>18.26</v>
      </c>
      <c r="F1230">
        <v>23.2</v>
      </c>
      <c r="G1230">
        <v>14.59</v>
      </c>
      <c r="H1230">
        <v>0.0</v>
      </c>
      <c r="I1230">
        <v>0.0</v>
      </c>
      <c r="J1230">
        <v>18.18</v>
      </c>
      <c r="K1230">
        <v>23.7</v>
      </c>
      <c r="L1230">
        <v>14.46</v>
      </c>
      <c r="M1230">
        <v>0.0</v>
      </c>
      <c r="N1230">
        <v>0.0</v>
      </c>
      <c r="O1230">
        <v>18.19</v>
      </c>
      <c r="P1230">
        <v>22.43</v>
      </c>
      <c r="Q1230">
        <v>15.34</v>
      </c>
      <c r="R1230">
        <v>0.0</v>
      </c>
    </row>
    <row r="1231">
      <c r="A1231" s="9">
        <v>39762</v>
      </c>
      <c r="B1231" s="2" t="inlineStr">
        <is>
          <t xml:space="preserve">2008-11</t>
        </is>
      </c>
      <c r="C1231" s="2" t="inlineStr">
        <is>
          <t xml:space="preserve">2008/09</t>
        </is>
      </c>
      <c r="D1231">
        <v>0.0</v>
      </c>
      <c r="E1231">
        <v>18.46</v>
      </c>
      <c r="F1231">
        <v>24.44</v>
      </c>
      <c r="G1231">
        <v>12.85</v>
      </c>
      <c r="H1231">
        <v>0.0</v>
      </c>
      <c r="I1231">
        <v>0.0</v>
      </c>
      <c r="J1231">
        <v>18.66</v>
      </c>
      <c r="K1231">
        <v>25.14</v>
      </c>
      <c r="L1231">
        <v>13.06</v>
      </c>
      <c r="M1231">
        <v>0.0</v>
      </c>
      <c r="N1231">
        <v>0.0</v>
      </c>
      <c r="O1231">
        <v>18.33</v>
      </c>
      <c r="P1231">
        <v>24.39</v>
      </c>
      <c r="Q1231">
        <v>13.11</v>
      </c>
      <c r="R1231">
        <v>0.0</v>
      </c>
    </row>
    <row r="1232">
      <c r="A1232" s="9">
        <v>39763</v>
      </c>
      <c r="B1232" s="2" t="inlineStr">
        <is>
          <t xml:space="preserve">2008-11</t>
        </is>
      </c>
      <c r="C1232" s="2" t="inlineStr">
        <is>
          <t xml:space="preserve">2008/09</t>
        </is>
      </c>
      <c r="D1232">
        <v>0.0</v>
      </c>
      <c r="E1232">
        <v>20.12</v>
      </c>
      <c r="F1232">
        <v>25.26</v>
      </c>
      <c r="G1232">
        <v>16.27</v>
      </c>
      <c r="H1232">
        <v>0.0</v>
      </c>
      <c r="I1232">
        <v>0.0</v>
      </c>
      <c r="J1232">
        <v>20.64</v>
      </c>
      <c r="K1232">
        <v>26.28</v>
      </c>
      <c r="L1232">
        <v>15.87</v>
      </c>
      <c r="M1232">
        <v>0.0</v>
      </c>
      <c r="N1232">
        <v>0.0</v>
      </c>
      <c r="O1232">
        <v>20.67</v>
      </c>
      <c r="P1232">
        <v>25.84</v>
      </c>
      <c r="Q1232">
        <v>17.06</v>
      </c>
      <c r="R1232">
        <v>0.0</v>
      </c>
    </row>
    <row r="1233">
      <c r="A1233" s="9">
        <v>39764</v>
      </c>
      <c r="B1233" s="2" t="inlineStr">
        <is>
          <t xml:space="preserve">2008-11</t>
        </is>
      </c>
      <c r="C1233" s="2" t="inlineStr">
        <is>
          <t xml:space="preserve">2008/09</t>
        </is>
      </c>
      <c r="D1233">
        <v>0.0</v>
      </c>
      <c r="E1233">
        <v>20.57</v>
      </c>
      <c r="F1233">
        <v>26.27</v>
      </c>
      <c r="G1233">
        <v>16.47</v>
      </c>
      <c r="H1233">
        <v>0.0</v>
      </c>
      <c r="I1233">
        <v>0.0</v>
      </c>
      <c r="J1233">
        <v>21.45</v>
      </c>
      <c r="K1233">
        <v>26.76</v>
      </c>
      <c r="L1233">
        <v>17.47</v>
      </c>
      <c r="M1233">
        <v>0.0</v>
      </c>
      <c r="N1233">
        <v>0.0</v>
      </c>
      <c r="O1233">
        <v>21.17</v>
      </c>
      <c r="P1233">
        <v>26.38</v>
      </c>
      <c r="Q1233">
        <v>17.58</v>
      </c>
      <c r="R1233">
        <v>0.0</v>
      </c>
    </row>
    <row r="1234">
      <c r="A1234" s="9">
        <v>39765</v>
      </c>
      <c r="B1234" s="2" t="inlineStr">
        <is>
          <t xml:space="preserve">2008-11</t>
        </is>
      </c>
      <c r="C1234" s="2" t="inlineStr">
        <is>
          <t xml:space="preserve">2008/09</t>
        </is>
      </c>
      <c r="D1234">
        <v>0.0</v>
      </c>
      <c r="E1234">
        <v>19.91</v>
      </c>
      <c r="F1234">
        <v>25.83</v>
      </c>
      <c r="G1234">
        <v>14.72</v>
      </c>
      <c r="H1234">
        <v>0.0</v>
      </c>
      <c r="I1234">
        <v>0.0</v>
      </c>
      <c r="J1234">
        <v>21.98</v>
      </c>
      <c r="K1234">
        <v>26.96</v>
      </c>
      <c r="L1234">
        <v>18.13</v>
      </c>
      <c r="M1234">
        <v>0.0</v>
      </c>
      <c r="N1234">
        <v>0.0</v>
      </c>
      <c r="O1234">
        <v>21.71</v>
      </c>
      <c r="P1234">
        <v>26.55</v>
      </c>
      <c r="Q1234">
        <v>18.08</v>
      </c>
      <c r="R1234">
        <v>0.0</v>
      </c>
    </row>
    <row r="1235">
      <c r="A1235" s="9">
        <v>39766</v>
      </c>
      <c r="B1235" s="2" t="inlineStr">
        <is>
          <t xml:space="preserve">2008-11</t>
        </is>
      </c>
      <c r="C1235" s="2" t="inlineStr">
        <is>
          <t xml:space="preserve">2008/09</t>
        </is>
      </c>
      <c r="D1235">
        <v>0.0</v>
      </c>
      <c r="E1235">
        <v>20.78</v>
      </c>
      <c r="F1235">
        <v>26.72</v>
      </c>
      <c r="G1235">
        <v>15.0</v>
      </c>
      <c r="H1235">
        <v>0.0</v>
      </c>
      <c r="I1235">
        <v>0.0</v>
      </c>
      <c r="J1235">
        <v>22.24</v>
      </c>
      <c r="K1235">
        <v>27.12</v>
      </c>
      <c r="L1235">
        <v>18.4</v>
      </c>
      <c r="M1235">
        <v>0.0</v>
      </c>
      <c r="N1235">
        <v>0.0</v>
      </c>
      <c r="O1235">
        <v>22.7</v>
      </c>
      <c r="P1235">
        <v>27.61</v>
      </c>
      <c r="Q1235">
        <v>19.22</v>
      </c>
      <c r="R1235">
        <v>0.0</v>
      </c>
    </row>
    <row r="1236">
      <c r="A1236" s="9">
        <v>39767</v>
      </c>
      <c r="B1236" s="2" t="inlineStr">
        <is>
          <t xml:space="preserve">2008-11</t>
        </is>
      </c>
      <c r="C1236" s="2" t="inlineStr">
        <is>
          <t xml:space="preserve">2008/09</t>
        </is>
      </c>
      <c r="D1236">
        <v>0.0</v>
      </c>
      <c r="E1236">
        <v>20.93</v>
      </c>
      <c r="F1236">
        <v>25.62</v>
      </c>
      <c r="G1236">
        <v>17.73</v>
      </c>
      <c r="H1236">
        <v>1.6</v>
      </c>
      <c r="I1236">
        <v>0.0</v>
      </c>
      <c r="J1236">
        <v>21.36</v>
      </c>
      <c r="K1236">
        <v>25.45</v>
      </c>
      <c r="L1236">
        <v>18.82</v>
      </c>
      <c r="M1236">
        <v>1.79</v>
      </c>
      <c r="N1236">
        <v>0.0</v>
      </c>
      <c r="O1236">
        <v>21.79</v>
      </c>
      <c r="P1236">
        <v>25.69</v>
      </c>
      <c r="Q1236">
        <v>19.3</v>
      </c>
      <c r="R1236">
        <v>1.6</v>
      </c>
    </row>
    <row r="1237">
      <c r="A1237" s="9">
        <v>39768</v>
      </c>
      <c r="B1237" s="2" t="inlineStr">
        <is>
          <t xml:space="preserve">2008-11</t>
        </is>
      </c>
      <c r="C1237" s="2" t="inlineStr">
        <is>
          <t xml:space="preserve">2008/09</t>
        </is>
      </c>
      <c r="D1237">
        <v>3.291</v>
      </c>
      <c r="E1237">
        <v>18.9</v>
      </c>
      <c r="F1237">
        <v>22.42</v>
      </c>
      <c r="G1237">
        <v>15.76</v>
      </c>
      <c r="H1237">
        <v>6.93</v>
      </c>
      <c r="I1237">
        <v>9.968</v>
      </c>
      <c r="J1237">
        <v>19.93</v>
      </c>
      <c r="K1237">
        <v>23.84</v>
      </c>
      <c r="L1237">
        <v>16.65</v>
      </c>
      <c r="M1237">
        <v>9.12</v>
      </c>
      <c r="N1237">
        <v>16.465</v>
      </c>
      <c r="O1237">
        <v>20.16</v>
      </c>
      <c r="P1237">
        <v>23.49</v>
      </c>
      <c r="Q1237">
        <v>17.47</v>
      </c>
      <c r="R1237">
        <v>12.12</v>
      </c>
    </row>
    <row r="1238">
      <c r="A1238" s="9">
        <v>39769</v>
      </c>
      <c r="B1238" s="2" t="inlineStr">
        <is>
          <t xml:space="preserve">2008-11</t>
        </is>
      </c>
      <c r="C1238" s="2" t="inlineStr">
        <is>
          <t xml:space="preserve">2008/09</t>
        </is>
      </c>
      <c r="D1238">
        <v>0.172</v>
      </c>
      <c r="E1238">
        <v>17.58</v>
      </c>
      <c r="F1238">
        <v>19.88</v>
      </c>
      <c r="G1238">
        <v>15.52</v>
      </c>
      <c r="H1238">
        <v>4.99</v>
      </c>
      <c r="I1238">
        <v>1.12</v>
      </c>
      <c r="J1238">
        <v>16.41</v>
      </c>
      <c r="K1238">
        <v>19.78</v>
      </c>
      <c r="L1238">
        <v>14.23</v>
      </c>
      <c r="M1238">
        <v>0.97</v>
      </c>
      <c r="N1238">
        <v>1.788</v>
      </c>
      <c r="O1238">
        <v>16.73</v>
      </c>
      <c r="P1238">
        <v>19.14</v>
      </c>
      <c r="Q1238">
        <v>15.16</v>
      </c>
      <c r="R1238">
        <v>1.18</v>
      </c>
    </row>
    <row r="1239">
      <c r="A1239" s="9">
        <v>39770</v>
      </c>
      <c r="B1239" s="2" t="inlineStr">
        <is>
          <t xml:space="preserve">2008-11</t>
        </is>
      </c>
      <c r="C1239" s="2" t="inlineStr">
        <is>
          <t xml:space="preserve">2008/09</t>
        </is>
      </c>
      <c r="D1239">
        <v>0.0</v>
      </c>
      <c r="E1239">
        <v>16.93</v>
      </c>
      <c r="F1239">
        <v>20.15</v>
      </c>
      <c r="G1239">
        <v>15.4</v>
      </c>
      <c r="H1239">
        <v>2.11</v>
      </c>
      <c r="I1239">
        <v>0.34</v>
      </c>
      <c r="J1239">
        <v>15.37</v>
      </c>
      <c r="K1239">
        <v>17.85</v>
      </c>
      <c r="L1239">
        <v>13.99</v>
      </c>
      <c r="M1239">
        <v>0.3</v>
      </c>
      <c r="N1239">
        <v>0.543</v>
      </c>
      <c r="O1239">
        <v>15.84</v>
      </c>
      <c r="P1239">
        <v>17.58</v>
      </c>
      <c r="Q1239">
        <v>14.83</v>
      </c>
      <c r="R1239">
        <v>0.39</v>
      </c>
    </row>
    <row r="1240">
      <c r="A1240" s="9">
        <v>39771</v>
      </c>
      <c r="B1240" s="2" t="inlineStr">
        <is>
          <t xml:space="preserve">2008-11</t>
        </is>
      </c>
      <c r="C1240" s="2" t="inlineStr">
        <is>
          <t xml:space="preserve">2008/09</t>
        </is>
      </c>
      <c r="D1240">
        <v>0.043</v>
      </c>
      <c r="E1240">
        <v>16.11</v>
      </c>
      <c r="F1240">
        <v>19.05</v>
      </c>
      <c r="G1240">
        <v>14.05</v>
      </c>
      <c r="H1240">
        <v>3.68</v>
      </c>
      <c r="I1240">
        <v>0.119</v>
      </c>
      <c r="J1240">
        <v>15.79</v>
      </c>
      <c r="K1240">
        <v>18.96</v>
      </c>
      <c r="L1240">
        <v>13.71</v>
      </c>
      <c r="M1240">
        <v>0.53</v>
      </c>
      <c r="N1240">
        <v>0.304</v>
      </c>
      <c r="O1240">
        <v>16.07</v>
      </c>
      <c r="P1240">
        <v>18.48</v>
      </c>
      <c r="Q1240">
        <v>14.3</v>
      </c>
      <c r="R1240">
        <v>1.71</v>
      </c>
    </row>
    <row r="1241">
      <c r="A1241" s="9">
        <v>39772</v>
      </c>
      <c r="B1241" s="2" t="inlineStr">
        <is>
          <t xml:space="preserve">2008-11</t>
        </is>
      </c>
      <c r="C1241" s="2" t="inlineStr">
        <is>
          <t xml:space="preserve">2008/09</t>
        </is>
      </c>
      <c r="D1241">
        <v>0.048</v>
      </c>
      <c r="E1241">
        <v>16.16</v>
      </c>
      <c r="F1241">
        <v>19.77</v>
      </c>
      <c r="G1241">
        <v>14.09</v>
      </c>
      <c r="H1241">
        <v>3.35</v>
      </c>
      <c r="I1241">
        <v>0.53</v>
      </c>
      <c r="J1241">
        <v>15.92</v>
      </c>
      <c r="K1241">
        <v>19.05</v>
      </c>
      <c r="L1241">
        <v>14.19</v>
      </c>
      <c r="M1241">
        <v>0.98</v>
      </c>
      <c r="N1241">
        <v>1.112</v>
      </c>
      <c r="O1241">
        <v>16.35</v>
      </c>
      <c r="P1241">
        <v>18.99</v>
      </c>
      <c r="Q1241">
        <v>14.27</v>
      </c>
      <c r="R1241">
        <v>1.58</v>
      </c>
    </row>
    <row r="1242">
      <c r="A1242" s="9">
        <v>39773</v>
      </c>
      <c r="B1242" s="2" t="inlineStr">
        <is>
          <t xml:space="preserve">2008-11</t>
        </is>
      </c>
      <c r="C1242" s="2" t="inlineStr">
        <is>
          <t xml:space="preserve">2008/09</t>
        </is>
      </c>
      <c r="D1242">
        <v>0.0</v>
      </c>
      <c r="E1242">
        <v>16.39</v>
      </c>
      <c r="F1242">
        <v>20.96</v>
      </c>
      <c r="G1242">
        <v>13.07</v>
      </c>
      <c r="H1242">
        <v>0.79</v>
      </c>
      <c r="I1242">
        <v>0.0</v>
      </c>
      <c r="J1242">
        <v>16.37</v>
      </c>
      <c r="K1242">
        <v>20.25</v>
      </c>
      <c r="L1242">
        <v>13.71</v>
      </c>
      <c r="M1242">
        <v>0.14</v>
      </c>
      <c r="N1242">
        <v>0.0</v>
      </c>
      <c r="O1242">
        <v>16.88</v>
      </c>
      <c r="P1242">
        <v>20.78</v>
      </c>
      <c r="Q1242">
        <v>14.17</v>
      </c>
      <c r="R1242">
        <v>0.17</v>
      </c>
    </row>
    <row r="1243">
      <c r="A1243" s="9">
        <v>39774</v>
      </c>
      <c r="B1243" s="2" t="inlineStr">
        <is>
          <t xml:space="preserve">2008-11</t>
        </is>
      </c>
      <c r="C1243" s="2" t="inlineStr">
        <is>
          <t xml:space="preserve">2008/09</t>
        </is>
      </c>
      <c r="D1243">
        <v>0.0</v>
      </c>
      <c r="E1243">
        <v>16.83</v>
      </c>
      <c r="F1243">
        <v>20.53</v>
      </c>
      <c r="G1243">
        <v>14.55</v>
      </c>
      <c r="H1243">
        <v>1.31</v>
      </c>
      <c r="I1243">
        <v>0.348</v>
      </c>
      <c r="J1243">
        <v>16.85</v>
      </c>
      <c r="K1243">
        <v>20.28</v>
      </c>
      <c r="L1243">
        <v>14.85</v>
      </c>
      <c r="M1243">
        <v>1.48</v>
      </c>
      <c r="N1243">
        <v>0.754</v>
      </c>
      <c r="O1243">
        <v>17.38</v>
      </c>
      <c r="P1243">
        <v>20.16</v>
      </c>
      <c r="Q1243">
        <v>15.71</v>
      </c>
      <c r="R1243">
        <v>3.14</v>
      </c>
    </row>
    <row r="1244">
      <c r="A1244" s="9">
        <v>39775</v>
      </c>
      <c r="B1244" s="2" t="inlineStr">
        <is>
          <t xml:space="preserve">2008-11</t>
        </is>
      </c>
      <c r="C1244" s="2" t="inlineStr">
        <is>
          <t xml:space="preserve">2008/09</t>
        </is>
      </c>
      <c r="D1244">
        <v>0.163</v>
      </c>
      <c r="E1244">
        <v>17.51</v>
      </c>
      <c r="F1244">
        <v>22.01</v>
      </c>
      <c r="G1244">
        <v>14.59</v>
      </c>
      <c r="H1244">
        <v>1.74</v>
      </c>
      <c r="I1244">
        <v>3.452</v>
      </c>
      <c r="J1244">
        <v>17.69</v>
      </c>
      <c r="K1244">
        <v>21.62</v>
      </c>
      <c r="L1244">
        <v>15.41</v>
      </c>
      <c r="M1244">
        <v>4.04</v>
      </c>
      <c r="N1244">
        <v>5.508</v>
      </c>
      <c r="O1244">
        <v>18.04</v>
      </c>
      <c r="P1244">
        <v>21.38</v>
      </c>
      <c r="Q1244">
        <v>16.19</v>
      </c>
      <c r="R1244">
        <v>7.55</v>
      </c>
    </row>
    <row r="1245">
      <c r="A1245" s="9">
        <v>39776</v>
      </c>
      <c r="B1245" s="2" t="inlineStr">
        <is>
          <t xml:space="preserve">2008-11</t>
        </is>
      </c>
      <c r="C1245" s="2" t="inlineStr">
        <is>
          <t xml:space="preserve">2008/09</t>
        </is>
      </c>
      <c r="D1245">
        <v>0.06</v>
      </c>
      <c r="E1245">
        <v>18.08</v>
      </c>
      <c r="F1245">
        <v>22.12</v>
      </c>
      <c r="G1245">
        <v>15.51</v>
      </c>
      <c r="H1245">
        <v>1.6</v>
      </c>
      <c r="I1245">
        <v>1.763</v>
      </c>
      <c r="J1245">
        <v>18.26</v>
      </c>
      <c r="K1245">
        <v>22.43</v>
      </c>
      <c r="L1245">
        <v>15.92</v>
      </c>
      <c r="M1245">
        <v>2.27</v>
      </c>
      <c r="N1245">
        <v>2.834</v>
      </c>
      <c r="O1245">
        <v>18.32</v>
      </c>
      <c r="P1245">
        <v>21.75</v>
      </c>
      <c r="Q1245">
        <v>16.57</v>
      </c>
      <c r="R1245">
        <v>3.92</v>
      </c>
    </row>
    <row r="1246">
      <c r="A1246" s="9">
        <v>39777</v>
      </c>
      <c r="B1246" s="2" t="inlineStr">
        <is>
          <t xml:space="preserve">2008-11</t>
        </is>
      </c>
      <c r="C1246" s="2" t="inlineStr">
        <is>
          <t xml:space="preserve">2008/09</t>
        </is>
      </c>
      <c r="D1246">
        <v>0.055</v>
      </c>
      <c r="E1246">
        <v>17.74</v>
      </c>
      <c r="F1246">
        <v>20.94</v>
      </c>
      <c r="G1246">
        <v>15.64</v>
      </c>
      <c r="H1246">
        <v>3.54</v>
      </c>
      <c r="I1246">
        <v>1.218</v>
      </c>
      <c r="J1246">
        <v>17.02</v>
      </c>
      <c r="K1246">
        <v>20.36</v>
      </c>
      <c r="L1246">
        <v>14.73</v>
      </c>
      <c r="M1246">
        <v>0.89</v>
      </c>
      <c r="N1246">
        <v>1.964</v>
      </c>
      <c r="O1246">
        <v>17.03</v>
      </c>
      <c r="P1246">
        <v>19.84</v>
      </c>
      <c r="Q1246">
        <v>15.25</v>
      </c>
      <c r="R1246">
        <v>1.03</v>
      </c>
    </row>
    <row r="1247">
      <c r="A1247" s="9">
        <v>39778</v>
      </c>
      <c r="B1247" s="2" t="inlineStr">
        <is>
          <t xml:space="preserve">2008-11</t>
        </is>
      </c>
      <c r="C1247" s="2" t="inlineStr">
        <is>
          <t xml:space="preserve">2008/09</t>
        </is>
      </c>
      <c r="D1247">
        <v>0.0</v>
      </c>
      <c r="E1247">
        <v>16.98</v>
      </c>
      <c r="F1247">
        <v>21.21</v>
      </c>
      <c r="G1247">
        <v>14.05</v>
      </c>
      <c r="H1247">
        <v>1.07</v>
      </c>
      <c r="I1247">
        <v>0.338</v>
      </c>
      <c r="J1247">
        <v>17.07</v>
      </c>
      <c r="K1247">
        <v>21.68</v>
      </c>
      <c r="L1247">
        <v>13.97</v>
      </c>
      <c r="M1247">
        <v>0.29</v>
      </c>
      <c r="N1247">
        <v>0.575</v>
      </c>
      <c r="O1247">
        <v>17.38</v>
      </c>
      <c r="P1247">
        <v>21.76</v>
      </c>
      <c r="Q1247">
        <v>14.8</v>
      </c>
      <c r="R1247">
        <v>0.38</v>
      </c>
    </row>
    <row r="1248">
      <c r="A1248" s="9">
        <v>39779</v>
      </c>
      <c r="B1248" s="2" t="inlineStr">
        <is>
          <t xml:space="preserve">2008-11</t>
        </is>
      </c>
      <c r="C1248" s="2" t="inlineStr">
        <is>
          <t xml:space="preserve">2008/09</t>
        </is>
      </c>
      <c r="D1248">
        <v>0.0</v>
      </c>
      <c r="E1248">
        <v>17.49</v>
      </c>
      <c r="F1248">
        <v>22.98</v>
      </c>
      <c r="G1248">
        <v>13.35</v>
      </c>
      <c r="H1248">
        <v>0.15</v>
      </c>
      <c r="I1248">
        <v>0.0</v>
      </c>
      <c r="J1248">
        <v>17.97</v>
      </c>
      <c r="K1248">
        <v>23.82</v>
      </c>
      <c r="L1248">
        <v>13.79</v>
      </c>
      <c r="M1248">
        <v>0.04</v>
      </c>
      <c r="N1248">
        <v>0.0</v>
      </c>
      <c r="O1248">
        <v>18.2</v>
      </c>
      <c r="P1248">
        <v>23.29</v>
      </c>
      <c r="Q1248">
        <v>14.57</v>
      </c>
      <c r="R1248">
        <v>0.1</v>
      </c>
    </row>
    <row r="1249">
      <c r="A1249" s="9">
        <v>39780</v>
      </c>
      <c r="B1249" s="2" t="inlineStr">
        <is>
          <t xml:space="preserve">2008-11</t>
        </is>
      </c>
      <c r="C1249" s="2" t="inlineStr">
        <is>
          <t xml:space="preserve">2008/09</t>
        </is>
      </c>
      <c r="D1249">
        <v>0.038</v>
      </c>
      <c r="E1249">
        <v>17.88</v>
      </c>
      <c r="F1249">
        <v>24.01</v>
      </c>
      <c r="G1249">
        <v>13.03</v>
      </c>
      <c r="H1249">
        <v>0.03</v>
      </c>
      <c r="I1249">
        <v>0.0</v>
      </c>
      <c r="J1249">
        <v>18.67</v>
      </c>
      <c r="K1249">
        <v>24.52</v>
      </c>
      <c r="L1249">
        <v>13.83</v>
      </c>
      <c r="M1249">
        <v>0.03</v>
      </c>
      <c r="N1249">
        <v>0.0</v>
      </c>
      <c r="O1249">
        <v>18.56</v>
      </c>
      <c r="P1249">
        <v>24.04</v>
      </c>
      <c r="Q1249">
        <v>14.8</v>
      </c>
      <c r="R1249">
        <v>0.06</v>
      </c>
    </row>
    <row r="1250">
      <c r="A1250" s="9">
        <v>39781</v>
      </c>
      <c r="B1250" s="2" t="inlineStr">
        <is>
          <t xml:space="preserve">2008-11</t>
        </is>
      </c>
      <c r="C1250" s="2" t="inlineStr">
        <is>
          <t xml:space="preserve">2008/09</t>
        </is>
      </c>
      <c r="D1250">
        <v>0.0</v>
      </c>
      <c r="E1250">
        <v>17.78</v>
      </c>
      <c r="F1250">
        <v>24.38</v>
      </c>
      <c r="G1250">
        <v>12.68</v>
      </c>
      <c r="H1250">
        <v>0.0</v>
      </c>
      <c r="I1250">
        <v>0.0</v>
      </c>
      <c r="J1250">
        <v>18.81</v>
      </c>
      <c r="K1250">
        <v>24.61</v>
      </c>
      <c r="L1250">
        <v>14.79</v>
      </c>
      <c r="M1250">
        <v>0.0</v>
      </c>
      <c r="N1250">
        <v>0.0</v>
      </c>
      <c r="O1250">
        <v>19.66</v>
      </c>
      <c r="P1250">
        <v>25.62</v>
      </c>
      <c r="Q1250">
        <v>14.81</v>
      </c>
      <c r="R1250">
        <v>0.0</v>
      </c>
    </row>
    <row r="1251">
      <c r="A1251" s="9">
        <v>39782</v>
      </c>
      <c r="B1251" s="2" t="inlineStr">
        <is>
          <t xml:space="preserve">2008-11</t>
        </is>
      </c>
      <c r="C1251" s="2" t="inlineStr">
        <is>
          <t xml:space="preserve">2008/09</t>
        </is>
      </c>
      <c r="D1251">
        <v>0.0</v>
      </c>
      <c r="E1251">
        <v>18.5</v>
      </c>
      <c r="F1251">
        <v>24.91</v>
      </c>
      <c r="G1251">
        <v>13.85</v>
      </c>
      <c r="H1251">
        <v>0.02</v>
      </c>
      <c r="I1251">
        <v>0.0</v>
      </c>
      <c r="J1251">
        <v>18.59</v>
      </c>
      <c r="K1251">
        <v>24.77</v>
      </c>
      <c r="L1251">
        <v>13.99</v>
      </c>
      <c r="M1251">
        <v>0.0</v>
      </c>
      <c r="N1251">
        <v>0.0</v>
      </c>
      <c r="O1251">
        <v>19.42</v>
      </c>
      <c r="P1251">
        <v>25.86</v>
      </c>
      <c r="Q1251">
        <v>15.19</v>
      </c>
      <c r="R1251">
        <v>0.0</v>
      </c>
    </row>
    <row r="1252">
      <c r="A1252" s="9">
        <v>39783</v>
      </c>
      <c r="B1252" s="2" t="inlineStr">
        <is>
          <t xml:space="preserve">2008-12</t>
        </is>
      </c>
      <c r="C1252" s="2" t="inlineStr">
        <is>
          <t xml:space="preserve">2008/09</t>
        </is>
      </c>
      <c r="D1252">
        <v>0.0</v>
      </c>
      <c r="E1252">
        <v>19.12</v>
      </c>
      <c r="F1252">
        <v>24.44</v>
      </c>
      <c r="G1252">
        <v>14.71</v>
      </c>
      <c r="H1252">
        <v>1.17</v>
      </c>
      <c r="I1252">
        <v>0.0</v>
      </c>
      <c r="J1252">
        <v>19.55</v>
      </c>
      <c r="K1252">
        <v>25.27</v>
      </c>
      <c r="L1252">
        <v>15.12</v>
      </c>
      <c r="M1252">
        <v>0.15</v>
      </c>
      <c r="N1252">
        <v>0.0</v>
      </c>
      <c r="O1252">
        <v>19.27</v>
      </c>
      <c r="P1252">
        <v>24.73</v>
      </c>
      <c r="Q1252">
        <v>15.37</v>
      </c>
      <c r="R1252">
        <v>0.32</v>
      </c>
    </row>
    <row r="1253">
      <c r="A1253" s="9">
        <v>39784</v>
      </c>
      <c r="B1253" s="2" t="inlineStr">
        <is>
          <t xml:space="preserve">2008-12</t>
        </is>
      </c>
      <c r="C1253" s="2" t="inlineStr">
        <is>
          <t xml:space="preserve">2008/09</t>
        </is>
      </c>
      <c r="D1253">
        <v>0.065</v>
      </c>
      <c r="E1253">
        <v>16.94</v>
      </c>
      <c r="F1253">
        <v>19.96</v>
      </c>
      <c r="G1253">
        <v>14.87</v>
      </c>
      <c r="H1253">
        <v>2.0</v>
      </c>
      <c r="I1253">
        <v>0.292</v>
      </c>
      <c r="J1253">
        <v>15.41</v>
      </c>
      <c r="K1253">
        <v>18.77</v>
      </c>
      <c r="L1253">
        <v>13.02</v>
      </c>
      <c r="M1253">
        <v>0.38</v>
      </c>
      <c r="N1253">
        <v>0.426</v>
      </c>
      <c r="O1253">
        <v>15.89</v>
      </c>
      <c r="P1253">
        <v>18.77</v>
      </c>
      <c r="Q1253">
        <v>14.15</v>
      </c>
      <c r="R1253">
        <v>0.46</v>
      </c>
    </row>
    <row r="1254">
      <c r="A1254" s="9">
        <v>39785</v>
      </c>
      <c r="B1254" s="2" t="inlineStr">
        <is>
          <t xml:space="preserve">2008-12</t>
        </is>
      </c>
      <c r="C1254" s="2" t="inlineStr">
        <is>
          <t xml:space="preserve">2008/09</t>
        </is>
      </c>
      <c r="D1254">
        <v>0.0</v>
      </c>
      <c r="E1254">
        <v>17.49</v>
      </c>
      <c r="F1254">
        <v>21.99</v>
      </c>
      <c r="G1254">
        <v>14.25</v>
      </c>
      <c r="H1254">
        <v>0.61</v>
      </c>
      <c r="I1254">
        <v>0.345</v>
      </c>
      <c r="J1254">
        <v>17.48</v>
      </c>
      <c r="K1254">
        <v>22.52</v>
      </c>
      <c r="L1254">
        <v>14.15</v>
      </c>
      <c r="M1254">
        <v>0.69</v>
      </c>
      <c r="N1254">
        <v>0.688</v>
      </c>
      <c r="O1254">
        <v>17.56</v>
      </c>
      <c r="P1254">
        <v>21.74</v>
      </c>
      <c r="Q1254">
        <v>15.04</v>
      </c>
      <c r="R1254">
        <v>2.04</v>
      </c>
    </row>
    <row r="1255">
      <c r="A1255" s="9">
        <v>39786</v>
      </c>
      <c r="B1255" s="2" t="inlineStr">
        <is>
          <t xml:space="preserve">2008-12</t>
        </is>
      </c>
      <c r="C1255" s="2" t="inlineStr">
        <is>
          <t xml:space="preserve">2008/09</t>
        </is>
      </c>
      <c r="D1255">
        <v>0.0</v>
      </c>
      <c r="E1255">
        <v>19.07</v>
      </c>
      <c r="F1255">
        <v>24.43</v>
      </c>
      <c r="G1255">
        <v>14.99</v>
      </c>
      <c r="H1255">
        <v>1.3</v>
      </c>
      <c r="I1255">
        <v>0.0</v>
      </c>
      <c r="J1255">
        <v>19.51</v>
      </c>
      <c r="K1255">
        <v>24.99</v>
      </c>
      <c r="L1255">
        <v>14.91</v>
      </c>
      <c r="M1255">
        <v>10.61</v>
      </c>
      <c r="N1255">
        <v>0.0</v>
      </c>
      <c r="O1255">
        <v>19.52</v>
      </c>
      <c r="P1255">
        <v>24.67</v>
      </c>
      <c r="Q1255">
        <v>15.64</v>
      </c>
      <c r="R1255">
        <v>10.9</v>
      </c>
    </row>
    <row r="1256">
      <c r="A1256" s="9">
        <v>39787</v>
      </c>
      <c r="B1256" s="2" t="inlineStr">
        <is>
          <t xml:space="preserve">2008-12</t>
        </is>
      </c>
      <c r="C1256" s="2" t="inlineStr">
        <is>
          <t xml:space="preserve">2008/09</t>
        </is>
      </c>
      <c r="D1256">
        <v>1.127</v>
      </c>
      <c r="E1256">
        <v>18.71</v>
      </c>
      <c r="F1256">
        <v>22.91</v>
      </c>
      <c r="G1256">
        <v>16.13</v>
      </c>
      <c r="H1256">
        <v>5.32</v>
      </c>
      <c r="I1256">
        <v>36.748</v>
      </c>
      <c r="J1256">
        <v>19.09</v>
      </c>
      <c r="K1256">
        <v>22.96</v>
      </c>
      <c r="L1256">
        <v>16.64</v>
      </c>
      <c r="M1256">
        <v>25.54</v>
      </c>
      <c r="N1256">
        <v>57.162</v>
      </c>
      <c r="O1256">
        <v>19.35</v>
      </c>
      <c r="P1256">
        <v>22.25</v>
      </c>
      <c r="Q1256">
        <v>18.03</v>
      </c>
      <c r="R1256">
        <v>39.5</v>
      </c>
    </row>
    <row r="1257">
      <c r="A1257" s="9">
        <v>39788</v>
      </c>
      <c r="B1257" s="2" t="inlineStr">
        <is>
          <t xml:space="preserve">2008-12</t>
        </is>
      </c>
      <c r="C1257" s="2" t="inlineStr">
        <is>
          <t xml:space="preserve">2008/09</t>
        </is>
      </c>
      <c r="D1257">
        <v>0.199</v>
      </c>
      <c r="E1257">
        <v>18.01</v>
      </c>
      <c r="F1257">
        <v>22.46</v>
      </c>
      <c r="G1257">
        <v>15.04</v>
      </c>
      <c r="H1257">
        <v>1.16</v>
      </c>
      <c r="I1257">
        <v>0.923</v>
      </c>
      <c r="J1257">
        <v>18.06</v>
      </c>
      <c r="K1257">
        <v>22.5</v>
      </c>
      <c r="L1257">
        <v>15.18</v>
      </c>
      <c r="M1257">
        <v>2.21</v>
      </c>
      <c r="N1257">
        <v>1.807</v>
      </c>
      <c r="O1257">
        <v>18.51</v>
      </c>
      <c r="P1257">
        <v>22.09</v>
      </c>
      <c r="Q1257">
        <v>16.47</v>
      </c>
      <c r="R1257">
        <v>5.4</v>
      </c>
    </row>
    <row r="1258">
      <c r="A1258" s="9">
        <v>39789</v>
      </c>
      <c r="B1258" s="2" t="inlineStr">
        <is>
          <t xml:space="preserve">2008-12</t>
        </is>
      </c>
      <c r="C1258" s="2" t="inlineStr">
        <is>
          <t xml:space="preserve">2008/09</t>
        </is>
      </c>
      <c r="D1258">
        <v>0.0</v>
      </c>
      <c r="E1258">
        <v>17.53</v>
      </c>
      <c r="F1258">
        <v>21.73</v>
      </c>
      <c r="G1258">
        <v>14.53</v>
      </c>
      <c r="H1258">
        <v>0.48</v>
      </c>
      <c r="I1258">
        <v>0.713</v>
      </c>
      <c r="J1258">
        <v>18.26</v>
      </c>
      <c r="K1258">
        <v>22.65</v>
      </c>
      <c r="L1258">
        <v>15.19</v>
      </c>
      <c r="M1258">
        <v>0.72</v>
      </c>
      <c r="N1258">
        <v>1.141</v>
      </c>
      <c r="O1258">
        <v>18.37</v>
      </c>
      <c r="P1258">
        <v>22.01</v>
      </c>
      <c r="Q1258">
        <v>15.64</v>
      </c>
      <c r="R1258">
        <v>1.59</v>
      </c>
    </row>
    <row r="1259">
      <c r="A1259" s="9">
        <v>39790</v>
      </c>
      <c r="B1259" s="2" t="inlineStr">
        <is>
          <t xml:space="preserve">2008-12</t>
        </is>
      </c>
      <c r="C1259" s="2" t="inlineStr">
        <is>
          <t xml:space="preserve">2008/09</t>
        </is>
      </c>
      <c r="D1259">
        <v>0.0</v>
      </c>
      <c r="E1259">
        <v>18.02</v>
      </c>
      <c r="F1259">
        <v>22.96</v>
      </c>
      <c r="G1259">
        <v>14.51</v>
      </c>
      <c r="H1259">
        <v>0.08</v>
      </c>
      <c r="I1259">
        <v>0.131</v>
      </c>
      <c r="J1259">
        <v>18.41</v>
      </c>
      <c r="K1259">
        <v>23.54</v>
      </c>
      <c r="L1259">
        <v>14.59</v>
      </c>
      <c r="M1259">
        <v>0.12</v>
      </c>
      <c r="N1259">
        <v>0.227</v>
      </c>
      <c r="O1259">
        <v>18.7</v>
      </c>
      <c r="P1259">
        <v>23.03</v>
      </c>
      <c r="Q1259">
        <v>15.81</v>
      </c>
      <c r="R1259">
        <v>0.32</v>
      </c>
    </row>
    <row r="1260">
      <c r="A1260" s="9">
        <v>39791</v>
      </c>
      <c r="B1260" s="2" t="inlineStr">
        <is>
          <t xml:space="preserve">2008-12</t>
        </is>
      </c>
      <c r="C1260" s="2" t="inlineStr">
        <is>
          <t xml:space="preserve">2008/09</t>
        </is>
      </c>
      <c r="D1260">
        <v>0.0</v>
      </c>
      <c r="E1260">
        <v>19.23</v>
      </c>
      <c r="F1260">
        <v>24.74</v>
      </c>
      <c r="G1260">
        <v>14.97</v>
      </c>
      <c r="H1260">
        <v>0.01</v>
      </c>
      <c r="I1260">
        <v>0.0</v>
      </c>
      <c r="J1260">
        <v>20.31</v>
      </c>
      <c r="K1260">
        <v>26.38</v>
      </c>
      <c r="L1260">
        <v>14.75</v>
      </c>
      <c r="M1260">
        <v>0.05</v>
      </c>
      <c r="N1260">
        <v>0.0</v>
      </c>
      <c r="O1260">
        <v>20.11</v>
      </c>
      <c r="P1260">
        <v>25.71</v>
      </c>
      <c r="Q1260">
        <v>16.06</v>
      </c>
      <c r="R1260">
        <v>0.04</v>
      </c>
    </row>
    <row r="1261">
      <c r="A1261" s="9">
        <v>39792</v>
      </c>
      <c r="B1261" s="2" t="inlineStr">
        <is>
          <t xml:space="preserve">2008-12</t>
        </is>
      </c>
      <c r="C1261" s="2" t="inlineStr">
        <is>
          <t xml:space="preserve">2008/09</t>
        </is>
      </c>
      <c r="D1261">
        <v>2.856</v>
      </c>
      <c r="E1261">
        <v>20.93</v>
      </c>
      <c r="F1261">
        <v>26.18</v>
      </c>
      <c r="G1261">
        <v>16.16</v>
      </c>
      <c r="H1261">
        <v>2.06</v>
      </c>
      <c r="I1261">
        <v>2.322</v>
      </c>
      <c r="J1261">
        <v>21.86</v>
      </c>
      <c r="K1261">
        <v>26.94</v>
      </c>
      <c r="L1261">
        <v>17.49</v>
      </c>
      <c r="M1261">
        <v>2.63</v>
      </c>
      <c r="N1261">
        <v>1.054</v>
      </c>
      <c r="O1261">
        <v>21.91</v>
      </c>
      <c r="P1261">
        <v>27.44</v>
      </c>
      <c r="Q1261">
        <v>16.87</v>
      </c>
      <c r="R1261">
        <v>1.93</v>
      </c>
    </row>
    <row r="1262">
      <c r="A1262" s="9">
        <v>39793</v>
      </c>
      <c r="B1262" s="2" t="inlineStr">
        <is>
          <t xml:space="preserve">2008-12</t>
        </is>
      </c>
      <c r="C1262" s="2" t="inlineStr">
        <is>
          <t xml:space="preserve">2008/09</t>
        </is>
      </c>
      <c r="D1262">
        <v>1.412</v>
      </c>
      <c r="E1262">
        <v>18.66</v>
      </c>
      <c r="F1262">
        <v>22.89</v>
      </c>
      <c r="G1262">
        <v>14.87</v>
      </c>
      <c r="H1262">
        <v>1.83</v>
      </c>
      <c r="I1262">
        <v>2.535</v>
      </c>
      <c r="J1262">
        <v>18.3</v>
      </c>
      <c r="K1262">
        <v>21.44</v>
      </c>
      <c r="L1262">
        <v>13.76</v>
      </c>
      <c r="M1262">
        <v>2.07</v>
      </c>
      <c r="N1262">
        <v>2.86</v>
      </c>
      <c r="O1262">
        <v>18.81</v>
      </c>
      <c r="P1262">
        <v>21.42</v>
      </c>
      <c r="Q1262">
        <v>14.98</v>
      </c>
      <c r="R1262">
        <v>2.22</v>
      </c>
    </row>
    <row r="1263">
      <c r="A1263" s="9">
        <v>39794</v>
      </c>
      <c r="B1263" s="2" t="inlineStr">
        <is>
          <t xml:space="preserve">2008-12</t>
        </is>
      </c>
      <c r="C1263" s="2" t="inlineStr">
        <is>
          <t xml:space="preserve">2008/09</t>
        </is>
      </c>
      <c r="D1263">
        <v>0.079</v>
      </c>
      <c r="E1263">
        <v>14.54</v>
      </c>
      <c r="F1263">
        <v>18.36</v>
      </c>
      <c r="G1263">
        <v>11.73</v>
      </c>
      <c r="H1263">
        <v>0.47</v>
      </c>
      <c r="I1263">
        <v>1.042</v>
      </c>
      <c r="J1263">
        <v>14.15</v>
      </c>
      <c r="K1263">
        <v>17.74</v>
      </c>
      <c r="L1263">
        <v>12.05</v>
      </c>
      <c r="M1263">
        <v>0.78</v>
      </c>
      <c r="N1263">
        <v>1.527</v>
      </c>
      <c r="O1263">
        <v>14.22</v>
      </c>
      <c r="P1263">
        <v>16.37</v>
      </c>
      <c r="Q1263">
        <v>12.6</v>
      </c>
      <c r="R1263">
        <v>0.78</v>
      </c>
    </row>
    <row r="1264">
      <c r="A1264" s="9">
        <v>39795</v>
      </c>
      <c r="B1264" s="2" t="inlineStr">
        <is>
          <t xml:space="preserve">2008-12</t>
        </is>
      </c>
      <c r="C1264" s="2" t="inlineStr">
        <is>
          <t xml:space="preserve">2008/09</t>
        </is>
      </c>
      <c r="D1264">
        <v>0.027</v>
      </c>
      <c r="E1264">
        <v>15.07</v>
      </c>
      <c r="F1264">
        <v>20.39</v>
      </c>
      <c r="G1264">
        <v>11.34</v>
      </c>
      <c r="H1264">
        <v>0.05</v>
      </c>
      <c r="I1264">
        <v>0.394</v>
      </c>
      <c r="J1264">
        <v>14.61</v>
      </c>
      <c r="K1264">
        <v>19.92</v>
      </c>
      <c r="L1264">
        <v>11.4</v>
      </c>
      <c r="M1264">
        <v>0.25</v>
      </c>
      <c r="N1264">
        <v>0.564</v>
      </c>
      <c r="O1264">
        <v>14.93</v>
      </c>
      <c r="P1264">
        <v>19.17</v>
      </c>
      <c r="Q1264">
        <v>12.95</v>
      </c>
      <c r="R1264">
        <v>0.47</v>
      </c>
    </row>
    <row r="1265">
      <c r="A1265" s="9">
        <v>39796</v>
      </c>
      <c r="B1265" s="2" t="inlineStr">
        <is>
          <t xml:space="preserve">2008-12</t>
        </is>
      </c>
      <c r="C1265" s="2" t="inlineStr">
        <is>
          <t xml:space="preserve">2008/09</t>
        </is>
      </c>
      <c r="D1265">
        <v>0.0</v>
      </c>
      <c r="E1265">
        <v>18.02</v>
      </c>
      <c r="F1265">
        <v>24.07</v>
      </c>
      <c r="G1265">
        <v>12.98</v>
      </c>
      <c r="H1265">
        <v>0.01</v>
      </c>
      <c r="I1265">
        <v>0.0</v>
      </c>
      <c r="J1265">
        <v>17.95</v>
      </c>
      <c r="K1265">
        <v>25.24</v>
      </c>
      <c r="L1265">
        <v>11.7</v>
      </c>
      <c r="M1265">
        <v>0.0</v>
      </c>
      <c r="N1265">
        <v>0.0</v>
      </c>
      <c r="O1265">
        <v>17.67</v>
      </c>
      <c r="P1265">
        <v>24.27</v>
      </c>
      <c r="Q1265">
        <v>12.04</v>
      </c>
      <c r="R1265">
        <v>0.0</v>
      </c>
    </row>
    <row r="1266">
      <c r="A1266" s="9">
        <v>39797</v>
      </c>
      <c r="B1266" s="2" t="inlineStr">
        <is>
          <t xml:space="preserve">2008-12</t>
        </is>
      </c>
      <c r="C1266" s="2" t="inlineStr">
        <is>
          <t xml:space="preserve">2008/09</t>
        </is>
      </c>
      <c r="D1266">
        <v>0.0</v>
      </c>
      <c r="E1266">
        <v>19.08</v>
      </c>
      <c r="F1266">
        <v>24.64</v>
      </c>
      <c r="G1266">
        <v>15.39</v>
      </c>
      <c r="H1266">
        <v>0.03</v>
      </c>
      <c r="I1266">
        <v>0.0</v>
      </c>
      <c r="J1266">
        <v>19.86</v>
      </c>
      <c r="K1266">
        <v>25.69</v>
      </c>
      <c r="L1266">
        <v>15.53</v>
      </c>
      <c r="M1266">
        <v>0.11</v>
      </c>
      <c r="N1266">
        <v>0.0</v>
      </c>
      <c r="O1266">
        <v>20.14</v>
      </c>
      <c r="P1266">
        <v>25.24</v>
      </c>
      <c r="Q1266">
        <v>16.64</v>
      </c>
      <c r="R1266">
        <v>0.37</v>
      </c>
    </row>
    <row r="1267">
      <c r="A1267" s="9">
        <v>39798</v>
      </c>
      <c r="B1267" s="2" t="inlineStr">
        <is>
          <t xml:space="preserve">2008-12</t>
        </is>
      </c>
      <c r="C1267" s="2" t="inlineStr">
        <is>
          <t xml:space="preserve">2008/09</t>
        </is>
      </c>
      <c r="D1267">
        <v>0.0</v>
      </c>
      <c r="E1267">
        <v>19.06</v>
      </c>
      <c r="F1267">
        <v>23.91</v>
      </c>
      <c r="G1267">
        <v>15.51</v>
      </c>
      <c r="H1267">
        <v>0.26</v>
      </c>
      <c r="I1267">
        <v>0.066</v>
      </c>
      <c r="J1267">
        <v>19.68</v>
      </c>
      <c r="K1267">
        <v>24.54</v>
      </c>
      <c r="L1267">
        <v>16.29</v>
      </c>
      <c r="M1267">
        <v>0.63</v>
      </c>
      <c r="N1267">
        <v>0.315</v>
      </c>
      <c r="O1267">
        <v>19.86</v>
      </c>
      <c r="P1267">
        <v>24.13</v>
      </c>
      <c r="Q1267">
        <v>17.02</v>
      </c>
      <c r="R1267">
        <v>1.91</v>
      </c>
    </row>
    <row r="1268">
      <c r="A1268" s="9">
        <v>39799</v>
      </c>
      <c r="B1268" s="2" t="inlineStr">
        <is>
          <t xml:space="preserve">2008-12</t>
        </is>
      </c>
      <c r="C1268" s="2" t="inlineStr">
        <is>
          <t xml:space="preserve">2008/09</t>
        </is>
      </c>
      <c r="D1268">
        <v>0.0</v>
      </c>
      <c r="E1268">
        <v>18.72</v>
      </c>
      <c r="F1268">
        <v>23.54</v>
      </c>
      <c r="G1268">
        <v>15.56</v>
      </c>
      <c r="H1268">
        <v>0.82</v>
      </c>
      <c r="I1268">
        <v>0.6</v>
      </c>
      <c r="J1268">
        <v>19.38</v>
      </c>
      <c r="K1268">
        <v>24.16</v>
      </c>
      <c r="L1268">
        <v>16.12</v>
      </c>
      <c r="M1268">
        <v>1.3</v>
      </c>
      <c r="N1268">
        <v>0.921</v>
      </c>
      <c r="O1268">
        <v>19.51</v>
      </c>
      <c r="P1268">
        <v>23.92</v>
      </c>
      <c r="Q1268">
        <v>16.68</v>
      </c>
      <c r="R1268">
        <v>2.18</v>
      </c>
    </row>
    <row r="1269">
      <c r="A1269" s="9">
        <v>39800</v>
      </c>
      <c r="B1269" s="2" t="inlineStr">
        <is>
          <t xml:space="preserve">2008-12</t>
        </is>
      </c>
      <c r="C1269" s="2" t="inlineStr">
        <is>
          <t xml:space="preserve">2008/09</t>
        </is>
      </c>
      <c r="D1269">
        <v>0.038</v>
      </c>
      <c r="E1269">
        <v>18.36</v>
      </c>
      <c r="F1269">
        <v>23.18</v>
      </c>
      <c r="G1269">
        <v>15.39</v>
      </c>
      <c r="H1269">
        <v>1.51</v>
      </c>
      <c r="I1269">
        <v>3.332</v>
      </c>
      <c r="J1269">
        <v>19.23</v>
      </c>
      <c r="K1269">
        <v>24.63</v>
      </c>
      <c r="L1269">
        <v>16.02</v>
      </c>
      <c r="M1269">
        <v>3.36</v>
      </c>
      <c r="N1269">
        <v>5.433</v>
      </c>
      <c r="O1269">
        <v>19.48</v>
      </c>
      <c r="P1269">
        <v>23.51</v>
      </c>
      <c r="Q1269">
        <v>17.03</v>
      </c>
      <c r="R1269">
        <v>6.15</v>
      </c>
    </row>
    <row r="1270">
      <c r="A1270" s="9">
        <v>39801</v>
      </c>
      <c r="B1270" s="2" t="inlineStr">
        <is>
          <t xml:space="preserve">2008-12</t>
        </is>
      </c>
      <c r="C1270" s="2" t="inlineStr">
        <is>
          <t xml:space="preserve">2008/09</t>
        </is>
      </c>
      <c r="D1270">
        <v>0.0</v>
      </c>
      <c r="E1270">
        <v>16.8</v>
      </c>
      <c r="F1270">
        <v>21.46</v>
      </c>
      <c r="G1270">
        <v>13.4</v>
      </c>
      <c r="H1270">
        <v>0.18</v>
      </c>
      <c r="I1270">
        <v>0.0</v>
      </c>
      <c r="J1270">
        <v>17.52</v>
      </c>
      <c r="K1270">
        <v>22.16</v>
      </c>
      <c r="L1270">
        <v>14.14</v>
      </c>
      <c r="M1270">
        <v>0.21</v>
      </c>
      <c r="N1270">
        <v>0.078</v>
      </c>
      <c r="O1270">
        <v>17.89</v>
      </c>
      <c r="P1270">
        <v>21.77</v>
      </c>
      <c r="Q1270">
        <v>15.23</v>
      </c>
      <c r="R1270">
        <v>0.5</v>
      </c>
    </row>
    <row r="1271">
      <c r="A1271" s="9">
        <v>39802</v>
      </c>
      <c r="B1271" s="2" t="inlineStr">
        <is>
          <t xml:space="preserve">2008-12</t>
        </is>
      </c>
      <c r="C1271" s="2" t="inlineStr">
        <is>
          <t xml:space="preserve">2008/09</t>
        </is>
      </c>
      <c r="D1271">
        <v>0.0</v>
      </c>
      <c r="E1271">
        <v>17.19</v>
      </c>
      <c r="F1271">
        <v>22.98</v>
      </c>
      <c r="G1271">
        <v>13.91</v>
      </c>
      <c r="H1271">
        <v>0.2</v>
      </c>
      <c r="I1271">
        <v>0.245</v>
      </c>
      <c r="J1271">
        <v>18.23</v>
      </c>
      <c r="K1271">
        <v>23.79</v>
      </c>
      <c r="L1271">
        <v>14.61</v>
      </c>
      <c r="M1271">
        <v>0.36</v>
      </c>
      <c r="N1271">
        <v>0.444</v>
      </c>
      <c r="O1271">
        <v>18.27</v>
      </c>
      <c r="P1271">
        <v>23.33</v>
      </c>
      <c r="Q1271">
        <v>14.95</v>
      </c>
      <c r="R1271">
        <v>1.01</v>
      </c>
    </row>
    <row r="1272">
      <c r="A1272" s="9">
        <v>39803</v>
      </c>
      <c r="B1272" s="2" t="inlineStr">
        <is>
          <t xml:space="preserve">2008-12</t>
        </is>
      </c>
      <c r="C1272" s="2" t="inlineStr">
        <is>
          <t xml:space="preserve">2008/09</t>
        </is>
      </c>
      <c r="D1272">
        <v>0.0</v>
      </c>
      <c r="E1272">
        <v>18.25</v>
      </c>
      <c r="F1272">
        <v>23.77</v>
      </c>
      <c r="G1272">
        <v>14.5</v>
      </c>
      <c r="H1272">
        <v>0.09</v>
      </c>
      <c r="I1272">
        <v>0.0</v>
      </c>
      <c r="J1272">
        <v>18.9</v>
      </c>
      <c r="K1272">
        <v>24.46</v>
      </c>
      <c r="L1272">
        <v>13.81</v>
      </c>
      <c r="M1272">
        <v>0.14</v>
      </c>
      <c r="N1272">
        <v>0.0</v>
      </c>
      <c r="O1272">
        <v>19.19</v>
      </c>
      <c r="P1272">
        <v>24.28</v>
      </c>
      <c r="Q1272">
        <v>15.17</v>
      </c>
      <c r="R1272">
        <v>0.37</v>
      </c>
    </row>
    <row r="1273">
      <c r="A1273" s="9">
        <v>39804</v>
      </c>
      <c r="B1273" s="2" t="inlineStr">
        <is>
          <t xml:space="preserve">2008-12</t>
        </is>
      </c>
      <c r="C1273" s="2" t="inlineStr">
        <is>
          <t xml:space="preserve">2008/09</t>
        </is>
      </c>
      <c r="D1273">
        <v>0.0</v>
      </c>
      <c r="E1273">
        <v>17.71</v>
      </c>
      <c r="F1273">
        <v>22.35</v>
      </c>
      <c r="G1273">
        <v>14.72</v>
      </c>
      <c r="H1273">
        <v>0.34</v>
      </c>
      <c r="I1273">
        <v>0.069</v>
      </c>
      <c r="J1273">
        <v>18.82</v>
      </c>
      <c r="K1273">
        <v>23.59</v>
      </c>
      <c r="L1273">
        <v>15.25</v>
      </c>
      <c r="M1273">
        <v>0.54</v>
      </c>
      <c r="N1273">
        <v>0.404</v>
      </c>
      <c r="O1273">
        <v>18.82</v>
      </c>
      <c r="P1273">
        <v>22.77</v>
      </c>
      <c r="Q1273">
        <v>15.48</v>
      </c>
      <c r="R1273">
        <v>1.91</v>
      </c>
    </row>
    <row r="1274">
      <c r="A1274" s="9">
        <v>39805</v>
      </c>
      <c r="B1274" s="2" t="inlineStr">
        <is>
          <t xml:space="preserve">2008-12</t>
        </is>
      </c>
      <c r="C1274" s="2" t="inlineStr">
        <is>
          <t xml:space="preserve">2008/09</t>
        </is>
      </c>
      <c r="D1274">
        <v>0.0</v>
      </c>
      <c r="E1274">
        <v>17.78</v>
      </c>
      <c r="F1274">
        <v>22.67</v>
      </c>
      <c r="G1274">
        <v>14.06</v>
      </c>
      <c r="H1274">
        <v>0.04</v>
      </c>
      <c r="I1274">
        <v>0.0</v>
      </c>
      <c r="J1274">
        <v>18.18</v>
      </c>
      <c r="K1274">
        <v>23.64</v>
      </c>
      <c r="L1274">
        <v>13.8</v>
      </c>
      <c r="M1274">
        <v>0.06</v>
      </c>
      <c r="N1274">
        <v>0.0</v>
      </c>
      <c r="O1274">
        <v>18.35</v>
      </c>
      <c r="P1274">
        <v>23.23</v>
      </c>
      <c r="Q1274">
        <v>14.64</v>
      </c>
      <c r="R1274">
        <v>0.39</v>
      </c>
    </row>
    <row r="1275">
      <c r="A1275" s="9">
        <v>39806</v>
      </c>
      <c r="B1275" s="2" t="inlineStr">
        <is>
          <t xml:space="preserve">2008-12</t>
        </is>
      </c>
      <c r="C1275" s="2" t="inlineStr">
        <is>
          <t xml:space="preserve">2008/09</t>
        </is>
      </c>
      <c r="D1275">
        <v>0.026</v>
      </c>
      <c r="E1275">
        <v>18.82</v>
      </c>
      <c r="F1275">
        <v>23.88</v>
      </c>
      <c r="G1275">
        <v>14.56</v>
      </c>
      <c r="H1275">
        <v>0.13</v>
      </c>
      <c r="I1275">
        <v>0.0</v>
      </c>
      <c r="J1275">
        <v>19.39</v>
      </c>
      <c r="K1275">
        <v>24.73</v>
      </c>
      <c r="L1275">
        <v>15.13</v>
      </c>
      <c r="M1275">
        <v>0.03</v>
      </c>
      <c r="N1275">
        <v>0.0</v>
      </c>
      <c r="O1275">
        <v>19.8</v>
      </c>
      <c r="P1275">
        <v>24.52</v>
      </c>
      <c r="Q1275">
        <v>16.18</v>
      </c>
      <c r="R1275">
        <v>0.12</v>
      </c>
    </row>
    <row r="1276">
      <c r="A1276" s="9">
        <v>39807</v>
      </c>
      <c r="B1276" s="2" t="inlineStr">
        <is>
          <t xml:space="preserve">2008-12</t>
        </is>
      </c>
      <c r="C1276" s="2" t="inlineStr">
        <is>
          <t xml:space="preserve">2008/09</t>
        </is>
      </c>
      <c r="D1276">
        <v>0.0</v>
      </c>
      <c r="E1276">
        <v>19.28</v>
      </c>
      <c r="F1276">
        <v>23.82</v>
      </c>
      <c r="G1276">
        <v>15.4</v>
      </c>
      <c r="H1276">
        <v>0.54</v>
      </c>
      <c r="I1276">
        <v>0.0</v>
      </c>
      <c r="J1276">
        <v>20.08</v>
      </c>
      <c r="K1276">
        <v>25.1</v>
      </c>
      <c r="L1276">
        <v>16.39</v>
      </c>
      <c r="M1276">
        <v>0.16</v>
      </c>
      <c r="N1276">
        <v>0.0</v>
      </c>
      <c r="O1276">
        <v>20.42</v>
      </c>
      <c r="P1276">
        <v>24.59</v>
      </c>
      <c r="Q1276">
        <v>17.47</v>
      </c>
      <c r="R1276">
        <v>0.52</v>
      </c>
    </row>
    <row r="1277">
      <c r="A1277" s="9">
        <v>39808</v>
      </c>
      <c r="B1277" s="2" t="inlineStr">
        <is>
          <t xml:space="preserve">2008-12</t>
        </is>
      </c>
      <c r="C1277" s="2" t="inlineStr">
        <is>
          <t xml:space="preserve">2008/09</t>
        </is>
      </c>
      <c r="D1277">
        <v>0.172</v>
      </c>
      <c r="E1277">
        <v>18.21</v>
      </c>
      <c r="F1277">
        <v>23.29</v>
      </c>
      <c r="G1277">
        <v>14.81</v>
      </c>
      <c r="H1277">
        <v>0.57</v>
      </c>
      <c r="I1277">
        <v>0.045</v>
      </c>
      <c r="J1277">
        <v>19.78</v>
      </c>
      <c r="K1277">
        <v>24.53</v>
      </c>
      <c r="L1277">
        <v>16.77</v>
      </c>
      <c r="M1277">
        <v>0.25</v>
      </c>
      <c r="N1277">
        <v>0.23</v>
      </c>
      <c r="O1277">
        <v>19.79</v>
      </c>
      <c r="P1277">
        <v>23.83</v>
      </c>
      <c r="Q1277">
        <v>17.1</v>
      </c>
      <c r="R1277">
        <v>0.7</v>
      </c>
    </row>
    <row r="1278">
      <c r="A1278" s="9">
        <v>39809</v>
      </c>
      <c r="B1278" s="2" t="inlineStr">
        <is>
          <t xml:space="preserve">2008-12</t>
        </is>
      </c>
      <c r="C1278" s="2" t="inlineStr">
        <is>
          <t xml:space="preserve">2008/09</t>
        </is>
      </c>
      <c r="D1278">
        <v>0.0</v>
      </c>
      <c r="E1278">
        <v>18.15</v>
      </c>
      <c r="F1278">
        <v>23.33</v>
      </c>
      <c r="G1278">
        <v>14.31</v>
      </c>
      <c r="H1278">
        <v>0.18</v>
      </c>
      <c r="I1278">
        <v>0.0</v>
      </c>
      <c r="J1278">
        <v>19.61</v>
      </c>
      <c r="K1278">
        <v>24.75</v>
      </c>
      <c r="L1278">
        <v>15.63</v>
      </c>
      <c r="M1278">
        <v>0.21</v>
      </c>
      <c r="N1278">
        <v>0.0</v>
      </c>
      <c r="O1278">
        <v>19.85</v>
      </c>
      <c r="P1278">
        <v>24.24</v>
      </c>
      <c r="Q1278">
        <v>16.84</v>
      </c>
      <c r="R1278">
        <v>0.55</v>
      </c>
    </row>
    <row r="1279">
      <c r="A1279" s="9">
        <v>39810</v>
      </c>
      <c r="B1279" s="2" t="inlineStr">
        <is>
          <t xml:space="preserve">2008-12</t>
        </is>
      </c>
      <c r="C1279" s="2" t="inlineStr">
        <is>
          <t xml:space="preserve">2008/09</t>
        </is>
      </c>
      <c r="D1279">
        <v>0.0</v>
      </c>
      <c r="E1279">
        <v>17.6</v>
      </c>
      <c r="F1279">
        <v>22.9</v>
      </c>
      <c r="G1279">
        <v>13.48</v>
      </c>
      <c r="H1279">
        <v>0.17</v>
      </c>
      <c r="I1279">
        <v>0.34</v>
      </c>
      <c r="J1279">
        <v>19.42</v>
      </c>
      <c r="K1279">
        <v>24.61</v>
      </c>
      <c r="L1279">
        <v>15.92</v>
      </c>
      <c r="M1279">
        <v>0.32</v>
      </c>
      <c r="N1279">
        <v>0.545</v>
      </c>
      <c r="O1279">
        <v>19.6</v>
      </c>
      <c r="P1279">
        <v>23.78</v>
      </c>
      <c r="Q1279">
        <v>16.59</v>
      </c>
      <c r="R1279">
        <v>0.8</v>
      </c>
    </row>
    <row r="1280">
      <c r="A1280" s="9">
        <v>39811</v>
      </c>
      <c r="B1280" s="2" t="inlineStr">
        <is>
          <t xml:space="preserve">2008-12</t>
        </is>
      </c>
      <c r="C1280" s="2" t="inlineStr">
        <is>
          <t xml:space="preserve">2008/09</t>
        </is>
      </c>
      <c r="D1280">
        <v>0.0</v>
      </c>
      <c r="E1280">
        <v>18.26</v>
      </c>
      <c r="F1280">
        <v>22.83</v>
      </c>
      <c r="G1280">
        <v>14.64</v>
      </c>
      <c r="H1280">
        <v>0.68</v>
      </c>
      <c r="I1280">
        <v>0.025</v>
      </c>
      <c r="J1280">
        <v>19.12</v>
      </c>
      <c r="K1280">
        <v>24.07</v>
      </c>
      <c r="L1280">
        <v>15.93</v>
      </c>
      <c r="M1280">
        <v>1.46</v>
      </c>
      <c r="N1280">
        <v>0.103</v>
      </c>
      <c r="O1280">
        <v>19.5</v>
      </c>
      <c r="P1280">
        <v>23.52</v>
      </c>
      <c r="Q1280">
        <v>16.72</v>
      </c>
      <c r="R1280">
        <v>2.48</v>
      </c>
    </row>
    <row r="1281">
      <c r="A1281" s="9">
        <v>39812</v>
      </c>
      <c r="B1281" s="2" t="inlineStr">
        <is>
          <t xml:space="preserve">2008-12</t>
        </is>
      </c>
      <c r="C1281" s="2" t="inlineStr">
        <is>
          <t xml:space="preserve">2008/09</t>
        </is>
      </c>
      <c r="D1281">
        <v>0.558</v>
      </c>
      <c r="E1281">
        <v>18.64</v>
      </c>
      <c r="F1281">
        <v>23.51</v>
      </c>
      <c r="G1281">
        <v>15.48</v>
      </c>
      <c r="H1281">
        <v>0.74</v>
      </c>
      <c r="I1281">
        <v>4.641</v>
      </c>
      <c r="J1281">
        <v>18.92</v>
      </c>
      <c r="K1281">
        <v>24.05</v>
      </c>
      <c r="L1281">
        <v>15.76</v>
      </c>
      <c r="M1281">
        <v>3.53</v>
      </c>
      <c r="N1281">
        <v>6.756</v>
      </c>
      <c r="O1281">
        <v>19.11</v>
      </c>
      <c r="P1281">
        <v>23.42</v>
      </c>
      <c r="Q1281">
        <v>16.95</v>
      </c>
      <c r="R1281">
        <v>4.07</v>
      </c>
    </row>
    <row r="1282">
      <c r="A1282" s="9">
        <v>39813</v>
      </c>
      <c r="B1282" s="2" t="inlineStr">
        <is>
          <t xml:space="preserve">2008-12</t>
        </is>
      </c>
      <c r="C1282" s="2" t="inlineStr">
        <is>
          <t xml:space="preserve">2008/09</t>
        </is>
      </c>
      <c r="D1282">
        <v>0.021</v>
      </c>
      <c r="E1282">
        <v>17.36</v>
      </c>
      <c r="F1282">
        <v>22.25</v>
      </c>
      <c r="G1282">
        <v>14.17</v>
      </c>
      <c r="H1282">
        <v>0.41</v>
      </c>
      <c r="I1282">
        <v>3.357</v>
      </c>
      <c r="J1282">
        <v>18.12</v>
      </c>
      <c r="K1282">
        <v>22.81</v>
      </c>
      <c r="L1282">
        <v>15.14</v>
      </c>
      <c r="M1282">
        <v>2.58</v>
      </c>
      <c r="N1282">
        <v>5.189</v>
      </c>
      <c r="O1282">
        <v>18.31</v>
      </c>
      <c r="P1282">
        <v>22.4</v>
      </c>
      <c r="Q1282">
        <v>15.75</v>
      </c>
      <c r="R1282">
        <v>3.49</v>
      </c>
    </row>
    <row r="1283">
      <c r="A1283" s="9">
        <v>39814</v>
      </c>
      <c r="B1283" s="2" t="inlineStr">
        <is>
          <t xml:space="preserve">2009-01</t>
        </is>
      </c>
      <c r="C1283" s="2" t="inlineStr">
        <is>
          <t xml:space="preserve">2008/09</t>
        </is>
      </c>
      <c r="D1283">
        <v>0.0</v>
      </c>
      <c r="E1283">
        <v>17.13</v>
      </c>
      <c r="F1283">
        <v>22.2</v>
      </c>
      <c r="G1283">
        <v>13.4</v>
      </c>
      <c r="H1283">
        <v>0.17</v>
      </c>
      <c r="I1283">
        <v>0.0</v>
      </c>
      <c r="J1283">
        <v>17.17</v>
      </c>
      <c r="K1283">
        <v>22.34</v>
      </c>
      <c r="L1283">
        <v>13.23</v>
      </c>
      <c r="M1283">
        <v>0.0</v>
      </c>
      <c r="N1283">
        <v>0.0</v>
      </c>
      <c r="O1283">
        <v>17.68</v>
      </c>
      <c r="P1283">
        <v>22.36</v>
      </c>
      <c r="Q1283">
        <v>14.46</v>
      </c>
      <c r="R1283">
        <v>0.0</v>
      </c>
    </row>
    <row r="1284">
      <c r="A1284" s="9">
        <v>39815</v>
      </c>
      <c r="B1284" s="2" t="inlineStr">
        <is>
          <t xml:space="preserve">2009-01</t>
        </is>
      </c>
      <c r="C1284" s="2" t="inlineStr">
        <is>
          <t xml:space="preserve">2008/09</t>
        </is>
      </c>
      <c r="D1284">
        <v>0.0</v>
      </c>
      <c r="E1284">
        <v>17.55</v>
      </c>
      <c r="F1284">
        <v>23.44</v>
      </c>
      <c r="G1284">
        <v>12.96</v>
      </c>
      <c r="H1284">
        <v>0.0</v>
      </c>
      <c r="I1284">
        <v>0.0</v>
      </c>
      <c r="J1284">
        <v>17.8</v>
      </c>
      <c r="K1284">
        <v>23.71</v>
      </c>
      <c r="L1284">
        <v>13.41</v>
      </c>
      <c r="M1284">
        <v>0.0</v>
      </c>
      <c r="N1284">
        <v>0.0</v>
      </c>
      <c r="O1284">
        <v>18.04</v>
      </c>
      <c r="P1284">
        <v>23.0</v>
      </c>
      <c r="Q1284">
        <v>14.62</v>
      </c>
      <c r="R1284">
        <v>0.0</v>
      </c>
    </row>
    <row r="1285">
      <c r="A1285" s="9">
        <v>39816</v>
      </c>
      <c r="B1285" s="2" t="inlineStr">
        <is>
          <t xml:space="preserve">2009-01</t>
        </is>
      </c>
      <c r="C1285" s="2" t="inlineStr">
        <is>
          <t xml:space="preserve">2008/09</t>
        </is>
      </c>
      <c r="D1285">
        <v>0.0</v>
      </c>
      <c r="E1285">
        <v>19.01</v>
      </c>
      <c r="F1285">
        <v>24.88</v>
      </c>
      <c r="G1285">
        <v>14.56</v>
      </c>
      <c r="H1285">
        <v>0.0</v>
      </c>
      <c r="I1285">
        <v>0.0</v>
      </c>
      <c r="J1285">
        <v>19.56</v>
      </c>
      <c r="K1285">
        <v>25.94</v>
      </c>
      <c r="L1285">
        <v>14.79</v>
      </c>
      <c r="M1285">
        <v>0.0</v>
      </c>
      <c r="N1285">
        <v>0.0</v>
      </c>
      <c r="O1285">
        <v>19.85</v>
      </c>
      <c r="P1285">
        <v>25.26</v>
      </c>
      <c r="Q1285">
        <v>16.1</v>
      </c>
      <c r="R1285">
        <v>0.0</v>
      </c>
    </row>
    <row r="1286">
      <c r="A1286" s="9">
        <v>39817</v>
      </c>
      <c r="B1286" s="2" t="inlineStr">
        <is>
          <t xml:space="preserve">2009-01</t>
        </is>
      </c>
      <c r="C1286" s="2" t="inlineStr">
        <is>
          <t xml:space="preserve">2008/09</t>
        </is>
      </c>
      <c r="D1286">
        <v>0.0</v>
      </c>
      <c r="E1286">
        <v>19.27</v>
      </c>
      <c r="F1286">
        <v>25.48</v>
      </c>
      <c r="G1286">
        <v>14.53</v>
      </c>
      <c r="H1286">
        <v>0.0</v>
      </c>
      <c r="I1286">
        <v>0.0</v>
      </c>
      <c r="J1286">
        <v>20.01</v>
      </c>
      <c r="K1286">
        <v>26.23</v>
      </c>
      <c r="L1286">
        <v>15.49</v>
      </c>
      <c r="M1286">
        <v>0.0</v>
      </c>
      <c r="N1286">
        <v>0.0</v>
      </c>
      <c r="O1286">
        <v>20.46</v>
      </c>
      <c r="P1286">
        <v>25.54</v>
      </c>
      <c r="Q1286">
        <v>16.93</v>
      </c>
      <c r="R1286">
        <v>0.0</v>
      </c>
    </row>
    <row r="1287">
      <c r="A1287" s="9">
        <v>39818</v>
      </c>
      <c r="B1287" s="2" t="inlineStr">
        <is>
          <t xml:space="preserve">2009-01</t>
        </is>
      </c>
      <c r="C1287" s="2" t="inlineStr">
        <is>
          <t xml:space="preserve">2008/09</t>
        </is>
      </c>
      <c r="D1287">
        <v>0.0</v>
      </c>
      <c r="E1287">
        <v>18.88</v>
      </c>
      <c r="F1287">
        <v>24.74</v>
      </c>
      <c r="G1287">
        <v>14.97</v>
      </c>
      <c r="H1287">
        <v>0.01</v>
      </c>
      <c r="I1287">
        <v>0.0</v>
      </c>
      <c r="J1287">
        <v>19.93</v>
      </c>
      <c r="K1287">
        <v>25.38</v>
      </c>
      <c r="L1287">
        <v>16.04</v>
      </c>
      <c r="M1287">
        <v>0.01</v>
      </c>
      <c r="N1287">
        <v>0.0</v>
      </c>
      <c r="O1287">
        <v>19.99</v>
      </c>
      <c r="P1287">
        <v>24.67</v>
      </c>
      <c r="Q1287">
        <v>17.2</v>
      </c>
      <c r="R1287">
        <v>0.01</v>
      </c>
    </row>
    <row r="1288">
      <c r="A1288" s="9">
        <v>39819</v>
      </c>
      <c r="B1288" s="2" t="inlineStr">
        <is>
          <t xml:space="preserve">2009-01</t>
        </is>
      </c>
      <c r="C1288" s="2" t="inlineStr">
        <is>
          <t xml:space="preserve">2008/09</t>
        </is>
      </c>
      <c r="D1288">
        <v>0.025</v>
      </c>
      <c r="E1288">
        <v>19.58</v>
      </c>
      <c r="F1288">
        <v>25.6</v>
      </c>
      <c r="G1288">
        <v>14.48</v>
      </c>
      <c r="H1288">
        <v>0.02</v>
      </c>
      <c r="I1288">
        <v>0.0</v>
      </c>
      <c r="J1288">
        <v>20.28</v>
      </c>
      <c r="K1288">
        <v>26.26</v>
      </c>
      <c r="L1288">
        <v>15.36</v>
      </c>
      <c r="M1288">
        <v>0.01</v>
      </c>
      <c r="N1288">
        <v>0.0</v>
      </c>
      <c r="O1288">
        <v>20.97</v>
      </c>
      <c r="P1288">
        <v>26.32</v>
      </c>
      <c r="Q1288">
        <v>16.74</v>
      </c>
      <c r="R1288">
        <v>0.01</v>
      </c>
    </row>
    <row r="1289">
      <c r="A1289" s="9">
        <v>39820</v>
      </c>
      <c r="B1289" s="2" t="inlineStr">
        <is>
          <t xml:space="preserve">2009-01</t>
        </is>
      </c>
      <c r="C1289" s="2" t="inlineStr">
        <is>
          <t xml:space="preserve">2008/09</t>
        </is>
      </c>
      <c r="D1289">
        <v>0.0</v>
      </c>
      <c r="E1289">
        <v>20.27</v>
      </c>
      <c r="F1289">
        <v>26.55</v>
      </c>
      <c r="G1289">
        <v>14.92</v>
      </c>
      <c r="H1289">
        <v>0.03</v>
      </c>
      <c r="I1289">
        <v>0.0</v>
      </c>
      <c r="J1289">
        <v>20.72</v>
      </c>
      <c r="K1289">
        <v>27.21</v>
      </c>
      <c r="L1289">
        <v>15.44</v>
      </c>
      <c r="M1289">
        <v>0.0</v>
      </c>
      <c r="N1289">
        <v>0.0</v>
      </c>
      <c r="O1289">
        <v>20.69</v>
      </c>
      <c r="P1289">
        <v>26.73</v>
      </c>
      <c r="Q1289">
        <v>15.4</v>
      </c>
      <c r="R1289">
        <v>0.0</v>
      </c>
    </row>
    <row r="1290">
      <c r="A1290" s="9">
        <v>39821</v>
      </c>
      <c r="B1290" s="2" t="inlineStr">
        <is>
          <t xml:space="preserve">2009-01</t>
        </is>
      </c>
      <c r="C1290" s="2" t="inlineStr">
        <is>
          <t xml:space="preserve">2008/09</t>
        </is>
      </c>
      <c r="D1290">
        <v>0.0</v>
      </c>
      <c r="E1290">
        <v>19.75</v>
      </c>
      <c r="F1290">
        <v>24.48</v>
      </c>
      <c r="G1290">
        <v>16.83</v>
      </c>
      <c r="H1290">
        <v>0.08</v>
      </c>
      <c r="I1290">
        <v>0.0</v>
      </c>
      <c r="J1290">
        <v>19.01</v>
      </c>
      <c r="K1290">
        <v>22.35</v>
      </c>
      <c r="L1290">
        <v>17.03</v>
      </c>
      <c r="M1290">
        <v>0.01</v>
      </c>
      <c r="N1290">
        <v>0.0</v>
      </c>
      <c r="O1290">
        <v>19.75</v>
      </c>
      <c r="P1290">
        <v>22.68</v>
      </c>
      <c r="Q1290">
        <v>17.99</v>
      </c>
      <c r="R1290">
        <v>0.0</v>
      </c>
    </row>
    <row r="1291">
      <c r="A1291" s="9">
        <v>39822</v>
      </c>
      <c r="B1291" s="2" t="inlineStr">
        <is>
          <t xml:space="preserve">2009-01</t>
        </is>
      </c>
      <c r="C1291" s="2" t="inlineStr">
        <is>
          <t xml:space="preserve">2008/09</t>
        </is>
      </c>
      <c r="D1291">
        <v>0.179</v>
      </c>
      <c r="E1291">
        <v>19.26</v>
      </c>
      <c r="F1291">
        <v>23.96</v>
      </c>
      <c r="G1291">
        <v>16.35</v>
      </c>
      <c r="H1291">
        <v>0.35</v>
      </c>
      <c r="I1291">
        <v>0.0</v>
      </c>
      <c r="J1291">
        <v>19.15</v>
      </c>
      <c r="K1291">
        <v>22.95</v>
      </c>
      <c r="L1291">
        <v>16.74</v>
      </c>
      <c r="M1291">
        <v>0.71</v>
      </c>
      <c r="N1291">
        <v>0.0</v>
      </c>
      <c r="O1291">
        <v>19.73</v>
      </c>
      <c r="P1291">
        <v>23.15</v>
      </c>
      <c r="Q1291">
        <v>17.45</v>
      </c>
      <c r="R1291">
        <v>1.51</v>
      </c>
    </row>
    <row r="1292">
      <c r="A1292" s="9">
        <v>39823</v>
      </c>
      <c r="B1292" s="2" t="inlineStr">
        <is>
          <t xml:space="preserve">2009-01</t>
        </is>
      </c>
      <c r="C1292" s="2" t="inlineStr">
        <is>
          <t xml:space="preserve">2008/09</t>
        </is>
      </c>
      <c r="D1292">
        <v>0.27</v>
      </c>
      <c r="E1292">
        <v>18.14</v>
      </c>
      <c r="F1292">
        <v>22.0</v>
      </c>
      <c r="G1292">
        <v>14.6</v>
      </c>
      <c r="H1292">
        <v>0.54</v>
      </c>
      <c r="I1292">
        <v>1.394</v>
      </c>
      <c r="J1292">
        <v>19.8</v>
      </c>
      <c r="K1292">
        <v>24.63</v>
      </c>
      <c r="L1292">
        <v>16.9</v>
      </c>
      <c r="M1292">
        <v>1.44</v>
      </c>
      <c r="N1292">
        <v>2.264</v>
      </c>
      <c r="O1292">
        <v>19.99</v>
      </c>
      <c r="P1292">
        <v>23.93</v>
      </c>
      <c r="Q1292">
        <v>17.98</v>
      </c>
      <c r="R1292">
        <v>3.3</v>
      </c>
    </row>
    <row r="1293">
      <c r="A1293" s="9">
        <v>39824</v>
      </c>
      <c r="B1293" s="2" t="inlineStr">
        <is>
          <t xml:space="preserve">2009-01</t>
        </is>
      </c>
      <c r="C1293" s="2" t="inlineStr">
        <is>
          <t xml:space="preserve">2008/09</t>
        </is>
      </c>
      <c r="D1293">
        <v>0.0</v>
      </c>
      <c r="E1293">
        <v>18.34</v>
      </c>
      <c r="F1293">
        <v>22.47</v>
      </c>
      <c r="G1293">
        <v>15.09</v>
      </c>
      <c r="H1293">
        <v>0.16</v>
      </c>
      <c r="I1293">
        <v>0.164</v>
      </c>
      <c r="J1293">
        <v>19.55</v>
      </c>
      <c r="K1293">
        <v>23.83</v>
      </c>
      <c r="L1293">
        <v>17.17</v>
      </c>
      <c r="M1293">
        <v>0.32</v>
      </c>
      <c r="N1293">
        <v>0.246</v>
      </c>
      <c r="O1293">
        <v>19.86</v>
      </c>
      <c r="P1293">
        <v>23.4</v>
      </c>
      <c r="Q1293">
        <v>17.55</v>
      </c>
      <c r="R1293">
        <v>1.08</v>
      </c>
    </row>
    <row r="1294">
      <c r="A1294" s="9">
        <v>39825</v>
      </c>
      <c r="B1294" s="2" t="inlineStr">
        <is>
          <t xml:space="preserve">2009-01</t>
        </is>
      </c>
      <c r="C1294" s="2" t="inlineStr">
        <is>
          <t xml:space="preserve">2008/09</t>
        </is>
      </c>
      <c r="D1294">
        <v>0.0</v>
      </c>
      <c r="E1294">
        <v>19.03</v>
      </c>
      <c r="F1294">
        <v>23.76</v>
      </c>
      <c r="G1294">
        <v>15.22</v>
      </c>
      <c r="H1294">
        <v>0.6</v>
      </c>
      <c r="I1294">
        <v>0.395</v>
      </c>
      <c r="J1294">
        <v>19.81</v>
      </c>
      <c r="K1294">
        <v>24.23</v>
      </c>
      <c r="L1294">
        <v>16.84</v>
      </c>
      <c r="M1294">
        <v>1.38</v>
      </c>
      <c r="N1294">
        <v>0.763</v>
      </c>
      <c r="O1294">
        <v>19.92</v>
      </c>
      <c r="P1294">
        <v>23.71</v>
      </c>
      <c r="Q1294">
        <v>17.77</v>
      </c>
      <c r="R1294">
        <v>3.64</v>
      </c>
    </row>
    <row r="1295">
      <c r="A1295" s="9">
        <v>39826</v>
      </c>
      <c r="B1295" s="2" t="inlineStr">
        <is>
          <t xml:space="preserve">2009-01</t>
        </is>
      </c>
      <c r="C1295" s="2" t="inlineStr">
        <is>
          <t xml:space="preserve">2008/09</t>
        </is>
      </c>
      <c r="D1295">
        <v>0.138</v>
      </c>
      <c r="E1295">
        <v>18.35</v>
      </c>
      <c r="F1295">
        <v>21.69</v>
      </c>
      <c r="G1295">
        <v>15.95</v>
      </c>
      <c r="H1295">
        <v>0.64</v>
      </c>
      <c r="I1295">
        <v>1.793</v>
      </c>
      <c r="J1295">
        <v>19.66</v>
      </c>
      <c r="K1295">
        <v>23.58</v>
      </c>
      <c r="L1295">
        <v>17.53</v>
      </c>
      <c r="M1295">
        <v>2.66</v>
      </c>
      <c r="N1295">
        <v>6.653</v>
      </c>
      <c r="O1295">
        <v>19.82</v>
      </c>
      <c r="P1295">
        <v>23.28</v>
      </c>
      <c r="Q1295">
        <v>17.93</v>
      </c>
      <c r="R1295">
        <v>5.38</v>
      </c>
    </row>
    <row r="1296">
      <c r="A1296" s="9">
        <v>39827</v>
      </c>
      <c r="B1296" s="2" t="inlineStr">
        <is>
          <t xml:space="preserve">2009-01</t>
        </is>
      </c>
      <c r="C1296" s="2" t="inlineStr">
        <is>
          <t xml:space="preserve">2008/09</t>
        </is>
      </c>
      <c r="D1296">
        <v>0.158</v>
      </c>
      <c r="E1296">
        <v>18.52</v>
      </c>
      <c r="F1296">
        <v>23.0</v>
      </c>
      <c r="G1296">
        <v>14.99</v>
      </c>
      <c r="H1296">
        <v>0.85</v>
      </c>
      <c r="I1296">
        <v>0.234</v>
      </c>
      <c r="J1296">
        <v>18.21</v>
      </c>
      <c r="K1296">
        <v>20.71</v>
      </c>
      <c r="L1296">
        <v>16.7</v>
      </c>
      <c r="M1296">
        <v>1.71</v>
      </c>
      <c r="N1296">
        <v>1.324</v>
      </c>
      <c r="O1296">
        <v>18.3</v>
      </c>
      <c r="P1296">
        <v>20.25</v>
      </c>
      <c r="Q1296">
        <v>16.85</v>
      </c>
      <c r="R1296">
        <v>5.6</v>
      </c>
    </row>
    <row r="1297">
      <c r="A1297" s="9">
        <v>39828</v>
      </c>
      <c r="B1297" s="2" t="inlineStr">
        <is>
          <t xml:space="preserve">2009-01</t>
        </is>
      </c>
      <c r="C1297" s="2" t="inlineStr">
        <is>
          <t xml:space="preserve">2008/09</t>
        </is>
      </c>
      <c r="D1297">
        <v>0.0</v>
      </c>
      <c r="E1297">
        <v>18.49</v>
      </c>
      <c r="F1297">
        <v>22.56</v>
      </c>
      <c r="G1297">
        <v>15.47</v>
      </c>
      <c r="H1297">
        <v>3.28</v>
      </c>
      <c r="I1297">
        <v>0.917</v>
      </c>
      <c r="J1297">
        <v>19.21</v>
      </c>
      <c r="K1297">
        <v>23.88</v>
      </c>
      <c r="L1297">
        <v>16.48</v>
      </c>
      <c r="M1297">
        <v>5.23</v>
      </c>
      <c r="N1297">
        <v>4.077</v>
      </c>
      <c r="O1297">
        <v>19.1</v>
      </c>
      <c r="P1297">
        <v>23.14</v>
      </c>
      <c r="Q1297">
        <v>17.05</v>
      </c>
      <c r="R1297">
        <v>14.37</v>
      </c>
    </row>
    <row r="1298">
      <c r="A1298" s="9">
        <v>39829</v>
      </c>
      <c r="B1298" s="2" t="inlineStr">
        <is>
          <t xml:space="preserve">2009-01</t>
        </is>
      </c>
      <c r="C1298" s="2" t="inlineStr">
        <is>
          <t xml:space="preserve">2008/09</t>
        </is>
      </c>
      <c r="D1298">
        <v>1.299</v>
      </c>
      <c r="E1298">
        <v>17.81</v>
      </c>
      <c r="F1298">
        <v>22.16</v>
      </c>
      <c r="G1298">
        <v>14.18</v>
      </c>
      <c r="H1298">
        <v>4.26</v>
      </c>
      <c r="I1298">
        <v>0.798</v>
      </c>
      <c r="J1298">
        <v>19.42</v>
      </c>
      <c r="K1298">
        <v>23.59</v>
      </c>
      <c r="L1298">
        <v>16.97</v>
      </c>
      <c r="M1298">
        <v>10.44</v>
      </c>
      <c r="N1298">
        <v>7.729</v>
      </c>
      <c r="O1298">
        <v>19.21</v>
      </c>
      <c r="P1298">
        <v>22.07</v>
      </c>
      <c r="Q1298">
        <v>17.53</v>
      </c>
      <c r="R1298">
        <v>40.38</v>
      </c>
    </row>
    <row r="1299">
      <c r="A1299" s="9">
        <v>39830</v>
      </c>
      <c r="B1299" s="2" t="inlineStr">
        <is>
          <t xml:space="preserve">2009-01</t>
        </is>
      </c>
      <c r="C1299" s="2" t="inlineStr">
        <is>
          <t xml:space="preserve">2008/09</t>
        </is>
      </c>
      <c r="D1299">
        <v>0.364</v>
      </c>
      <c r="E1299">
        <v>17.17</v>
      </c>
      <c r="F1299">
        <v>21.85</v>
      </c>
      <c r="G1299">
        <v>13.4</v>
      </c>
      <c r="H1299">
        <v>2.07</v>
      </c>
      <c r="I1299">
        <v>0.594</v>
      </c>
      <c r="J1299">
        <v>17.47</v>
      </c>
      <c r="K1299">
        <v>20.66</v>
      </c>
      <c r="L1299">
        <v>15.01</v>
      </c>
      <c r="M1299">
        <v>3.09</v>
      </c>
      <c r="N1299">
        <v>3.381</v>
      </c>
      <c r="O1299">
        <v>17.9</v>
      </c>
      <c r="P1299">
        <v>20.73</v>
      </c>
      <c r="Q1299">
        <v>15.72</v>
      </c>
      <c r="R1299">
        <v>8.52</v>
      </c>
    </row>
    <row r="1300">
      <c r="A1300" s="9">
        <v>39831</v>
      </c>
      <c r="B1300" s="2" t="inlineStr">
        <is>
          <t xml:space="preserve">2009-01</t>
        </is>
      </c>
      <c r="C1300" s="2" t="inlineStr">
        <is>
          <t xml:space="preserve">2008/09</t>
        </is>
      </c>
      <c r="D1300">
        <v>0.043</v>
      </c>
      <c r="E1300">
        <v>18.26</v>
      </c>
      <c r="F1300">
        <v>23.47</v>
      </c>
      <c r="G1300">
        <v>15.33</v>
      </c>
      <c r="H1300">
        <v>3.38</v>
      </c>
      <c r="I1300">
        <v>0.632</v>
      </c>
      <c r="J1300">
        <v>18.09</v>
      </c>
      <c r="K1300">
        <v>22.85</v>
      </c>
      <c r="L1300">
        <v>15.3</v>
      </c>
      <c r="M1300">
        <v>1.12</v>
      </c>
      <c r="N1300">
        <v>2.523</v>
      </c>
      <c r="O1300">
        <v>18.32</v>
      </c>
      <c r="P1300">
        <v>22.25</v>
      </c>
      <c r="Q1300">
        <v>15.93</v>
      </c>
      <c r="R1300">
        <v>2.08</v>
      </c>
    </row>
    <row r="1301">
      <c r="A1301" s="9">
        <v>39832</v>
      </c>
      <c r="B1301" s="2" t="inlineStr">
        <is>
          <t xml:space="preserve">2009-01</t>
        </is>
      </c>
      <c r="C1301" s="2" t="inlineStr">
        <is>
          <t xml:space="preserve">2008/09</t>
        </is>
      </c>
      <c r="D1301">
        <v>0.0</v>
      </c>
      <c r="E1301">
        <v>17.36</v>
      </c>
      <c r="F1301">
        <v>22.29</v>
      </c>
      <c r="G1301">
        <v>14.33</v>
      </c>
      <c r="H1301">
        <v>1.06</v>
      </c>
      <c r="I1301">
        <v>0.0</v>
      </c>
      <c r="J1301">
        <v>17.55</v>
      </c>
      <c r="K1301">
        <v>22.48</v>
      </c>
      <c r="L1301">
        <v>14.22</v>
      </c>
      <c r="M1301">
        <v>0.07</v>
      </c>
      <c r="N1301">
        <v>0.121</v>
      </c>
      <c r="O1301">
        <v>17.59</v>
      </c>
      <c r="P1301">
        <v>22.02</v>
      </c>
      <c r="Q1301">
        <v>14.7</v>
      </c>
      <c r="R1301">
        <v>0.16</v>
      </c>
    </row>
    <row r="1302">
      <c r="A1302" s="9">
        <v>39833</v>
      </c>
      <c r="B1302" s="2" t="inlineStr">
        <is>
          <t xml:space="preserve">2009-01</t>
        </is>
      </c>
      <c r="C1302" s="2" t="inlineStr">
        <is>
          <t xml:space="preserve">2008/09</t>
        </is>
      </c>
      <c r="D1302">
        <v>0.0</v>
      </c>
      <c r="E1302">
        <v>17.19</v>
      </c>
      <c r="F1302">
        <v>22.57</v>
      </c>
      <c r="G1302">
        <v>13.24</v>
      </c>
      <c r="H1302">
        <v>0.07</v>
      </c>
      <c r="I1302">
        <v>0.0</v>
      </c>
      <c r="J1302">
        <v>17.6</v>
      </c>
      <c r="K1302">
        <v>22.97</v>
      </c>
      <c r="L1302">
        <v>13.7</v>
      </c>
      <c r="M1302">
        <v>0.05</v>
      </c>
      <c r="N1302">
        <v>0.0</v>
      </c>
      <c r="O1302">
        <v>17.46</v>
      </c>
      <c r="P1302">
        <v>22.45</v>
      </c>
      <c r="Q1302">
        <v>14.16</v>
      </c>
      <c r="R1302">
        <v>0.05</v>
      </c>
    </row>
    <row r="1303">
      <c r="A1303" s="9">
        <v>39834</v>
      </c>
      <c r="B1303" s="2" t="inlineStr">
        <is>
          <t xml:space="preserve">2009-01</t>
        </is>
      </c>
      <c r="C1303" s="2" t="inlineStr">
        <is>
          <t xml:space="preserve">2008/09</t>
        </is>
      </c>
      <c r="D1303">
        <v>0.0</v>
      </c>
      <c r="E1303">
        <v>14.45</v>
      </c>
      <c r="F1303">
        <v>19.14</v>
      </c>
      <c r="G1303">
        <v>9.61</v>
      </c>
      <c r="H1303">
        <v>0.25</v>
      </c>
      <c r="I1303">
        <v>0.026</v>
      </c>
      <c r="J1303">
        <v>15.03</v>
      </c>
      <c r="K1303">
        <v>19.39</v>
      </c>
      <c r="L1303">
        <v>12.11</v>
      </c>
      <c r="M1303">
        <v>0.04</v>
      </c>
      <c r="N1303">
        <v>0.248</v>
      </c>
      <c r="O1303">
        <v>15.37</v>
      </c>
      <c r="P1303">
        <v>19.05</v>
      </c>
      <c r="Q1303">
        <v>12.91</v>
      </c>
      <c r="R1303">
        <v>0.08</v>
      </c>
    </row>
    <row r="1304">
      <c r="A1304" s="9">
        <v>39835</v>
      </c>
      <c r="B1304" s="2" t="inlineStr">
        <is>
          <t xml:space="preserve">2009-01</t>
        </is>
      </c>
      <c r="C1304" s="2" t="inlineStr">
        <is>
          <t xml:space="preserve">2008/09</t>
        </is>
      </c>
      <c r="D1304">
        <v>0.0</v>
      </c>
      <c r="E1304">
        <v>14.34</v>
      </c>
      <c r="F1304">
        <v>20.64</v>
      </c>
      <c r="G1304">
        <v>10.05</v>
      </c>
      <c r="H1304">
        <v>0.0</v>
      </c>
      <c r="I1304">
        <v>0.0</v>
      </c>
      <c r="J1304">
        <v>14.28</v>
      </c>
      <c r="K1304">
        <v>20.01</v>
      </c>
      <c r="L1304">
        <v>9.53</v>
      </c>
      <c r="M1304">
        <v>0.0</v>
      </c>
      <c r="N1304">
        <v>0.0</v>
      </c>
      <c r="O1304">
        <v>14.89</v>
      </c>
      <c r="P1304">
        <v>19.36</v>
      </c>
      <c r="Q1304">
        <v>11.89</v>
      </c>
      <c r="R1304">
        <v>0.0</v>
      </c>
    </row>
    <row r="1305">
      <c r="A1305" s="9">
        <v>39836</v>
      </c>
      <c r="B1305" s="2" t="inlineStr">
        <is>
          <t xml:space="preserve">2009-01</t>
        </is>
      </c>
      <c r="C1305" s="2" t="inlineStr">
        <is>
          <t xml:space="preserve">2008/09</t>
        </is>
      </c>
      <c r="D1305">
        <v>0.0</v>
      </c>
      <c r="E1305">
        <v>16.5</v>
      </c>
      <c r="F1305">
        <v>23.27</v>
      </c>
      <c r="G1305">
        <v>10.33</v>
      </c>
      <c r="H1305">
        <v>0.13</v>
      </c>
      <c r="I1305">
        <v>0.0</v>
      </c>
      <c r="J1305">
        <v>15.87</v>
      </c>
      <c r="K1305">
        <v>22.43</v>
      </c>
      <c r="L1305">
        <v>10.39</v>
      </c>
      <c r="M1305">
        <v>0.0</v>
      </c>
      <c r="N1305">
        <v>0.0</v>
      </c>
      <c r="O1305">
        <v>16.4</v>
      </c>
      <c r="P1305">
        <v>21.93</v>
      </c>
      <c r="Q1305">
        <v>12.2</v>
      </c>
      <c r="R1305">
        <v>0.0</v>
      </c>
    </row>
    <row r="1306">
      <c r="A1306" s="9">
        <v>39837</v>
      </c>
      <c r="B1306" s="2" t="inlineStr">
        <is>
          <t xml:space="preserve">2009-01</t>
        </is>
      </c>
      <c r="C1306" s="2" t="inlineStr">
        <is>
          <t xml:space="preserve">2008/09</t>
        </is>
      </c>
      <c r="D1306">
        <v>0.191</v>
      </c>
      <c r="E1306">
        <v>18.19</v>
      </c>
      <c r="F1306">
        <v>24.02</v>
      </c>
      <c r="G1306">
        <v>13.83</v>
      </c>
      <c r="H1306">
        <v>0.65</v>
      </c>
      <c r="I1306">
        <v>0.0</v>
      </c>
      <c r="J1306">
        <v>18.56</v>
      </c>
      <c r="K1306">
        <v>24.65</v>
      </c>
      <c r="L1306">
        <v>13.83</v>
      </c>
      <c r="M1306">
        <v>0.9</v>
      </c>
      <c r="N1306">
        <v>0.0</v>
      </c>
      <c r="O1306">
        <v>18.5</v>
      </c>
      <c r="P1306">
        <v>23.56</v>
      </c>
      <c r="Q1306">
        <v>15.01</v>
      </c>
      <c r="R1306">
        <v>2.22</v>
      </c>
    </row>
    <row r="1307">
      <c r="A1307" s="9">
        <v>39838</v>
      </c>
      <c r="B1307" s="2" t="inlineStr">
        <is>
          <t xml:space="preserve">2009-01</t>
        </is>
      </c>
      <c r="C1307" s="2" t="inlineStr">
        <is>
          <t xml:space="preserve">2008/09</t>
        </is>
      </c>
      <c r="D1307">
        <v>0.0</v>
      </c>
      <c r="E1307">
        <v>16.82</v>
      </c>
      <c r="F1307">
        <v>22.15</v>
      </c>
      <c r="G1307">
        <v>13.4</v>
      </c>
      <c r="H1307">
        <v>0.99</v>
      </c>
      <c r="I1307">
        <v>1.504</v>
      </c>
      <c r="J1307">
        <v>17.15</v>
      </c>
      <c r="K1307">
        <v>22.07</v>
      </c>
      <c r="L1307">
        <v>14.23</v>
      </c>
      <c r="M1307">
        <v>2.67</v>
      </c>
      <c r="N1307">
        <v>6.121</v>
      </c>
      <c r="O1307">
        <v>16.82</v>
      </c>
      <c r="P1307">
        <v>21.13</v>
      </c>
      <c r="Q1307">
        <v>14.33</v>
      </c>
      <c r="R1307">
        <v>5.69</v>
      </c>
    </row>
    <row r="1308">
      <c r="A1308" s="9">
        <v>39839</v>
      </c>
      <c r="B1308" s="2" t="inlineStr">
        <is>
          <t xml:space="preserve">2009-01</t>
        </is>
      </c>
      <c r="C1308" s="2" t="inlineStr">
        <is>
          <t xml:space="preserve">2008/09</t>
        </is>
      </c>
      <c r="D1308">
        <v>0.0</v>
      </c>
      <c r="E1308">
        <v>17.52</v>
      </c>
      <c r="F1308">
        <v>23.96</v>
      </c>
      <c r="G1308">
        <v>12.75</v>
      </c>
      <c r="H1308">
        <v>0.02</v>
      </c>
      <c r="I1308">
        <v>0.0</v>
      </c>
      <c r="J1308">
        <v>17.41</v>
      </c>
      <c r="K1308">
        <v>22.93</v>
      </c>
      <c r="L1308">
        <v>13.42</v>
      </c>
      <c r="M1308">
        <v>0.02</v>
      </c>
      <c r="N1308">
        <v>0.086</v>
      </c>
      <c r="O1308">
        <v>17.47</v>
      </c>
      <c r="P1308">
        <v>22.54</v>
      </c>
      <c r="Q1308">
        <v>13.39</v>
      </c>
      <c r="R1308">
        <v>0.03</v>
      </c>
    </row>
    <row r="1309">
      <c r="A1309" s="9">
        <v>39840</v>
      </c>
      <c r="B1309" s="2" t="inlineStr">
        <is>
          <t xml:space="preserve">2009-01</t>
        </is>
      </c>
      <c r="C1309" s="2" t="inlineStr">
        <is>
          <t xml:space="preserve">2008/09</t>
        </is>
      </c>
      <c r="D1309">
        <v>0.0</v>
      </c>
      <c r="E1309">
        <v>18.76</v>
      </c>
      <c r="F1309">
        <v>24.6</v>
      </c>
      <c r="G1309">
        <v>14.38</v>
      </c>
      <c r="H1309">
        <v>0.1</v>
      </c>
      <c r="I1309">
        <v>0.0</v>
      </c>
      <c r="J1309">
        <v>19.28</v>
      </c>
      <c r="K1309">
        <v>24.98</v>
      </c>
      <c r="L1309">
        <v>14.66</v>
      </c>
      <c r="M1309">
        <v>0.01</v>
      </c>
      <c r="N1309">
        <v>0.0</v>
      </c>
      <c r="O1309">
        <v>19.47</v>
      </c>
      <c r="P1309">
        <v>24.34</v>
      </c>
      <c r="Q1309">
        <v>15.58</v>
      </c>
      <c r="R1309">
        <v>0.0</v>
      </c>
    </row>
    <row r="1310">
      <c r="A1310" s="9">
        <v>39841</v>
      </c>
      <c r="B1310" s="2" t="inlineStr">
        <is>
          <t xml:space="preserve">2009-01</t>
        </is>
      </c>
      <c r="C1310" s="2" t="inlineStr">
        <is>
          <t xml:space="preserve">2008/09</t>
        </is>
      </c>
      <c r="D1310">
        <v>0.11</v>
      </c>
      <c r="E1310">
        <v>18.63</v>
      </c>
      <c r="F1310">
        <v>25.55</v>
      </c>
      <c r="G1310">
        <v>13.05</v>
      </c>
      <c r="H1310">
        <v>0.12</v>
      </c>
      <c r="I1310">
        <v>0.0</v>
      </c>
      <c r="J1310">
        <v>19.9</v>
      </c>
      <c r="K1310">
        <v>26.03</v>
      </c>
      <c r="L1310">
        <v>15.66</v>
      </c>
      <c r="M1310">
        <v>0.01</v>
      </c>
      <c r="N1310">
        <v>0.0</v>
      </c>
      <c r="O1310">
        <v>19.67</v>
      </c>
      <c r="P1310">
        <v>24.68</v>
      </c>
      <c r="Q1310">
        <v>16.61</v>
      </c>
      <c r="R1310">
        <v>0.01</v>
      </c>
    </row>
    <row r="1311">
      <c r="A1311" s="9">
        <v>39842</v>
      </c>
      <c r="B1311" s="2" t="inlineStr">
        <is>
          <t xml:space="preserve">2009-01</t>
        </is>
      </c>
      <c r="C1311" s="2" t="inlineStr">
        <is>
          <t xml:space="preserve">2008/09</t>
        </is>
      </c>
      <c r="D1311">
        <v>0.0</v>
      </c>
      <c r="E1311">
        <v>19.56</v>
      </c>
      <c r="F1311">
        <v>26.15</v>
      </c>
      <c r="G1311">
        <v>14.59</v>
      </c>
      <c r="H1311">
        <v>0.09</v>
      </c>
      <c r="I1311">
        <v>0.0</v>
      </c>
      <c r="J1311">
        <v>19.84</v>
      </c>
      <c r="K1311">
        <v>25.93</v>
      </c>
      <c r="L1311">
        <v>15.15</v>
      </c>
      <c r="M1311">
        <v>0.08</v>
      </c>
      <c r="N1311">
        <v>0.0</v>
      </c>
      <c r="O1311">
        <v>20.05</v>
      </c>
      <c r="P1311">
        <v>25.19</v>
      </c>
      <c r="Q1311">
        <v>16.59</v>
      </c>
      <c r="R1311">
        <v>0.07</v>
      </c>
    </row>
    <row r="1312">
      <c r="A1312" s="9">
        <v>39843</v>
      </c>
      <c r="B1312" s="2" t="inlineStr">
        <is>
          <t xml:space="preserve">2009-01</t>
        </is>
      </c>
      <c r="C1312" s="2" t="inlineStr">
        <is>
          <t xml:space="preserve">2008/09</t>
        </is>
      </c>
      <c r="D1312">
        <v>0.83</v>
      </c>
      <c r="E1312">
        <v>19.36</v>
      </c>
      <c r="F1312">
        <v>25.18</v>
      </c>
      <c r="G1312">
        <v>15.52</v>
      </c>
      <c r="H1312">
        <v>0.98</v>
      </c>
      <c r="I1312">
        <v>0.272</v>
      </c>
      <c r="J1312">
        <v>19.81</v>
      </c>
      <c r="K1312">
        <v>25.4</v>
      </c>
      <c r="L1312">
        <v>15.63</v>
      </c>
      <c r="M1312">
        <v>0.39</v>
      </c>
      <c r="N1312">
        <v>0.484</v>
      </c>
      <c r="O1312">
        <v>19.9</v>
      </c>
      <c r="P1312">
        <v>24.68</v>
      </c>
      <c r="Q1312">
        <v>16.78</v>
      </c>
      <c r="R1312">
        <v>0.68</v>
      </c>
    </row>
    <row r="1313">
      <c r="A1313" s="9">
        <v>39844</v>
      </c>
      <c r="B1313" s="2" t="inlineStr">
        <is>
          <t xml:space="preserve">2009-01</t>
        </is>
      </c>
      <c r="C1313" s="2" t="inlineStr">
        <is>
          <t xml:space="preserve">2008/09</t>
        </is>
      </c>
      <c r="D1313">
        <v>0.477</v>
      </c>
      <c r="E1313">
        <v>18.38</v>
      </c>
      <c r="F1313">
        <v>23.99</v>
      </c>
      <c r="G1313">
        <v>14.93</v>
      </c>
      <c r="H1313">
        <v>1.58</v>
      </c>
      <c r="I1313">
        <v>0.0</v>
      </c>
      <c r="J1313">
        <v>19.21</v>
      </c>
      <c r="K1313">
        <v>24.12</v>
      </c>
      <c r="L1313">
        <v>15.6</v>
      </c>
      <c r="M1313">
        <v>2.99</v>
      </c>
      <c r="N1313">
        <v>0.632</v>
      </c>
      <c r="O1313">
        <v>18.92</v>
      </c>
      <c r="P1313">
        <v>23.1</v>
      </c>
      <c r="Q1313">
        <v>15.96</v>
      </c>
      <c r="R1313">
        <v>11.63</v>
      </c>
    </row>
    <row r="1314">
      <c r="A1314" s="9">
        <v>39845</v>
      </c>
      <c r="B1314" s="2" t="inlineStr">
        <is>
          <t xml:space="preserve">2009-02</t>
        </is>
      </c>
      <c r="C1314" s="2" t="inlineStr">
        <is>
          <t xml:space="preserve">2008/09</t>
        </is>
      </c>
      <c r="D1314">
        <v>0.0</v>
      </c>
      <c r="E1314">
        <v>19.05</v>
      </c>
      <c r="F1314">
        <v>24.99</v>
      </c>
      <c r="G1314">
        <v>14.56</v>
      </c>
      <c r="H1314">
        <v>1.64</v>
      </c>
      <c r="I1314">
        <v>1.1</v>
      </c>
      <c r="J1314">
        <v>19.16</v>
      </c>
      <c r="K1314">
        <v>24.56</v>
      </c>
      <c r="L1314">
        <v>15.54</v>
      </c>
      <c r="M1314">
        <v>4.65</v>
      </c>
      <c r="N1314">
        <v>4.981</v>
      </c>
      <c r="O1314">
        <v>19.16</v>
      </c>
      <c r="P1314">
        <v>23.68</v>
      </c>
      <c r="Q1314">
        <v>16.47</v>
      </c>
      <c r="R1314">
        <v>13.98</v>
      </c>
    </row>
    <row r="1315">
      <c r="A1315" s="9">
        <v>39846</v>
      </c>
      <c r="B1315" s="2" t="inlineStr">
        <is>
          <t xml:space="preserve">2009-02</t>
        </is>
      </c>
      <c r="C1315" s="2" t="inlineStr">
        <is>
          <t xml:space="preserve">2008/09</t>
        </is>
      </c>
      <c r="D1315">
        <v>0.0</v>
      </c>
      <c r="E1315">
        <v>20.07</v>
      </c>
      <c r="F1315">
        <v>27.07</v>
      </c>
      <c r="G1315">
        <v>15.21</v>
      </c>
      <c r="H1315">
        <v>0.09</v>
      </c>
      <c r="I1315">
        <v>0.0</v>
      </c>
      <c r="J1315">
        <v>20.79</v>
      </c>
      <c r="K1315">
        <v>27.23</v>
      </c>
      <c r="L1315">
        <v>15.82</v>
      </c>
      <c r="M1315">
        <v>0.61</v>
      </c>
      <c r="N1315">
        <v>0.0</v>
      </c>
      <c r="O1315">
        <v>20.41</v>
      </c>
      <c r="P1315">
        <v>26.06</v>
      </c>
      <c r="Q1315">
        <v>16.3</v>
      </c>
      <c r="R1315">
        <v>0.69</v>
      </c>
    </row>
    <row r="1316">
      <c r="A1316" s="9">
        <v>39847</v>
      </c>
      <c r="B1316" s="2" t="inlineStr">
        <is>
          <t xml:space="preserve">2009-02</t>
        </is>
      </c>
      <c r="C1316" s="2" t="inlineStr">
        <is>
          <t xml:space="preserve">2008/09</t>
        </is>
      </c>
      <c r="D1316">
        <v>0.514</v>
      </c>
      <c r="E1316">
        <v>18.54</v>
      </c>
      <c r="F1316">
        <v>23.88</v>
      </c>
      <c r="G1316">
        <v>15.01</v>
      </c>
      <c r="H1316">
        <v>3.9</v>
      </c>
      <c r="I1316">
        <v>2.087</v>
      </c>
      <c r="J1316">
        <v>19.82</v>
      </c>
      <c r="K1316">
        <v>24.55</v>
      </c>
      <c r="L1316">
        <v>16.74</v>
      </c>
      <c r="M1316">
        <v>6.52</v>
      </c>
      <c r="N1316">
        <v>8.646</v>
      </c>
      <c r="O1316">
        <v>19.46</v>
      </c>
      <c r="P1316">
        <v>23.1</v>
      </c>
      <c r="Q1316">
        <v>17.47</v>
      </c>
      <c r="R1316">
        <v>15.43</v>
      </c>
    </row>
    <row r="1317">
      <c r="A1317" s="9">
        <v>39848</v>
      </c>
      <c r="B1317" s="2" t="inlineStr">
        <is>
          <t xml:space="preserve">2009-02</t>
        </is>
      </c>
      <c r="C1317" s="2" t="inlineStr">
        <is>
          <t xml:space="preserve">2008/09</t>
        </is>
      </c>
      <c r="D1317">
        <v>0.736</v>
      </c>
      <c r="E1317">
        <v>17.23</v>
      </c>
      <c r="F1317">
        <v>22.38</v>
      </c>
      <c r="G1317">
        <v>12.74</v>
      </c>
      <c r="H1317">
        <v>5.64</v>
      </c>
      <c r="I1317">
        <v>3.552</v>
      </c>
      <c r="J1317">
        <v>17.0</v>
      </c>
      <c r="K1317">
        <v>21.88</v>
      </c>
      <c r="L1317">
        <v>13.15</v>
      </c>
      <c r="M1317">
        <v>7.04</v>
      </c>
      <c r="N1317">
        <v>14.415</v>
      </c>
      <c r="O1317">
        <v>16.95</v>
      </c>
      <c r="P1317">
        <v>20.88</v>
      </c>
      <c r="Q1317">
        <v>13.89</v>
      </c>
      <c r="R1317">
        <v>13.09</v>
      </c>
    </row>
    <row r="1318">
      <c r="A1318" s="9">
        <v>39849</v>
      </c>
      <c r="B1318" s="2" t="inlineStr">
        <is>
          <t xml:space="preserve">2009-02</t>
        </is>
      </c>
      <c r="C1318" s="2" t="inlineStr">
        <is>
          <t xml:space="preserve">2008/09</t>
        </is>
      </c>
      <c r="D1318">
        <v>0.597</v>
      </c>
      <c r="E1318">
        <v>14.45</v>
      </c>
      <c r="F1318">
        <v>18.52</v>
      </c>
      <c r="G1318">
        <v>11.85</v>
      </c>
      <c r="H1318">
        <v>1.35</v>
      </c>
      <c r="I1318">
        <v>1.635</v>
      </c>
      <c r="J1318">
        <v>15.06</v>
      </c>
      <c r="K1318">
        <v>19.3</v>
      </c>
      <c r="L1318">
        <v>12.77</v>
      </c>
      <c r="M1318">
        <v>2.76</v>
      </c>
      <c r="N1318">
        <v>6.019</v>
      </c>
      <c r="O1318">
        <v>15.1</v>
      </c>
      <c r="P1318">
        <v>18.22</v>
      </c>
      <c r="Q1318">
        <v>13.58</v>
      </c>
      <c r="R1318">
        <v>3.78</v>
      </c>
    </row>
    <row r="1319">
      <c r="A1319" s="9">
        <v>39850</v>
      </c>
      <c r="B1319" s="2" t="inlineStr">
        <is>
          <t xml:space="preserve">2009-02</t>
        </is>
      </c>
      <c r="C1319" s="2" t="inlineStr">
        <is>
          <t xml:space="preserve">2008/09</t>
        </is>
      </c>
      <c r="D1319">
        <v>0.02</v>
      </c>
      <c r="E1319">
        <v>14.07</v>
      </c>
      <c r="F1319">
        <v>19.16</v>
      </c>
      <c r="G1319">
        <v>11.09</v>
      </c>
      <c r="H1319">
        <v>0.58</v>
      </c>
      <c r="I1319">
        <v>1.343</v>
      </c>
      <c r="J1319">
        <v>14.38</v>
      </c>
      <c r="K1319">
        <v>18.52</v>
      </c>
      <c r="L1319">
        <v>12.06</v>
      </c>
      <c r="M1319">
        <v>1.86</v>
      </c>
      <c r="N1319">
        <v>5.027</v>
      </c>
      <c r="O1319">
        <v>14.46</v>
      </c>
      <c r="P1319">
        <v>17.21</v>
      </c>
      <c r="Q1319">
        <v>12.95</v>
      </c>
      <c r="R1319">
        <v>2.75</v>
      </c>
    </row>
    <row r="1320">
      <c r="A1320" s="9">
        <v>39851</v>
      </c>
      <c r="B1320" s="2" t="inlineStr">
        <is>
          <t xml:space="preserve">2009-02</t>
        </is>
      </c>
      <c r="C1320" s="2" t="inlineStr">
        <is>
          <t xml:space="preserve">2008/09</t>
        </is>
      </c>
      <c r="D1320">
        <v>0.0</v>
      </c>
      <c r="E1320">
        <v>16.04</v>
      </c>
      <c r="F1320">
        <v>22.36</v>
      </c>
      <c r="G1320">
        <v>11.68</v>
      </c>
      <c r="H1320">
        <v>0.24</v>
      </c>
      <c r="I1320">
        <v>0.691</v>
      </c>
      <c r="J1320">
        <v>14.93</v>
      </c>
      <c r="K1320">
        <v>19.4</v>
      </c>
      <c r="L1320">
        <v>11.56</v>
      </c>
      <c r="M1320">
        <v>1.19</v>
      </c>
      <c r="N1320">
        <v>2.058</v>
      </c>
      <c r="O1320">
        <v>15.03</v>
      </c>
      <c r="P1320">
        <v>18.32</v>
      </c>
      <c r="Q1320">
        <v>12.33</v>
      </c>
      <c r="R1320">
        <v>2.94</v>
      </c>
    </row>
    <row r="1321">
      <c r="A1321" s="9">
        <v>39852</v>
      </c>
      <c r="B1321" s="2" t="inlineStr">
        <is>
          <t xml:space="preserve">2009-02</t>
        </is>
      </c>
      <c r="C1321" s="2" t="inlineStr">
        <is>
          <t xml:space="preserve">2008/09</t>
        </is>
      </c>
      <c r="D1321">
        <v>0.0</v>
      </c>
      <c r="E1321">
        <v>18.36</v>
      </c>
      <c r="F1321">
        <v>24.58</v>
      </c>
      <c r="G1321">
        <v>13.32</v>
      </c>
      <c r="H1321">
        <v>0.32</v>
      </c>
      <c r="I1321">
        <v>0.117</v>
      </c>
      <c r="J1321">
        <v>18.13</v>
      </c>
      <c r="K1321">
        <v>24.2</v>
      </c>
      <c r="L1321">
        <v>13.66</v>
      </c>
      <c r="M1321">
        <v>0.33</v>
      </c>
      <c r="N1321">
        <v>0.589</v>
      </c>
      <c r="O1321">
        <v>17.88</v>
      </c>
      <c r="P1321">
        <v>23.12</v>
      </c>
      <c r="Q1321">
        <v>14.13</v>
      </c>
      <c r="R1321">
        <v>0.68</v>
      </c>
    </row>
    <row r="1322">
      <c r="A1322" s="9">
        <v>39853</v>
      </c>
      <c r="B1322" s="2" t="inlineStr">
        <is>
          <t xml:space="preserve">2009-02</t>
        </is>
      </c>
      <c r="C1322" s="2" t="inlineStr">
        <is>
          <t xml:space="preserve">2008/09</t>
        </is>
      </c>
      <c r="D1322">
        <v>0.0</v>
      </c>
      <c r="E1322">
        <v>19.34</v>
      </c>
      <c r="F1322">
        <v>25.33</v>
      </c>
      <c r="G1322">
        <v>14.88</v>
      </c>
      <c r="H1322">
        <v>0.81</v>
      </c>
      <c r="I1322">
        <v>0.061</v>
      </c>
      <c r="J1322">
        <v>19.62</v>
      </c>
      <c r="K1322">
        <v>25.86</v>
      </c>
      <c r="L1322">
        <v>14.62</v>
      </c>
      <c r="M1322">
        <v>0.49</v>
      </c>
      <c r="N1322">
        <v>0.746</v>
      </c>
      <c r="O1322">
        <v>19.31</v>
      </c>
      <c r="P1322">
        <v>24.45</v>
      </c>
      <c r="Q1322">
        <v>15.54</v>
      </c>
      <c r="R1322">
        <v>1.41</v>
      </c>
    </row>
    <row r="1323">
      <c r="A1323" s="9">
        <v>39854</v>
      </c>
      <c r="B1323" s="2" t="inlineStr">
        <is>
          <t xml:space="preserve">2009-02</t>
        </is>
      </c>
      <c r="C1323" s="2" t="inlineStr">
        <is>
          <t xml:space="preserve">2008/09</t>
        </is>
      </c>
      <c r="D1323">
        <v>0.0</v>
      </c>
      <c r="E1323">
        <v>19.07</v>
      </c>
      <c r="F1323">
        <v>25.92</v>
      </c>
      <c r="G1323">
        <v>13.75</v>
      </c>
      <c r="H1323">
        <v>0.01</v>
      </c>
      <c r="I1323">
        <v>0.0</v>
      </c>
      <c r="J1323">
        <v>19.06</v>
      </c>
      <c r="K1323">
        <v>25.28</v>
      </c>
      <c r="L1323">
        <v>14.99</v>
      </c>
      <c r="M1323">
        <v>0.07</v>
      </c>
      <c r="N1323">
        <v>0.057</v>
      </c>
      <c r="O1323">
        <v>18.64</v>
      </c>
      <c r="P1323">
        <v>23.39</v>
      </c>
      <c r="Q1323">
        <v>15.4</v>
      </c>
      <c r="R1323">
        <v>0.28</v>
      </c>
    </row>
    <row r="1324">
      <c r="A1324" s="9">
        <v>39855</v>
      </c>
      <c r="B1324" s="2" t="inlineStr">
        <is>
          <t xml:space="preserve">2009-02</t>
        </is>
      </c>
      <c r="C1324" s="2" t="inlineStr">
        <is>
          <t xml:space="preserve">2008/09</t>
        </is>
      </c>
      <c r="D1324">
        <v>0.0</v>
      </c>
      <c r="E1324">
        <v>20.0</v>
      </c>
      <c r="F1324">
        <v>26.71</v>
      </c>
      <c r="G1324">
        <v>14.27</v>
      </c>
      <c r="H1324">
        <v>0.07</v>
      </c>
      <c r="I1324">
        <v>0.0</v>
      </c>
      <c r="J1324">
        <v>20.15</v>
      </c>
      <c r="K1324">
        <v>26.53</v>
      </c>
      <c r="L1324">
        <v>14.78</v>
      </c>
      <c r="M1324">
        <v>0.03</v>
      </c>
      <c r="N1324">
        <v>0.0</v>
      </c>
      <c r="O1324">
        <v>19.92</v>
      </c>
      <c r="P1324">
        <v>25.28</v>
      </c>
      <c r="Q1324">
        <v>15.86</v>
      </c>
      <c r="R1324">
        <v>0.03</v>
      </c>
    </row>
    <row r="1325">
      <c r="A1325" s="9">
        <v>39856</v>
      </c>
      <c r="B1325" s="2" t="inlineStr">
        <is>
          <t xml:space="preserve">2009-02</t>
        </is>
      </c>
      <c r="C1325" s="2" t="inlineStr">
        <is>
          <t xml:space="preserve">2008/09</t>
        </is>
      </c>
      <c r="D1325">
        <v>0.025</v>
      </c>
      <c r="E1325">
        <v>20.44</v>
      </c>
      <c r="F1325">
        <v>26.8</v>
      </c>
      <c r="G1325">
        <v>15.54</v>
      </c>
      <c r="H1325">
        <v>0.26</v>
      </c>
      <c r="I1325">
        <v>0.0</v>
      </c>
      <c r="J1325">
        <v>20.87</v>
      </c>
      <c r="K1325">
        <v>26.86</v>
      </c>
      <c r="L1325">
        <v>16.43</v>
      </c>
      <c r="M1325">
        <v>0.07</v>
      </c>
      <c r="N1325">
        <v>0.185</v>
      </c>
      <c r="O1325">
        <v>20.48</v>
      </c>
      <c r="P1325">
        <v>25.06</v>
      </c>
      <c r="Q1325">
        <v>17.21</v>
      </c>
      <c r="R1325">
        <v>0.11</v>
      </c>
    </row>
    <row r="1326">
      <c r="A1326" s="9">
        <v>39857</v>
      </c>
      <c r="B1326" s="2" t="inlineStr">
        <is>
          <t xml:space="preserve">2009-02</t>
        </is>
      </c>
      <c r="C1326" s="2" t="inlineStr">
        <is>
          <t xml:space="preserve">2008/09</t>
        </is>
      </c>
      <c r="D1326">
        <v>0.0</v>
      </c>
      <c r="E1326">
        <v>20.43</v>
      </c>
      <c r="F1326">
        <v>27.06</v>
      </c>
      <c r="G1326">
        <v>15.04</v>
      </c>
      <c r="H1326">
        <v>0.18</v>
      </c>
      <c r="I1326">
        <v>0.0</v>
      </c>
      <c r="J1326">
        <v>21.07</v>
      </c>
      <c r="K1326">
        <v>27.13</v>
      </c>
      <c r="L1326">
        <v>16.61</v>
      </c>
      <c r="M1326">
        <v>0.03</v>
      </c>
      <c r="N1326">
        <v>0.162</v>
      </c>
      <c r="O1326">
        <v>20.51</v>
      </c>
      <c r="P1326">
        <v>25.16</v>
      </c>
      <c r="Q1326">
        <v>17.21</v>
      </c>
      <c r="R1326">
        <v>0.05</v>
      </c>
    </row>
    <row r="1327">
      <c r="A1327" s="9">
        <v>39858</v>
      </c>
      <c r="B1327" s="2" t="inlineStr">
        <is>
          <t xml:space="preserve">2009-02</t>
        </is>
      </c>
      <c r="C1327" s="2" t="inlineStr">
        <is>
          <t xml:space="preserve">2008/09</t>
        </is>
      </c>
      <c r="D1327">
        <v>0.0</v>
      </c>
      <c r="E1327">
        <v>21.01</v>
      </c>
      <c r="F1327">
        <v>27.78</v>
      </c>
      <c r="G1327">
        <v>15.4</v>
      </c>
      <c r="H1327">
        <v>0.3</v>
      </c>
      <c r="I1327">
        <v>0.0</v>
      </c>
      <c r="J1327">
        <v>21.07</v>
      </c>
      <c r="K1327">
        <v>25.51</v>
      </c>
      <c r="L1327">
        <v>17.35</v>
      </c>
      <c r="M1327">
        <v>0.2</v>
      </c>
      <c r="N1327">
        <v>0.0</v>
      </c>
      <c r="O1327">
        <v>20.65</v>
      </c>
      <c r="P1327">
        <v>24.65</v>
      </c>
      <c r="Q1327">
        <v>17.83</v>
      </c>
      <c r="R1327">
        <v>0.22</v>
      </c>
    </row>
    <row r="1328">
      <c r="A1328" s="9">
        <v>39859</v>
      </c>
      <c r="B1328" s="2" t="inlineStr">
        <is>
          <t xml:space="preserve">2009-02</t>
        </is>
      </c>
      <c r="C1328" s="2" t="inlineStr">
        <is>
          <t xml:space="preserve">2008/09</t>
        </is>
      </c>
      <c r="D1328">
        <v>2.321</v>
      </c>
      <c r="E1328">
        <v>21.46</v>
      </c>
      <c r="F1328">
        <v>28.74</v>
      </c>
      <c r="G1328">
        <v>15.57</v>
      </c>
      <c r="H1328">
        <v>0.87</v>
      </c>
      <c r="I1328">
        <v>0.911</v>
      </c>
      <c r="J1328">
        <v>22.08</v>
      </c>
      <c r="K1328">
        <v>27.67</v>
      </c>
      <c r="L1328">
        <v>18.24</v>
      </c>
      <c r="M1328">
        <v>1.08</v>
      </c>
      <c r="N1328">
        <v>2.194</v>
      </c>
      <c r="O1328">
        <v>21.49</v>
      </c>
      <c r="P1328">
        <v>26.76</v>
      </c>
      <c r="Q1328">
        <v>18.33</v>
      </c>
      <c r="R1328">
        <v>1.27</v>
      </c>
    </row>
    <row r="1329">
      <c r="A1329" s="9">
        <v>39860</v>
      </c>
      <c r="B1329" s="2" t="inlineStr">
        <is>
          <t xml:space="preserve">2009-02</t>
        </is>
      </c>
      <c r="C1329" s="2" t="inlineStr">
        <is>
          <t xml:space="preserve">2008/09</t>
        </is>
      </c>
      <c r="D1329">
        <v>0.0</v>
      </c>
      <c r="E1329">
        <v>20.58</v>
      </c>
      <c r="F1329">
        <v>27.13</v>
      </c>
      <c r="G1329">
        <v>16.38</v>
      </c>
      <c r="H1329">
        <v>0.03</v>
      </c>
      <c r="I1329">
        <v>0.0</v>
      </c>
      <c r="J1329">
        <v>20.44</v>
      </c>
      <c r="K1329">
        <v>25.77</v>
      </c>
      <c r="L1329">
        <v>16.78</v>
      </c>
      <c r="M1329">
        <v>0.23</v>
      </c>
      <c r="N1329">
        <v>0.0</v>
      </c>
      <c r="O1329">
        <v>20.06</v>
      </c>
      <c r="P1329">
        <v>24.14</v>
      </c>
      <c r="Q1329">
        <v>17.43</v>
      </c>
      <c r="R1329">
        <v>0.52</v>
      </c>
    </row>
    <row r="1330">
      <c r="A1330" s="9">
        <v>39861</v>
      </c>
      <c r="B1330" s="2" t="inlineStr">
        <is>
          <t xml:space="preserve">2009-02</t>
        </is>
      </c>
      <c r="C1330" s="2" t="inlineStr">
        <is>
          <t xml:space="preserve">2008/09</t>
        </is>
      </c>
      <c r="D1330">
        <v>0.0</v>
      </c>
      <c r="E1330">
        <v>19.68</v>
      </c>
      <c r="F1330">
        <v>26.56</v>
      </c>
      <c r="G1330">
        <v>15.15</v>
      </c>
      <c r="H1330">
        <v>0.05</v>
      </c>
      <c r="I1330">
        <v>0.228</v>
      </c>
      <c r="J1330">
        <v>19.04</v>
      </c>
      <c r="K1330">
        <v>24.64</v>
      </c>
      <c r="L1330">
        <v>15.24</v>
      </c>
      <c r="M1330">
        <v>0.42</v>
      </c>
      <c r="N1330">
        <v>0.939</v>
      </c>
      <c r="O1330">
        <v>18.85</v>
      </c>
      <c r="P1330">
        <v>23.17</v>
      </c>
      <c r="Q1330">
        <v>16.27</v>
      </c>
      <c r="R1330">
        <v>1.08</v>
      </c>
    </row>
    <row r="1331">
      <c r="A1331" s="9">
        <v>39862</v>
      </c>
      <c r="B1331" s="2" t="inlineStr">
        <is>
          <t xml:space="preserve">2009-02</t>
        </is>
      </c>
      <c r="C1331" s="2" t="inlineStr">
        <is>
          <t xml:space="preserve">2008/09</t>
        </is>
      </c>
      <c r="D1331">
        <v>0.0</v>
      </c>
      <c r="E1331">
        <v>19.56</v>
      </c>
      <c r="F1331">
        <v>27.53</v>
      </c>
      <c r="G1331">
        <v>13.7</v>
      </c>
      <c r="H1331">
        <v>0.0</v>
      </c>
      <c r="I1331">
        <v>0.0</v>
      </c>
      <c r="J1331">
        <v>19.72</v>
      </c>
      <c r="K1331">
        <v>26.78</v>
      </c>
      <c r="L1331">
        <v>13.49</v>
      </c>
      <c r="M1331">
        <v>0.0</v>
      </c>
      <c r="N1331">
        <v>0.0</v>
      </c>
      <c r="O1331">
        <v>18.88</v>
      </c>
      <c r="P1331">
        <v>24.43</v>
      </c>
      <c r="Q1331">
        <v>14.57</v>
      </c>
      <c r="R1331">
        <v>0.0</v>
      </c>
    </row>
    <row r="1332">
      <c r="A1332" s="9">
        <v>39863</v>
      </c>
      <c r="B1332" s="2" t="inlineStr">
        <is>
          <t xml:space="preserve">2009-02</t>
        </is>
      </c>
      <c r="C1332" s="2" t="inlineStr">
        <is>
          <t xml:space="preserve">2008/09</t>
        </is>
      </c>
      <c r="D1332">
        <v>0.0</v>
      </c>
      <c r="E1332">
        <v>21.17</v>
      </c>
      <c r="F1332">
        <v>29.65</v>
      </c>
      <c r="G1332">
        <v>14.65</v>
      </c>
      <c r="H1332">
        <v>0.04</v>
      </c>
      <c r="I1332">
        <v>0.0</v>
      </c>
      <c r="J1332">
        <v>21.47</v>
      </c>
      <c r="K1332">
        <v>28.93</v>
      </c>
      <c r="L1332">
        <v>15.5</v>
      </c>
      <c r="M1332">
        <v>0.1</v>
      </c>
      <c r="N1332">
        <v>0.0</v>
      </c>
      <c r="O1332">
        <v>20.61</v>
      </c>
      <c r="P1332">
        <v>26.51</v>
      </c>
      <c r="Q1332">
        <v>16.16</v>
      </c>
      <c r="R1332">
        <v>0.27</v>
      </c>
    </row>
    <row r="1333">
      <c r="A1333" s="9">
        <v>39864</v>
      </c>
      <c r="B1333" s="2" t="inlineStr">
        <is>
          <t xml:space="preserve">2009-02</t>
        </is>
      </c>
      <c r="C1333" s="2" t="inlineStr">
        <is>
          <t xml:space="preserve">2008/09</t>
        </is>
      </c>
      <c r="D1333">
        <v>0.034</v>
      </c>
      <c r="E1333">
        <v>20.32</v>
      </c>
      <c r="F1333">
        <v>26.44</v>
      </c>
      <c r="G1333">
        <v>16.21</v>
      </c>
      <c r="H1333">
        <v>1.63</v>
      </c>
      <c r="I1333">
        <v>0.046</v>
      </c>
      <c r="J1333">
        <v>20.36</v>
      </c>
      <c r="K1333">
        <v>26.07</v>
      </c>
      <c r="L1333">
        <v>16.6</v>
      </c>
      <c r="M1333">
        <v>1.79</v>
      </c>
      <c r="N1333">
        <v>2.256</v>
      </c>
      <c r="O1333">
        <v>19.69</v>
      </c>
      <c r="P1333">
        <v>24.27</v>
      </c>
      <c r="Q1333">
        <v>16.88</v>
      </c>
      <c r="R1333">
        <v>4.01</v>
      </c>
    </row>
    <row r="1334">
      <c r="A1334" s="9">
        <v>39865</v>
      </c>
      <c r="B1334" s="2" t="inlineStr">
        <is>
          <t xml:space="preserve">2009-02</t>
        </is>
      </c>
      <c r="C1334" s="2" t="inlineStr">
        <is>
          <t xml:space="preserve">2008/09</t>
        </is>
      </c>
      <c r="D1334">
        <v>0.074</v>
      </c>
      <c r="E1334">
        <v>19.27</v>
      </c>
      <c r="F1334">
        <v>25.84</v>
      </c>
      <c r="G1334">
        <v>15.05</v>
      </c>
      <c r="H1334">
        <v>2.03</v>
      </c>
      <c r="I1334">
        <v>3.541</v>
      </c>
      <c r="J1334">
        <v>19.44</v>
      </c>
      <c r="K1334">
        <v>25.19</v>
      </c>
      <c r="L1334">
        <v>15.78</v>
      </c>
      <c r="M1334">
        <v>3.96</v>
      </c>
      <c r="N1334">
        <v>9.501</v>
      </c>
      <c r="O1334">
        <v>18.92</v>
      </c>
      <c r="P1334">
        <v>23.31</v>
      </c>
      <c r="Q1334">
        <v>16.49</v>
      </c>
      <c r="R1334">
        <v>5.72</v>
      </c>
    </row>
    <row r="1335">
      <c r="A1335" s="9">
        <v>39866</v>
      </c>
      <c r="B1335" s="2" t="inlineStr">
        <is>
          <t xml:space="preserve">2009-02</t>
        </is>
      </c>
      <c r="C1335" s="2" t="inlineStr">
        <is>
          <t xml:space="preserve">2008/09</t>
        </is>
      </c>
      <c r="D1335">
        <v>0.0</v>
      </c>
      <c r="E1335">
        <v>19.34</v>
      </c>
      <c r="F1335">
        <v>26.16</v>
      </c>
      <c r="G1335">
        <v>14.36</v>
      </c>
      <c r="H1335">
        <v>0.91</v>
      </c>
      <c r="I1335">
        <v>0.0</v>
      </c>
      <c r="J1335">
        <v>19.03</v>
      </c>
      <c r="K1335">
        <v>24.56</v>
      </c>
      <c r="L1335">
        <v>15.04</v>
      </c>
      <c r="M1335">
        <v>0.53</v>
      </c>
      <c r="N1335">
        <v>0.0</v>
      </c>
      <c r="O1335">
        <v>18.64</v>
      </c>
      <c r="P1335">
        <v>23.06</v>
      </c>
      <c r="Q1335">
        <v>15.28</v>
      </c>
      <c r="R1335">
        <v>0.88</v>
      </c>
    </row>
    <row r="1336">
      <c r="A1336" s="9">
        <v>39867</v>
      </c>
      <c r="B1336" s="2" t="inlineStr">
        <is>
          <t xml:space="preserve">2009-02</t>
        </is>
      </c>
      <c r="C1336" s="2" t="inlineStr">
        <is>
          <t xml:space="preserve">2008/09</t>
        </is>
      </c>
      <c r="D1336">
        <v>0.0</v>
      </c>
      <c r="E1336">
        <v>18.66</v>
      </c>
      <c r="F1336">
        <v>24.46</v>
      </c>
      <c r="G1336">
        <v>15.39</v>
      </c>
      <c r="H1336">
        <v>1.89</v>
      </c>
      <c r="I1336">
        <v>0.909</v>
      </c>
      <c r="J1336">
        <v>18.42</v>
      </c>
      <c r="K1336">
        <v>23.14</v>
      </c>
      <c r="L1336">
        <v>15.44</v>
      </c>
      <c r="M1336">
        <v>5.77</v>
      </c>
      <c r="N1336">
        <v>3.643</v>
      </c>
      <c r="O1336">
        <v>18.23</v>
      </c>
      <c r="P1336">
        <v>22.3</v>
      </c>
      <c r="Q1336">
        <v>15.93</v>
      </c>
      <c r="R1336">
        <v>10.56</v>
      </c>
    </row>
    <row r="1337">
      <c r="A1337" s="9">
        <v>39868</v>
      </c>
      <c r="B1337" s="2" t="inlineStr">
        <is>
          <t xml:space="preserve">2009-02</t>
        </is>
      </c>
      <c r="C1337" s="2" t="inlineStr">
        <is>
          <t xml:space="preserve">2008/09</t>
        </is>
      </c>
      <c r="D1337">
        <v>0.117</v>
      </c>
      <c r="E1337">
        <v>18.75</v>
      </c>
      <c r="F1337">
        <v>25.42</v>
      </c>
      <c r="G1337">
        <v>14.8</v>
      </c>
      <c r="H1337">
        <v>2.79</v>
      </c>
      <c r="I1337">
        <v>12.348</v>
      </c>
      <c r="J1337">
        <v>18.07</v>
      </c>
      <c r="K1337">
        <v>23.24</v>
      </c>
      <c r="L1337">
        <v>14.85</v>
      </c>
      <c r="M1337">
        <v>15.95</v>
      </c>
      <c r="N1337">
        <v>45.982</v>
      </c>
      <c r="O1337">
        <v>18.0</v>
      </c>
      <c r="P1337">
        <v>22.29</v>
      </c>
      <c r="Q1337">
        <v>15.65</v>
      </c>
      <c r="R1337">
        <v>21.67</v>
      </c>
    </row>
    <row r="1338">
      <c r="A1338" s="9">
        <v>39869</v>
      </c>
      <c r="B1338" s="2" t="inlineStr">
        <is>
          <t xml:space="preserve">2009-02</t>
        </is>
      </c>
      <c r="C1338" s="2" t="inlineStr">
        <is>
          <t xml:space="preserve">2008/09</t>
        </is>
      </c>
      <c r="D1338">
        <v>0.0</v>
      </c>
      <c r="E1338">
        <v>19.25</v>
      </c>
      <c r="F1338">
        <v>25.47</v>
      </c>
      <c r="G1338">
        <v>15.16</v>
      </c>
      <c r="H1338">
        <v>1.01</v>
      </c>
      <c r="I1338">
        <v>0.844</v>
      </c>
      <c r="J1338">
        <v>18.98</v>
      </c>
      <c r="K1338">
        <v>24.84</v>
      </c>
      <c r="L1338">
        <v>14.9</v>
      </c>
      <c r="M1338">
        <v>1.88</v>
      </c>
      <c r="N1338">
        <v>3.594</v>
      </c>
      <c r="O1338">
        <v>18.83</v>
      </c>
      <c r="P1338">
        <v>23.67</v>
      </c>
      <c r="Q1338">
        <v>15.45</v>
      </c>
      <c r="R1338">
        <v>4.43</v>
      </c>
    </row>
    <row r="1339">
      <c r="A1339" s="9">
        <v>39870</v>
      </c>
      <c r="B1339" s="2" t="inlineStr">
        <is>
          <t xml:space="preserve">2009-02</t>
        </is>
      </c>
      <c r="C1339" s="2" t="inlineStr">
        <is>
          <t xml:space="preserve">2008/09</t>
        </is>
      </c>
      <c r="D1339">
        <v>0.0</v>
      </c>
      <c r="E1339">
        <v>19.74</v>
      </c>
      <c r="F1339">
        <v>26.88</v>
      </c>
      <c r="G1339">
        <v>14.52</v>
      </c>
      <c r="H1339">
        <v>0.32</v>
      </c>
      <c r="I1339">
        <v>0.0</v>
      </c>
      <c r="J1339">
        <v>19.47</v>
      </c>
      <c r="K1339">
        <v>25.43</v>
      </c>
      <c r="L1339">
        <v>14.92</v>
      </c>
      <c r="M1339">
        <v>0.0</v>
      </c>
      <c r="N1339">
        <v>0.0</v>
      </c>
      <c r="O1339">
        <v>19.05</v>
      </c>
      <c r="P1339">
        <v>23.9</v>
      </c>
      <c r="Q1339">
        <v>15.22</v>
      </c>
      <c r="R1339">
        <v>0.0</v>
      </c>
    </row>
    <row r="1340">
      <c r="A1340" s="9">
        <v>39871</v>
      </c>
      <c r="B1340" s="2" t="inlineStr">
        <is>
          <t xml:space="preserve">2009-02</t>
        </is>
      </c>
      <c r="C1340" s="2" t="inlineStr">
        <is>
          <t xml:space="preserve">2008/09</t>
        </is>
      </c>
      <c r="D1340">
        <v>0.0</v>
      </c>
      <c r="E1340">
        <v>20.26</v>
      </c>
      <c r="F1340">
        <v>27.62</v>
      </c>
      <c r="G1340">
        <v>14.97</v>
      </c>
      <c r="H1340">
        <v>0.58</v>
      </c>
      <c r="I1340">
        <v>0.0</v>
      </c>
      <c r="J1340">
        <v>20.32</v>
      </c>
      <c r="K1340">
        <v>26.67</v>
      </c>
      <c r="L1340">
        <v>15.07</v>
      </c>
      <c r="M1340">
        <v>0.0</v>
      </c>
      <c r="N1340">
        <v>0.0</v>
      </c>
      <c r="O1340">
        <v>19.46</v>
      </c>
      <c r="P1340">
        <v>24.54</v>
      </c>
      <c r="Q1340">
        <v>15.37</v>
      </c>
      <c r="R1340">
        <v>0.01</v>
      </c>
    </row>
    <row r="1341">
      <c r="A1341" s="9">
        <v>39872</v>
      </c>
      <c r="B1341" s="2" t="inlineStr">
        <is>
          <t xml:space="preserve">2009-02</t>
        </is>
      </c>
      <c r="C1341" s="2" t="inlineStr">
        <is>
          <t xml:space="preserve">2008/09</t>
        </is>
      </c>
      <c r="D1341">
        <v>0.0</v>
      </c>
      <c r="E1341">
        <v>21.2</v>
      </c>
      <c r="F1341">
        <v>28.18</v>
      </c>
      <c r="G1341">
        <v>15.39</v>
      </c>
      <c r="H1341">
        <v>0.14</v>
      </c>
      <c r="I1341">
        <v>0.0</v>
      </c>
      <c r="J1341">
        <v>21.14</v>
      </c>
      <c r="K1341">
        <v>27.52</v>
      </c>
      <c r="L1341">
        <v>16.02</v>
      </c>
      <c r="M1341">
        <v>0.15</v>
      </c>
      <c r="N1341">
        <v>0.0</v>
      </c>
      <c r="O1341">
        <v>20.34</v>
      </c>
      <c r="P1341">
        <v>25.24</v>
      </c>
      <c r="Q1341">
        <v>16.55</v>
      </c>
      <c r="R1341">
        <v>0.16</v>
      </c>
    </row>
    <row r="1342">
      <c r="A1342" s="9">
        <v>39873</v>
      </c>
      <c r="B1342" s="2" t="inlineStr">
        <is>
          <t xml:space="preserve">2009-03</t>
        </is>
      </c>
      <c r="C1342" s="2" t="inlineStr">
        <is>
          <t xml:space="preserve">2008/09</t>
        </is>
      </c>
      <c r="D1342">
        <v>0.0</v>
      </c>
      <c r="E1342">
        <v>19.38</v>
      </c>
      <c r="F1342">
        <v>25.72</v>
      </c>
      <c r="G1342">
        <v>13.62</v>
      </c>
      <c r="H1342">
        <v>0.62</v>
      </c>
      <c r="I1342">
        <v>0.328</v>
      </c>
      <c r="J1342">
        <v>19.34</v>
      </c>
      <c r="K1342">
        <v>23.38</v>
      </c>
      <c r="L1342">
        <v>16.33</v>
      </c>
      <c r="M1342">
        <v>0.85</v>
      </c>
      <c r="N1342">
        <v>0.942</v>
      </c>
      <c r="O1342">
        <v>18.74</v>
      </c>
      <c r="P1342">
        <v>22.56</v>
      </c>
      <c r="Q1342">
        <v>15.48</v>
      </c>
      <c r="R1342">
        <v>2.79</v>
      </c>
    </row>
    <row r="1343">
      <c r="A1343" s="9">
        <v>39874</v>
      </c>
      <c r="B1343" s="2" t="inlineStr">
        <is>
          <t xml:space="preserve">2009-03</t>
        </is>
      </c>
      <c r="C1343" s="2" t="inlineStr">
        <is>
          <t xml:space="preserve">2008/09</t>
        </is>
      </c>
      <c r="D1343">
        <v>0.743</v>
      </c>
      <c r="E1343">
        <v>14.9</v>
      </c>
      <c r="F1343">
        <v>19.61</v>
      </c>
      <c r="G1343">
        <v>10.28</v>
      </c>
      <c r="H1343">
        <v>4.19</v>
      </c>
      <c r="I1343">
        <v>2.411</v>
      </c>
      <c r="J1343">
        <v>15.45</v>
      </c>
      <c r="K1343">
        <v>18.97</v>
      </c>
      <c r="L1343">
        <v>11.5</v>
      </c>
      <c r="M1343">
        <v>5.17</v>
      </c>
      <c r="N1343">
        <v>9.795</v>
      </c>
      <c r="O1343">
        <v>14.68</v>
      </c>
      <c r="P1343">
        <v>16.95</v>
      </c>
      <c r="Q1343">
        <v>10.21</v>
      </c>
      <c r="R1343">
        <v>8.79</v>
      </c>
    </row>
    <row r="1344">
      <c r="A1344" s="9">
        <v>39875</v>
      </c>
      <c r="B1344" s="2" t="inlineStr">
        <is>
          <t xml:space="preserve">2009-03</t>
        </is>
      </c>
      <c r="C1344" s="2" t="inlineStr">
        <is>
          <t xml:space="preserve">2008/09</t>
        </is>
      </c>
      <c r="D1344">
        <v>0.0</v>
      </c>
      <c r="E1344">
        <v>14.91</v>
      </c>
      <c r="F1344">
        <v>22.85</v>
      </c>
      <c r="G1344">
        <v>9.28</v>
      </c>
      <c r="H1344">
        <v>0.06</v>
      </c>
      <c r="I1344">
        <v>0.0</v>
      </c>
      <c r="J1344">
        <v>14.52</v>
      </c>
      <c r="K1344">
        <v>20.92</v>
      </c>
      <c r="L1344">
        <v>9.87</v>
      </c>
      <c r="M1344">
        <v>0.04</v>
      </c>
      <c r="N1344">
        <v>0.0</v>
      </c>
      <c r="O1344">
        <v>13.8</v>
      </c>
      <c r="P1344">
        <v>19.34</v>
      </c>
      <c r="Q1344">
        <v>9.05</v>
      </c>
      <c r="R1344">
        <v>0.04</v>
      </c>
    </row>
    <row r="1345">
      <c r="A1345" s="9">
        <v>39876</v>
      </c>
      <c r="B1345" s="2" t="inlineStr">
        <is>
          <t xml:space="preserve">2009-03</t>
        </is>
      </c>
      <c r="C1345" s="2" t="inlineStr">
        <is>
          <t xml:space="preserve">2008/09</t>
        </is>
      </c>
      <c r="D1345">
        <v>0.0</v>
      </c>
      <c r="E1345">
        <v>16.51</v>
      </c>
      <c r="F1345">
        <v>23.48</v>
      </c>
      <c r="G1345">
        <v>12.13</v>
      </c>
      <c r="H1345">
        <v>0.46</v>
      </c>
      <c r="I1345">
        <v>0.385</v>
      </c>
      <c r="J1345">
        <v>16.3</v>
      </c>
      <c r="K1345">
        <v>22.7</v>
      </c>
      <c r="L1345">
        <v>11.75</v>
      </c>
      <c r="M1345">
        <v>0.68</v>
      </c>
      <c r="N1345">
        <v>1.483</v>
      </c>
      <c r="O1345">
        <v>16.29</v>
      </c>
      <c r="P1345">
        <v>20.63</v>
      </c>
      <c r="Q1345">
        <v>13.02</v>
      </c>
      <c r="R1345">
        <v>1.02</v>
      </c>
    </row>
    <row r="1346">
      <c r="A1346" s="9">
        <v>39877</v>
      </c>
      <c r="B1346" s="2" t="inlineStr">
        <is>
          <t xml:space="preserve">2009-03</t>
        </is>
      </c>
      <c r="C1346" s="2" t="inlineStr">
        <is>
          <t xml:space="preserve">2008/09</t>
        </is>
      </c>
      <c r="D1346">
        <v>0.0</v>
      </c>
      <c r="E1346">
        <v>17.86</v>
      </c>
      <c r="F1346">
        <v>26.06</v>
      </c>
      <c r="G1346">
        <v>11.91</v>
      </c>
      <c r="H1346">
        <v>0.01</v>
      </c>
      <c r="I1346">
        <v>0.0</v>
      </c>
      <c r="J1346">
        <v>17.51</v>
      </c>
      <c r="K1346">
        <v>24.41</v>
      </c>
      <c r="L1346">
        <v>13.28</v>
      </c>
      <c r="M1346">
        <v>0.05</v>
      </c>
      <c r="N1346">
        <v>0.031</v>
      </c>
      <c r="O1346">
        <v>16.9</v>
      </c>
      <c r="P1346">
        <v>21.54</v>
      </c>
      <c r="Q1346">
        <v>13.85</v>
      </c>
      <c r="R1346">
        <v>0.24</v>
      </c>
    </row>
    <row r="1347">
      <c r="A1347" s="9">
        <v>39878</v>
      </c>
      <c r="B1347" s="2" t="inlineStr">
        <is>
          <t xml:space="preserve">2009-03</t>
        </is>
      </c>
      <c r="C1347" s="2" t="inlineStr">
        <is>
          <t xml:space="preserve">2008/09</t>
        </is>
      </c>
      <c r="D1347">
        <v>0.0</v>
      </c>
      <c r="E1347">
        <v>19.62</v>
      </c>
      <c r="F1347">
        <v>27.43</v>
      </c>
      <c r="G1347">
        <v>13.87</v>
      </c>
      <c r="H1347">
        <v>0.06</v>
      </c>
      <c r="I1347">
        <v>0.0</v>
      </c>
      <c r="J1347">
        <v>19.2</v>
      </c>
      <c r="K1347">
        <v>26.08</v>
      </c>
      <c r="L1347">
        <v>14.18</v>
      </c>
      <c r="M1347">
        <v>0.03</v>
      </c>
      <c r="N1347">
        <v>0.0</v>
      </c>
      <c r="O1347">
        <v>18.59</v>
      </c>
      <c r="P1347">
        <v>23.62</v>
      </c>
      <c r="Q1347">
        <v>14.15</v>
      </c>
      <c r="R1347">
        <v>0.11</v>
      </c>
    </row>
    <row r="1348">
      <c r="A1348" s="9">
        <v>39879</v>
      </c>
      <c r="B1348" s="2" t="inlineStr">
        <is>
          <t xml:space="preserve">2009-03</t>
        </is>
      </c>
      <c r="C1348" s="2" t="inlineStr">
        <is>
          <t xml:space="preserve">2008/09</t>
        </is>
      </c>
      <c r="D1348">
        <v>0.0</v>
      </c>
      <c r="E1348">
        <v>20.37</v>
      </c>
      <c r="F1348">
        <v>28.68</v>
      </c>
      <c r="G1348">
        <v>13.74</v>
      </c>
      <c r="H1348">
        <v>0.1</v>
      </c>
      <c r="I1348">
        <v>0.0</v>
      </c>
      <c r="J1348">
        <v>20.19</v>
      </c>
      <c r="K1348">
        <v>27.22</v>
      </c>
      <c r="L1348">
        <v>14.88</v>
      </c>
      <c r="M1348">
        <v>0.09</v>
      </c>
      <c r="N1348">
        <v>0.057</v>
      </c>
      <c r="O1348">
        <v>19.04</v>
      </c>
      <c r="P1348">
        <v>24.11</v>
      </c>
      <c r="Q1348">
        <v>15.42</v>
      </c>
      <c r="R1348">
        <v>0.39</v>
      </c>
    </row>
    <row r="1349">
      <c r="A1349" s="9">
        <v>39880</v>
      </c>
      <c r="B1349" s="2" t="inlineStr">
        <is>
          <t xml:space="preserve">2009-03</t>
        </is>
      </c>
      <c r="C1349" s="2" t="inlineStr">
        <is>
          <t xml:space="preserve">2008/09</t>
        </is>
      </c>
      <c r="D1349">
        <v>0.0</v>
      </c>
      <c r="E1349">
        <v>20.63</v>
      </c>
      <c r="F1349">
        <v>28.55</v>
      </c>
      <c r="G1349">
        <v>14.56</v>
      </c>
      <c r="H1349">
        <v>0.0</v>
      </c>
      <c r="I1349">
        <v>0.0</v>
      </c>
      <c r="J1349">
        <v>20.67</v>
      </c>
      <c r="K1349">
        <v>27.52</v>
      </c>
      <c r="L1349">
        <v>15.58</v>
      </c>
      <c r="M1349">
        <v>0.03</v>
      </c>
      <c r="N1349">
        <v>0.0</v>
      </c>
      <c r="O1349">
        <v>19.35</v>
      </c>
      <c r="P1349">
        <v>24.52</v>
      </c>
      <c r="Q1349">
        <v>15.49</v>
      </c>
      <c r="R1349">
        <v>0.08</v>
      </c>
    </row>
    <row r="1350">
      <c r="A1350" s="9">
        <v>39881</v>
      </c>
      <c r="B1350" s="2" t="inlineStr">
        <is>
          <t xml:space="preserve">2009-03</t>
        </is>
      </c>
      <c r="C1350" s="2" t="inlineStr">
        <is>
          <t xml:space="preserve">2008/09</t>
        </is>
      </c>
      <c r="D1350">
        <v>0.0</v>
      </c>
      <c r="E1350">
        <v>20.63</v>
      </c>
      <c r="F1350">
        <v>28.79</v>
      </c>
      <c r="G1350">
        <v>14.42</v>
      </c>
      <c r="H1350">
        <v>0.06</v>
      </c>
      <c r="I1350">
        <v>0.0</v>
      </c>
      <c r="J1350">
        <v>20.09</v>
      </c>
      <c r="K1350">
        <v>26.53</v>
      </c>
      <c r="L1350">
        <v>15.73</v>
      </c>
      <c r="M1350">
        <v>0.14</v>
      </c>
      <c r="N1350">
        <v>0.074</v>
      </c>
      <c r="O1350">
        <v>18.83</v>
      </c>
      <c r="P1350">
        <v>23.54</v>
      </c>
      <c r="Q1350">
        <v>15.45</v>
      </c>
      <c r="R1350">
        <v>0.61</v>
      </c>
    </row>
    <row r="1351">
      <c r="A1351" s="9">
        <v>39882</v>
      </c>
      <c r="B1351" s="2" t="inlineStr">
        <is>
          <t xml:space="preserve">2009-03</t>
        </is>
      </c>
      <c r="C1351" s="2" t="inlineStr">
        <is>
          <t xml:space="preserve">2008/09</t>
        </is>
      </c>
      <c r="D1351">
        <v>0.0</v>
      </c>
      <c r="E1351">
        <v>20.95</v>
      </c>
      <c r="F1351">
        <v>29.42</v>
      </c>
      <c r="G1351">
        <v>14.14</v>
      </c>
      <c r="H1351">
        <v>0.06</v>
      </c>
      <c r="I1351">
        <v>0.0</v>
      </c>
      <c r="J1351">
        <v>20.68</v>
      </c>
      <c r="K1351">
        <v>27.73</v>
      </c>
      <c r="L1351">
        <v>15.23</v>
      </c>
      <c r="M1351">
        <v>0.05</v>
      </c>
      <c r="N1351">
        <v>0.0</v>
      </c>
      <c r="O1351">
        <v>19.27</v>
      </c>
      <c r="P1351">
        <v>24.58</v>
      </c>
      <c r="Q1351">
        <v>15.32</v>
      </c>
      <c r="R1351">
        <v>0.14</v>
      </c>
    </row>
    <row r="1352">
      <c r="A1352" s="9">
        <v>39883</v>
      </c>
      <c r="B1352" s="2" t="inlineStr">
        <is>
          <t xml:space="preserve">2009-03</t>
        </is>
      </c>
      <c r="C1352" s="2" t="inlineStr">
        <is>
          <t xml:space="preserve">2008/09</t>
        </is>
      </c>
      <c r="D1352">
        <v>0.0</v>
      </c>
      <c r="E1352">
        <v>20.9</v>
      </c>
      <c r="F1352">
        <v>29.82</v>
      </c>
      <c r="G1352">
        <v>13.91</v>
      </c>
      <c r="H1352">
        <v>0.04</v>
      </c>
      <c r="I1352">
        <v>0.0</v>
      </c>
      <c r="J1352">
        <v>20.75</v>
      </c>
      <c r="K1352">
        <v>28.17</v>
      </c>
      <c r="L1352">
        <v>15.44</v>
      </c>
      <c r="M1352">
        <v>0.24</v>
      </c>
      <c r="N1352">
        <v>0.071</v>
      </c>
      <c r="O1352">
        <v>19.27</v>
      </c>
      <c r="P1352">
        <v>24.75</v>
      </c>
      <c r="Q1352">
        <v>15.82</v>
      </c>
      <c r="R1352">
        <v>0.88</v>
      </c>
    </row>
    <row r="1353">
      <c r="A1353" s="9">
        <v>39884</v>
      </c>
      <c r="B1353" s="2" t="inlineStr">
        <is>
          <t xml:space="preserve">2009-03</t>
        </is>
      </c>
      <c r="C1353" s="2" t="inlineStr">
        <is>
          <t xml:space="preserve">2008/09</t>
        </is>
      </c>
      <c r="D1353">
        <v>0.0</v>
      </c>
      <c r="E1353">
        <v>21.03</v>
      </c>
      <c r="F1353">
        <v>29.0</v>
      </c>
      <c r="G1353">
        <v>15.06</v>
      </c>
      <c r="H1353">
        <v>0.07</v>
      </c>
      <c r="I1353">
        <v>0.0</v>
      </c>
      <c r="J1353">
        <v>20.71</v>
      </c>
      <c r="K1353">
        <v>27.76</v>
      </c>
      <c r="L1353">
        <v>15.51</v>
      </c>
      <c r="M1353">
        <v>0.48</v>
      </c>
      <c r="N1353">
        <v>0.285</v>
      </c>
      <c r="O1353">
        <v>19.36</v>
      </c>
      <c r="P1353">
        <v>24.71</v>
      </c>
      <c r="Q1353">
        <v>15.94</v>
      </c>
      <c r="R1353">
        <v>2.15</v>
      </c>
    </row>
    <row r="1354">
      <c r="A1354" s="9">
        <v>39885</v>
      </c>
      <c r="B1354" s="2" t="inlineStr">
        <is>
          <t xml:space="preserve">2009-03</t>
        </is>
      </c>
      <c r="C1354" s="2" t="inlineStr">
        <is>
          <t xml:space="preserve">2008/09</t>
        </is>
      </c>
      <c r="D1354">
        <v>0.0</v>
      </c>
      <c r="E1354">
        <v>20.91</v>
      </c>
      <c r="F1354">
        <v>28.55</v>
      </c>
      <c r="G1354">
        <v>14.74</v>
      </c>
      <c r="H1354">
        <v>0.0</v>
      </c>
      <c r="I1354">
        <v>0.0</v>
      </c>
      <c r="J1354">
        <v>20.75</v>
      </c>
      <c r="K1354">
        <v>27.0</v>
      </c>
      <c r="L1354">
        <v>15.85</v>
      </c>
      <c r="M1354">
        <v>0.0</v>
      </c>
      <c r="N1354">
        <v>0.0</v>
      </c>
      <c r="O1354">
        <v>19.6</v>
      </c>
      <c r="P1354">
        <v>24.7</v>
      </c>
      <c r="Q1354">
        <v>16.15</v>
      </c>
      <c r="R1354">
        <v>0.01</v>
      </c>
    </row>
    <row r="1355">
      <c r="A1355" s="9">
        <v>39886</v>
      </c>
      <c r="B1355" s="2" t="inlineStr">
        <is>
          <t xml:space="preserve">2009-03</t>
        </is>
      </c>
      <c r="C1355" s="2" t="inlineStr">
        <is>
          <t xml:space="preserve">2008/09</t>
        </is>
      </c>
      <c r="D1355">
        <v>0.0</v>
      </c>
      <c r="E1355">
        <v>20.87</v>
      </c>
      <c r="F1355">
        <v>28.18</v>
      </c>
      <c r="G1355">
        <v>14.31</v>
      </c>
      <c r="H1355">
        <v>0.01</v>
      </c>
      <c r="I1355">
        <v>0.0</v>
      </c>
      <c r="J1355">
        <v>21.71</v>
      </c>
      <c r="K1355">
        <v>28.23</v>
      </c>
      <c r="L1355">
        <v>15.86</v>
      </c>
      <c r="M1355">
        <v>0.0</v>
      </c>
      <c r="N1355">
        <v>0.0</v>
      </c>
      <c r="O1355">
        <v>20.33</v>
      </c>
      <c r="P1355">
        <v>26.13</v>
      </c>
      <c r="Q1355">
        <v>15.87</v>
      </c>
      <c r="R1355">
        <v>0.02</v>
      </c>
    </row>
    <row r="1356">
      <c r="A1356" s="9">
        <v>39887</v>
      </c>
      <c r="B1356" s="2" t="inlineStr">
        <is>
          <t xml:space="preserve">2009-03</t>
        </is>
      </c>
      <c r="C1356" s="2" t="inlineStr">
        <is>
          <t xml:space="preserve">2008/09</t>
        </is>
      </c>
      <c r="D1356">
        <v>0.0</v>
      </c>
      <c r="E1356">
        <v>21.56</v>
      </c>
      <c r="F1356">
        <v>29.57</v>
      </c>
      <c r="G1356">
        <v>15.05</v>
      </c>
      <c r="H1356">
        <v>0.22</v>
      </c>
      <c r="I1356">
        <v>0.0</v>
      </c>
      <c r="J1356">
        <v>21.74</v>
      </c>
      <c r="K1356">
        <v>27.87</v>
      </c>
      <c r="L1356">
        <v>17.06</v>
      </c>
      <c r="M1356">
        <v>0.0</v>
      </c>
      <c r="N1356">
        <v>0.0</v>
      </c>
      <c r="O1356">
        <v>20.31</v>
      </c>
      <c r="P1356">
        <v>25.76</v>
      </c>
      <c r="Q1356">
        <v>16.96</v>
      </c>
      <c r="R1356">
        <v>0.0</v>
      </c>
    </row>
    <row r="1357">
      <c r="A1357" s="9">
        <v>39888</v>
      </c>
      <c r="B1357" s="2" t="inlineStr">
        <is>
          <t xml:space="preserve">2009-03</t>
        </is>
      </c>
      <c r="C1357" s="2" t="inlineStr">
        <is>
          <t xml:space="preserve">2008/09</t>
        </is>
      </c>
      <c r="D1357">
        <v>0.0</v>
      </c>
      <c r="E1357">
        <v>21.62</v>
      </c>
      <c r="F1357">
        <v>28.67</v>
      </c>
      <c r="G1357">
        <v>15.84</v>
      </c>
      <c r="H1357">
        <v>0.43</v>
      </c>
      <c r="I1357">
        <v>0.0</v>
      </c>
      <c r="J1357">
        <v>21.14</v>
      </c>
      <c r="K1357">
        <v>27.27</v>
      </c>
      <c r="L1357">
        <v>15.81</v>
      </c>
      <c r="M1357">
        <v>0.07</v>
      </c>
      <c r="N1357">
        <v>0.0</v>
      </c>
      <c r="O1357">
        <v>20.17</v>
      </c>
      <c r="P1357">
        <v>24.94</v>
      </c>
      <c r="Q1357">
        <v>16.31</v>
      </c>
      <c r="R1357">
        <v>0.1</v>
      </c>
    </row>
    <row r="1358">
      <c r="A1358" s="9">
        <v>39889</v>
      </c>
      <c r="B1358" s="2" t="inlineStr">
        <is>
          <t xml:space="preserve">2009-03</t>
        </is>
      </c>
      <c r="C1358" s="2" t="inlineStr">
        <is>
          <t xml:space="preserve">2008/09</t>
        </is>
      </c>
      <c r="D1358">
        <v>0.0</v>
      </c>
      <c r="E1358">
        <v>21.76</v>
      </c>
      <c r="F1358">
        <v>28.98</v>
      </c>
      <c r="G1358">
        <v>17.04</v>
      </c>
      <c r="H1358">
        <v>0.14</v>
      </c>
      <c r="I1358">
        <v>0.06</v>
      </c>
      <c r="J1358">
        <v>20.54</v>
      </c>
      <c r="K1358">
        <v>25.26</v>
      </c>
      <c r="L1358">
        <v>16.88</v>
      </c>
      <c r="M1358">
        <v>0.17</v>
      </c>
      <c r="N1358">
        <v>0.587</v>
      </c>
      <c r="O1358">
        <v>20.07</v>
      </c>
      <c r="P1358">
        <v>24.5</v>
      </c>
      <c r="Q1358">
        <v>17.11</v>
      </c>
      <c r="R1358">
        <v>0.4</v>
      </c>
    </row>
    <row r="1359">
      <c r="A1359" s="9">
        <v>39890</v>
      </c>
      <c r="B1359" s="2" t="inlineStr">
        <is>
          <t xml:space="preserve">2009-03</t>
        </is>
      </c>
      <c r="C1359" s="2" t="inlineStr">
        <is>
          <t xml:space="preserve">2008/09</t>
        </is>
      </c>
      <c r="D1359">
        <v>0.0</v>
      </c>
      <c r="E1359">
        <v>20.27</v>
      </c>
      <c r="F1359">
        <v>28.32</v>
      </c>
      <c r="G1359">
        <v>14.4</v>
      </c>
      <c r="H1359">
        <v>0.0</v>
      </c>
      <c r="I1359">
        <v>0.0</v>
      </c>
      <c r="J1359">
        <v>19.73</v>
      </c>
      <c r="K1359">
        <v>26.6</v>
      </c>
      <c r="L1359">
        <v>14.58</v>
      </c>
      <c r="M1359">
        <v>0.0</v>
      </c>
      <c r="N1359">
        <v>0.0</v>
      </c>
      <c r="O1359">
        <v>18.67</v>
      </c>
      <c r="P1359">
        <v>24.08</v>
      </c>
      <c r="Q1359">
        <v>14.51</v>
      </c>
      <c r="R1359">
        <v>0.02</v>
      </c>
    </row>
    <row r="1360">
      <c r="A1360" s="9">
        <v>39891</v>
      </c>
      <c r="B1360" s="2" t="inlineStr">
        <is>
          <t xml:space="preserve">2009-03</t>
        </is>
      </c>
      <c r="C1360" s="2" t="inlineStr">
        <is>
          <t xml:space="preserve">2008/09</t>
        </is>
      </c>
      <c r="D1360">
        <v>0.0</v>
      </c>
      <c r="E1360">
        <v>19.96</v>
      </c>
      <c r="F1360">
        <v>29.22</v>
      </c>
      <c r="G1360">
        <v>12.25</v>
      </c>
      <c r="H1360">
        <v>0.0</v>
      </c>
      <c r="I1360">
        <v>0.0</v>
      </c>
      <c r="J1360">
        <v>19.49</v>
      </c>
      <c r="K1360">
        <v>27.8</v>
      </c>
      <c r="L1360">
        <v>12.07</v>
      </c>
      <c r="M1360">
        <v>0.0</v>
      </c>
      <c r="N1360">
        <v>0.0</v>
      </c>
      <c r="O1360">
        <v>18.16</v>
      </c>
      <c r="P1360">
        <v>24.36</v>
      </c>
      <c r="Q1360">
        <v>12.93</v>
      </c>
      <c r="R1360">
        <v>0.05</v>
      </c>
    </row>
    <row r="1361">
      <c r="A1361" s="9">
        <v>39892</v>
      </c>
      <c r="B1361" s="2" t="inlineStr">
        <is>
          <t xml:space="preserve">2009-03</t>
        </is>
      </c>
      <c r="C1361" s="2" t="inlineStr">
        <is>
          <t xml:space="preserve">2008/09</t>
        </is>
      </c>
      <c r="D1361">
        <v>0.0</v>
      </c>
      <c r="E1361">
        <v>20.68</v>
      </c>
      <c r="F1361">
        <v>29.33</v>
      </c>
      <c r="G1361">
        <v>14.73</v>
      </c>
      <c r="H1361">
        <v>0.0</v>
      </c>
      <c r="I1361">
        <v>0.0</v>
      </c>
      <c r="J1361">
        <v>19.86</v>
      </c>
      <c r="K1361">
        <v>27.24</v>
      </c>
      <c r="L1361">
        <v>14.8</v>
      </c>
      <c r="M1361">
        <v>0.01</v>
      </c>
      <c r="N1361">
        <v>0.0</v>
      </c>
      <c r="O1361">
        <v>18.54</v>
      </c>
      <c r="P1361">
        <v>24.05</v>
      </c>
      <c r="Q1361">
        <v>14.73</v>
      </c>
      <c r="R1361">
        <v>0.04</v>
      </c>
    </row>
    <row r="1362">
      <c r="A1362" s="9">
        <v>39893</v>
      </c>
      <c r="B1362" s="2" t="inlineStr">
        <is>
          <t xml:space="preserve">2009-03</t>
        </is>
      </c>
      <c r="C1362" s="2" t="inlineStr">
        <is>
          <t xml:space="preserve">2008/09</t>
        </is>
      </c>
      <c r="D1362">
        <v>0.0</v>
      </c>
      <c r="E1362">
        <v>20.01</v>
      </c>
      <c r="F1362">
        <v>27.6</v>
      </c>
      <c r="G1362">
        <v>14.35</v>
      </c>
      <c r="H1362">
        <v>0.01</v>
      </c>
      <c r="I1362">
        <v>0.0</v>
      </c>
      <c r="J1362">
        <v>19.69</v>
      </c>
      <c r="K1362">
        <v>26.47</v>
      </c>
      <c r="L1362">
        <v>14.51</v>
      </c>
      <c r="M1362">
        <v>0.01</v>
      </c>
      <c r="N1362">
        <v>0.0</v>
      </c>
      <c r="O1362">
        <v>18.63</v>
      </c>
      <c r="P1362">
        <v>23.81</v>
      </c>
      <c r="Q1362">
        <v>14.66</v>
      </c>
      <c r="R1362">
        <v>0.05</v>
      </c>
    </row>
    <row r="1363">
      <c r="A1363" s="9">
        <v>39894</v>
      </c>
      <c r="B1363" s="2" t="inlineStr">
        <is>
          <t xml:space="preserve">2009-03</t>
        </is>
      </c>
      <c r="C1363" s="2" t="inlineStr">
        <is>
          <t xml:space="preserve">2008/09</t>
        </is>
      </c>
      <c r="D1363">
        <v>0.0</v>
      </c>
      <c r="E1363">
        <v>20.02</v>
      </c>
      <c r="F1363">
        <v>27.38</v>
      </c>
      <c r="G1363">
        <v>14.55</v>
      </c>
      <c r="H1363">
        <v>0.13</v>
      </c>
      <c r="I1363">
        <v>0.118</v>
      </c>
      <c r="J1363">
        <v>19.63</v>
      </c>
      <c r="K1363">
        <v>26.48</v>
      </c>
      <c r="L1363">
        <v>14.16</v>
      </c>
      <c r="M1363">
        <v>0.22</v>
      </c>
      <c r="N1363">
        <v>0.205</v>
      </c>
      <c r="O1363">
        <v>18.76</v>
      </c>
      <c r="P1363">
        <v>24.18</v>
      </c>
      <c r="Q1363">
        <v>14.68</v>
      </c>
      <c r="R1363">
        <v>0.7</v>
      </c>
    </row>
    <row r="1364">
      <c r="A1364" s="9">
        <v>39895</v>
      </c>
      <c r="B1364" s="2" t="inlineStr">
        <is>
          <t xml:space="preserve">2009-03</t>
        </is>
      </c>
      <c r="C1364" s="2" t="inlineStr">
        <is>
          <t xml:space="preserve">2008/09</t>
        </is>
      </c>
      <c r="D1364">
        <v>0.0</v>
      </c>
      <c r="E1364">
        <v>20.77</v>
      </c>
      <c r="F1364">
        <v>28.75</v>
      </c>
      <c r="G1364">
        <v>14.31</v>
      </c>
      <c r="H1364">
        <v>0.08</v>
      </c>
      <c r="I1364">
        <v>0.042</v>
      </c>
      <c r="J1364">
        <v>19.99</v>
      </c>
      <c r="K1364">
        <v>27.07</v>
      </c>
      <c r="L1364">
        <v>14.93</v>
      </c>
      <c r="M1364">
        <v>0.27</v>
      </c>
      <c r="N1364">
        <v>0.195</v>
      </c>
      <c r="O1364">
        <v>18.64</v>
      </c>
      <c r="P1364">
        <v>23.78</v>
      </c>
      <c r="Q1364">
        <v>14.85</v>
      </c>
      <c r="R1364">
        <v>1.08</v>
      </c>
    </row>
    <row r="1365">
      <c r="A1365" s="9">
        <v>39896</v>
      </c>
      <c r="B1365" s="2" t="inlineStr">
        <is>
          <t xml:space="preserve">2009-03</t>
        </is>
      </c>
      <c r="C1365" s="2" t="inlineStr">
        <is>
          <t xml:space="preserve">2008/09</t>
        </is>
      </c>
      <c r="D1365">
        <v>0.0</v>
      </c>
      <c r="E1365">
        <v>22.29</v>
      </c>
      <c r="F1365">
        <v>30.29</v>
      </c>
      <c r="G1365">
        <v>14.98</v>
      </c>
      <c r="H1365">
        <v>0.02</v>
      </c>
      <c r="I1365">
        <v>0.0</v>
      </c>
      <c r="J1365">
        <v>21.98</v>
      </c>
      <c r="K1365">
        <v>29.53</v>
      </c>
      <c r="L1365">
        <v>15.2</v>
      </c>
      <c r="M1365">
        <v>0.0</v>
      </c>
      <c r="N1365">
        <v>0.0</v>
      </c>
      <c r="O1365">
        <v>20.17</v>
      </c>
      <c r="P1365">
        <v>26.23</v>
      </c>
      <c r="Q1365">
        <v>15.32</v>
      </c>
      <c r="R1365">
        <v>0.0</v>
      </c>
    </row>
    <row r="1366">
      <c r="A1366" s="9">
        <v>39897</v>
      </c>
      <c r="B1366" s="2" t="inlineStr">
        <is>
          <t xml:space="preserve">2009-03</t>
        </is>
      </c>
      <c r="C1366" s="2" t="inlineStr">
        <is>
          <t xml:space="preserve">2008/09</t>
        </is>
      </c>
      <c r="D1366">
        <v>0.0</v>
      </c>
      <c r="E1366">
        <v>23.66</v>
      </c>
      <c r="F1366">
        <v>31.7</v>
      </c>
      <c r="G1366">
        <v>16.45</v>
      </c>
      <c r="H1366">
        <v>0.14</v>
      </c>
      <c r="I1366">
        <v>0.0</v>
      </c>
      <c r="J1366">
        <v>23.25</v>
      </c>
      <c r="K1366">
        <v>30.9</v>
      </c>
      <c r="L1366">
        <v>16.97</v>
      </c>
      <c r="M1366">
        <v>0.0</v>
      </c>
      <c r="N1366">
        <v>0.0</v>
      </c>
      <c r="O1366">
        <v>21.76</v>
      </c>
      <c r="P1366">
        <v>28.38</v>
      </c>
      <c r="Q1366">
        <v>16.28</v>
      </c>
      <c r="R1366">
        <v>0.0</v>
      </c>
    </row>
    <row r="1367">
      <c r="A1367" s="9">
        <v>39898</v>
      </c>
      <c r="B1367" s="2" t="inlineStr">
        <is>
          <t xml:space="preserve">2009-03</t>
        </is>
      </c>
      <c r="C1367" s="2" t="inlineStr">
        <is>
          <t xml:space="preserve">2008/09</t>
        </is>
      </c>
      <c r="D1367">
        <v>0.0</v>
      </c>
      <c r="E1367">
        <v>24.11</v>
      </c>
      <c r="F1367">
        <v>32.33</v>
      </c>
      <c r="G1367">
        <v>16.74</v>
      </c>
      <c r="H1367">
        <v>0.05</v>
      </c>
      <c r="I1367">
        <v>0.0</v>
      </c>
      <c r="J1367">
        <v>23.36</v>
      </c>
      <c r="K1367">
        <v>31.44</v>
      </c>
      <c r="L1367">
        <v>17.5</v>
      </c>
      <c r="M1367">
        <v>0.0</v>
      </c>
      <c r="N1367">
        <v>0.0</v>
      </c>
      <c r="O1367">
        <v>22.7</v>
      </c>
      <c r="P1367">
        <v>29.55</v>
      </c>
      <c r="Q1367">
        <v>16.59</v>
      </c>
      <c r="R1367">
        <v>0.0</v>
      </c>
    </row>
    <row r="1368">
      <c r="A1368" s="9">
        <v>39899</v>
      </c>
      <c r="B1368" s="2" t="inlineStr">
        <is>
          <t xml:space="preserve">2009-03</t>
        </is>
      </c>
      <c r="C1368" s="2" t="inlineStr">
        <is>
          <t xml:space="preserve">2008/09</t>
        </is>
      </c>
      <c r="D1368">
        <v>0.0</v>
      </c>
      <c r="E1368">
        <v>23.77</v>
      </c>
      <c r="F1368">
        <v>32.65</v>
      </c>
      <c r="G1368">
        <v>17.03</v>
      </c>
      <c r="H1368">
        <v>0.0</v>
      </c>
      <c r="I1368">
        <v>0.0</v>
      </c>
      <c r="J1368">
        <v>22.45</v>
      </c>
      <c r="K1368">
        <v>30.95</v>
      </c>
      <c r="L1368">
        <v>15.6</v>
      </c>
      <c r="M1368">
        <v>0.0</v>
      </c>
      <c r="N1368">
        <v>0.0</v>
      </c>
      <c r="O1368">
        <v>22.56</v>
      </c>
      <c r="P1368">
        <v>30.0</v>
      </c>
      <c r="Q1368">
        <v>16.33</v>
      </c>
      <c r="R1368">
        <v>0.0</v>
      </c>
    </row>
    <row r="1369">
      <c r="A1369" s="9">
        <v>39900</v>
      </c>
      <c r="B1369" s="2" t="inlineStr">
        <is>
          <t xml:space="preserve">2009-03</t>
        </is>
      </c>
      <c r="C1369" s="2" t="inlineStr">
        <is>
          <t xml:space="preserve">2008/09</t>
        </is>
      </c>
      <c r="D1369">
        <v>0.0</v>
      </c>
      <c r="E1369">
        <v>23.34</v>
      </c>
      <c r="F1369">
        <v>32.41</v>
      </c>
      <c r="G1369">
        <v>15.77</v>
      </c>
      <c r="H1369">
        <v>0.01</v>
      </c>
      <c r="I1369">
        <v>0.0</v>
      </c>
      <c r="J1369">
        <v>22.05</v>
      </c>
      <c r="K1369">
        <v>30.94</v>
      </c>
      <c r="L1369">
        <v>15.81</v>
      </c>
      <c r="M1369">
        <v>0.0</v>
      </c>
      <c r="N1369">
        <v>0.0</v>
      </c>
      <c r="O1369">
        <v>22.25</v>
      </c>
      <c r="P1369">
        <v>29.94</v>
      </c>
      <c r="Q1369">
        <v>16.8</v>
      </c>
      <c r="R1369">
        <v>0.0</v>
      </c>
    </row>
    <row r="1370">
      <c r="A1370" s="9">
        <v>39901</v>
      </c>
      <c r="B1370" s="2" t="inlineStr">
        <is>
          <t xml:space="preserve">2009-03</t>
        </is>
      </c>
      <c r="C1370" s="2" t="inlineStr">
        <is>
          <t xml:space="preserve">2008/09</t>
        </is>
      </c>
      <c r="D1370">
        <v>0.0</v>
      </c>
      <c r="E1370">
        <v>23.38</v>
      </c>
      <c r="F1370">
        <v>31.73</v>
      </c>
      <c r="G1370">
        <v>16.42</v>
      </c>
      <c r="H1370">
        <v>0.48</v>
      </c>
      <c r="I1370">
        <v>0.0</v>
      </c>
      <c r="J1370">
        <v>22.34</v>
      </c>
      <c r="K1370">
        <v>30.35</v>
      </c>
      <c r="L1370">
        <v>15.38</v>
      </c>
      <c r="M1370">
        <v>0.02</v>
      </c>
      <c r="N1370">
        <v>0.0</v>
      </c>
      <c r="O1370">
        <v>20.61</v>
      </c>
      <c r="P1370">
        <v>26.94</v>
      </c>
      <c r="Q1370">
        <v>15.28</v>
      </c>
      <c r="R1370">
        <v>0.04</v>
      </c>
    </row>
    <row r="1371">
      <c r="A1371" s="9">
        <v>39902</v>
      </c>
      <c r="B1371" s="2" t="inlineStr">
        <is>
          <t xml:space="preserve">2009-03</t>
        </is>
      </c>
      <c r="C1371" s="2" t="inlineStr">
        <is>
          <t xml:space="preserve">2008/09</t>
        </is>
      </c>
      <c r="D1371">
        <v>0.315</v>
      </c>
      <c r="E1371">
        <v>23.69</v>
      </c>
      <c r="F1371">
        <v>30.97</v>
      </c>
      <c r="G1371">
        <v>18.07</v>
      </c>
      <c r="H1371">
        <v>0.21</v>
      </c>
      <c r="I1371">
        <v>0.216</v>
      </c>
      <c r="J1371">
        <v>23.34</v>
      </c>
      <c r="K1371">
        <v>31.27</v>
      </c>
      <c r="L1371">
        <v>16.26</v>
      </c>
      <c r="M1371">
        <v>0.18</v>
      </c>
      <c r="N1371">
        <v>0.098</v>
      </c>
      <c r="O1371">
        <v>21.91</v>
      </c>
      <c r="P1371">
        <v>28.06</v>
      </c>
      <c r="Q1371">
        <v>16.95</v>
      </c>
      <c r="R1371">
        <v>0.11</v>
      </c>
    </row>
    <row r="1372">
      <c r="A1372" s="9">
        <v>39903</v>
      </c>
      <c r="B1372" s="2" t="inlineStr">
        <is>
          <t xml:space="preserve">2009-03</t>
        </is>
      </c>
      <c r="C1372" s="2" t="inlineStr">
        <is>
          <t xml:space="preserve">2008/09</t>
        </is>
      </c>
      <c r="D1372">
        <v>0.0</v>
      </c>
      <c r="E1372">
        <v>24.8</v>
      </c>
      <c r="F1372">
        <v>33.36</v>
      </c>
      <c r="G1372">
        <v>17.9</v>
      </c>
      <c r="H1372">
        <v>0.0</v>
      </c>
      <c r="I1372">
        <v>0.0</v>
      </c>
      <c r="J1372">
        <v>23.97</v>
      </c>
      <c r="K1372">
        <v>31.95</v>
      </c>
      <c r="L1372">
        <v>17.88</v>
      </c>
      <c r="M1372">
        <v>0.0</v>
      </c>
      <c r="N1372">
        <v>0.0</v>
      </c>
      <c r="O1372">
        <v>23.57</v>
      </c>
      <c r="P1372">
        <v>30.64</v>
      </c>
      <c r="Q1372">
        <v>17.57</v>
      </c>
      <c r="R1372">
        <v>0.0</v>
      </c>
    </row>
    <row r="1373">
      <c r="A1373" s="9">
        <v>39904</v>
      </c>
      <c r="B1373" s="2" t="inlineStr">
        <is>
          <t xml:space="preserve">2009-04</t>
        </is>
      </c>
      <c r="C1373" s="2" t="inlineStr">
        <is>
          <t xml:space="preserve">2008/09</t>
        </is>
      </c>
      <c r="D1373">
        <v>0.0</v>
      </c>
      <c r="E1373">
        <v>25.13</v>
      </c>
      <c r="F1373">
        <v>33.56</v>
      </c>
      <c r="G1373">
        <v>17.54</v>
      </c>
      <c r="H1373">
        <v>0.0</v>
      </c>
      <c r="I1373">
        <v>0.0</v>
      </c>
      <c r="J1373">
        <v>23.84</v>
      </c>
      <c r="K1373">
        <v>32.56</v>
      </c>
      <c r="L1373">
        <v>16.35</v>
      </c>
      <c r="M1373">
        <v>0.0</v>
      </c>
      <c r="N1373">
        <v>0.0</v>
      </c>
      <c r="O1373">
        <v>23.56</v>
      </c>
      <c r="P1373">
        <v>31.29</v>
      </c>
      <c r="Q1373">
        <v>17.24</v>
      </c>
      <c r="R1373">
        <v>0.0</v>
      </c>
    </row>
    <row r="1374">
      <c r="A1374" s="9">
        <v>39905</v>
      </c>
      <c r="B1374" s="2" t="inlineStr">
        <is>
          <t xml:space="preserve">2009-04</t>
        </is>
      </c>
      <c r="C1374" s="2" t="inlineStr">
        <is>
          <t xml:space="preserve">2008/09</t>
        </is>
      </c>
      <c r="D1374">
        <v>0.0</v>
      </c>
      <c r="E1374">
        <v>24.4</v>
      </c>
      <c r="F1374">
        <v>32.75</v>
      </c>
      <c r="G1374">
        <v>18.16</v>
      </c>
      <c r="H1374">
        <v>0.0</v>
      </c>
      <c r="I1374">
        <v>0.0</v>
      </c>
      <c r="J1374">
        <v>23.74</v>
      </c>
      <c r="K1374">
        <v>32.4</v>
      </c>
      <c r="L1374">
        <v>17.78</v>
      </c>
      <c r="M1374">
        <v>0.0</v>
      </c>
      <c r="N1374">
        <v>0.0</v>
      </c>
      <c r="O1374">
        <v>23.66</v>
      </c>
      <c r="P1374">
        <v>31.36</v>
      </c>
      <c r="Q1374">
        <v>18.15</v>
      </c>
      <c r="R1374">
        <v>0.0</v>
      </c>
    </row>
    <row r="1375">
      <c r="A1375" s="9">
        <v>39906</v>
      </c>
      <c r="B1375" s="2" t="inlineStr">
        <is>
          <t xml:space="preserve">2009-04</t>
        </is>
      </c>
      <c r="C1375" s="2" t="inlineStr">
        <is>
          <t xml:space="preserve">2008/09</t>
        </is>
      </c>
      <c r="D1375">
        <v>0.0</v>
      </c>
      <c r="E1375">
        <v>25.18</v>
      </c>
      <c r="F1375">
        <v>35.43</v>
      </c>
      <c r="G1375">
        <v>15.4</v>
      </c>
      <c r="H1375">
        <v>0.0</v>
      </c>
      <c r="I1375">
        <v>0.0</v>
      </c>
      <c r="J1375">
        <v>24.39</v>
      </c>
      <c r="K1375">
        <v>34.12</v>
      </c>
      <c r="L1375">
        <v>15.97</v>
      </c>
      <c r="M1375">
        <v>0.0</v>
      </c>
      <c r="N1375">
        <v>0.0</v>
      </c>
      <c r="O1375">
        <v>23.41</v>
      </c>
      <c r="P1375">
        <v>32.04</v>
      </c>
      <c r="Q1375">
        <v>15.81</v>
      </c>
      <c r="R1375">
        <v>0.0</v>
      </c>
    </row>
    <row r="1376">
      <c r="A1376" s="9">
        <v>39907</v>
      </c>
      <c r="B1376" s="2" t="inlineStr">
        <is>
          <t xml:space="preserve">2009-04</t>
        </is>
      </c>
      <c r="C1376" s="2" t="inlineStr">
        <is>
          <t xml:space="preserve">2008/09</t>
        </is>
      </c>
      <c r="D1376">
        <v>0.0</v>
      </c>
      <c r="E1376">
        <v>26.68</v>
      </c>
      <c r="F1376">
        <v>36.76</v>
      </c>
      <c r="G1376">
        <v>17.59</v>
      </c>
      <c r="H1376">
        <v>0.0</v>
      </c>
      <c r="I1376">
        <v>0.0</v>
      </c>
      <c r="J1376">
        <v>25.84</v>
      </c>
      <c r="K1376">
        <v>35.44</v>
      </c>
      <c r="L1376">
        <v>17.43</v>
      </c>
      <c r="M1376">
        <v>0.0</v>
      </c>
      <c r="N1376">
        <v>0.0</v>
      </c>
      <c r="O1376">
        <v>24.78</v>
      </c>
      <c r="P1376">
        <v>32.72</v>
      </c>
      <c r="Q1376">
        <v>18.08</v>
      </c>
      <c r="R1376">
        <v>0.0</v>
      </c>
    </row>
    <row r="1377">
      <c r="A1377" s="9">
        <v>39908</v>
      </c>
      <c r="B1377" s="2" t="inlineStr">
        <is>
          <t xml:space="preserve">2009-04</t>
        </is>
      </c>
      <c r="C1377" s="2" t="inlineStr">
        <is>
          <t xml:space="preserve">2008/09</t>
        </is>
      </c>
      <c r="D1377">
        <v>0.0</v>
      </c>
      <c r="E1377">
        <v>26.1</v>
      </c>
      <c r="F1377">
        <v>35.89</v>
      </c>
      <c r="G1377">
        <v>17.56</v>
      </c>
      <c r="H1377">
        <v>0.0</v>
      </c>
      <c r="I1377">
        <v>0.0</v>
      </c>
      <c r="J1377">
        <v>26.24</v>
      </c>
      <c r="K1377">
        <v>34.94</v>
      </c>
      <c r="L1377">
        <v>19.12</v>
      </c>
      <c r="M1377">
        <v>0.0</v>
      </c>
      <c r="N1377">
        <v>0.0</v>
      </c>
      <c r="O1377">
        <v>24.85</v>
      </c>
      <c r="P1377">
        <v>32.22</v>
      </c>
      <c r="Q1377">
        <v>19.61</v>
      </c>
      <c r="R1377">
        <v>0.0</v>
      </c>
    </row>
    <row r="1378">
      <c r="A1378" s="9">
        <v>39909</v>
      </c>
      <c r="B1378" s="2" t="inlineStr">
        <is>
          <t xml:space="preserve">2009-04</t>
        </is>
      </c>
      <c r="C1378" s="2" t="inlineStr">
        <is>
          <t xml:space="preserve">2008/09</t>
        </is>
      </c>
      <c r="D1378">
        <v>0.0</v>
      </c>
      <c r="E1378">
        <v>25.82</v>
      </c>
      <c r="F1378">
        <v>35.85</v>
      </c>
      <c r="G1378">
        <v>17.83</v>
      </c>
      <c r="H1378">
        <v>0.02</v>
      </c>
      <c r="I1378">
        <v>0.0</v>
      </c>
      <c r="J1378">
        <v>26.15</v>
      </c>
      <c r="K1378">
        <v>34.57</v>
      </c>
      <c r="L1378">
        <v>20.17</v>
      </c>
      <c r="M1378">
        <v>0.07</v>
      </c>
      <c r="N1378">
        <v>0.0</v>
      </c>
      <c r="O1378">
        <v>23.81</v>
      </c>
      <c r="P1378">
        <v>30.8</v>
      </c>
      <c r="Q1378">
        <v>19.21</v>
      </c>
      <c r="R1378">
        <v>0.11</v>
      </c>
    </row>
    <row r="1379">
      <c r="A1379" s="9">
        <v>39910</v>
      </c>
      <c r="B1379" s="2" t="inlineStr">
        <is>
          <t xml:space="preserve">2009-04</t>
        </is>
      </c>
      <c r="C1379" s="2" t="inlineStr">
        <is>
          <t xml:space="preserve">2008/09</t>
        </is>
      </c>
      <c r="D1379">
        <v>0.0</v>
      </c>
      <c r="E1379">
        <v>21.69</v>
      </c>
      <c r="F1379">
        <v>28.65</v>
      </c>
      <c r="G1379">
        <v>17.09</v>
      </c>
      <c r="H1379">
        <v>1.44</v>
      </c>
      <c r="I1379">
        <v>1.675</v>
      </c>
      <c r="J1379">
        <v>22.43</v>
      </c>
      <c r="K1379">
        <v>28.22</v>
      </c>
      <c r="L1379">
        <v>18.2</v>
      </c>
      <c r="M1379">
        <v>3.99</v>
      </c>
      <c r="N1379">
        <v>6.806</v>
      </c>
      <c r="O1379">
        <v>21.05</v>
      </c>
      <c r="P1379">
        <v>25.95</v>
      </c>
      <c r="Q1379">
        <v>17.46</v>
      </c>
      <c r="R1379">
        <v>8.91</v>
      </c>
    </row>
    <row r="1380">
      <c r="A1380" s="9">
        <v>39911</v>
      </c>
      <c r="B1380" s="2" t="inlineStr">
        <is>
          <t xml:space="preserve">2009-04</t>
        </is>
      </c>
      <c r="C1380" s="2" t="inlineStr">
        <is>
          <t xml:space="preserve">2008/09</t>
        </is>
      </c>
      <c r="D1380">
        <v>0.099</v>
      </c>
      <c r="E1380">
        <v>21.28</v>
      </c>
      <c r="F1380">
        <v>29.18</v>
      </c>
      <c r="G1380">
        <v>15.33</v>
      </c>
      <c r="H1380">
        <v>0.27</v>
      </c>
      <c r="I1380">
        <v>0.226</v>
      </c>
      <c r="J1380">
        <v>21.1</v>
      </c>
      <c r="K1380">
        <v>28.27</v>
      </c>
      <c r="L1380">
        <v>15.49</v>
      </c>
      <c r="M1380">
        <v>0.21</v>
      </c>
      <c r="N1380">
        <v>0.828</v>
      </c>
      <c r="O1380">
        <v>19.77</v>
      </c>
      <c r="P1380">
        <v>25.11</v>
      </c>
      <c r="Q1380">
        <v>16.36</v>
      </c>
      <c r="R1380">
        <v>0.27</v>
      </c>
    </row>
    <row r="1381">
      <c r="A1381" s="9">
        <v>39912</v>
      </c>
      <c r="B1381" s="2" t="inlineStr">
        <is>
          <t xml:space="preserve">2009-04</t>
        </is>
      </c>
      <c r="C1381" s="2" t="inlineStr">
        <is>
          <t xml:space="preserve">2008/09</t>
        </is>
      </c>
      <c r="D1381">
        <v>0.0</v>
      </c>
      <c r="E1381">
        <v>23.82</v>
      </c>
      <c r="F1381">
        <v>32.78</v>
      </c>
      <c r="G1381">
        <v>15.82</v>
      </c>
      <c r="H1381">
        <v>0.0</v>
      </c>
      <c r="I1381">
        <v>0.0</v>
      </c>
      <c r="J1381">
        <v>23.68</v>
      </c>
      <c r="K1381">
        <v>32.03</v>
      </c>
      <c r="L1381">
        <v>16.08</v>
      </c>
      <c r="M1381">
        <v>0.0</v>
      </c>
      <c r="N1381">
        <v>0.0</v>
      </c>
      <c r="O1381">
        <v>22.51</v>
      </c>
      <c r="P1381">
        <v>30.06</v>
      </c>
      <c r="Q1381">
        <v>15.82</v>
      </c>
      <c r="R1381">
        <v>0.0</v>
      </c>
    </row>
    <row r="1382">
      <c r="A1382" s="9">
        <v>39913</v>
      </c>
      <c r="B1382" s="2" t="inlineStr">
        <is>
          <t xml:space="preserve">2009-04</t>
        </is>
      </c>
      <c r="C1382" s="2" t="inlineStr">
        <is>
          <t xml:space="preserve">2008/09</t>
        </is>
      </c>
      <c r="D1382">
        <v>0.0</v>
      </c>
      <c r="E1382">
        <v>25.29</v>
      </c>
      <c r="F1382">
        <v>34.47</v>
      </c>
      <c r="G1382">
        <v>16.94</v>
      </c>
      <c r="H1382">
        <v>0.0</v>
      </c>
      <c r="I1382">
        <v>0.0</v>
      </c>
      <c r="J1382">
        <v>24.78</v>
      </c>
      <c r="K1382">
        <v>32.89</v>
      </c>
      <c r="L1382">
        <v>16.88</v>
      </c>
      <c r="M1382">
        <v>0.0</v>
      </c>
      <c r="N1382">
        <v>0.0</v>
      </c>
      <c r="O1382">
        <v>24.47</v>
      </c>
      <c r="P1382">
        <v>32.31</v>
      </c>
      <c r="Q1382">
        <v>16.57</v>
      </c>
      <c r="R1382">
        <v>0.0</v>
      </c>
    </row>
    <row r="1383">
      <c r="A1383" s="9">
        <v>39914</v>
      </c>
      <c r="B1383" s="2" t="inlineStr">
        <is>
          <t xml:space="preserve">2009-04</t>
        </is>
      </c>
      <c r="C1383" s="2" t="inlineStr">
        <is>
          <t xml:space="preserve">2008/09</t>
        </is>
      </c>
      <c r="D1383">
        <v>0.0</v>
      </c>
      <c r="E1383">
        <v>25.72</v>
      </c>
      <c r="F1383">
        <v>35.11</v>
      </c>
      <c r="G1383">
        <v>17.76</v>
      </c>
      <c r="H1383">
        <v>0.0</v>
      </c>
      <c r="I1383">
        <v>0.0</v>
      </c>
      <c r="J1383">
        <v>25.9</v>
      </c>
      <c r="K1383">
        <v>33.88</v>
      </c>
      <c r="L1383">
        <v>18.81</v>
      </c>
      <c r="M1383">
        <v>0.0</v>
      </c>
      <c r="N1383">
        <v>0.0</v>
      </c>
      <c r="O1383">
        <v>24.76</v>
      </c>
      <c r="P1383">
        <v>32.22</v>
      </c>
      <c r="Q1383">
        <v>18.89</v>
      </c>
      <c r="R1383">
        <v>0.0</v>
      </c>
    </row>
    <row r="1384">
      <c r="A1384" s="9">
        <v>39915</v>
      </c>
      <c r="B1384" s="2" t="inlineStr">
        <is>
          <t xml:space="preserve">2009-04</t>
        </is>
      </c>
      <c r="C1384" s="2" t="inlineStr">
        <is>
          <t xml:space="preserve">2008/09</t>
        </is>
      </c>
      <c r="D1384">
        <v>0.0</v>
      </c>
      <c r="E1384">
        <v>26.02</v>
      </c>
      <c r="F1384">
        <v>35.07</v>
      </c>
      <c r="G1384">
        <v>17.46</v>
      </c>
      <c r="H1384">
        <v>0.0</v>
      </c>
      <c r="I1384">
        <v>0.0</v>
      </c>
      <c r="J1384">
        <v>26.06</v>
      </c>
      <c r="K1384">
        <v>33.51</v>
      </c>
      <c r="L1384">
        <v>20.43</v>
      </c>
      <c r="M1384">
        <v>0.0</v>
      </c>
      <c r="N1384">
        <v>0.0</v>
      </c>
      <c r="O1384">
        <v>25.43</v>
      </c>
      <c r="P1384">
        <v>32.96</v>
      </c>
      <c r="Q1384">
        <v>19.1</v>
      </c>
      <c r="R1384">
        <v>0.0</v>
      </c>
    </row>
    <row r="1385">
      <c r="A1385" s="9">
        <v>39916</v>
      </c>
      <c r="B1385" s="2" t="inlineStr">
        <is>
          <t xml:space="preserve">2009-04</t>
        </is>
      </c>
      <c r="C1385" s="2" t="inlineStr">
        <is>
          <t xml:space="preserve">2008/09</t>
        </is>
      </c>
      <c r="D1385">
        <v>0.0</v>
      </c>
      <c r="E1385">
        <v>26.09</v>
      </c>
      <c r="F1385">
        <v>34.42</v>
      </c>
      <c r="G1385">
        <v>18.48</v>
      </c>
      <c r="H1385">
        <v>0.0</v>
      </c>
      <c r="I1385">
        <v>0.0</v>
      </c>
      <c r="J1385">
        <v>24.73</v>
      </c>
      <c r="K1385">
        <v>33.01</v>
      </c>
      <c r="L1385">
        <v>17.62</v>
      </c>
      <c r="M1385">
        <v>0.0</v>
      </c>
      <c r="N1385">
        <v>0.0</v>
      </c>
      <c r="O1385">
        <v>25.14</v>
      </c>
      <c r="P1385">
        <v>33.06</v>
      </c>
      <c r="Q1385">
        <v>18.09</v>
      </c>
      <c r="R1385">
        <v>0.0</v>
      </c>
    </row>
    <row r="1386">
      <c r="A1386" s="9">
        <v>39917</v>
      </c>
      <c r="B1386" s="2" t="inlineStr">
        <is>
          <t xml:space="preserve">2009-04</t>
        </is>
      </c>
      <c r="C1386" s="2" t="inlineStr">
        <is>
          <t xml:space="preserve">2008/09</t>
        </is>
      </c>
      <c r="D1386">
        <v>0.0</v>
      </c>
      <c r="E1386">
        <v>26.4</v>
      </c>
      <c r="F1386">
        <v>35.21</v>
      </c>
      <c r="G1386">
        <v>18.74</v>
      </c>
      <c r="H1386">
        <v>0.0</v>
      </c>
      <c r="I1386">
        <v>0.0</v>
      </c>
      <c r="J1386">
        <v>26.0</v>
      </c>
      <c r="K1386">
        <v>34.56</v>
      </c>
      <c r="L1386">
        <v>17.81</v>
      </c>
      <c r="M1386">
        <v>0.0</v>
      </c>
      <c r="N1386">
        <v>0.0</v>
      </c>
      <c r="O1386">
        <v>24.9</v>
      </c>
      <c r="P1386">
        <v>32.93</v>
      </c>
      <c r="Q1386">
        <v>18.46</v>
      </c>
      <c r="R1386">
        <v>0.0</v>
      </c>
    </row>
    <row r="1387">
      <c r="A1387" s="9">
        <v>39918</v>
      </c>
      <c r="B1387" s="2" t="inlineStr">
        <is>
          <t xml:space="preserve">2009-04</t>
        </is>
      </c>
      <c r="C1387" s="2" t="inlineStr">
        <is>
          <t xml:space="preserve">2008/09</t>
        </is>
      </c>
      <c r="D1387">
        <v>0.0</v>
      </c>
      <c r="E1387">
        <v>26.75</v>
      </c>
      <c r="F1387">
        <v>34.8</v>
      </c>
      <c r="G1387">
        <v>19.4</v>
      </c>
      <c r="H1387">
        <v>0.0</v>
      </c>
      <c r="I1387">
        <v>0.0</v>
      </c>
      <c r="J1387">
        <v>26.31</v>
      </c>
      <c r="K1387">
        <v>33.75</v>
      </c>
      <c r="L1387">
        <v>19.59</v>
      </c>
      <c r="M1387">
        <v>0.0</v>
      </c>
      <c r="N1387">
        <v>0.0</v>
      </c>
      <c r="O1387">
        <v>24.26</v>
      </c>
      <c r="P1387">
        <v>30.66</v>
      </c>
      <c r="Q1387">
        <v>19.9</v>
      </c>
      <c r="R1387">
        <v>0.0</v>
      </c>
    </row>
    <row r="1388">
      <c r="A1388" s="9">
        <v>39919</v>
      </c>
      <c r="B1388" s="2" t="inlineStr">
        <is>
          <t xml:space="preserve">2009-04</t>
        </is>
      </c>
      <c r="C1388" s="2" t="inlineStr">
        <is>
          <t xml:space="preserve">2008/09</t>
        </is>
      </c>
      <c r="D1388">
        <v>0.0</v>
      </c>
      <c r="E1388">
        <v>25.94</v>
      </c>
      <c r="F1388">
        <v>35.11</v>
      </c>
      <c r="G1388">
        <v>18.07</v>
      </c>
      <c r="H1388">
        <v>0.01</v>
      </c>
      <c r="I1388">
        <v>0.0</v>
      </c>
      <c r="J1388">
        <v>26.56</v>
      </c>
      <c r="K1388">
        <v>33.64</v>
      </c>
      <c r="L1388">
        <v>20.83</v>
      </c>
      <c r="M1388">
        <v>0.0</v>
      </c>
      <c r="N1388">
        <v>0.0</v>
      </c>
      <c r="O1388">
        <v>24.67</v>
      </c>
      <c r="P1388">
        <v>31.73</v>
      </c>
      <c r="Q1388">
        <v>19.96</v>
      </c>
      <c r="R1388">
        <v>0.0</v>
      </c>
    </row>
    <row r="1389">
      <c r="A1389" s="9">
        <v>39920</v>
      </c>
      <c r="B1389" s="2" t="inlineStr">
        <is>
          <t xml:space="preserve">2009-04</t>
        </is>
      </c>
      <c r="C1389" s="2" t="inlineStr">
        <is>
          <t xml:space="preserve">2008/09</t>
        </is>
      </c>
      <c r="D1389">
        <v>3.328</v>
      </c>
      <c r="E1389">
        <v>25.0</v>
      </c>
      <c r="F1389">
        <v>33.86</v>
      </c>
      <c r="G1389">
        <v>17.47</v>
      </c>
      <c r="H1389">
        <v>1.4</v>
      </c>
      <c r="I1389">
        <v>0.0</v>
      </c>
      <c r="J1389">
        <v>25.88</v>
      </c>
      <c r="K1389">
        <v>33.05</v>
      </c>
      <c r="L1389">
        <v>20.62</v>
      </c>
      <c r="M1389">
        <v>0.06</v>
      </c>
      <c r="N1389">
        <v>0.032</v>
      </c>
      <c r="O1389">
        <v>23.55</v>
      </c>
      <c r="P1389">
        <v>30.81</v>
      </c>
      <c r="Q1389">
        <v>18.49</v>
      </c>
      <c r="R1389">
        <v>0.05</v>
      </c>
    </row>
    <row r="1390">
      <c r="A1390" s="9">
        <v>39921</v>
      </c>
      <c r="B1390" s="2" t="inlineStr">
        <is>
          <t xml:space="preserve">2009-04</t>
        </is>
      </c>
      <c r="C1390" s="2" t="inlineStr">
        <is>
          <t xml:space="preserve">2008/09</t>
        </is>
      </c>
      <c r="D1390">
        <v>0.297</v>
      </c>
      <c r="E1390">
        <v>24.69</v>
      </c>
      <c r="F1390">
        <v>33.65</v>
      </c>
      <c r="G1390">
        <v>16.64</v>
      </c>
      <c r="H1390">
        <v>0.06</v>
      </c>
      <c r="I1390">
        <v>0.072</v>
      </c>
      <c r="J1390">
        <v>25.47</v>
      </c>
      <c r="K1390">
        <v>32.96</v>
      </c>
      <c r="L1390">
        <v>19.28</v>
      </c>
      <c r="M1390">
        <v>0.03</v>
      </c>
      <c r="N1390">
        <v>0.0</v>
      </c>
      <c r="O1390">
        <v>23.47</v>
      </c>
      <c r="P1390">
        <v>30.62</v>
      </c>
      <c r="Q1390">
        <v>18.54</v>
      </c>
      <c r="R1390">
        <v>0.0</v>
      </c>
    </row>
    <row r="1391">
      <c r="A1391" s="9">
        <v>39922</v>
      </c>
      <c r="B1391" s="2" t="inlineStr">
        <is>
          <t xml:space="preserve">2009-04</t>
        </is>
      </c>
      <c r="C1391" s="2" t="inlineStr">
        <is>
          <t xml:space="preserve">2008/09</t>
        </is>
      </c>
      <c r="D1391">
        <v>0.0</v>
      </c>
      <c r="E1391">
        <v>25.16</v>
      </c>
      <c r="F1391">
        <v>34.1</v>
      </c>
      <c r="G1391">
        <v>17.73</v>
      </c>
      <c r="H1391">
        <v>0.0</v>
      </c>
      <c r="I1391">
        <v>0.0</v>
      </c>
      <c r="J1391">
        <v>25.59</v>
      </c>
      <c r="K1391">
        <v>33.29</v>
      </c>
      <c r="L1391">
        <v>18.8</v>
      </c>
      <c r="M1391">
        <v>0.05</v>
      </c>
      <c r="N1391">
        <v>0.0</v>
      </c>
      <c r="O1391">
        <v>24.07</v>
      </c>
      <c r="P1391">
        <v>31.52</v>
      </c>
      <c r="Q1391">
        <v>19.0</v>
      </c>
      <c r="R1391">
        <v>0.07</v>
      </c>
    </row>
    <row r="1392">
      <c r="A1392" s="9">
        <v>39923</v>
      </c>
      <c r="B1392" s="2" t="inlineStr">
        <is>
          <t xml:space="preserve">2009-04</t>
        </is>
      </c>
      <c r="C1392" s="2" t="inlineStr">
        <is>
          <t xml:space="preserve">2008/09</t>
        </is>
      </c>
      <c r="D1392">
        <v>0.0</v>
      </c>
      <c r="E1392">
        <v>23.75</v>
      </c>
      <c r="F1392">
        <v>31.85</v>
      </c>
      <c r="G1392">
        <v>17.72</v>
      </c>
      <c r="H1392">
        <v>0.74</v>
      </c>
      <c r="I1392">
        <v>0.0</v>
      </c>
      <c r="J1392">
        <v>23.8</v>
      </c>
      <c r="K1392">
        <v>30.56</v>
      </c>
      <c r="L1392">
        <v>18.57</v>
      </c>
      <c r="M1392">
        <v>0.72</v>
      </c>
      <c r="N1392">
        <v>0.183</v>
      </c>
      <c r="O1392">
        <v>22.44</v>
      </c>
      <c r="P1392">
        <v>28.02</v>
      </c>
      <c r="Q1392">
        <v>18.68</v>
      </c>
      <c r="R1392">
        <v>2.47</v>
      </c>
    </row>
    <row r="1393">
      <c r="A1393" s="9">
        <v>39924</v>
      </c>
      <c r="B1393" s="2" t="inlineStr">
        <is>
          <t xml:space="preserve">2009-04</t>
        </is>
      </c>
      <c r="C1393" s="2" t="inlineStr">
        <is>
          <t xml:space="preserve">2008/09</t>
        </is>
      </c>
      <c r="D1393">
        <v>0.0</v>
      </c>
      <c r="E1393">
        <v>23.36</v>
      </c>
      <c r="F1393">
        <v>31.22</v>
      </c>
      <c r="G1393">
        <v>17.48</v>
      </c>
      <c r="H1393">
        <v>0.37</v>
      </c>
      <c r="I1393">
        <v>0.0</v>
      </c>
      <c r="J1393">
        <v>21.98</v>
      </c>
      <c r="K1393">
        <v>28.69</v>
      </c>
      <c r="L1393">
        <v>16.61</v>
      </c>
      <c r="M1393">
        <v>2.46</v>
      </c>
      <c r="N1393">
        <v>1.318</v>
      </c>
      <c r="O1393">
        <v>21.03</v>
      </c>
      <c r="P1393">
        <v>26.67</v>
      </c>
      <c r="Q1393">
        <v>16.81</v>
      </c>
      <c r="R1393">
        <v>10.03</v>
      </c>
    </row>
    <row r="1394">
      <c r="A1394" s="9">
        <v>39925</v>
      </c>
      <c r="B1394" s="2" t="inlineStr">
        <is>
          <t xml:space="preserve">2009-04</t>
        </is>
      </c>
      <c r="C1394" s="2" t="inlineStr">
        <is>
          <t xml:space="preserve">2008/09</t>
        </is>
      </c>
      <c r="D1394">
        <v>0.0</v>
      </c>
      <c r="E1394">
        <v>23.25</v>
      </c>
      <c r="F1394">
        <v>31.8</v>
      </c>
      <c r="G1394">
        <v>17.99</v>
      </c>
      <c r="H1394">
        <v>0.32</v>
      </c>
      <c r="I1394">
        <v>0.0</v>
      </c>
      <c r="J1394">
        <v>22.69</v>
      </c>
      <c r="K1394">
        <v>30.24</v>
      </c>
      <c r="L1394">
        <v>17.08</v>
      </c>
      <c r="M1394">
        <v>0.08</v>
      </c>
      <c r="N1394">
        <v>0.049</v>
      </c>
      <c r="O1394">
        <v>21.64</v>
      </c>
      <c r="P1394">
        <v>27.43</v>
      </c>
      <c r="Q1394">
        <v>17.44</v>
      </c>
      <c r="R1394">
        <v>0.13</v>
      </c>
    </row>
    <row r="1395">
      <c r="A1395" s="9">
        <v>39926</v>
      </c>
      <c r="B1395" s="2" t="inlineStr">
        <is>
          <t xml:space="preserve">2009-04</t>
        </is>
      </c>
      <c r="C1395" s="2" t="inlineStr">
        <is>
          <t xml:space="preserve">2008/09</t>
        </is>
      </c>
      <c r="D1395">
        <v>0.0</v>
      </c>
      <c r="E1395">
        <v>23.48</v>
      </c>
      <c r="F1395">
        <v>31.67</v>
      </c>
      <c r="G1395">
        <v>17.23</v>
      </c>
      <c r="H1395">
        <v>1.82</v>
      </c>
      <c r="I1395">
        <v>0.0</v>
      </c>
      <c r="J1395">
        <v>23.77</v>
      </c>
      <c r="K1395">
        <v>31.22</v>
      </c>
      <c r="L1395">
        <v>17.45</v>
      </c>
      <c r="M1395">
        <v>0.03</v>
      </c>
      <c r="N1395">
        <v>0.0</v>
      </c>
      <c r="O1395">
        <v>22.32</v>
      </c>
      <c r="P1395">
        <v>28.47</v>
      </c>
      <c r="Q1395">
        <v>17.47</v>
      </c>
      <c r="R1395">
        <v>0.04</v>
      </c>
    </row>
    <row r="1396">
      <c r="A1396" s="9">
        <v>39927</v>
      </c>
      <c r="B1396" s="2" t="inlineStr">
        <is>
          <t xml:space="preserve">2009-04</t>
        </is>
      </c>
      <c r="C1396" s="2" t="inlineStr">
        <is>
          <t xml:space="preserve">2008/09</t>
        </is>
      </c>
      <c r="D1396">
        <v>3.215</v>
      </c>
      <c r="E1396">
        <v>23.57</v>
      </c>
      <c r="F1396">
        <v>29.65</v>
      </c>
      <c r="G1396">
        <v>18.03</v>
      </c>
      <c r="H1396">
        <v>0.29</v>
      </c>
      <c r="I1396">
        <v>0.0</v>
      </c>
      <c r="J1396">
        <v>24.16</v>
      </c>
      <c r="K1396">
        <v>29.97</v>
      </c>
      <c r="L1396">
        <v>20.27</v>
      </c>
      <c r="M1396">
        <v>4.37</v>
      </c>
      <c r="N1396">
        <v>0.032</v>
      </c>
      <c r="O1396">
        <v>23.28</v>
      </c>
      <c r="P1396">
        <v>28.68</v>
      </c>
      <c r="Q1396">
        <v>19.59</v>
      </c>
      <c r="R1396">
        <v>3.49</v>
      </c>
    </row>
    <row r="1397">
      <c r="A1397" s="9">
        <v>39928</v>
      </c>
      <c r="B1397" s="2" t="inlineStr">
        <is>
          <t xml:space="preserve">2009-04</t>
        </is>
      </c>
      <c r="C1397" s="2" t="inlineStr">
        <is>
          <t xml:space="preserve">2008/09</t>
        </is>
      </c>
      <c r="D1397">
        <v>0.319</v>
      </c>
      <c r="E1397">
        <v>22.58</v>
      </c>
      <c r="F1397">
        <v>27.23</v>
      </c>
      <c r="G1397">
        <v>18.5</v>
      </c>
      <c r="H1397">
        <v>0.95</v>
      </c>
      <c r="I1397">
        <v>9.002</v>
      </c>
      <c r="J1397">
        <v>23.94</v>
      </c>
      <c r="K1397">
        <v>30.56</v>
      </c>
      <c r="L1397">
        <v>19.75</v>
      </c>
      <c r="M1397">
        <v>4.33</v>
      </c>
      <c r="N1397">
        <v>15.014</v>
      </c>
      <c r="O1397">
        <v>22.78</v>
      </c>
      <c r="P1397">
        <v>28.27</v>
      </c>
      <c r="Q1397">
        <v>19.88</v>
      </c>
      <c r="R1397">
        <v>5.6</v>
      </c>
    </row>
    <row r="1398">
      <c r="A1398" s="9">
        <v>39929</v>
      </c>
      <c r="B1398" s="2" t="inlineStr">
        <is>
          <t xml:space="preserve">2009-04</t>
        </is>
      </c>
      <c r="C1398" s="2" t="inlineStr">
        <is>
          <t xml:space="preserve">2008/09</t>
        </is>
      </c>
      <c r="D1398">
        <v>0.0</v>
      </c>
      <c r="E1398">
        <v>22.16</v>
      </c>
      <c r="F1398">
        <v>27.49</v>
      </c>
      <c r="G1398">
        <v>17.73</v>
      </c>
      <c r="H1398">
        <v>0.26</v>
      </c>
      <c r="I1398">
        <v>4.318</v>
      </c>
      <c r="J1398">
        <v>22.25</v>
      </c>
      <c r="K1398">
        <v>26.72</v>
      </c>
      <c r="L1398">
        <v>19.79</v>
      </c>
      <c r="M1398">
        <v>1.79</v>
      </c>
      <c r="N1398">
        <v>0.361</v>
      </c>
      <c r="O1398">
        <v>21.61</v>
      </c>
      <c r="P1398">
        <v>25.06</v>
      </c>
      <c r="Q1398">
        <v>19.62</v>
      </c>
      <c r="R1398">
        <v>1.98</v>
      </c>
    </row>
    <row r="1399">
      <c r="A1399" s="9">
        <v>39930</v>
      </c>
      <c r="B1399" s="2" t="inlineStr">
        <is>
          <t xml:space="preserve">2009-04</t>
        </is>
      </c>
      <c r="C1399" s="2" t="inlineStr">
        <is>
          <t xml:space="preserve">2008/09</t>
        </is>
      </c>
      <c r="D1399">
        <v>0.0</v>
      </c>
      <c r="E1399">
        <v>24.28</v>
      </c>
      <c r="F1399">
        <v>31.79</v>
      </c>
      <c r="G1399">
        <v>17.34</v>
      </c>
      <c r="H1399">
        <v>0.15</v>
      </c>
      <c r="I1399">
        <v>0.0</v>
      </c>
      <c r="J1399">
        <v>24.61</v>
      </c>
      <c r="K1399">
        <v>31.82</v>
      </c>
      <c r="L1399">
        <v>18.55</v>
      </c>
      <c r="M1399">
        <v>0.03</v>
      </c>
      <c r="N1399">
        <v>0.0</v>
      </c>
      <c r="O1399">
        <v>23.35</v>
      </c>
      <c r="P1399">
        <v>29.45</v>
      </c>
      <c r="Q1399">
        <v>18.98</v>
      </c>
      <c r="R1399">
        <v>0.1</v>
      </c>
    </row>
    <row r="1400">
      <c r="A1400" s="9">
        <v>39931</v>
      </c>
      <c r="B1400" s="2" t="inlineStr">
        <is>
          <t xml:space="preserve">2009-04</t>
        </is>
      </c>
      <c r="C1400" s="2" t="inlineStr">
        <is>
          <t xml:space="preserve">2008/09</t>
        </is>
      </c>
      <c r="D1400">
        <v>0.0</v>
      </c>
      <c r="E1400">
        <v>24.22</v>
      </c>
      <c r="F1400">
        <v>31.38</v>
      </c>
      <c r="G1400">
        <v>18.84</v>
      </c>
      <c r="H1400">
        <v>0.29</v>
      </c>
      <c r="I1400">
        <v>0.0</v>
      </c>
      <c r="J1400">
        <v>23.24</v>
      </c>
      <c r="K1400">
        <v>28.4</v>
      </c>
      <c r="L1400">
        <v>19.87</v>
      </c>
      <c r="M1400">
        <v>0.17</v>
      </c>
      <c r="N1400">
        <v>0.047</v>
      </c>
      <c r="O1400">
        <v>22.67</v>
      </c>
      <c r="P1400">
        <v>27.46</v>
      </c>
      <c r="Q1400">
        <v>19.68</v>
      </c>
      <c r="R1400">
        <v>0.73</v>
      </c>
    </row>
    <row r="1401">
      <c r="A1401" s="9">
        <v>39932</v>
      </c>
      <c r="B1401" s="2" t="inlineStr">
        <is>
          <t xml:space="preserve">2009-04</t>
        </is>
      </c>
      <c r="C1401" s="2" t="inlineStr">
        <is>
          <t xml:space="preserve">2008/09</t>
        </is>
      </c>
      <c r="D1401">
        <v>0.0</v>
      </c>
      <c r="E1401">
        <v>24.05</v>
      </c>
      <c r="F1401">
        <v>30.97</v>
      </c>
      <c r="G1401">
        <v>18.84</v>
      </c>
      <c r="H1401">
        <v>0.36</v>
      </c>
      <c r="I1401">
        <v>0.0</v>
      </c>
      <c r="J1401">
        <v>23.17</v>
      </c>
      <c r="K1401">
        <v>28.17</v>
      </c>
      <c r="L1401">
        <v>19.63</v>
      </c>
      <c r="M1401">
        <v>0.85</v>
      </c>
      <c r="N1401">
        <v>0.142</v>
      </c>
      <c r="O1401">
        <v>22.39</v>
      </c>
      <c r="P1401">
        <v>27.03</v>
      </c>
      <c r="Q1401">
        <v>19.47</v>
      </c>
      <c r="R1401">
        <v>1.05</v>
      </c>
    </row>
    <row r="1402">
      <c r="A1402" s="9">
        <v>39933</v>
      </c>
      <c r="B1402" s="2" t="inlineStr">
        <is>
          <t xml:space="preserve">2009-04</t>
        </is>
      </c>
      <c r="C1402" s="2" t="inlineStr">
        <is>
          <t xml:space="preserve">2008/09</t>
        </is>
      </c>
      <c r="D1402">
        <v>2.105</v>
      </c>
      <c r="E1402">
        <v>23.62</v>
      </c>
      <c r="F1402">
        <v>30.5</v>
      </c>
      <c r="G1402">
        <v>18.85</v>
      </c>
      <c r="H1402">
        <v>2.56</v>
      </c>
      <c r="I1402">
        <v>3.927</v>
      </c>
      <c r="J1402">
        <v>22.85</v>
      </c>
      <c r="K1402">
        <v>28.63</v>
      </c>
      <c r="L1402">
        <v>18.81</v>
      </c>
      <c r="M1402">
        <v>2.09</v>
      </c>
      <c r="N1402">
        <v>0.194</v>
      </c>
      <c r="O1402">
        <v>22.46</v>
      </c>
      <c r="P1402">
        <v>28.07</v>
      </c>
      <c r="Q1402">
        <v>18.88</v>
      </c>
      <c r="R1402">
        <v>0.98</v>
      </c>
    </row>
    <row r="1403">
      <c r="A1403" s="9">
        <v>39934</v>
      </c>
      <c r="B1403" s="2" t="inlineStr">
        <is>
          <t xml:space="preserve">2009-05</t>
        </is>
      </c>
      <c r="C1403" s="2" t="inlineStr">
        <is>
          <t xml:space="preserve">2008/09</t>
        </is>
      </c>
      <c r="D1403">
        <v>14.298</v>
      </c>
      <c r="E1403">
        <v>22.36</v>
      </c>
      <c r="F1403">
        <v>27.21</v>
      </c>
      <c r="G1403">
        <v>19.0</v>
      </c>
      <c r="H1403">
        <v>14.86</v>
      </c>
      <c r="I1403">
        <v>16.045</v>
      </c>
      <c r="J1403">
        <v>22.05</v>
      </c>
      <c r="K1403">
        <v>25.86</v>
      </c>
      <c r="L1403">
        <v>19.25</v>
      </c>
      <c r="M1403">
        <v>13.7</v>
      </c>
      <c r="N1403">
        <v>4.489</v>
      </c>
      <c r="O1403">
        <v>21.65</v>
      </c>
      <c r="P1403">
        <v>25.07</v>
      </c>
      <c r="Q1403">
        <v>19.58</v>
      </c>
      <c r="R1403">
        <v>11.19</v>
      </c>
    </row>
    <row r="1404">
      <c r="A1404" s="9">
        <v>39935</v>
      </c>
      <c r="B1404" s="2" t="inlineStr">
        <is>
          <t xml:space="preserve">2009-05</t>
        </is>
      </c>
      <c r="C1404" s="2" t="inlineStr">
        <is>
          <t xml:space="preserve">2008/09</t>
        </is>
      </c>
      <c r="D1404">
        <v>48.177</v>
      </c>
      <c r="E1404">
        <v>22.02</v>
      </c>
      <c r="F1404">
        <v>26.34</v>
      </c>
      <c r="G1404">
        <v>18.12</v>
      </c>
      <c r="H1404">
        <v>20.64</v>
      </c>
      <c r="I1404">
        <v>15.196</v>
      </c>
      <c r="J1404">
        <v>22.46</v>
      </c>
      <c r="K1404">
        <v>26.7</v>
      </c>
      <c r="L1404">
        <v>18.76</v>
      </c>
      <c r="M1404">
        <v>25.99</v>
      </c>
      <c r="N1404">
        <v>55.038</v>
      </c>
      <c r="O1404">
        <v>22.61</v>
      </c>
      <c r="P1404">
        <v>26.7</v>
      </c>
      <c r="Q1404">
        <v>19.37</v>
      </c>
      <c r="R1404">
        <v>30.97</v>
      </c>
    </row>
    <row r="1405">
      <c r="A1405" s="9">
        <v>39936</v>
      </c>
      <c r="B1405" s="2" t="inlineStr">
        <is>
          <t xml:space="preserve">2009-05</t>
        </is>
      </c>
      <c r="C1405" s="2" t="inlineStr">
        <is>
          <t xml:space="preserve">2008/09</t>
        </is>
      </c>
      <c r="D1405">
        <v>31.629</v>
      </c>
      <c r="E1405">
        <v>22.1</v>
      </c>
      <c r="F1405">
        <v>26.92</v>
      </c>
      <c r="G1405">
        <v>18.8</v>
      </c>
      <c r="H1405">
        <v>15.83</v>
      </c>
      <c r="I1405">
        <v>14.241</v>
      </c>
      <c r="J1405">
        <v>23.07</v>
      </c>
      <c r="K1405">
        <v>29.16</v>
      </c>
      <c r="L1405">
        <v>19.5</v>
      </c>
      <c r="M1405">
        <v>10.92</v>
      </c>
      <c r="N1405">
        <v>34.514</v>
      </c>
      <c r="O1405">
        <v>23.37</v>
      </c>
      <c r="P1405">
        <v>29.16</v>
      </c>
      <c r="Q1405">
        <v>19.5</v>
      </c>
      <c r="R1405">
        <v>13.35</v>
      </c>
    </row>
    <row r="1406">
      <c r="A1406" s="9">
        <v>39937</v>
      </c>
      <c r="B1406" s="2" t="inlineStr">
        <is>
          <t xml:space="preserve">2009-05</t>
        </is>
      </c>
      <c r="C1406" s="2" t="inlineStr">
        <is>
          <t xml:space="preserve">2008/09</t>
        </is>
      </c>
      <c r="D1406">
        <v>0.0</v>
      </c>
      <c r="E1406">
        <v>23.75</v>
      </c>
      <c r="F1406">
        <v>31.01</v>
      </c>
      <c r="G1406">
        <v>17.54</v>
      </c>
      <c r="H1406">
        <v>1.05</v>
      </c>
      <c r="I1406">
        <v>0.0</v>
      </c>
      <c r="J1406">
        <v>23.94</v>
      </c>
      <c r="K1406">
        <v>30.76</v>
      </c>
      <c r="L1406">
        <v>18.59</v>
      </c>
      <c r="M1406">
        <v>1.09</v>
      </c>
      <c r="N1406">
        <v>0.165</v>
      </c>
      <c r="O1406">
        <v>23.83</v>
      </c>
      <c r="P1406">
        <v>29.95</v>
      </c>
      <c r="Q1406">
        <v>18.52</v>
      </c>
      <c r="R1406">
        <v>1.48</v>
      </c>
    </row>
    <row r="1407">
      <c r="A1407" s="9">
        <v>39938</v>
      </c>
      <c r="B1407" s="2" t="inlineStr">
        <is>
          <t xml:space="preserve">2009-05</t>
        </is>
      </c>
      <c r="C1407" s="2" t="inlineStr">
        <is>
          <t xml:space="preserve">2008/09</t>
        </is>
      </c>
      <c r="D1407">
        <v>1.256</v>
      </c>
      <c r="E1407">
        <v>23.13</v>
      </c>
      <c r="F1407">
        <v>28.26</v>
      </c>
      <c r="G1407">
        <v>19.88</v>
      </c>
      <c r="H1407">
        <v>1.95</v>
      </c>
      <c r="I1407">
        <v>1.784</v>
      </c>
      <c r="J1407">
        <v>23.79</v>
      </c>
      <c r="K1407">
        <v>30.29</v>
      </c>
      <c r="L1407">
        <v>19.15</v>
      </c>
      <c r="M1407">
        <v>1.88</v>
      </c>
      <c r="N1407">
        <v>6.116</v>
      </c>
      <c r="O1407">
        <v>22.68</v>
      </c>
      <c r="P1407">
        <v>26.68</v>
      </c>
      <c r="Q1407">
        <v>19.65</v>
      </c>
      <c r="R1407">
        <v>2.25</v>
      </c>
    </row>
    <row r="1408">
      <c r="A1408" s="9">
        <v>39939</v>
      </c>
      <c r="B1408" s="2" t="inlineStr">
        <is>
          <t xml:space="preserve">2009-05</t>
        </is>
      </c>
      <c r="C1408" s="2" t="inlineStr">
        <is>
          <t xml:space="preserve">2008/09</t>
        </is>
      </c>
      <c r="D1408">
        <v>1.27</v>
      </c>
      <c r="E1408">
        <v>22.6</v>
      </c>
      <c r="F1408">
        <v>26.88</v>
      </c>
      <c r="G1408">
        <v>19.04</v>
      </c>
      <c r="H1408">
        <v>1.9</v>
      </c>
      <c r="I1408">
        <v>0.37</v>
      </c>
      <c r="J1408">
        <v>23.99</v>
      </c>
      <c r="K1408">
        <v>29.83</v>
      </c>
      <c r="L1408">
        <v>18.98</v>
      </c>
      <c r="M1408">
        <v>1.23</v>
      </c>
      <c r="N1408">
        <v>1.266</v>
      </c>
      <c r="O1408">
        <v>23.17</v>
      </c>
      <c r="P1408">
        <v>28.88</v>
      </c>
      <c r="Q1408">
        <v>18.57</v>
      </c>
      <c r="R1408">
        <v>1.76</v>
      </c>
    </row>
    <row r="1409">
      <c r="A1409" s="9">
        <v>39940</v>
      </c>
      <c r="B1409" s="2" t="inlineStr">
        <is>
          <t xml:space="preserve">2009-05</t>
        </is>
      </c>
      <c r="C1409" s="2" t="inlineStr">
        <is>
          <t xml:space="preserve">2008/09</t>
        </is>
      </c>
      <c r="D1409">
        <v>6.511</v>
      </c>
      <c r="E1409">
        <v>23.01</v>
      </c>
      <c r="F1409">
        <v>27.89</v>
      </c>
      <c r="G1409">
        <v>18.96</v>
      </c>
      <c r="H1409">
        <v>4.52</v>
      </c>
      <c r="I1409">
        <v>4.405</v>
      </c>
      <c r="J1409">
        <v>23.58</v>
      </c>
      <c r="K1409">
        <v>28.27</v>
      </c>
      <c r="L1409">
        <v>20.41</v>
      </c>
      <c r="M1409">
        <v>7.73</v>
      </c>
      <c r="N1409">
        <v>15.17</v>
      </c>
      <c r="O1409">
        <v>22.71</v>
      </c>
      <c r="P1409">
        <v>26.25</v>
      </c>
      <c r="Q1409">
        <v>20.32</v>
      </c>
      <c r="R1409">
        <v>9.26</v>
      </c>
    </row>
    <row r="1410">
      <c r="A1410" s="9">
        <v>39941</v>
      </c>
      <c r="B1410" s="2" t="inlineStr">
        <is>
          <t xml:space="preserve">2009-05</t>
        </is>
      </c>
      <c r="C1410" s="2" t="inlineStr">
        <is>
          <t xml:space="preserve">2008/09</t>
        </is>
      </c>
      <c r="D1410">
        <v>8.631</v>
      </c>
      <c r="E1410">
        <v>23.54</v>
      </c>
      <c r="F1410">
        <v>29.16</v>
      </c>
      <c r="G1410">
        <v>18.91</v>
      </c>
      <c r="H1410">
        <v>5.04</v>
      </c>
      <c r="I1410">
        <v>0.3</v>
      </c>
      <c r="J1410">
        <v>23.95</v>
      </c>
      <c r="K1410">
        <v>30.24</v>
      </c>
      <c r="L1410">
        <v>19.75</v>
      </c>
      <c r="M1410">
        <v>1.58</v>
      </c>
      <c r="N1410">
        <v>1.158</v>
      </c>
      <c r="O1410">
        <v>23.5</v>
      </c>
      <c r="P1410">
        <v>29.45</v>
      </c>
      <c r="Q1410">
        <v>19.41</v>
      </c>
      <c r="R1410">
        <v>1.09</v>
      </c>
    </row>
    <row r="1411">
      <c r="A1411" s="9">
        <v>39942</v>
      </c>
      <c r="B1411" s="2" t="inlineStr">
        <is>
          <t xml:space="preserve">2009-05</t>
        </is>
      </c>
      <c r="C1411" s="2" t="inlineStr">
        <is>
          <t xml:space="preserve">2008/09</t>
        </is>
      </c>
      <c r="D1411">
        <v>6.328</v>
      </c>
      <c r="E1411">
        <v>23.63</v>
      </c>
      <c r="F1411">
        <v>29.48</v>
      </c>
      <c r="G1411">
        <v>18.51</v>
      </c>
      <c r="H1411">
        <v>1.74</v>
      </c>
      <c r="I1411">
        <v>0.061</v>
      </c>
      <c r="J1411">
        <v>23.97</v>
      </c>
      <c r="K1411">
        <v>28.43</v>
      </c>
      <c r="L1411">
        <v>20.75</v>
      </c>
      <c r="M1411">
        <v>1.55</v>
      </c>
      <c r="N1411">
        <v>0.656</v>
      </c>
      <c r="O1411">
        <v>23.94</v>
      </c>
      <c r="P1411">
        <v>29.59</v>
      </c>
      <c r="Q1411">
        <v>20.32</v>
      </c>
      <c r="R1411">
        <v>1.43</v>
      </c>
    </row>
    <row r="1412">
      <c r="A1412" s="9">
        <v>39943</v>
      </c>
      <c r="B1412" s="2" t="inlineStr">
        <is>
          <t xml:space="preserve">2009-05</t>
        </is>
      </c>
      <c r="C1412" s="2" t="inlineStr">
        <is>
          <t xml:space="preserve">2008/09</t>
        </is>
      </c>
      <c r="D1412">
        <v>2.757</v>
      </c>
      <c r="E1412">
        <v>22.31</v>
      </c>
      <c r="F1412">
        <v>26.86</v>
      </c>
      <c r="G1412">
        <v>19.11</v>
      </c>
      <c r="H1412">
        <v>4.87</v>
      </c>
      <c r="I1412">
        <v>8.635</v>
      </c>
      <c r="J1412">
        <v>23.24</v>
      </c>
      <c r="K1412">
        <v>28.27</v>
      </c>
      <c r="L1412">
        <v>20.25</v>
      </c>
      <c r="M1412">
        <v>5.57</v>
      </c>
      <c r="N1412">
        <v>3.124</v>
      </c>
      <c r="O1412">
        <v>22.78</v>
      </c>
      <c r="P1412">
        <v>27.35</v>
      </c>
      <c r="Q1412">
        <v>20.67</v>
      </c>
      <c r="R1412">
        <v>5.02</v>
      </c>
    </row>
    <row r="1413">
      <c r="A1413" s="9">
        <v>39944</v>
      </c>
      <c r="B1413" s="2" t="inlineStr">
        <is>
          <t xml:space="preserve">2009-05</t>
        </is>
      </c>
      <c r="C1413" s="2" t="inlineStr">
        <is>
          <t xml:space="preserve">2008/09</t>
        </is>
      </c>
      <c r="D1413">
        <v>1.282</v>
      </c>
      <c r="E1413">
        <v>22.99</v>
      </c>
      <c r="F1413">
        <v>29.11</v>
      </c>
      <c r="G1413">
        <v>18.26</v>
      </c>
      <c r="H1413">
        <v>4.38</v>
      </c>
      <c r="I1413">
        <v>0.574</v>
      </c>
      <c r="J1413">
        <v>22.87</v>
      </c>
      <c r="K1413">
        <v>27.15</v>
      </c>
      <c r="L1413">
        <v>19.34</v>
      </c>
      <c r="M1413">
        <v>1.04</v>
      </c>
      <c r="N1413">
        <v>2.09</v>
      </c>
      <c r="O1413">
        <v>22.3</v>
      </c>
      <c r="P1413">
        <v>25.98</v>
      </c>
      <c r="Q1413">
        <v>20.0</v>
      </c>
      <c r="R1413">
        <v>1.19</v>
      </c>
    </row>
    <row r="1414">
      <c r="A1414" s="9">
        <v>39945</v>
      </c>
      <c r="B1414" s="2" t="inlineStr">
        <is>
          <t xml:space="preserve">2009-05</t>
        </is>
      </c>
      <c r="C1414" s="2" t="inlineStr">
        <is>
          <t xml:space="preserve">2008/09</t>
        </is>
      </c>
      <c r="D1414">
        <v>11.39</v>
      </c>
      <c r="E1414">
        <v>23.21</v>
      </c>
      <c r="F1414">
        <v>30.09</v>
      </c>
      <c r="G1414">
        <v>19.2</v>
      </c>
      <c r="H1414">
        <v>4.77</v>
      </c>
      <c r="I1414">
        <v>1.516</v>
      </c>
      <c r="J1414">
        <v>23.19</v>
      </c>
      <c r="K1414">
        <v>27.82</v>
      </c>
      <c r="L1414">
        <v>19.99</v>
      </c>
      <c r="M1414">
        <v>1.34</v>
      </c>
      <c r="N1414">
        <v>0.528</v>
      </c>
      <c r="O1414">
        <v>22.92</v>
      </c>
      <c r="P1414">
        <v>27.14</v>
      </c>
      <c r="Q1414">
        <v>20.2</v>
      </c>
      <c r="R1414">
        <v>0.89</v>
      </c>
    </row>
    <row r="1415">
      <c r="A1415" s="9">
        <v>39946</v>
      </c>
      <c r="B1415" s="2" t="inlineStr">
        <is>
          <t xml:space="preserve">2009-05</t>
        </is>
      </c>
      <c r="C1415" s="2" t="inlineStr">
        <is>
          <t xml:space="preserve">2008/09</t>
        </is>
      </c>
      <c r="D1415">
        <v>1.221</v>
      </c>
      <c r="E1415">
        <v>24.49</v>
      </c>
      <c r="F1415">
        <v>31.56</v>
      </c>
      <c r="G1415">
        <v>18.74</v>
      </c>
      <c r="H1415">
        <v>0.65</v>
      </c>
      <c r="I1415">
        <v>2.726</v>
      </c>
      <c r="J1415">
        <v>24.0</v>
      </c>
      <c r="K1415">
        <v>29.45</v>
      </c>
      <c r="L1415">
        <v>19.77</v>
      </c>
      <c r="M1415">
        <v>2.04</v>
      </c>
      <c r="N1415">
        <v>0.124</v>
      </c>
      <c r="O1415">
        <v>23.58</v>
      </c>
      <c r="P1415">
        <v>29.23</v>
      </c>
      <c r="Q1415">
        <v>19.71</v>
      </c>
      <c r="R1415">
        <v>1.12</v>
      </c>
    </row>
    <row r="1416">
      <c r="A1416" s="9">
        <v>39947</v>
      </c>
      <c r="B1416" s="2" t="inlineStr">
        <is>
          <t xml:space="preserve">2009-05</t>
        </is>
      </c>
      <c r="C1416" s="2" t="inlineStr">
        <is>
          <t xml:space="preserve">2008/09</t>
        </is>
      </c>
      <c r="D1416">
        <v>2.16</v>
      </c>
      <c r="E1416">
        <v>24.55</v>
      </c>
      <c r="F1416">
        <v>31.45</v>
      </c>
      <c r="G1416">
        <v>19.75</v>
      </c>
      <c r="H1416">
        <v>1.09</v>
      </c>
      <c r="I1416">
        <v>8.118</v>
      </c>
      <c r="J1416">
        <v>24.74</v>
      </c>
      <c r="K1416">
        <v>30.54</v>
      </c>
      <c r="L1416">
        <v>19.81</v>
      </c>
      <c r="M1416">
        <v>6.39</v>
      </c>
      <c r="N1416">
        <v>0.324</v>
      </c>
      <c r="O1416">
        <v>23.83</v>
      </c>
      <c r="P1416">
        <v>29.39</v>
      </c>
      <c r="Q1416">
        <v>19.96</v>
      </c>
      <c r="R1416">
        <v>2.86</v>
      </c>
    </row>
    <row r="1417">
      <c r="A1417" s="9">
        <v>39948</v>
      </c>
      <c r="B1417" s="2" t="inlineStr">
        <is>
          <t xml:space="preserve">2009-05</t>
        </is>
      </c>
      <c r="C1417" s="2" t="inlineStr">
        <is>
          <t xml:space="preserve">2008/09</t>
        </is>
      </c>
      <c r="D1417">
        <v>0.611</v>
      </c>
      <c r="E1417">
        <v>24.13</v>
      </c>
      <c r="F1417">
        <v>30.7</v>
      </c>
      <c r="G1417">
        <v>19.75</v>
      </c>
      <c r="H1417">
        <v>2.62</v>
      </c>
      <c r="I1417">
        <v>16.099</v>
      </c>
      <c r="J1417">
        <v>22.31</v>
      </c>
      <c r="K1417">
        <v>24.99</v>
      </c>
      <c r="L1417">
        <v>20.19</v>
      </c>
      <c r="M1417">
        <v>9.32</v>
      </c>
      <c r="N1417">
        <v>3.665</v>
      </c>
      <c r="O1417">
        <v>23.04</v>
      </c>
      <c r="P1417">
        <v>27.54</v>
      </c>
      <c r="Q1417">
        <v>20.42</v>
      </c>
      <c r="R1417">
        <v>5.25</v>
      </c>
    </row>
    <row r="1418">
      <c r="A1418" s="9">
        <v>39949</v>
      </c>
      <c r="B1418" s="2" t="inlineStr">
        <is>
          <t xml:space="preserve">2009-05</t>
        </is>
      </c>
      <c r="C1418" s="2" t="inlineStr">
        <is>
          <t xml:space="preserve">2008/09</t>
        </is>
      </c>
      <c r="D1418">
        <v>8.192</v>
      </c>
      <c r="E1418">
        <v>23.57</v>
      </c>
      <c r="F1418">
        <v>29.82</v>
      </c>
      <c r="G1418">
        <v>19.09</v>
      </c>
      <c r="H1418">
        <v>4.37</v>
      </c>
      <c r="I1418">
        <v>17.823</v>
      </c>
      <c r="J1418">
        <v>23.22</v>
      </c>
      <c r="K1418">
        <v>28.04</v>
      </c>
      <c r="L1418">
        <v>19.27</v>
      </c>
      <c r="M1418">
        <v>10.28</v>
      </c>
      <c r="N1418">
        <v>3.608</v>
      </c>
      <c r="O1418">
        <v>23.18</v>
      </c>
      <c r="P1418">
        <v>28.51</v>
      </c>
      <c r="Q1418">
        <v>19.44</v>
      </c>
      <c r="R1418">
        <v>5.87</v>
      </c>
    </row>
    <row r="1419">
      <c r="A1419" s="9">
        <v>39950</v>
      </c>
      <c r="B1419" s="2" t="inlineStr">
        <is>
          <t xml:space="preserve">2009-05</t>
        </is>
      </c>
      <c r="C1419" s="2" t="inlineStr">
        <is>
          <t xml:space="preserve">2008/09</t>
        </is>
      </c>
      <c r="D1419">
        <v>0.186</v>
      </c>
      <c r="E1419">
        <v>24.0</v>
      </c>
      <c r="F1419">
        <v>30.74</v>
      </c>
      <c r="G1419">
        <v>19.07</v>
      </c>
      <c r="H1419">
        <v>2.51</v>
      </c>
      <c r="I1419">
        <v>0.0</v>
      </c>
      <c r="J1419">
        <v>24.02</v>
      </c>
      <c r="K1419">
        <v>29.38</v>
      </c>
      <c r="L1419">
        <v>19.14</v>
      </c>
      <c r="M1419">
        <v>0.51</v>
      </c>
      <c r="N1419">
        <v>0.0</v>
      </c>
      <c r="O1419">
        <v>23.64</v>
      </c>
      <c r="P1419">
        <v>28.51</v>
      </c>
      <c r="Q1419">
        <v>20.08</v>
      </c>
      <c r="R1419">
        <v>0.22</v>
      </c>
    </row>
    <row r="1420">
      <c r="A1420" s="9">
        <v>39951</v>
      </c>
      <c r="B1420" s="2" t="inlineStr">
        <is>
          <t xml:space="preserve">2009-05</t>
        </is>
      </c>
      <c r="C1420" s="2" t="inlineStr">
        <is>
          <t xml:space="preserve">2008/09</t>
        </is>
      </c>
      <c r="D1420">
        <v>2.098</v>
      </c>
      <c r="E1420">
        <v>24.18</v>
      </c>
      <c r="F1420">
        <v>31.6</v>
      </c>
      <c r="G1420">
        <v>17.92</v>
      </c>
      <c r="H1420">
        <v>0.77</v>
      </c>
      <c r="I1420">
        <v>0.0</v>
      </c>
      <c r="J1420">
        <v>23.45</v>
      </c>
      <c r="K1420">
        <v>28.36</v>
      </c>
      <c r="L1420">
        <v>18.69</v>
      </c>
      <c r="M1420">
        <v>0.13</v>
      </c>
      <c r="N1420">
        <v>0.0</v>
      </c>
      <c r="O1420">
        <v>23.25</v>
      </c>
      <c r="P1420">
        <v>28.97</v>
      </c>
      <c r="Q1420">
        <v>18.49</v>
      </c>
      <c r="R1420">
        <v>0.19</v>
      </c>
    </row>
    <row r="1421">
      <c r="A1421" s="9">
        <v>39952</v>
      </c>
      <c r="B1421" s="2" t="inlineStr">
        <is>
          <t xml:space="preserve">2009-05</t>
        </is>
      </c>
      <c r="C1421" s="2" t="inlineStr">
        <is>
          <t xml:space="preserve">2008/09</t>
        </is>
      </c>
      <c r="D1421">
        <v>0.022</v>
      </c>
      <c r="E1421">
        <v>22.29</v>
      </c>
      <c r="F1421">
        <v>27.55</v>
      </c>
      <c r="G1421">
        <v>18.68</v>
      </c>
      <c r="H1421">
        <v>2.08</v>
      </c>
      <c r="I1421">
        <v>0.11</v>
      </c>
      <c r="J1421">
        <v>23.16</v>
      </c>
      <c r="K1421">
        <v>28.31</v>
      </c>
      <c r="L1421">
        <v>19.59</v>
      </c>
      <c r="M1421">
        <v>0.61</v>
      </c>
      <c r="N1421">
        <v>1.162</v>
      </c>
      <c r="O1421">
        <v>22.66</v>
      </c>
      <c r="P1421">
        <v>28.46</v>
      </c>
      <c r="Q1421">
        <v>19.01</v>
      </c>
      <c r="R1421">
        <v>0.85</v>
      </c>
    </row>
    <row r="1422">
      <c r="A1422" s="9">
        <v>39953</v>
      </c>
      <c r="B1422" s="2" t="inlineStr">
        <is>
          <t xml:space="preserve">2009-05</t>
        </is>
      </c>
      <c r="C1422" s="2" t="inlineStr">
        <is>
          <t xml:space="preserve">2008/09</t>
        </is>
      </c>
      <c r="D1422">
        <v>0.038</v>
      </c>
      <c r="E1422">
        <v>22.55</v>
      </c>
      <c r="F1422">
        <v>27.56</v>
      </c>
      <c r="G1422">
        <v>18.03</v>
      </c>
      <c r="H1422">
        <v>0.55</v>
      </c>
      <c r="I1422">
        <v>0.174</v>
      </c>
      <c r="J1422">
        <v>22.87</v>
      </c>
      <c r="K1422">
        <v>27.72</v>
      </c>
      <c r="L1422">
        <v>19.28</v>
      </c>
      <c r="M1422">
        <v>0.2</v>
      </c>
      <c r="N1422">
        <v>0.0</v>
      </c>
      <c r="O1422">
        <v>22.39</v>
      </c>
      <c r="P1422">
        <v>27.21</v>
      </c>
      <c r="Q1422">
        <v>18.42</v>
      </c>
      <c r="R1422">
        <v>0.1</v>
      </c>
    </row>
    <row r="1423">
      <c r="A1423" s="9">
        <v>39954</v>
      </c>
      <c r="B1423" s="2" t="inlineStr">
        <is>
          <t xml:space="preserve">2009-05</t>
        </is>
      </c>
      <c r="C1423" s="2" t="inlineStr">
        <is>
          <t xml:space="preserve">2008/09</t>
        </is>
      </c>
      <c r="D1423">
        <v>1.532</v>
      </c>
      <c r="E1423">
        <v>23.16</v>
      </c>
      <c r="F1423">
        <v>29.65</v>
      </c>
      <c r="G1423">
        <v>18.76</v>
      </c>
      <c r="H1423">
        <v>3.99</v>
      </c>
      <c r="I1423">
        <v>0.374</v>
      </c>
      <c r="J1423">
        <v>23.6</v>
      </c>
      <c r="K1423">
        <v>29.36</v>
      </c>
      <c r="L1423">
        <v>18.88</v>
      </c>
      <c r="M1423">
        <v>1.35</v>
      </c>
      <c r="N1423">
        <v>0.406</v>
      </c>
      <c r="O1423">
        <v>23.45</v>
      </c>
      <c r="P1423">
        <v>28.72</v>
      </c>
      <c r="Q1423">
        <v>18.82</v>
      </c>
      <c r="R1423">
        <v>1.0</v>
      </c>
    </row>
    <row r="1424">
      <c r="A1424" s="9">
        <v>39955</v>
      </c>
      <c r="B1424" s="2" t="inlineStr">
        <is>
          <t xml:space="preserve">2009-05</t>
        </is>
      </c>
      <c r="C1424" s="2" t="inlineStr">
        <is>
          <t xml:space="preserve">2008/09</t>
        </is>
      </c>
      <c r="D1424">
        <v>9.659</v>
      </c>
      <c r="E1424">
        <v>22.58</v>
      </c>
      <c r="F1424">
        <v>28.02</v>
      </c>
      <c r="G1424">
        <v>19.39</v>
      </c>
      <c r="H1424">
        <v>8.55</v>
      </c>
      <c r="I1424">
        <v>4.528</v>
      </c>
      <c r="J1424">
        <v>23.9</v>
      </c>
      <c r="K1424">
        <v>29.42</v>
      </c>
      <c r="L1424">
        <v>19.88</v>
      </c>
      <c r="M1424">
        <v>6.23</v>
      </c>
      <c r="N1424">
        <v>2.528</v>
      </c>
      <c r="O1424">
        <v>23.35</v>
      </c>
      <c r="P1424">
        <v>28.36</v>
      </c>
      <c r="Q1424">
        <v>19.75</v>
      </c>
      <c r="R1424">
        <v>5.6</v>
      </c>
    </row>
    <row r="1425">
      <c r="A1425" s="9">
        <v>39956</v>
      </c>
      <c r="B1425" s="2" t="inlineStr">
        <is>
          <t xml:space="preserve">2009-05</t>
        </is>
      </c>
      <c r="C1425" s="2" t="inlineStr">
        <is>
          <t xml:space="preserve">2008/09</t>
        </is>
      </c>
      <c r="D1425">
        <v>15.874</v>
      </c>
      <c r="E1425">
        <v>22.67</v>
      </c>
      <c r="F1425">
        <v>27.54</v>
      </c>
      <c r="G1425">
        <v>19.71</v>
      </c>
      <c r="H1425">
        <v>9.47</v>
      </c>
      <c r="I1425">
        <v>3.397</v>
      </c>
      <c r="J1425">
        <v>22.71</v>
      </c>
      <c r="K1425">
        <v>26.86</v>
      </c>
      <c r="L1425">
        <v>19.64</v>
      </c>
      <c r="M1425">
        <v>5.96</v>
      </c>
      <c r="N1425">
        <v>10.498</v>
      </c>
      <c r="O1425">
        <v>23.14</v>
      </c>
      <c r="P1425">
        <v>27.14</v>
      </c>
      <c r="Q1425">
        <v>20.04</v>
      </c>
      <c r="R1425">
        <v>8.02</v>
      </c>
    </row>
    <row r="1426">
      <c r="A1426" s="9">
        <v>39957</v>
      </c>
      <c r="B1426" s="2" t="inlineStr">
        <is>
          <t xml:space="preserve">2009-05</t>
        </is>
      </c>
      <c r="C1426" s="2" t="inlineStr">
        <is>
          <t xml:space="preserve">2008/09</t>
        </is>
      </c>
      <c r="D1426">
        <v>33.478</v>
      </c>
      <c r="E1426">
        <v>22.05</v>
      </c>
      <c r="F1426">
        <v>25.55</v>
      </c>
      <c r="G1426">
        <v>19.94</v>
      </c>
      <c r="H1426">
        <v>14.56</v>
      </c>
      <c r="I1426">
        <v>3.783</v>
      </c>
      <c r="J1426">
        <v>24.02</v>
      </c>
      <c r="K1426">
        <v>29.37</v>
      </c>
      <c r="L1426">
        <v>19.88</v>
      </c>
      <c r="M1426">
        <v>5.59</v>
      </c>
      <c r="N1426">
        <v>10.826</v>
      </c>
      <c r="O1426">
        <v>23.58</v>
      </c>
      <c r="P1426">
        <v>28.56</v>
      </c>
      <c r="Q1426">
        <v>20.62</v>
      </c>
      <c r="R1426">
        <v>6.27</v>
      </c>
    </row>
    <row r="1427">
      <c r="A1427" s="9">
        <v>39958</v>
      </c>
      <c r="B1427" s="2" t="inlineStr">
        <is>
          <t xml:space="preserve">2009-05</t>
        </is>
      </c>
      <c r="C1427" s="2" t="inlineStr">
        <is>
          <t xml:space="preserve">2008/09</t>
        </is>
      </c>
      <c r="D1427">
        <v>0.155</v>
      </c>
      <c r="E1427">
        <v>24.12</v>
      </c>
      <c r="F1427">
        <v>29.83</v>
      </c>
      <c r="G1427">
        <v>20.06</v>
      </c>
      <c r="H1427">
        <v>3.64</v>
      </c>
      <c r="I1427">
        <v>4.034</v>
      </c>
      <c r="J1427">
        <v>24.7</v>
      </c>
      <c r="K1427">
        <v>30.18</v>
      </c>
      <c r="L1427">
        <v>20.34</v>
      </c>
      <c r="M1427">
        <v>2.8</v>
      </c>
      <c r="N1427">
        <v>0.148</v>
      </c>
      <c r="O1427">
        <v>23.45</v>
      </c>
      <c r="P1427">
        <v>27.54</v>
      </c>
      <c r="Q1427">
        <v>20.61</v>
      </c>
      <c r="R1427">
        <v>1.57</v>
      </c>
    </row>
    <row r="1428">
      <c r="A1428" s="9">
        <v>39959</v>
      </c>
      <c r="B1428" s="2" t="inlineStr">
        <is>
          <t xml:space="preserve">2009-05</t>
        </is>
      </c>
      <c r="C1428" s="2" t="inlineStr">
        <is>
          <t xml:space="preserve">2008/09</t>
        </is>
      </c>
      <c r="D1428">
        <v>6.818</v>
      </c>
      <c r="E1428">
        <v>24.76</v>
      </c>
      <c r="F1428">
        <v>30.81</v>
      </c>
      <c r="G1428">
        <v>19.64</v>
      </c>
      <c r="H1428">
        <v>3.52</v>
      </c>
      <c r="I1428">
        <v>2.921</v>
      </c>
      <c r="J1428">
        <v>24.95</v>
      </c>
      <c r="K1428">
        <v>31.39</v>
      </c>
      <c r="L1428">
        <v>19.88</v>
      </c>
      <c r="M1428">
        <v>3.63</v>
      </c>
      <c r="N1428">
        <v>2.337</v>
      </c>
      <c r="O1428">
        <v>25.27</v>
      </c>
      <c r="P1428">
        <v>31.64</v>
      </c>
      <c r="Q1428">
        <v>19.52</v>
      </c>
      <c r="R1428">
        <v>2.1</v>
      </c>
    </row>
    <row r="1429">
      <c r="A1429" s="9">
        <v>39960</v>
      </c>
      <c r="B1429" s="2" t="inlineStr">
        <is>
          <t xml:space="preserve">2009-05</t>
        </is>
      </c>
      <c r="C1429" s="2" t="inlineStr">
        <is>
          <t xml:space="preserve">2008/09</t>
        </is>
      </c>
      <c r="D1429">
        <v>10.312</v>
      </c>
      <c r="E1429">
        <v>24.24</v>
      </c>
      <c r="F1429">
        <v>29.74</v>
      </c>
      <c r="G1429">
        <v>20.89</v>
      </c>
      <c r="H1429">
        <v>9.59</v>
      </c>
      <c r="I1429">
        <v>0.701</v>
      </c>
      <c r="J1429">
        <v>24.6</v>
      </c>
      <c r="K1429">
        <v>30.44</v>
      </c>
      <c r="L1429">
        <v>19.95</v>
      </c>
      <c r="M1429">
        <v>6.25</v>
      </c>
      <c r="N1429">
        <v>2.373</v>
      </c>
      <c r="O1429">
        <v>24.94</v>
      </c>
      <c r="P1429">
        <v>30.15</v>
      </c>
      <c r="Q1429">
        <v>19.91</v>
      </c>
      <c r="R1429">
        <v>6.96</v>
      </c>
    </row>
    <row r="1430">
      <c r="A1430" s="9">
        <v>39961</v>
      </c>
      <c r="B1430" s="2" t="inlineStr">
        <is>
          <t xml:space="preserve">2009-05</t>
        </is>
      </c>
      <c r="C1430" s="2" t="inlineStr">
        <is>
          <t xml:space="preserve">2008/09</t>
        </is>
      </c>
      <c r="D1430">
        <v>3.991</v>
      </c>
      <c r="E1430">
        <v>23.66</v>
      </c>
      <c r="F1430">
        <v>28.14</v>
      </c>
      <c r="G1430">
        <v>19.79</v>
      </c>
      <c r="H1430">
        <v>8.05</v>
      </c>
      <c r="I1430">
        <v>13.314</v>
      </c>
      <c r="J1430">
        <v>24.3</v>
      </c>
      <c r="K1430">
        <v>29.1</v>
      </c>
      <c r="L1430">
        <v>20.41</v>
      </c>
      <c r="M1430">
        <v>14.68</v>
      </c>
      <c r="N1430">
        <v>25.181</v>
      </c>
      <c r="O1430">
        <v>24.71</v>
      </c>
      <c r="P1430">
        <v>30.45</v>
      </c>
      <c r="Q1430">
        <v>20.05</v>
      </c>
      <c r="R1430">
        <v>15.59</v>
      </c>
    </row>
    <row r="1431">
      <c r="A1431" s="9">
        <v>39962</v>
      </c>
      <c r="B1431" s="2" t="inlineStr">
        <is>
          <t xml:space="preserve">2009-05</t>
        </is>
      </c>
      <c r="C1431" s="2" t="inlineStr">
        <is>
          <t xml:space="preserve">2008/09</t>
        </is>
      </c>
      <c r="D1431">
        <v>11.991</v>
      </c>
      <c r="E1431">
        <v>24.01</v>
      </c>
      <c r="F1431">
        <v>29.8</v>
      </c>
      <c r="G1431">
        <v>19.61</v>
      </c>
      <c r="H1431">
        <v>4.55</v>
      </c>
      <c r="I1431">
        <v>24.262</v>
      </c>
      <c r="J1431">
        <v>24.02</v>
      </c>
      <c r="K1431">
        <v>28.74</v>
      </c>
      <c r="L1431">
        <v>20.7</v>
      </c>
      <c r="M1431">
        <v>15.58</v>
      </c>
      <c r="N1431">
        <v>7.893</v>
      </c>
      <c r="O1431">
        <v>24.49</v>
      </c>
      <c r="P1431">
        <v>29.23</v>
      </c>
      <c r="Q1431">
        <v>21.17</v>
      </c>
      <c r="R1431">
        <v>9.18</v>
      </c>
    </row>
    <row r="1432">
      <c r="A1432" s="9">
        <v>39963</v>
      </c>
      <c r="B1432" s="2" t="inlineStr">
        <is>
          <t xml:space="preserve">2009-05</t>
        </is>
      </c>
      <c r="C1432" s="2" t="inlineStr">
        <is>
          <t xml:space="preserve">2008/09</t>
        </is>
      </c>
      <c r="D1432">
        <v>0.114</v>
      </c>
      <c r="E1432">
        <v>24.15</v>
      </c>
      <c r="F1432">
        <v>29.78</v>
      </c>
      <c r="G1432">
        <v>20.41</v>
      </c>
      <c r="H1432">
        <v>1.43</v>
      </c>
      <c r="I1432">
        <v>11.709</v>
      </c>
      <c r="J1432">
        <v>23.37</v>
      </c>
      <c r="K1432">
        <v>26.64</v>
      </c>
      <c r="L1432">
        <v>20.67</v>
      </c>
      <c r="M1432">
        <v>6.68</v>
      </c>
      <c r="N1432">
        <v>0.461</v>
      </c>
      <c r="O1432">
        <v>23.66</v>
      </c>
      <c r="P1432">
        <v>28.11</v>
      </c>
      <c r="Q1432">
        <v>20.68</v>
      </c>
      <c r="R1432">
        <v>3.23</v>
      </c>
    </row>
    <row r="1433">
      <c r="A1433" s="9">
        <v>39964</v>
      </c>
      <c r="B1433" s="2" t="inlineStr">
        <is>
          <t xml:space="preserve">2009-05</t>
        </is>
      </c>
      <c r="C1433" s="2" t="inlineStr">
        <is>
          <t xml:space="preserve">2008/09</t>
        </is>
      </c>
      <c r="D1433">
        <v>5.959</v>
      </c>
      <c r="E1433">
        <v>23.39</v>
      </c>
      <c r="F1433">
        <v>29.12</v>
      </c>
      <c r="G1433">
        <v>19.79</v>
      </c>
      <c r="H1433">
        <v>3.5</v>
      </c>
      <c r="I1433">
        <v>17.016</v>
      </c>
      <c r="J1433">
        <v>21.83</v>
      </c>
      <c r="K1433">
        <v>24.43</v>
      </c>
      <c r="L1433">
        <v>19.73</v>
      </c>
      <c r="M1433">
        <v>10.55</v>
      </c>
      <c r="N1433">
        <v>2.098</v>
      </c>
      <c r="O1433">
        <v>22.77</v>
      </c>
      <c r="P1433">
        <v>26.32</v>
      </c>
      <c r="Q1433">
        <v>20.19</v>
      </c>
      <c r="R1433">
        <v>5.2</v>
      </c>
    </row>
    <row r="1434">
      <c r="A1434" s="9">
        <v>39965</v>
      </c>
      <c r="B1434" s="2" t="inlineStr">
        <is>
          <t xml:space="preserve">2009-06</t>
        </is>
      </c>
      <c r="C1434" s="2" t="inlineStr">
        <is>
          <t xml:space="preserve">2008/09</t>
        </is>
      </c>
      <c r="D1434">
        <v>1.728</v>
      </c>
      <c r="E1434">
        <v>22.53</v>
      </c>
      <c r="F1434">
        <v>26.62</v>
      </c>
      <c r="G1434">
        <v>19.71</v>
      </c>
      <c r="H1434">
        <v>1.15</v>
      </c>
      <c r="I1434">
        <v>1.589</v>
      </c>
      <c r="J1434">
        <v>22.79</v>
      </c>
      <c r="K1434">
        <v>27.24</v>
      </c>
      <c r="L1434">
        <v>19.82</v>
      </c>
      <c r="M1434">
        <v>2.4</v>
      </c>
      <c r="N1434">
        <v>4.659</v>
      </c>
      <c r="O1434">
        <v>22.43</v>
      </c>
      <c r="P1434">
        <v>26.66</v>
      </c>
      <c r="Q1434">
        <v>20.47</v>
      </c>
      <c r="R1434">
        <v>4.62</v>
      </c>
    </row>
    <row r="1435">
      <c r="A1435" s="9">
        <v>39966</v>
      </c>
      <c r="B1435" s="2" t="inlineStr">
        <is>
          <t xml:space="preserve">2009-06</t>
        </is>
      </c>
      <c r="C1435" s="2" t="inlineStr">
        <is>
          <t xml:space="preserve">2008/09</t>
        </is>
      </c>
      <c r="D1435">
        <v>2.271</v>
      </c>
      <c r="E1435">
        <v>23.91</v>
      </c>
      <c r="F1435">
        <v>30.58</v>
      </c>
      <c r="G1435">
        <v>18.82</v>
      </c>
      <c r="H1435">
        <v>5.36</v>
      </c>
      <c r="I1435">
        <v>0.064</v>
      </c>
      <c r="J1435">
        <v>22.78</v>
      </c>
      <c r="K1435">
        <v>26.69</v>
      </c>
      <c r="L1435">
        <v>19.85</v>
      </c>
      <c r="M1435">
        <v>0.72</v>
      </c>
      <c r="N1435">
        <v>0.702</v>
      </c>
      <c r="O1435">
        <v>23.21</v>
      </c>
      <c r="P1435">
        <v>28.2</v>
      </c>
      <c r="Q1435">
        <v>20.43</v>
      </c>
      <c r="R1435">
        <v>1.32</v>
      </c>
    </row>
    <row r="1436">
      <c r="A1436" s="9">
        <v>39967</v>
      </c>
      <c r="B1436" s="2" t="inlineStr">
        <is>
          <t xml:space="preserve">2009-06</t>
        </is>
      </c>
      <c r="C1436" s="2" t="inlineStr">
        <is>
          <t xml:space="preserve">2008/09</t>
        </is>
      </c>
      <c r="D1436">
        <v>19.167</v>
      </c>
      <c r="E1436">
        <v>23.84</v>
      </c>
      <c r="F1436">
        <v>30.19</v>
      </c>
      <c r="G1436">
        <v>18.61</v>
      </c>
      <c r="H1436">
        <v>3.88</v>
      </c>
      <c r="I1436">
        <v>0.83</v>
      </c>
      <c r="J1436">
        <v>24.27</v>
      </c>
      <c r="K1436">
        <v>29.04</v>
      </c>
      <c r="L1436">
        <v>20.0</v>
      </c>
      <c r="M1436">
        <v>3.64</v>
      </c>
      <c r="N1436">
        <v>3.35</v>
      </c>
      <c r="O1436">
        <v>24.21</v>
      </c>
      <c r="P1436">
        <v>29.66</v>
      </c>
      <c r="Q1436">
        <v>20.77</v>
      </c>
      <c r="R1436">
        <v>3.59</v>
      </c>
    </row>
    <row r="1437">
      <c r="A1437" s="9">
        <v>39968</v>
      </c>
      <c r="B1437" s="2" t="inlineStr">
        <is>
          <t xml:space="preserve">2009-06</t>
        </is>
      </c>
      <c r="C1437" s="2" t="inlineStr">
        <is>
          <t xml:space="preserve">2008/09</t>
        </is>
      </c>
      <c r="D1437">
        <v>12.633</v>
      </c>
      <c r="E1437">
        <v>23.26</v>
      </c>
      <c r="F1437">
        <v>29.03</v>
      </c>
      <c r="G1437">
        <v>19.11</v>
      </c>
      <c r="H1437">
        <v>8.49</v>
      </c>
      <c r="I1437">
        <v>9.177</v>
      </c>
      <c r="J1437">
        <v>23.84</v>
      </c>
      <c r="K1437">
        <v>28.35</v>
      </c>
      <c r="L1437">
        <v>20.17</v>
      </c>
      <c r="M1437">
        <v>3.98</v>
      </c>
      <c r="N1437">
        <v>4.688</v>
      </c>
      <c r="O1437">
        <v>23.65</v>
      </c>
      <c r="P1437">
        <v>28.47</v>
      </c>
      <c r="Q1437">
        <v>20.75</v>
      </c>
      <c r="R1437">
        <v>4.37</v>
      </c>
    </row>
    <row r="1438">
      <c r="A1438" s="9">
        <v>39969</v>
      </c>
      <c r="B1438" s="2" t="inlineStr">
        <is>
          <t xml:space="preserve">2009-06</t>
        </is>
      </c>
      <c r="C1438" s="2" t="inlineStr">
        <is>
          <t xml:space="preserve">2008/09</t>
        </is>
      </c>
      <c r="D1438">
        <v>3.069</v>
      </c>
      <c r="E1438">
        <v>23.11</v>
      </c>
      <c r="F1438">
        <v>28.24</v>
      </c>
      <c r="G1438">
        <v>19.55</v>
      </c>
      <c r="H1438">
        <v>9.08</v>
      </c>
      <c r="I1438">
        <v>0.0</v>
      </c>
      <c r="J1438">
        <v>24.06</v>
      </c>
      <c r="K1438">
        <v>28.71</v>
      </c>
      <c r="L1438">
        <v>20.15</v>
      </c>
      <c r="M1438">
        <v>0.04</v>
      </c>
      <c r="N1438">
        <v>0.0</v>
      </c>
      <c r="O1438">
        <v>23.94</v>
      </c>
      <c r="P1438">
        <v>29.07</v>
      </c>
      <c r="Q1438">
        <v>20.28</v>
      </c>
      <c r="R1438">
        <v>0.02</v>
      </c>
    </row>
    <row r="1439">
      <c r="A1439" s="9">
        <v>39970</v>
      </c>
      <c r="B1439" s="2" t="inlineStr">
        <is>
          <t xml:space="preserve">2009-06</t>
        </is>
      </c>
      <c r="C1439" s="2" t="inlineStr">
        <is>
          <t xml:space="preserve">2008/09</t>
        </is>
      </c>
      <c r="D1439">
        <v>5.87</v>
      </c>
      <c r="E1439">
        <v>22.89</v>
      </c>
      <c r="F1439">
        <v>27.89</v>
      </c>
      <c r="G1439">
        <v>19.78</v>
      </c>
      <c r="H1439">
        <v>11.81</v>
      </c>
      <c r="I1439">
        <v>0.0</v>
      </c>
      <c r="J1439">
        <v>24.19</v>
      </c>
      <c r="K1439">
        <v>30.44</v>
      </c>
      <c r="L1439">
        <v>18.94</v>
      </c>
      <c r="M1439">
        <v>1.66</v>
      </c>
      <c r="N1439">
        <v>0.0</v>
      </c>
      <c r="O1439">
        <v>23.88</v>
      </c>
      <c r="P1439">
        <v>29.8</v>
      </c>
      <c r="Q1439">
        <v>19.19</v>
      </c>
      <c r="R1439">
        <v>1.21</v>
      </c>
    </row>
    <row r="1440">
      <c r="A1440" s="9">
        <v>39971</v>
      </c>
      <c r="B1440" s="2" t="inlineStr">
        <is>
          <t xml:space="preserve">2009-06</t>
        </is>
      </c>
      <c r="C1440" s="2" t="inlineStr">
        <is>
          <t xml:space="preserve">2008/09</t>
        </is>
      </c>
      <c r="D1440">
        <v>16.059</v>
      </c>
      <c r="E1440">
        <v>21.98</v>
      </c>
      <c r="F1440">
        <v>25.89</v>
      </c>
      <c r="G1440">
        <v>18.87</v>
      </c>
      <c r="H1440">
        <v>13.81</v>
      </c>
      <c r="I1440">
        <v>5.307</v>
      </c>
      <c r="J1440">
        <v>23.87</v>
      </c>
      <c r="K1440">
        <v>28.14</v>
      </c>
      <c r="L1440">
        <v>20.34</v>
      </c>
      <c r="M1440">
        <v>6.79</v>
      </c>
      <c r="N1440">
        <v>3.279</v>
      </c>
      <c r="O1440">
        <v>23.92</v>
      </c>
      <c r="P1440">
        <v>28.15</v>
      </c>
      <c r="Q1440">
        <v>20.5</v>
      </c>
      <c r="R1440">
        <v>4.82</v>
      </c>
    </row>
    <row r="1441">
      <c r="A1441" s="9">
        <v>39972</v>
      </c>
      <c r="B1441" s="2" t="inlineStr">
        <is>
          <t xml:space="preserve">2009-06</t>
        </is>
      </c>
      <c r="C1441" s="2" t="inlineStr">
        <is>
          <t xml:space="preserve">2008/09</t>
        </is>
      </c>
      <c r="D1441">
        <v>18.174</v>
      </c>
      <c r="E1441">
        <v>22.6</v>
      </c>
      <c r="F1441">
        <v>28.2</v>
      </c>
      <c r="G1441">
        <v>17.7</v>
      </c>
      <c r="H1441">
        <v>6.1</v>
      </c>
      <c r="I1441">
        <v>0.149</v>
      </c>
      <c r="J1441">
        <v>24.43</v>
      </c>
      <c r="K1441">
        <v>29.56</v>
      </c>
      <c r="L1441">
        <v>19.67</v>
      </c>
      <c r="M1441">
        <v>0.82</v>
      </c>
      <c r="N1441">
        <v>1.731</v>
      </c>
      <c r="O1441">
        <v>24.32</v>
      </c>
      <c r="P1441">
        <v>29.75</v>
      </c>
      <c r="Q1441">
        <v>20.06</v>
      </c>
      <c r="R1441">
        <v>1.1</v>
      </c>
    </row>
    <row r="1442">
      <c r="A1442" s="9">
        <v>39973</v>
      </c>
      <c r="B1442" s="2" t="inlineStr">
        <is>
          <t xml:space="preserve">2009-06</t>
        </is>
      </c>
      <c r="C1442" s="2" t="inlineStr">
        <is>
          <t xml:space="preserve">2008/09</t>
        </is>
      </c>
      <c r="D1442">
        <v>0.603</v>
      </c>
      <c r="E1442">
        <v>22.49</v>
      </c>
      <c r="F1442">
        <v>26.62</v>
      </c>
      <c r="G1442">
        <v>19.94</v>
      </c>
      <c r="H1442">
        <v>0.73</v>
      </c>
      <c r="I1442">
        <v>0.485</v>
      </c>
      <c r="J1442">
        <v>24.27</v>
      </c>
      <c r="K1442">
        <v>28.85</v>
      </c>
      <c r="L1442">
        <v>20.41</v>
      </c>
      <c r="M1442">
        <v>0.67</v>
      </c>
      <c r="N1442">
        <v>0.695</v>
      </c>
      <c r="O1442">
        <v>24.17</v>
      </c>
      <c r="P1442">
        <v>29.93</v>
      </c>
      <c r="Q1442">
        <v>20.11</v>
      </c>
      <c r="R1442">
        <v>0.49</v>
      </c>
    </row>
    <row r="1443">
      <c r="A1443" s="9">
        <v>39974</v>
      </c>
      <c r="B1443" s="2" t="inlineStr">
        <is>
          <t xml:space="preserve">2009-06</t>
        </is>
      </c>
      <c r="C1443" s="2" t="inlineStr">
        <is>
          <t xml:space="preserve">2008/09</t>
        </is>
      </c>
      <c r="D1443">
        <v>1.748</v>
      </c>
      <c r="E1443">
        <v>23.91</v>
      </c>
      <c r="F1443">
        <v>29.75</v>
      </c>
      <c r="G1443">
        <v>19.19</v>
      </c>
      <c r="H1443">
        <v>2.53</v>
      </c>
      <c r="I1443">
        <v>2.149</v>
      </c>
      <c r="J1443">
        <v>24.76</v>
      </c>
      <c r="K1443">
        <v>31.28</v>
      </c>
      <c r="L1443">
        <v>18.88</v>
      </c>
      <c r="M1443">
        <v>1.46</v>
      </c>
      <c r="N1443">
        <v>0.137</v>
      </c>
      <c r="O1443">
        <v>24.57</v>
      </c>
      <c r="P1443">
        <v>30.62</v>
      </c>
      <c r="Q1443">
        <v>19.81</v>
      </c>
      <c r="R1443">
        <v>0.53</v>
      </c>
    </row>
    <row r="1444">
      <c r="A1444" s="9">
        <v>39975</v>
      </c>
      <c r="B1444" s="2" t="inlineStr">
        <is>
          <t xml:space="preserve">2009-06</t>
        </is>
      </c>
      <c r="C1444" s="2" t="inlineStr">
        <is>
          <t xml:space="preserve">2008/09</t>
        </is>
      </c>
      <c r="D1444">
        <v>5.568</v>
      </c>
      <c r="E1444">
        <v>22.48</v>
      </c>
      <c r="F1444">
        <v>26.74</v>
      </c>
      <c r="G1444">
        <v>19.75</v>
      </c>
      <c r="H1444">
        <v>8.2</v>
      </c>
      <c r="I1444">
        <v>1.589</v>
      </c>
      <c r="J1444">
        <v>24.96</v>
      </c>
      <c r="K1444">
        <v>30.3</v>
      </c>
      <c r="L1444">
        <v>19.76</v>
      </c>
      <c r="M1444">
        <v>3.14</v>
      </c>
      <c r="N1444">
        <v>1.112</v>
      </c>
      <c r="O1444">
        <v>24.61</v>
      </c>
      <c r="P1444">
        <v>30.45</v>
      </c>
      <c r="Q1444">
        <v>20.12</v>
      </c>
      <c r="R1444">
        <v>1.39</v>
      </c>
    </row>
    <row r="1445">
      <c r="A1445" s="9">
        <v>39976</v>
      </c>
      <c r="B1445" s="2" t="inlineStr">
        <is>
          <t xml:space="preserve">2009-06</t>
        </is>
      </c>
      <c r="C1445" s="2" t="inlineStr">
        <is>
          <t xml:space="preserve">2008/09</t>
        </is>
      </c>
      <c r="D1445">
        <v>7.609</v>
      </c>
      <c r="E1445">
        <v>23.1</v>
      </c>
      <c r="F1445">
        <v>28.42</v>
      </c>
      <c r="G1445">
        <v>18.84</v>
      </c>
      <c r="H1445">
        <v>8.18</v>
      </c>
      <c r="I1445">
        <v>9.45</v>
      </c>
      <c r="J1445">
        <v>24.55</v>
      </c>
      <c r="K1445">
        <v>30.89</v>
      </c>
      <c r="L1445">
        <v>19.01</v>
      </c>
      <c r="M1445">
        <v>6.5</v>
      </c>
      <c r="N1445">
        <v>1.117</v>
      </c>
      <c r="O1445">
        <v>24.5</v>
      </c>
      <c r="P1445">
        <v>30.98</v>
      </c>
      <c r="Q1445">
        <v>19.67</v>
      </c>
      <c r="R1445">
        <v>1.67</v>
      </c>
    </row>
    <row r="1446">
      <c r="A1446" s="9">
        <v>39977</v>
      </c>
      <c r="B1446" s="2" t="inlineStr">
        <is>
          <t xml:space="preserve">2009-06</t>
        </is>
      </c>
      <c r="C1446" s="2" t="inlineStr">
        <is>
          <t xml:space="preserve">2008/09</t>
        </is>
      </c>
      <c r="D1446">
        <v>0.129</v>
      </c>
      <c r="E1446">
        <v>23.32</v>
      </c>
      <c r="F1446">
        <v>28.72</v>
      </c>
      <c r="G1446">
        <v>18.59</v>
      </c>
      <c r="H1446">
        <v>2.48</v>
      </c>
      <c r="I1446">
        <v>1.48</v>
      </c>
      <c r="J1446">
        <v>23.35</v>
      </c>
      <c r="K1446">
        <v>27.88</v>
      </c>
      <c r="L1446">
        <v>20.35</v>
      </c>
      <c r="M1446">
        <v>0.9</v>
      </c>
      <c r="N1446">
        <v>0.0</v>
      </c>
      <c r="O1446">
        <v>24.33</v>
      </c>
      <c r="P1446">
        <v>29.81</v>
      </c>
      <c r="Q1446">
        <v>20.49</v>
      </c>
      <c r="R1446">
        <v>0.17</v>
      </c>
    </row>
    <row r="1447">
      <c r="A1447" s="9">
        <v>39978</v>
      </c>
      <c r="B1447" s="2" t="inlineStr">
        <is>
          <t xml:space="preserve">2009-06</t>
        </is>
      </c>
      <c r="C1447" s="2" t="inlineStr">
        <is>
          <t xml:space="preserve">2008/09</t>
        </is>
      </c>
      <c r="D1447">
        <v>2.578</v>
      </c>
      <c r="E1447">
        <v>21.43</v>
      </c>
      <c r="F1447">
        <v>24.96</v>
      </c>
      <c r="G1447">
        <v>19.33</v>
      </c>
      <c r="H1447">
        <v>7.99</v>
      </c>
      <c r="I1447">
        <v>0.0</v>
      </c>
      <c r="J1447">
        <v>22.05</v>
      </c>
      <c r="K1447">
        <v>26.2</v>
      </c>
      <c r="L1447">
        <v>19.55</v>
      </c>
      <c r="M1447">
        <v>2.33</v>
      </c>
      <c r="N1447">
        <v>0.0</v>
      </c>
      <c r="O1447">
        <v>22.58</v>
      </c>
      <c r="P1447">
        <v>27.28</v>
      </c>
      <c r="Q1447">
        <v>20.08</v>
      </c>
      <c r="R1447">
        <v>2.5</v>
      </c>
    </row>
    <row r="1448">
      <c r="A1448" s="9">
        <v>39979</v>
      </c>
      <c r="B1448" s="2" t="inlineStr">
        <is>
          <t xml:space="preserve">2009-06</t>
        </is>
      </c>
      <c r="C1448" s="2" t="inlineStr">
        <is>
          <t xml:space="preserve">2008/09</t>
        </is>
      </c>
      <c r="D1448">
        <v>16.076</v>
      </c>
      <c r="E1448">
        <v>22.05</v>
      </c>
      <c r="F1448">
        <v>27.2</v>
      </c>
      <c r="G1448">
        <v>18.25</v>
      </c>
      <c r="H1448">
        <v>18.94</v>
      </c>
      <c r="I1448">
        <v>3.527</v>
      </c>
      <c r="J1448">
        <v>21.34</v>
      </c>
      <c r="K1448">
        <v>24.13</v>
      </c>
      <c r="L1448">
        <v>19.44</v>
      </c>
      <c r="M1448">
        <v>8.73</v>
      </c>
      <c r="N1448">
        <v>5.884</v>
      </c>
      <c r="O1448">
        <v>22.68</v>
      </c>
      <c r="P1448">
        <v>27.31</v>
      </c>
      <c r="Q1448">
        <v>20.3</v>
      </c>
      <c r="R1448">
        <v>10.51</v>
      </c>
    </row>
    <row r="1449">
      <c r="A1449" s="9">
        <v>39980</v>
      </c>
      <c r="B1449" s="2" t="inlineStr">
        <is>
          <t xml:space="preserve">2009-06</t>
        </is>
      </c>
      <c r="C1449" s="2" t="inlineStr">
        <is>
          <t xml:space="preserve">2008/09</t>
        </is>
      </c>
      <c r="D1449">
        <v>24.661</v>
      </c>
      <c r="E1449">
        <v>22.04</v>
      </c>
      <c r="F1449">
        <v>26.25</v>
      </c>
      <c r="G1449">
        <v>18.74</v>
      </c>
      <c r="H1449">
        <v>16.03</v>
      </c>
      <c r="I1449">
        <v>7.765</v>
      </c>
      <c r="J1449">
        <v>21.86</v>
      </c>
      <c r="K1449">
        <v>24.87</v>
      </c>
      <c r="L1449">
        <v>19.71</v>
      </c>
      <c r="M1449">
        <v>11.29</v>
      </c>
      <c r="N1449">
        <v>26.596</v>
      </c>
      <c r="O1449">
        <v>22.58</v>
      </c>
      <c r="P1449">
        <v>25.92</v>
      </c>
      <c r="Q1449">
        <v>19.94</v>
      </c>
      <c r="R1449">
        <v>13.65</v>
      </c>
    </row>
    <row r="1450">
      <c r="A1450" s="9">
        <v>39981</v>
      </c>
      <c r="B1450" s="2" t="inlineStr">
        <is>
          <t xml:space="preserve">2009-06</t>
        </is>
      </c>
      <c r="C1450" s="2" t="inlineStr">
        <is>
          <t xml:space="preserve">2008/09</t>
        </is>
      </c>
      <c r="D1450">
        <v>50.782</v>
      </c>
      <c r="E1450">
        <v>21.78</v>
      </c>
      <c r="F1450">
        <v>24.95</v>
      </c>
      <c r="G1450">
        <v>19.51</v>
      </c>
      <c r="H1450">
        <v>29.61</v>
      </c>
      <c r="I1450">
        <v>4.704</v>
      </c>
      <c r="J1450">
        <v>21.68</v>
      </c>
      <c r="K1450">
        <v>24.44</v>
      </c>
      <c r="L1450">
        <v>19.78</v>
      </c>
      <c r="M1450">
        <v>11.79</v>
      </c>
      <c r="N1450">
        <v>17.161</v>
      </c>
      <c r="O1450">
        <v>22.3</v>
      </c>
      <c r="P1450">
        <v>24.93</v>
      </c>
      <c r="Q1450">
        <v>20.37</v>
      </c>
      <c r="R1450">
        <v>14.0</v>
      </c>
    </row>
    <row r="1451">
      <c r="A1451" s="9">
        <v>39982</v>
      </c>
      <c r="B1451" s="2" t="inlineStr">
        <is>
          <t xml:space="preserve">2009-06</t>
        </is>
      </c>
      <c r="C1451" s="2" t="inlineStr">
        <is>
          <t xml:space="preserve">2008/09</t>
        </is>
      </c>
      <c r="D1451">
        <v>15.62</v>
      </c>
      <c r="E1451">
        <v>21.58</v>
      </c>
      <c r="F1451">
        <v>25.37</v>
      </c>
      <c r="G1451">
        <v>18.78</v>
      </c>
      <c r="H1451">
        <v>11.09</v>
      </c>
      <c r="I1451">
        <v>7.497</v>
      </c>
      <c r="J1451">
        <v>22.4</v>
      </c>
      <c r="K1451">
        <v>26.51</v>
      </c>
      <c r="L1451">
        <v>19.04</v>
      </c>
      <c r="M1451">
        <v>13.28</v>
      </c>
      <c r="N1451">
        <v>22.61</v>
      </c>
      <c r="O1451">
        <v>22.29</v>
      </c>
      <c r="P1451">
        <v>25.26</v>
      </c>
      <c r="Q1451">
        <v>20.15</v>
      </c>
      <c r="R1451">
        <v>15.9</v>
      </c>
    </row>
    <row r="1452">
      <c r="A1452" s="9">
        <v>39983</v>
      </c>
      <c r="B1452" s="2" t="inlineStr">
        <is>
          <t xml:space="preserve">2009-06</t>
        </is>
      </c>
      <c r="C1452" s="2" t="inlineStr">
        <is>
          <t xml:space="preserve">2008/09</t>
        </is>
      </c>
      <c r="D1452">
        <v>17.316</v>
      </c>
      <c r="E1452">
        <v>21.23</v>
      </c>
      <c r="F1452">
        <v>25.38</v>
      </c>
      <c r="G1452">
        <v>18.51</v>
      </c>
      <c r="H1452">
        <v>15.88</v>
      </c>
      <c r="I1452">
        <v>10.409</v>
      </c>
      <c r="J1452">
        <v>21.42</v>
      </c>
      <c r="K1452">
        <v>23.45</v>
      </c>
      <c r="L1452">
        <v>19.89</v>
      </c>
      <c r="M1452">
        <v>12.85</v>
      </c>
      <c r="N1452">
        <v>12.562</v>
      </c>
      <c r="O1452">
        <v>21.47</v>
      </c>
      <c r="P1452">
        <v>23.67</v>
      </c>
      <c r="Q1452">
        <v>20.1</v>
      </c>
      <c r="R1452">
        <v>14.71</v>
      </c>
    </row>
    <row r="1453">
      <c r="A1453" s="9">
        <v>39984</v>
      </c>
      <c r="B1453" s="2" t="inlineStr">
        <is>
          <t xml:space="preserve">2009-06</t>
        </is>
      </c>
      <c r="C1453" s="2" t="inlineStr">
        <is>
          <t xml:space="preserve">2008/09</t>
        </is>
      </c>
      <c r="D1453">
        <v>15.513</v>
      </c>
      <c r="E1453">
        <v>20.9</v>
      </c>
      <c r="F1453">
        <v>25.38</v>
      </c>
      <c r="G1453">
        <v>17.12</v>
      </c>
      <c r="H1453">
        <v>13.23</v>
      </c>
      <c r="I1453">
        <v>6.254</v>
      </c>
      <c r="J1453">
        <v>21.94</v>
      </c>
      <c r="K1453">
        <v>25.77</v>
      </c>
      <c r="L1453">
        <v>19.16</v>
      </c>
      <c r="M1453">
        <v>9.34</v>
      </c>
      <c r="N1453">
        <v>17.924</v>
      </c>
      <c r="O1453">
        <v>22.86</v>
      </c>
      <c r="P1453">
        <v>27.37</v>
      </c>
      <c r="Q1453">
        <v>19.93</v>
      </c>
      <c r="R1453">
        <v>11.36</v>
      </c>
    </row>
    <row r="1454">
      <c r="A1454" s="9">
        <v>39985</v>
      </c>
      <c r="B1454" s="2" t="inlineStr">
        <is>
          <t xml:space="preserve">2009-06</t>
        </is>
      </c>
      <c r="C1454" s="2" t="inlineStr">
        <is>
          <t xml:space="preserve">2008/09</t>
        </is>
      </c>
      <c r="D1454">
        <v>7.59</v>
      </c>
      <c r="E1454">
        <v>21.31</v>
      </c>
      <c r="F1454">
        <v>25.55</v>
      </c>
      <c r="G1454">
        <v>18.08</v>
      </c>
      <c r="H1454">
        <v>10.31</v>
      </c>
      <c r="I1454">
        <v>7.992</v>
      </c>
      <c r="J1454">
        <v>21.16</v>
      </c>
      <c r="K1454">
        <v>24.86</v>
      </c>
      <c r="L1454">
        <v>18.13</v>
      </c>
      <c r="M1454">
        <v>7.46</v>
      </c>
      <c r="N1454">
        <v>5.768</v>
      </c>
      <c r="O1454">
        <v>22.28</v>
      </c>
      <c r="P1454">
        <v>26.94</v>
      </c>
      <c r="Q1454">
        <v>18.72</v>
      </c>
      <c r="R1454">
        <v>3.59</v>
      </c>
    </row>
    <row r="1455">
      <c r="A1455" s="9">
        <v>39986</v>
      </c>
      <c r="B1455" s="2" t="inlineStr">
        <is>
          <t xml:space="preserve">2009-06</t>
        </is>
      </c>
      <c r="C1455" s="2" t="inlineStr">
        <is>
          <t xml:space="preserve">2008/09</t>
        </is>
      </c>
      <c r="D1455">
        <v>2.12</v>
      </c>
      <c r="E1455">
        <v>21.95</v>
      </c>
      <c r="F1455">
        <v>26.31</v>
      </c>
      <c r="G1455">
        <v>17.69</v>
      </c>
      <c r="H1455">
        <v>7.56</v>
      </c>
      <c r="I1455">
        <v>0.027</v>
      </c>
      <c r="J1455">
        <v>22.59</v>
      </c>
      <c r="K1455">
        <v>28.05</v>
      </c>
      <c r="L1455">
        <v>18.13</v>
      </c>
      <c r="M1455">
        <v>5.54</v>
      </c>
      <c r="N1455">
        <v>0.258</v>
      </c>
      <c r="O1455">
        <v>23.02</v>
      </c>
      <c r="P1455">
        <v>28.24</v>
      </c>
      <c r="Q1455">
        <v>19.02</v>
      </c>
      <c r="R1455">
        <v>6.26</v>
      </c>
    </row>
    <row r="1456">
      <c r="A1456" s="9">
        <v>39987</v>
      </c>
      <c r="B1456" s="2" t="inlineStr">
        <is>
          <t xml:space="preserve">2009-06</t>
        </is>
      </c>
      <c r="C1456" s="2" t="inlineStr">
        <is>
          <t xml:space="preserve">2008/09</t>
        </is>
      </c>
      <c r="D1456">
        <v>23.711</v>
      </c>
      <c r="E1456">
        <v>23.22</v>
      </c>
      <c r="F1456">
        <v>28.37</v>
      </c>
      <c r="G1456">
        <v>18.4</v>
      </c>
      <c r="H1456">
        <v>18.07</v>
      </c>
      <c r="I1456">
        <v>5.154</v>
      </c>
      <c r="J1456">
        <v>23.21</v>
      </c>
      <c r="K1456">
        <v>28.09</v>
      </c>
      <c r="L1456">
        <v>18.67</v>
      </c>
      <c r="M1456">
        <v>16.43</v>
      </c>
      <c r="N1456">
        <v>8.094</v>
      </c>
      <c r="O1456">
        <v>23.19</v>
      </c>
      <c r="P1456">
        <v>28.11</v>
      </c>
      <c r="Q1456">
        <v>19.19</v>
      </c>
      <c r="R1456">
        <v>19.7</v>
      </c>
    </row>
    <row r="1457">
      <c r="A1457" s="9">
        <v>39988</v>
      </c>
      <c r="B1457" s="2" t="inlineStr">
        <is>
          <t xml:space="preserve">2009-06</t>
        </is>
      </c>
      <c r="C1457" s="2" t="inlineStr">
        <is>
          <t xml:space="preserve">2008/09</t>
        </is>
      </c>
      <c r="D1457">
        <v>21.031</v>
      </c>
      <c r="E1457">
        <v>22.41</v>
      </c>
      <c r="F1457">
        <v>27.4</v>
      </c>
      <c r="G1457">
        <v>18.14</v>
      </c>
      <c r="H1457">
        <v>12.6</v>
      </c>
      <c r="I1457">
        <v>18.567</v>
      </c>
      <c r="J1457">
        <v>23.75</v>
      </c>
      <c r="K1457">
        <v>27.74</v>
      </c>
      <c r="L1457">
        <v>20.38</v>
      </c>
      <c r="M1457">
        <v>19.2</v>
      </c>
      <c r="N1457">
        <v>47.04</v>
      </c>
      <c r="O1457">
        <v>24.46</v>
      </c>
      <c r="P1457">
        <v>29.77</v>
      </c>
      <c r="Q1457">
        <v>20.17</v>
      </c>
      <c r="R1457">
        <v>23.59</v>
      </c>
    </row>
    <row r="1458">
      <c r="A1458" s="9">
        <v>39989</v>
      </c>
      <c r="B1458" s="2" t="inlineStr">
        <is>
          <t xml:space="preserve">2009-06</t>
        </is>
      </c>
      <c r="C1458" s="2" t="inlineStr">
        <is>
          <t xml:space="preserve">2008/09</t>
        </is>
      </c>
      <c r="D1458">
        <v>12.069</v>
      </c>
      <c r="E1458">
        <v>21.87</v>
      </c>
      <c r="F1458">
        <v>26.89</v>
      </c>
      <c r="G1458">
        <v>17.8</v>
      </c>
      <c r="H1458">
        <v>9.72</v>
      </c>
      <c r="I1458">
        <v>0.0</v>
      </c>
      <c r="J1458">
        <v>22.95</v>
      </c>
      <c r="K1458">
        <v>27.45</v>
      </c>
      <c r="L1458">
        <v>19.96</v>
      </c>
      <c r="M1458">
        <v>4.06</v>
      </c>
      <c r="N1458">
        <v>0.131</v>
      </c>
      <c r="O1458">
        <v>23.83</v>
      </c>
      <c r="P1458">
        <v>28.21</v>
      </c>
      <c r="Q1458">
        <v>20.1</v>
      </c>
      <c r="R1458">
        <v>2.67</v>
      </c>
    </row>
    <row r="1459">
      <c r="A1459" s="9">
        <v>39990</v>
      </c>
      <c r="B1459" s="2" t="inlineStr">
        <is>
          <t xml:space="preserve">2009-06</t>
        </is>
      </c>
      <c r="C1459" s="2" t="inlineStr">
        <is>
          <t xml:space="preserve">2008/09</t>
        </is>
      </c>
      <c r="D1459">
        <v>9.478</v>
      </c>
      <c r="E1459">
        <v>21.47</v>
      </c>
      <c r="F1459">
        <v>25.85</v>
      </c>
      <c r="G1459">
        <v>17.7</v>
      </c>
      <c r="H1459">
        <v>4.76</v>
      </c>
      <c r="I1459">
        <v>19.274</v>
      </c>
      <c r="J1459">
        <v>22.18</v>
      </c>
      <c r="K1459">
        <v>25.8</v>
      </c>
      <c r="L1459">
        <v>18.95</v>
      </c>
      <c r="M1459">
        <v>9.99</v>
      </c>
      <c r="N1459">
        <v>5.034</v>
      </c>
      <c r="O1459">
        <v>23.06</v>
      </c>
      <c r="P1459">
        <v>26.56</v>
      </c>
      <c r="Q1459">
        <v>19.67</v>
      </c>
      <c r="R1459">
        <v>6.1</v>
      </c>
    </row>
    <row r="1460">
      <c r="A1460" s="9">
        <v>39991</v>
      </c>
      <c r="B1460" s="2" t="inlineStr">
        <is>
          <t xml:space="preserve">2009-06</t>
        </is>
      </c>
      <c r="C1460" s="2" t="inlineStr">
        <is>
          <t xml:space="preserve">2008/09</t>
        </is>
      </c>
      <c r="D1460">
        <v>0.847</v>
      </c>
      <c r="E1460">
        <v>22.84</v>
      </c>
      <c r="F1460">
        <v>28.05</v>
      </c>
      <c r="G1460">
        <v>18.13</v>
      </c>
      <c r="H1460">
        <v>4.69</v>
      </c>
      <c r="I1460">
        <v>0.263</v>
      </c>
      <c r="J1460">
        <v>22.78</v>
      </c>
      <c r="K1460">
        <v>27.52</v>
      </c>
      <c r="L1460">
        <v>19.01</v>
      </c>
      <c r="M1460">
        <v>4.44</v>
      </c>
      <c r="N1460">
        <v>0.347</v>
      </c>
      <c r="O1460">
        <v>24.4</v>
      </c>
      <c r="P1460">
        <v>29.27</v>
      </c>
      <c r="Q1460">
        <v>20.06</v>
      </c>
      <c r="R1460">
        <v>6.89</v>
      </c>
    </row>
    <row r="1461">
      <c r="A1461" s="9">
        <v>39992</v>
      </c>
      <c r="B1461" s="2" t="inlineStr">
        <is>
          <t xml:space="preserve">2009-06</t>
        </is>
      </c>
      <c r="C1461" s="2" t="inlineStr">
        <is>
          <t xml:space="preserve">2008/09</t>
        </is>
      </c>
      <c r="D1461">
        <v>24.469</v>
      </c>
      <c r="E1461">
        <v>22.93</v>
      </c>
      <c r="F1461">
        <v>27.88</v>
      </c>
      <c r="G1461">
        <v>18.97</v>
      </c>
      <c r="H1461">
        <v>12.81</v>
      </c>
      <c r="I1461">
        <v>7.023</v>
      </c>
      <c r="J1461">
        <v>23.17</v>
      </c>
      <c r="K1461">
        <v>28.63</v>
      </c>
      <c r="L1461">
        <v>18.46</v>
      </c>
      <c r="M1461">
        <v>7.43</v>
      </c>
      <c r="N1461">
        <v>26.093</v>
      </c>
      <c r="O1461">
        <v>23.62</v>
      </c>
      <c r="P1461">
        <v>28.49</v>
      </c>
      <c r="Q1461">
        <v>20.18</v>
      </c>
      <c r="R1461">
        <v>8.1</v>
      </c>
    </row>
    <row r="1462">
      <c r="A1462" s="9">
        <v>39993</v>
      </c>
      <c r="B1462" s="2" t="inlineStr">
        <is>
          <t xml:space="preserve">2009-06</t>
        </is>
      </c>
      <c r="C1462" s="2" t="inlineStr">
        <is>
          <t xml:space="preserve">2008/09</t>
        </is>
      </c>
      <c r="D1462">
        <v>7.916</v>
      </c>
      <c r="E1462">
        <v>22.42</v>
      </c>
      <c r="F1462">
        <v>26.54</v>
      </c>
      <c r="G1462">
        <v>19.79</v>
      </c>
      <c r="H1462">
        <v>7.35</v>
      </c>
      <c r="I1462">
        <v>0.241</v>
      </c>
      <c r="J1462">
        <v>23.75</v>
      </c>
      <c r="K1462">
        <v>28.46</v>
      </c>
      <c r="L1462">
        <v>19.84</v>
      </c>
      <c r="M1462">
        <v>1.43</v>
      </c>
      <c r="N1462">
        <v>1.033</v>
      </c>
      <c r="O1462">
        <v>23.76</v>
      </c>
      <c r="P1462">
        <v>28.29</v>
      </c>
      <c r="Q1462">
        <v>20.42</v>
      </c>
      <c r="R1462">
        <v>1.21</v>
      </c>
    </row>
    <row r="1463">
      <c r="A1463" s="9">
        <v>39994</v>
      </c>
      <c r="B1463" s="2" t="inlineStr">
        <is>
          <t xml:space="preserve">2009-06</t>
        </is>
      </c>
      <c r="C1463" s="2" t="inlineStr">
        <is>
          <t xml:space="preserve">2008/09</t>
        </is>
      </c>
      <c r="D1463">
        <v>4.761</v>
      </c>
      <c r="E1463">
        <v>22.09</v>
      </c>
      <c r="F1463">
        <v>25.89</v>
      </c>
      <c r="G1463">
        <v>19.29</v>
      </c>
      <c r="H1463">
        <v>2.98</v>
      </c>
      <c r="I1463">
        <v>1.55</v>
      </c>
      <c r="J1463">
        <v>22.37</v>
      </c>
      <c r="K1463">
        <v>25.71</v>
      </c>
      <c r="L1463">
        <v>19.99</v>
      </c>
      <c r="M1463">
        <v>4.33</v>
      </c>
      <c r="N1463">
        <v>0.576</v>
      </c>
      <c r="O1463">
        <v>23.15</v>
      </c>
      <c r="P1463">
        <v>26.57</v>
      </c>
      <c r="Q1463">
        <v>20.8</v>
      </c>
      <c r="R1463">
        <v>4.46</v>
      </c>
    </row>
    <row r="1464">
      <c r="A1464" s="9">
        <v>39995</v>
      </c>
      <c r="B1464" s="2" t="inlineStr">
        <is>
          <t xml:space="preserve">2009-07</t>
        </is>
      </c>
      <c r="C1464" s="2" t="inlineStr">
        <is>
          <t xml:space="preserve">2009/10</t>
        </is>
      </c>
      <c r="D1464">
        <v>5.675</v>
      </c>
      <c r="E1464">
        <v>22.11</v>
      </c>
      <c r="F1464">
        <v>25.52</v>
      </c>
      <c r="G1464">
        <v>19.37</v>
      </c>
      <c r="H1464">
        <v>9.84</v>
      </c>
      <c r="I1464">
        <v>9.871</v>
      </c>
      <c r="J1464">
        <v>22.24</v>
      </c>
      <c r="K1464">
        <v>25.89</v>
      </c>
      <c r="L1464">
        <v>19.19</v>
      </c>
      <c r="M1464">
        <v>14.94</v>
      </c>
      <c r="N1464">
        <v>25.204</v>
      </c>
      <c r="O1464">
        <v>23.28</v>
      </c>
      <c r="P1464">
        <v>26.91</v>
      </c>
      <c r="Q1464">
        <v>20.17</v>
      </c>
      <c r="R1464">
        <v>18.19</v>
      </c>
    </row>
    <row r="1465">
      <c r="A1465" s="9">
        <v>39996</v>
      </c>
      <c r="B1465" s="2" t="inlineStr">
        <is>
          <t xml:space="preserve">2009-07</t>
        </is>
      </c>
      <c r="C1465" s="2" t="inlineStr">
        <is>
          <t xml:space="preserve">2009/10</t>
        </is>
      </c>
      <c r="D1465">
        <v>33.499</v>
      </c>
      <c r="E1465">
        <v>21.75</v>
      </c>
      <c r="F1465">
        <v>25.91</v>
      </c>
      <c r="G1465">
        <v>18.67</v>
      </c>
      <c r="H1465">
        <v>15.13</v>
      </c>
      <c r="I1465">
        <v>13.384</v>
      </c>
      <c r="J1465">
        <v>22.96</v>
      </c>
      <c r="K1465">
        <v>27.04</v>
      </c>
      <c r="L1465">
        <v>20.01</v>
      </c>
      <c r="M1465">
        <v>19.94</v>
      </c>
      <c r="N1465">
        <v>44.608</v>
      </c>
      <c r="O1465">
        <v>22.93</v>
      </c>
      <c r="P1465">
        <v>25.75</v>
      </c>
      <c r="Q1465">
        <v>21.17</v>
      </c>
      <c r="R1465">
        <v>21.31</v>
      </c>
    </row>
    <row r="1466">
      <c r="A1466" s="9">
        <v>39997</v>
      </c>
      <c r="B1466" s="2" t="inlineStr">
        <is>
          <t xml:space="preserve">2009-07</t>
        </is>
      </c>
      <c r="C1466" s="2" t="inlineStr">
        <is>
          <t xml:space="preserve">2009/10</t>
        </is>
      </c>
      <c r="D1466">
        <v>2.436</v>
      </c>
      <c r="E1466">
        <v>21.11</v>
      </c>
      <c r="F1466">
        <v>24.69</v>
      </c>
      <c r="G1466">
        <v>17.89</v>
      </c>
      <c r="H1466">
        <v>1.17</v>
      </c>
      <c r="I1466">
        <v>9.125</v>
      </c>
      <c r="J1466">
        <v>22.19</v>
      </c>
      <c r="K1466">
        <v>25.57</v>
      </c>
      <c r="L1466">
        <v>19.61</v>
      </c>
      <c r="M1466">
        <v>4.65</v>
      </c>
      <c r="N1466">
        <v>3.846</v>
      </c>
      <c r="O1466">
        <v>22.04</v>
      </c>
      <c r="P1466">
        <v>24.38</v>
      </c>
      <c r="Q1466">
        <v>20.21</v>
      </c>
      <c r="R1466">
        <v>2.99</v>
      </c>
    </row>
    <row r="1467">
      <c r="A1467" s="9">
        <v>39998</v>
      </c>
      <c r="B1467" s="2" t="inlineStr">
        <is>
          <t xml:space="preserve">2009-07</t>
        </is>
      </c>
      <c r="C1467" s="2" t="inlineStr">
        <is>
          <t xml:space="preserve">2009/10</t>
        </is>
      </c>
      <c r="D1467">
        <v>0.0</v>
      </c>
      <c r="E1467">
        <v>21.74</v>
      </c>
      <c r="F1467">
        <v>26.96</v>
      </c>
      <c r="G1467">
        <v>17.37</v>
      </c>
      <c r="H1467">
        <v>0.16</v>
      </c>
      <c r="I1467">
        <v>0.0</v>
      </c>
      <c r="J1467">
        <v>22.61</v>
      </c>
      <c r="K1467">
        <v>27.69</v>
      </c>
      <c r="L1467">
        <v>18.66</v>
      </c>
      <c r="M1467">
        <v>0.15</v>
      </c>
      <c r="N1467">
        <v>0.0</v>
      </c>
      <c r="O1467">
        <v>22.96</v>
      </c>
      <c r="P1467">
        <v>27.36</v>
      </c>
      <c r="Q1467">
        <v>19.97</v>
      </c>
      <c r="R1467">
        <v>0.19</v>
      </c>
    </row>
    <row r="1468">
      <c r="A1468" s="9">
        <v>39999</v>
      </c>
      <c r="B1468" s="2" t="inlineStr">
        <is>
          <t xml:space="preserve">2009-07</t>
        </is>
      </c>
      <c r="C1468" s="2" t="inlineStr">
        <is>
          <t xml:space="preserve">2009/10</t>
        </is>
      </c>
      <c r="D1468">
        <v>0.0</v>
      </c>
      <c r="E1468">
        <v>21.63</v>
      </c>
      <c r="F1468">
        <v>26.6</v>
      </c>
      <c r="G1468">
        <v>17.33</v>
      </c>
      <c r="H1468">
        <v>0.89</v>
      </c>
      <c r="I1468">
        <v>0.111</v>
      </c>
      <c r="J1468">
        <v>22.49</v>
      </c>
      <c r="K1468">
        <v>27.35</v>
      </c>
      <c r="L1468">
        <v>18.52</v>
      </c>
      <c r="M1468">
        <v>2.72</v>
      </c>
      <c r="N1468">
        <v>1.054</v>
      </c>
      <c r="O1468">
        <v>22.7</v>
      </c>
      <c r="P1468">
        <v>27.06</v>
      </c>
      <c r="Q1468">
        <v>19.56</v>
      </c>
      <c r="R1468">
        <v>1.43</v>
      </c>
    </row>
    <row r="1469">
      <c r="A1469" s="9">
        <v>40000</v>
      </c>
      <c r="B1469" s="2" t="inlineStr">
        <is>
          <t xml:space="preserve">2009-07</t>
        </is>
      </c>
      <c r="C1469" s="2" t="inlineStr">
        <is>
          <t xml:space="preserve">2009/10</t>
        </is>
      </c>
      <c r="D1469">
        <v>0.819</v>
      </c>
      <c r="E1469">
        <v>21.62</v>
      </c>
      <c r="F1469">
        <v>26.1</v>
      </c>
      <c r="G1469">
        <v>18.1</v>
      </c>
      <c r="H1469">
        <v>1.43</v>
      </c>
      <c r="I1469">
        <v>8.291</v>
      </c>
      <c r="J1469">
        <v>22.36</v>
      </c>
      <c r="K1469">
        <v>26.13</v>
      </c>
      <c r="L1469">
        <v>18.76</v>
      </c>
      <c r="M1469">
        <v>7.28</v>
      </c>
      <c r="N1469">
        <v>3.05</v>
      </c>
      <c r="O1469">
        <v>22.95</v>
      </c>
      <c r="P1469">
        <v>27.41</v>
      </c>
      <c r="Q1469">
        <v>19.87</v>
      </c>
      <c r="R1469">
        <v>4.85</v>
      </c>
    </row>
    <row r="1470">
      <c r="A1470" s="9">
        <v>40001</v>
      </c>
      <c r="B1470" s="2" t="inlineStr">
        <is>
          <t xml:space="preserve">2009-07</t>
        </is>
      </c>
      <c r="C1470" s="2" t="inlineStr">
        <is>
          <t xml:space="preserve">2009/10</t>
        </is>
      </c>
      <c r="D1470">
        <v>6.007</v>
      </c>
      <c r="E1470">
        <v>21.34</v>
      </c>
      <c r="F1470">
        <v>25.84</v>
      </c>
      <c r="G1470">
        <v>17.39</v>
      </c>
      <c r="H1470">
        <v>4.3</v>
      </c>
      <c r="I1470">
        <v>19.899</v>
      </c>
      <c r="J1470">
        <v>23.08</v>
      </c>
      <c r="K1470">
        <v>27.13</v>
      </c>
      <c r="L1470">
        <v>19.33</v>
      </c>
      <c r="M1470">
        <v>10.85</v>
      </c>
      <c r="N1470">
        <v>12.018</v>
      </c>
      <c r="O1470">
        <v>23.19</v>
      </c>
      <c r="P1470">
        <v>27.81</v>
      </c>
      <c r="Q1470">
        <v>19.9</v>
      </c>
      <c r="R1470">
        <v>7.61</v>
      </c>
    </row>
    <row r="1471">
      <c r="A1471" s="9">
        <v>40002</v>
      </c>
      <c r="B1471" s="2" t="inlineStr">
        <is>
          <t xml:space="preserve">2009-07</t>
        </is>
      </c>
      <c r="C1471" s="2" t="inlineStr">
        <is>
          <t xml:space="preserve">2009/10</t>
        </is>
      </c>
      <c r="D1471">
        <v>0.3</v>
      </c>
      <c r="E1471">
        <v>21.55</v>
      </c>
      <c r="F1471">
        <v>25.36</v>
      </c>
      <c r="G1471">
        <v>18.2</v>
      </c>
      <c r="H1471">
        <v>7.83</v>
      </c>
      <c r="I1471">
        <v>2.172</v>
      </c>
      <c r="J1471">
        <v>22.33</v>
      </c>
      <c r="K1471">
        <v>24.67</v>
      </c>
      <c r="L1471">
        <v>20.16</v>
      </c>
      <c r="M1471">
        <v>4.53</v>
      </c>
      <c r="N1471">
        <v>7.674</v>
      </c>
      <c r="O1471">
        <v>22.62</v>
      </c>
      <c r="P1471">
        <v>25.65</v>
      </c>
      <c r="Q1471">
        <v>20.34</v>
      </c>
      <c r="R1471">
        <v>6.88</v>
      </c>
    </row>
    <row r="1472">
      <c r="A1472" s="9">
        <v>40003</v>
      </c>
      <c r="B1472" s="2" t="inlineStr">
        <is>
          <t xml:space="preserve">2009-07</t>
        </is>
      </c>
      <c r="C1472" s="2" t="inlineStr">
        <is>
          <t xml:space="preserve">2009/10</t>
        </is>
      </c>
      <c r="D1472">
        <v>12.819</v>
      </c>
      <c r="E1472">
        <v>21.49</v>
      </c>
      <c r="F1472">
        <v>25.95</v>
      </c>
      <c r="G1472">
        <v>18.26</v>
      </c>
      <c r="H1472">
        <v>7.29</v>
      </c>
      <c r="I1472">
        <v>2.813</v>
      </c>
      <c r="J1472">
        <v>22.92</v>
      </c>
      <c r="K1472">
        <v>26.39</v>
      </c>
      <c r="L1472">
        <v>20.19</v>
      </c>
      <c r="M1472">
        <v>5.86</v>
      </c>
      <c r="N1472">
        <v>5.89</v>
      </c>
      <c r="O1472">
        <v>22.63</v>
      </c>
      <c r="P1472">
        <v>25.6</v>
      </c>
      <c r="Q1472">
        <v>20.54</v>
      </c>
      <c r="R1472">
        <v>7.74</v>
      </c>
    </row>
    <row r="1473">
      <c r="A1473" s="9">
        <v>40004</v>
      </c>
      <c r="B1473" s="2" t="inlineStr">
        <is>
          <t xml:space="preserve">2009-07</t>
        </is>
      </c>
      <c r="C1473" s="2" t="inlineStr">
        <is>
          <t xml:space="preserve">2009/10</t>
        </is>
      </c>
      <c r="D1473">
        <v>0.345</v>
      </c>
      <c r="E1473">
        <v>21.82</v>
      </c>
      <c r="F1473">
        <v>26.51</v>
      </c>
      <c r="G1473">
        <v>17.81</v>
      </c>
      <c r="H1473">
        <v>6.65</v>
      </c>
      <c r="I1473">
        <v>9.49</v>
      </c>
      <c r="J1473">
        <v>22.58</v>
      </c>
      <c r="K1473">
        <v>26.87</v>
      </c>
      <c r="L1473">
        <v>19.37</v>
      </c>
      <c r="M1473">
        <v>14.0</v>
      </c>
      <c r="N1473">
        <v>6.457</v>
      </c>
      <c r="O1473">
        <v>23.02</v>
      </c>
      <c r="P1473">
        <v>27.65</v>
      </c>
      <c r="Q1473">
        <v>20.56</v>
      </c>
      <c r="R1473">
        <v>11.44</v>
      </c>
    </row>
    <row r="1474">
      <c r="A1474" s="9">
        <v>40005</v>
      </c>
      <c r="B1474" s="2" t="inlineStr">
        <is>
          <t xml:space="preserve">2009-07</t>
        </is>
      </c>
      <c r="C1474" s="2" t="inlineStr">
        <is>
          <t xml:space="preserve">2009/10</t>
        </is>
      </c>
      <c r="D1474">
        <v>30.096</v>
      </c>
      <c r="E1474">
        <v>20.54</v>
      </c>
      <c r="F1474">
        <v>25.12</v>
      </c>
      <c r="G1474">
        <v>17.29</v>
      </c>
      <c r="H1474">
        <v>7.54</v>
      </c>
      <c r="I1474">
        <v>19.183</v>
      </c>
      <c r="J1474">
        <v>22.47</v>
      </c>
      <c r="K1474">
        <v>25.64</v>
      </c>
      <c r="L1474">
        <v>20.05</v>
      </c>
      <c r="M1474">
        <v>10.44</v>
      </c>
      <c r="N1474">
        <v>9.415</v>
      </c>
      <c r="O1474">
        <v>22.56</v>
      </c>
      <c r="P1474">
        <v>26.7</v>
      </c>
      <c r="Q1474">
        <v>19.93</v>
      </c>
      <c r="R1474">
        <v>14.45</v>
      </c>
    </row>
    <row r="1475">
      <c r="A1475" s="9">
        <v>40006</v>
      </c>
      <c r="B1475" s="2" t="inlineStr">
        <is>
          <t xml:space="preserve">2009-07</t>
        </is>
      </c>
      <c r="C1475" s="2" t="inlineStr">
        <is>
          <t xml:space="preserve">2009/10</t>
        </is>
      </c>
      <c r="D1475">
        <v>0.0</v>
      </c>
      <c r="E1475">
        <v>20.75</v>
      </c>
      <c r="F1475">
        <v>25.77</v>
      </c>
      <c r="G1475">
        <v>16.22</v>
      </c>
      <c r="H1475">
        <v>1.17</v>
      </c>
      <c r="I1475">
        <v>13.226</v>
      </c>
      <c r="J1475">
        <v>21.82</v>
      </c>
      <c r="K1475">
        <v>25.96</v>
      </c>
      <c r="L1475">
        <v>18.18</v>
      </c>
      <c r="M1475">
        <v>5.02</v>
      </c>
      <c r="N1475">
        <v>1.076</v>
      </c>
      <c r="O1475">
        <v>21.7</v>
      </c>
      <c r="P1475">
        <v>26.08</v>
      </c>
      <c r="Q1475">
        <v>17.92</v>
      </c>
      <c r="R1475">
        <v>4.86</v>
      </c>
    </row>
    <row r="1476">
      <c r="A1476" s="9">
        <v>40007</v>
      </c>
      <c r="B1476" s="2" t="inlineStr">
        <is>
          <t xml:space="preserve">2009-07</t>
        </is>
      </c>
      <c r="C1476" s="2" t="inlineStr">
        <is>
          <t xml:space="preserve">2009/10</t>
        </is>
      </c>
      <c r="D1476">
        <v>0.127</v>
      </c>
      <c r="E1476">
        <v>21.51</v>
      </c>
      <c r="F1476">
        <v>26.63</v>
      </c>
      <c r="G1476">
        <v>17.58</v>
      </c>
      <c r="H1476">
        <v>0.07</v>
      </c>
      <c r="I1476">
        <v>0.196</v>
      </c>
      <c r="J1476">
        <v>22.55</v>
      </c>
      <c r="K1476">
        <v>27.15</v>
      </c>
      <c r="L1476">
        <v>19.16</v>
      </c>
      <c r="M1476">
        <v>0.17</v>
      </c>
      <c r="N1476">
        <v>0.0</v>
      </c>
      <c r="O1476">
        <v>22.72</v>
      </c>
      <c r="P1476">
        <v>27.04</v>
      </c>
      <c r="Q1476">
        <v>19.9</v>
      </c>
      <c r="R1476">
        <v>0.54</v>
      </c>
    </row>
    <row r="1477">
      <c r="A1477" s="9">
        <v>40008</v>
      </c>
      <c r="B1477" s="2" t="inlineStr">
        <is>
          <t xml:space="preserve">2009-07</t>
        </is>
      </c>
      <c r="C1477" s="2" t="inlineStr">
        <is>
          <t xml:space="preserve">2009/10</t>
        </is>
      </c>
      <c r="D1477">
        <v>0.0</v>
      </c>
      <c r="E1477">
        <v>21.56</v>
      </c>
      <c r="F1477">
        <v>27.27</v>
      </c>
      <c r="G1477">
        <v>17.18</v>
      </c>
      <c r="H1477">
        <v>0.17</v>
      </c>
      <c r="I1477">
        <v>0.0</v>
      </c>
      <c r="J1477">
        <v>22.68</v>
      </c>
      <c r="K1477">
        <v>27.81</v>
      </c>
      <c r="L1477">
        <v>18.89</v>
      </c>
      <c r="M1477">
        <v>0.06</v>
      </c>
      <c r="N1477">
        <v>0.0</v>
      </c>
      <c r="O1477">
        <v>22.82</v>
      </c>
      <c r="P1477">
        <v>27.42</v>
      </c>
      <c r="Q1477">
        <v>19.88</v>
      </c>
      <c r="R1477">
        <v>0.56</v>
      </c>
    </row>
    <row r="1478">
      <c r="A1478" s="9">
        <v>40009</v>
      </c>
      <c r="B1478" s="2" t="inlineStr">
        <is>
          <t xml:space="preserve">2009-07</t>
        </is>
      </c>
      <c r="C1478" s="2" t="inlineStr">
        <is>
          <t xml:space="preserve">2009/10</t>
        </is>
      </c>
      <c r="D1478">
        <v>1.301</v>
      </c>
      <c r="E1478">
        <v>21.91</v>
      </c>
      <c r="F1478">
        <v>26.65</v>
      </c>
      <c r="G1478">
        <v>17.61</v>
      </c>
      <c r="H1478">
        <v>2.34</v>
      </c>
      <c r="I1478">
        <v>0.0</v>
      </c>
      <c r="J1478">
        <v>22.69</v>
      </c>
      <c r="K1478">
        <v>27.17</v>
      </c>
      <c r="L1478">
        <v>18.57</v>
      </c>
      <c r="M1478">
        <v>1.25</v>
      </c>
      <c r="N1478">
        <v>0.0</v>
      </c>
      <c r="O1478">
        <v>23.06</v>
      </c>
      <c r="P1478">
        <v>27.76</v>
      </c>
      <c r="Q1478">
        <v>19.22</v>
      </c>
      <c r="R1478">
        <v>0.66</v>
      </c>
    </row>
    <row r="1479">
      <c r="A1479" s="9">
        <v>40010</v>
      </c>
      <c r="B1479" s="2" t="inlineStr">
        <is>
          <t xml:space="preserve">2009-07</t>
        </is>
      </c>
      <c r="C1479" s="2" t="inlineStr">
        <is>
          <t xml:space="preserve">2009/10</t>
        </is>
      </c>
      <c r="D1479">
        <v>0.223</v>
      </c>
      <c r="E1479">
        <v>22.28</v>
      </c>
      <c r="F1479">
        <v>27.3</v>
      </c>
      <c r="G1479">
        <v>18.01</v>
      </c>
      <c r="H1479">
        <v>0.81</v>
      </c>
      <c r="I1479">
        <v>6.709</v>
      </c>
      <c r="J1479">
        <v>23.23</v>
      </c>
      <c r="K1479">
        <v>27.99</v>
      </c>
      <c r="L1479">
        <v>20.16</v>
      </c>
      <c r="M1479">
        <v>3.63</v>
      </c>
      <c r="N1479">
        <v>0.245</v>
      </c>
      <c r="O1479">
        <v>23.5</v>
      </c>
      <c r="P1479">
        <v>27.8</v>
      </c>
      <c r="Q1479">
        <v>20.73</v>
      </c>
      <c r="R1479">
        <v>5.72</v>
      </c>
    </row>
    <row r="1480">
      <c r="A1480" s="9">
        <v>40011</v>
      </c>
      <c r="B1480" s="2" t="inlineStr">
        <is>
          <t xml:space="preserve">2009-07</t>
        </is>
      </c>
      <c r="C1480" s="2" t="inlineStr">
        <is>
          <t xml:space="preserve">2009/10</t>
        </is>
      </c>
      <c r="D1480">
        <v>1.386</v>
      </c>
      <c r="E1480">
        <v>21.86</v>
      </c>
      <c r="F1480">
        <v>26.93</v>
      </c>
      <c r="G1480">
        <v>18.25</v>
      </c>
      <c r="H1480">
        <v>1.43</v>
      </c>
      <c r="I1480">
        <v>0.372</v>
      </c>
      <c r="J1480">
        <v>23.05</v>
      </c>
      <c r="K1480">
        <v>27.43</v>
      </c>
      <c r="L1480">
        <v>20.09</v>
      </c>
      <c r="M1480">
        <v>6.42</v>
      </c>
      <c r="N1480">
        <v>2.544</v>
      </c>
      <c r="O1480">
        <v>22.91</v>
      </c>
      <c r="P1480">
        <v>26.34</v>
      </c>
      <c r="Q1480">
        <v>20.56</v>
      </c>
      <c r="R1480">
        <v>12.9</v>
      </c>
    </row>
    <row r="1481">
      <c r="A1481" s="9">
        <v>40012</v>
      </c>
      <c r="B1481" s="2" t="inlineStr">
        <is>
          <t xml:space="preserve">2009-07</t>
        </is>
      </c>
      <c r="C1481" s="2" t="inlineStr">
        <is>
          <t xml:space="preserve">2009/10</t>
        </is>
      </c>
      <c r="D1481">
        <v>0.026</v>
      </c>
      <c r="E1481">
        <v>21.88</v>
      </c>
      <c r="F1481">
        <v>27.72</v>
      </c>
      <c r="G1481">
        <v>16.75</v>
      </c>
      <c r="H1481">
        <v>0.9</v>
      </c>
      <c r="I1481">
        <v>5.214</v>
      </c>
      <c r="J1481">
        <v>22.86</v>
      </c>
      <c r="K1481">
        <v>27.62</v>
      </c>
      <c r="L1481">
        <v>19.67</v>
      </c>
      <c r="M1481">
        <v>4.48</v>
      </c>
      <c r="N1481">
        <v>18.591</v>
      </c>
      <c r="O1481">
        <v>22.82</v>
      </c>
      <c r="P1481">
        <v>27.12</v>
      </c>
      <c r="Q1481">
        <v>20.16</v>
      </c>
      <c r="R1481">
        <v>7.31</v>
      </c>
    </row>
    <row r="1482">
      <c r="A1482" s="9">
        <v>40013</v>
      </c>
      <c r="B1482" s="2" t="inlineStr">
        <is>
          <t xml:space="preserve">2009-07</t>
        </is>
      </c>
      <c r="C1482" s="2" t="inlineStr">
        <is>
          <t xml:space="preserve">2009/10</t>
        </is>
      </c>
      <c r="D1482">
        <v>0.0</v>
      </c>
      <c r="E1482">
        <v>21.91</v>
      </c>
      <c r="F1482">
        <v>27.27</v>
      </c>
      <c r="G1482">
        <v>17.93</v>
      </c>
      <c r="H1482">
        <v>0.85</v>
      </c>
      <c r="I1482">
        <v>0.0</v>
      </c>
      <c r="J1482">
        <v>22.11</v>
      </c>
      <c r="K1482">
        <v>25.58</v>
      </c>
      <c r="L1482">
        <v>19.61</v>
      </c>
      <c r="M1482">
        <v>0.45</v>
      </c>
      <c r="N1482">
        <v>0.0</v>
      </c>
      <c r="O1482">
        <v>22.5</v>
      </c>
      <c r="P1482">
        <v>25.64</v>
      </c>
      <c r="Q1482">
        <v>20.29</v>
      </c>
      <c r="R1482">
        <v>0.55</v>
      </c>
    </row>
    <row r="1483">
      <c r="A1483" s="9">
        <v>40014</v>
      </c>
      <c r="B1483" s="2" t="inlineStr">
        <is>
          <t xml:space="preserve">2009-07</t>
        </is>
      </c>
      <c r="C1483" s="2" t="inlineStr">
        <is>
          <t xml:space="preserve">2009/10</t>
        </is>
      </c>
      <c r="D1483">
        <v>0.0</v>
      </c>
      <c r="E1483">
        <v>21.93</v>
      </c>
      <c r="F1483">
        <v>27.04</v>
      </c>
      <c r="G1483">
        <v>18.03</v>
      </c>
      <c r="H1483">
        <v>2.62</v>
      </c>
      <c r="I1483">
        <v>1.341</v>
      </c>
      <c r="J1483">
        <v>22.18</v>
      </c>
      <c r="K1483">
        <v>26.73</v>
      </c>
      <c r="L1483">
        <v>19.23</v>
      </c>
      <c r="M1483">
        <v>0.98</v>
      </c>
      <c r="N1483">
        <v>0.333</v>
      </c>
      <c r="O1483">
        <v>22.53</v>
      </c>
      <c r="P1483">
        <v>26.54</v>
      </c>
      <c r="Q1483">
        <v>19.72</v>
      </c>
      <c r="R1483">
        <v>1.26</v>
      </c>
    </row>
    <row r="1484">
      <c r="A1484" s="9">
        <v>40015</v>
      </c>
      <c r="B1484" s="2" t="inlineStr">
        <is>
          <t xml:space="preserve">2009-07</t>
        </is>
      </c>
      <c r="C1484" s="2" t="inlineStr">
        <is>
          <t xml:space="preserve">2009/10</t>
        </is>
      </c>
      <c r="D1484">
        <v>13.536</v>
      </c>
      <c r="E1484">
        <v>21.85</v>
      </c>
      <c r="F1484">
        <v>26.3</v>
      </c>
      <c r="G1484">
        <v>18.31</v>
      </c>
      <c r="H1484">
        <v>8.17</v>
      </c>
      <c r="I1484">
        <v>0.0</v>
      </c>
      <c r="J1484">
        <v>22.61</v>
      </c>
      <c r="K1484">
        <v>26.97</v>
      </c>
      <c r="L1484">
        <v>18.87</v>
      </c>
      <c r="M1484">
        <v>2.59</v>
      </c>
      <c r="N1484">
        <v>0.052</v>
      </c>
      <c r="O1484">
        <v>22.82</v>
      </c>
      <c r="P1484">
        <v>27.25</v>
      </c>
      <c r="Q1484">
        <v>19.6</v>
      </c>
      <c r="R1484">
        <v>0.76</v>
      </c>
    </row>
    <row r="1485">
      <c r="A1485" s="9">
        <v>40016</v>
      </c>
      <c r="B1485" s="2" t="inlineStr">
        <is>
          <t xml:space="preserve">2009-07</t>
        </is>
      </c>
      <c r="C1485" s="2" t="inlineStr">
        <is>
          <t xml:space="preserve">2009/10</t>
        </is>
      </c>
      <c r="D1485">
        <v>24.857</v>
      </c>
      <c r="E1485">
        <v>22.07</v>
      </c>
      <c r="F1485">
        <v>26.8</v>
      </c>
      <c r="G1485">
        <v>17.89</v>
      </c>
      <c r="H1485">
        <v>16.44</v>
      </c>
      <c r="I1485">
        <v>24.687</v>
      </c>
      <c r="J1485">
        <v>22.27</v>
      </c>
      <c r="K1485">
        <v>26.02</v>
      </c>
      <c r="L1485">
        <v>19.52</v>
      </c>
      <c r="M1485">
        <v>20.58</v>
      </c>
      <c r="N1485">
        <v>1.653</v>
      </c>
      <c r="O1485">
        <v>22.9</v>
      </c>
      <c r="P1485">
        <v>26.8</v>
      </c>
      <c r="Q1485">
        <v>20.05</v>
      </c>
      <c r="R1485">
        <v>10.79</v>
      </c>
    </row>
    <row r="1486">
      <c r="A1486" s="9">
        <v>40017</v>
      </c>
      <c r="B1486" s="2" t="inlineStr">
        <is>
          <t xml:space="preserve">2009-07</t>
        </is>
      </c>
      <c r="C1486" s="2" t="inlineStr">
        <is>
          <t xml:space="preserve">2009/10</t>
        </is>
      </c>
      <c r="D1486">
        <v>11.78</v>
      </c>
      <c r="E1486">
        <v>22.34</v>
      </c>
      <c r="F1486">
        <v>26.79</v>
      </c>
      <c r="G1486">
        <v>18.78</v>
      </c>
      <c r="H1486">
        <v>4.15</v>
      </c>
      <c r="I1486">
        <v>30.462</v>
      </c>
      <c r="J1486">
        <v>23.23</v>
      </c>
      <c r="K1486">
        <v>27.11</v>
      </c>
      <c r="L1486">
        <v>20.39</v>
      </c>
      <c r="M1486">
        <v>12.66</v>
      </c>
      <c r="N1486">
        <v>13.45</v>
      </c>
      <c r="O1486">
        <v>23.27</v>
      </c>
      <c r="P1486">
        <v>27.32</v>
      </c>
      <c r="Q1486">
        <v>20.86</v>
      </c>
      <c r="R1486">
        <v>9.56</v>
      </c>
    </row>
    <row r="1487">
      <c r="A1487" s="9">
        <v>40018</v>
      </c>
      <c r="B1487" s="2" t="inlineStr">
        <is>
          <t xml:space="preserve">2009-07</t>
        </is>
      </c>
      <c r="C1487" s="2" t="inlineStr">
        <is>
          <t xml:space="preserve">2009/10</t>
        </is>
      </c>
      <c r="D1487">
        <v>1.876</v>
      </c>
      <c r="E1487">
        <v>22.16</v>
      </c>
      <c r="F1487">
        <v>26.77</v>
      </c>
      <c r="G1487">
        <v>18.79</v>
      </c>
      <c r="H1487">
        <v>0.8</v>
      </c>
      <c r="I1487">
        <v>3.673</v>
      </c>
      <c r="J1487">
        <v>22.8</v>
      </c>
      <c r="K1487">
        <v>26.49</v>
      </c>
      <c r="L1487">
        <v>19.81</v>
      </c>
      <c r="M1487">
        <v>1.56</v>
      </c>
      <c r="N1487">
        <v>0.369</v>
      </c>
      <c r="O1487">
        <v>23.15</v>
      </c>
      <c r="P1487">
        <v>26.34</v>
      </c>
      <c r="Q1487">
        <v>20.8</v>
      </c>
      <c r="R1487">
        <v>0.69</v>
      </c>
    </row>
    <row r="1488">
      <c r="A1488" s="9">
        <v>40019</v>
      </c>
      <c r="B1488" s="2" t="inlineStr">
        <is>
          <t xml:space="preserve">2009-07</t>
        </is>
      </c>
      <c r="C1488" s="2" t="inlineStr">
        <is>
          <t xml:space="preserve">2009/10</t>
        </is>
      </c>
      <c r="D1488">
        <v>3.985</v>
      </c>
      <c r="E1488">
        <v>21.79</v>
      </c>
      <c r="F1488">
        <v>25.73</v>
      </c>
      <c r="G1488">
        <v>18.54</v>
      </c>
      <c r="H1488">
        <v>5.15</v>
      </c>
      <c r="I1488">
        <v>0.042</v>
      </c>
      <c r="J1488">
        <v>23.26</v>
      </c>
      <c r="K1488">
        <v>27.37</v>
      </c>
      <c r="L1488">
        <v>19.73</v>
      </c>
      <c r="M1488">
        <v>2.01</v>
      </c>
      <c r="N1488">
        <v>0.42</v>
      </c>
      <c r="O1488">
        <v>23.54</v>
      </c>
      <c r="P1488">
        <v>27.43</v>
      </c>
      <c r="Q1488">
        <v>20.74</v>
      </c>
      <c r="R1488">
        <v>1.02</v>
      </c>
    </row>
    <row r="1489">
      <c r="A1489" s="9">
        <v>40020</v>
      </c>
      <c r="B1489" s="2" t="inlineStr">
        <is>
          <t xml:space="preserve">2009-07</t>
        </is>
      </c>
      <c r="C1489" s="2" t="inlineStr">
        <is>
          <t xml:space="preserve">2009/10</t>
        </is>
      </c>
      <c r="D1489">
        <v>0.273</v>
      </c>
      <c r="E1489">
        <v>21.58</v>
      </c>
      <c r="F1489">
        <v>25.31</v>
      </c>
      <c r="G1489">
        <v>18.58</v>
      </c>
      <c r="H1489">
        <v>1.49</v>
      </c>
      <c r="I1489">
        <v>7.636</v>
      </c>
      <c r="J1489">
        <v>23.16</v>
      </c>
      <c r="K1489">
        <v>27.43</v>
      </c>
      <c r="L1489">
        <v>19.88</v>
      </c>
      <c r="M1489">
        <v>3.41</v>
      </c>
      <c r="N1489">
        <v>0.714</v>
      </c>
      <c r="O1489">
        <v>23.04</v>
      </c>
      <c r="P1489">
        <v>26.56</v>
      </c>
      <c r="Q1489">
        <v>20.87</v>
      </c>
      <c r="R1489">
        <v>1.49</v>
      </c>
    </row>
    <row r="1490">
      <c r="A1490" s="9">
        <v>40021</v>
      </c>
      <c r="B1490" s="2" t="inlineStr">
        <is>
          <t xml:space="preserve">2009-07</t>
        </is>
      </c>
      <c r="C1490" s="2" t="inlineStr">
        <is>
          <t xml:space="preserve">2009/10</t>
        </is>
      </c>
      <c r="D1490">
        <v>0.0</v>
      </c>
      <c r="E1490">
        <v>22.02</v>
      </c>
      <c r="F1490">
        <v>27.58</v>
      </c>
      <c r="G1490">
        <v>17.2</v>
      </c>
      <c r="H1490">
        <v>0.0</v>
      </c>
      <c r="I1490">
        <v>0.629</v>
      </c>
      <c r="J1490">
        <v>23.03</v>
      </c>
      <c r="K1490">
        <v>27.97</v>
      </c>
      <c r="L1490">
        <v>19.12</v>
      </c>
      <c r="M1490">
        <v>0.16</v>
      </c>
      <c r="N1490">
        <v>0.0</v>
      </c>
      <c r="O1490">
        <v>23.28</v>
      </c>
      <c r="P1490">
        <v>27.78</v>
      </c>
      <c r="Q1490">
        <v>20.19</v>
      </c>
      <c r="R1490">
        <v>0.29</v>
      </c>
    </row>
    <row r="1491">
      <c r="A1491" s="9">
        <v>40022</v>
      </c>
      <c r="B1491" s="2" t="inlineStr">
        <is>
          <t xml:space="preserve">2009-07</t>
        </is>
      </c>
      <c r="C1491" s="2" t="inlineStr">
        <is>
          <t xml:space="preserve">2009/10</t>
        </is>
      </c>
      <c r="D1491">
        <v>0.0</v>
      </c>
      <c r="E1491">
        <v>22.41</v>
      </c>
      <c r="F1491">
        <v>27.63</v>
      </c>
      <c r="G1491">
        <v>18.54</v>
      </c>
      <c r="H1491">
        <v>0.17</v>
      </c>
      <c r="I1491">
        <v>0.0</v>
      </c>
      <c r="J1491">
        <v>22.92</v>
      </c>
      <c r="K1491">
        <v>27.6</v>
      </c>
      <c r="L1491">
        <v>19.14</v>
      </c>
      <c r="M1491">
        <v>0.12</v>
      </c>
      <c r="N1491">
        <v>0.0</v>
      </c>
      <c r="O1491">
        <v>23.28</v>
      </c>
      <c r="P1491">
        <v>27.72</v>
      </c>
      <c r="Q1491">
        <v>20.13</v>
      </c>
      <c r="R1491">
        <v>0.09</v>
      </c>
    </row>
    <row r="1492">
      <c r="A1492" s="9">
        <v>40023</v>
      </c>
      <c r="B1492" s="2" t="inlineStr">
        <is>
          <t xml:space="preserve">2009-07</t>
        </is>
      </c>
      <c r="C1492" s="2" t="inlineStr">
        <is>
          <t xml:space="preserve">2009/10</t>
        </is>
      </c>
      <c r="D1492">
        <v>1.377</v>
      </c>
      <c r="E1492">
        <v>22.06</v>
      </c>
      <c r="F1492">
        <v>26.4</v>
      </c>
      <c r="G1492">
        <v>18.07</v>
      </c>
      <c r="H1492">
        <v>4.05</v>
      </c>
      <c r="I1492">
        <v>1.079</v>
      </c>
      <c r="J1492">
        <v>23.29</v>
      </c>
      <c r="K1492">
        <v>27.82</v>
      </c>
      <c r="L1492">
        <v>19.23</v>
      </c>
      <c r="M1492">
        <v>1.5</v>
      </c>
      <c r="N1492">
        <v>0.483</v>
      </c>
      <c r="O1492">
        <v>23.75</v>
      </c>
      <c r="P1492">
        <v>28.58</v>
      </c>
      <c r="Q1492">
        <v>20.34</v>
      </c>
      <c r="R1492">
        <v>1.32</v>
      </c>
    </row>
    <row r="1493">
      <c r="A1493" s="9">
        <v>40024</v>
      </c>
      <c r="B1493" s="2" t="inlineStr">
        <is>
          <t xml:space="preserve">2009-07</t>
        </is>
      </c>
      <c r="C1493" s="2" t="inlineStr">
        <is>
          <t xml:space="preserve">2009/10</t>
        </is>
      </c>
      <c r="D1493">
        <v>1.221</v>
      </c>
      <c r="E1493">
        <v>22.09</v>
      </c>
      <c r="F1493">
        <v>25.89</v>
      </c>
      <c r="G1493">
        <v>18.88</v>
      </c>
      <c r="H1493">
        <v>2.69</v>
      </c>
      <c r="I1493">
        <v>1.53</v>
      </c>
      <c r="J1493">
        <v>23.28</v>
      </c>
      <c r="K1493">
        <v>27.15</v>
      </c>
      <c r="L1493">
        <v>20.14</v>
      </c>
      <c r="M1493">
        <v>2.37</v>
      </c>
      <c r="N1493">
        <v>3.052</v>
      </c>
      <c r="O1493">
        <v>23.58</v>
      </c>
      <c r="P1493">
        <v>27.81</v>
      </c>
      <c r="Q1493">
        <v>20.92</v>
      </c>
      <c r="R1493">
        <v>1.93</v>
      </c>
    </row>
    <row r="1494">
      <c r="A1494" s="9">
        <v>40025</v>
      </c>
      <c r="B1494" s="2" t="inlineStr">
        <is>
          <t xml:space="preserve">2009-07</t>
        </is>
      </c>
      <c r="C1494" s="2" t="inlineStr">
        <is>
          <t xml:space="preserve">2009/10</t>
        </is>
      </c>
      <c r="D1494">
        <v>0.387</v>
      </c>
      <c r="E1494">
        <v>21.64</v>
      </c>
      <c r="F1494">
        <v>25.43</v>
      </c>
      <c r="G1494">
        <v>18.74</v>
      </c>
      <c r="H1494">
        <v>2.78</v>
      </c>
      <c r="I1494">
        <v>2.339</v>
      </c>
      <c r="J1494">
        <v>23.29</v>
      </c>
      <c r="K1494">
        <v>27.25</v>
      </c>
      <c r="L1494">
        <v>20.2</v>
      </c>
      <c r="M1494">
        <v>1.62</v>
      </c>
      <c r="N1494">
        <v>1.201</v>
      </c>
      <c r="O1494">
        <v>23.53</v>
      </c>
      <c r="P1494">
        <v>27.88</v>
      </c>
      <c r="Q1494">
        <v>20.61</v>
      </c>
      <c r="R1494">
        <v>0.98</v>
      </c>
    </row>
    <row r="1495">
      <c r="A1495" s="9">
        <v>40026</v>
      </c>
      <c r="B1495" s="2" t="inlineStr">
        <is>
          <t xml:space="preserve">2009-08</t>
        </is>
      </c>
      <c r="C1495" s="2" t="inlineStr">
        <is>
          <t xml:space="preserve">2009/10</t>
        </is>
      </c>
      <c r="D1495">
        <v>0.709</v>
      </c>
      <c r="E1495">
        <v>21.66</v>
      </c>
      <c r="F1495">
        <v>25.43</v>
      </c>
      <c r="G1495">
        <v>18.69</v>
      </c>
      <c r="H1495">
        <v>2.63</v>
      </c>
      <c r="I1495">
        <v>0.535</v>
      </c>
      <c r="J1495">
        <v>22.62</v>
      </c>
      <c r="K1495">
        <v>26.2</v>
      </c>
      <c r="L1495">
        <v>19.87</v>
      </c>
      <c r="M1495">
        <v>4.93</v>
      </c>
      <c r="N1495">
        <v>0.443</v>
      </c>
      <c r="O1495">
        <v>23.12</v>
      </c>
      <c r="P1495">
        <v>26.91</v>
      </c>
      <c r="Q1495">
        <v>20.69</v>
      </c>
      <c r="R1495">
        <v>4.49</v>
      </c>
    </row>
    <row r="1496">
      <c r="A1496" s="9">
        <v>40027</v>
      </c>
      <c r="B1496" s="2" t="inlineStr">
        <is>
          <t xml:space="preserve">2009-08</t>
        </is>
      </c>
      <c r="C1496" s="2" t="inlineStr">
        <is>
          <t xml:space="preserve">2009/10</t>
        </is>
      </c>
      <c r="D1496">
        <v>13.025</v>
      </c>
      <c r="E1496">
        <v>21.7</v>
      </c>
      <c r="F1496">
        <v>26.88</v>
      </c>
      <c r="G1496">
        <v>18.24</v>
      </c>
      <c r="H1496">
        <v>4.37</v>
      </c>
      <c r="I1496">
        <v>9.285</v>
      </c>
      <c r="J1496">
        <v>22.14</v>
      </c>
      <c r="K1496">
        <v>26.22</v>
      </c>
      <c r="L1496">
        <v>19.47</v>
      </c>
      <c r="M1496">
        <v>5.47</v>
      </c>
      <c r="N1496">
        <v>11.317</v>
      </c>
      <c r="O1496">
        <v>22.16</v>
      </c>
      <c r="P1496">
        <v>25.3</v>
      </c>
      <c r="Q1496">
        <v>20.03</v>
      </c>
      <c r="R1496">
        <v>6.65</v>
      </c>
    </row>
    <row r="1497">
      <c r="A1497" s="9">
        <v>40028</v>
      </c>
      <c r="B1497" s="2" t="inlineStr">
        <is>
          <t xml:space="preserve">2009-08</t>
        </is>
      </c>
      <c r="C1497" s="2" t="inlineStr">
        <is>
          <t xml:space="preserve">2009/10</t>
        </is>
      </c>
      <c r="D1497">
        <v>0.0</v>
      </c>
      <c r="E1497">
        <v>22.17</v>
      </c>
      <c r="F1497">
        <v>27.61</v>
      </c>
      <c r="G1497">
        <v>17.88</v>
      </c>
      <c r="H1497">
        <v>0.03</v>
      </c>
      <c r="I1497">
        <v>0.03</v>
      </c>
      <c r="J1497">
        <v>22.51</v>
      </c>
      <c r="K1497">
        <v>26.48</v>
      </c>
      <c r="L1497">
        <v>19.42</v>
      </c>
      <c r="M1497">
        <v>0.15</v>
      </c>
      <c r="N1497">
        <v>0.33</v>
      </c>
      <c r="O1497">
        <v>23.01</v>
      </c>
      <c r="P1497">
        <v>27.57</v>
      </c>
      <c r="Q1497">
        <v>19.89</v>
      </c>
      <c r="R1497">
        <v>0.47</v>
      </c>
    </row>
    <row r="1498">
      <c r="A1498" s="9">
        <v>40029</v>
      </c>
      <c r="B1498" s="2" t="inlineStr">
        <is>
          <t xml:space="preserve">2009-08</t>
        </is>
      </c>
      <c r="C1498" s="2" t="inlineStr">
        <is>
          <t xml:space="preserve">2009/10</t>
        </is>
      </c>
      <c r="D1498">
        <v>0.037</v>
      </c>
      <c r="E1498">
        <v>21.81</v>
      </c>
      <c r="F1498">
        <v>27.63</v>
      </c>
      <c r="G1498">
        <v>17.15</v>
      </c>
      <c r="H1498">
        <v>0.12</v>
      </c>
      <c r="I1498">
        <v>0.0</v>
      </c>
      <c r="J1498">
        <v>22.53</v>
      </c>
      <c r="K1498">
        <v>27.44</v>
      </c>
      <c r="L1498">
        <v>19.12</v>
      </c>
      <c r="M1498">
        <v>0.31</v>
      </c>
      <c r="N1498">
        <v>0.0</v>
      </c>
      <c r="O1498">
        <v>22.64</v>
      </c>
      <c r="P1498">
        <v>27.49</v>
      </c>
      <c r="Q1498">
        <v>19.53</v>
      </c>
      <c r="R1498">
        <v>1.19</v>
      </c>
    </row>
    <row r="1499">
      <c r="A1499" s="9">
        <v>40030</v>
      </c>
      <c r="B1499" s="2" t="inlineStr">
        <is>
          <t xml:space="preserve">2009-08</t>
        </is>
      </c>
      <c r="C1499" s="2" t="inlineStr">
        <is>
          <t xml:space="preserve">2009/10</t>
        </is>
      </c>
      <c r="D1499">
        <v>0.0</v>
      </c>
      <c r="E1499">
        <v>22.34</v>
      </c>
      <c r="F1499">
        <v>27.62</v>
      </c>
      <c r="G1499">
        <v>17.84</v>
      </c>
      <c r="H1499">
        <v>2.45</v>
      </c>
      <c r="I1499">
        <v>0.0</v>
      </c>
      <c r="J1499">
        <v>22.15</v>
      </c>
      <c r="K1499">
        <v>26.81</v>
      </c>
      <c r="L1499">
        <v>18.27</v>
      </c>
      <c r="M1499">
        <v>3.28</v>
      </c>
      <c r="N1499">
        <v>0.78</v>
      </c>
      <c r="O1499">
        <v>22.33</v>
      </c>
      <c r="P1499">
        <v>26.86</v>
      </c>
      <c r="Q1499">
        <v>19.22</v>
      </c>
      <c r="R1499">
        <v>7.12</v>
      </c>
    </row>
    <row r="1500">
      <c r="A1500" s="9">
        <v>40031</v>
      </c>
      <c r="B1500" s="2" t="inlineStr">
        <is>
          <t xml:space="preserve">2009-08</t>
        </is>
      </c>
      <c r="C1500" s="2" t="inlineStr">
        <is>
          <t xml:space="preserve">2009/10</t>
        </is>
      </c>
      <c r="D1500">
        <v>3.777</v>
      </c>
      <c r="E1500">
        <v>22.67</v>
      </c>
      <c r="F1500">
        <v>27.6</v>
      </c>
      <c r="G1500">
        <v>18.73</v>
      </c>
      <c r="H1500">
        <v>4.51</v>
      </c>
      <c r="I1500">
        <v>8.003</v>
      </c>
      <c r="J1500">
        <v>22.09</v>
      </c>
      <c r="K1500">
        <v>26.06</v>
      </c>
      <c r="L1500">
        <v>19.14</v>
      </c>
      <c r="M1500">
        <v>6.34</v>
      </c>
      <c r="N1500">
        <v>2.476</v>
      </c>
      <c r="O1500">
        <v>22.71</v>
      </c>
      <c r="P1500">
        <v>26.34</v>
      </c>
      <c r="Q1500">
        <v>20.52</v>
      </c>
      <c r="R1500">
        <v>5.06</v>
      </c>
    </row>
    <row r="1501">
      <c r="A1501" s="9">
        <v>40032</v>
      </c>
      <c r="B1501" s="2" t="inlineStr">
        <is>
          <t xml:space="preserve">2009-08</t>
        </is>
      </c>
      <c r="C1501" s="2" t="inlineStr">
        <is>
          <t xml:space="preserve">2009/10</t>
        </is>
      </c>
      <c r="D1501">
        <v>8.845</v>
      </c>
      <c r="E1501">
        <v>22.01</v>
      </c>
      <c r="F1501">
        <v>26.18</v>
      </c>
      <c r="G1501">
        <v>18.97</v>
      </c>
      <c r="H1501">
        <v>8.18</v>
      </c>
      <c r="I1501">
        <v>5.741</v>
      </c>
      <c r="J1501">
        <v>22.05</v>
      </c>
      <c r="K1501">
        <v>25.93</v>
      </c>
      <c r="L1501">
        <v>19.4</v>
      </c>
      <c r="M1501">
        <v>14.07</v>
      </c>
      <c r="N1501">
        <v>7.003</v>
      </c>
      <c r="O1501">
        <v>22.27</v>
      </c>
      <c r="P1501">
        <v>25.7</v>
      </c>
      <c r="Q1501">
        <v>19.99</v>
      </c>
      <c r="R1501">
        <v>14.21</v>
      </c>
    </row>
    <row r="1502">
      <c r="A1502" s="9">
        <v>40033</v>
      </c>
      <c r="B1502" s="2" t="inlineStr">
        <is>
          <t xml:space="preserve">2009-08</t>
        </is>
      </c>
      <c r="C1502" s="2" t="inlineStr">
        <is>
          <t xml:space="preserve">2009/10</t>
        </is>
      </c>
      <c r="D1502">
        <v>1.934</v>
      </c>
      <c r="E1502">
        <v>21.35</v>
      </c>
      <c r="F1502">
        <v>25.75</v>
      </c>
      <c r="G1502">
        <v>17.1</v>
      </c>
      <c r="H1502">
        <v>5.1</v>
      </c>
      <c r="I1502">
        <v>31.229</v>
      </c>
      <c r="J1502">
        <v>22.4</v>
      </c>
      <c r="K1502">
        <v>26.77</v>
      </c>
      <c r="L1502">
        <v>18.6</v>
      </c>
      <c r="M1502">
        <v>19.92</v>
      </c>
      <c r="N1502">
        <v>20.625</v>
      </c>
      <c r="O1502">
        <v>22.52</v>
      </c>
      <c r="P1502">
        <v>25.84</v>
      </c>
      <c r="Q1502">
        <v>20.06</v>
      </c>
      <c r="R1502">
        <v>22.0</v>
      </c>
    </row>
    <row r="1503">
      <c r="A1503" s="9">
        <v>40034</v>
      </c>
      <c r="B1503" s="2" t="inlineStr">
        <is>
          <t xml:space="preserve">2009-08</t>
        </is>
      </c>
      <c r="C1503" s="2" t="inlineStr">
        <is>
          <t xml:space="preserve">2009/10</t>
        </is>
      </c>
      <c r="D1503">
        <v>6.871</v>
      </c>
      <c r="E1503">
        <v>21.74</v>
      </c>
      <c r="F1503">
        <v>26.32</v>
      </c>
      <c r="G1503">
        <v>18.28</v>
      </c>
      <c r="H1503">
        <v>2.82</v>
      </c>
      <c r="I1503">
        <v>5.215</v>
      </c>
      <c r="J1503">
        <v>22.03</v>
      </c>
      <c r="K1503">
        <v>25.54</v>
      </c>
      <c r="L1503">
        <v>19.41</v>
      </c>
      <c r="M1503">
        <v>4.38</v>
      </c>
      <c r="N1503">
        <v>20.473</v>
      </c>
      <c r="O1503">
        <v>22.3</v>
      </c>
      <c r="P1503">
        <v>24.97</v>
      </c>
      <c r="Q1503">
        <v>20.3</v>
      </c>
      <c r="R1503">
        <v>8.48</v>
      </c>
    </row>
    <row r="1504">
      <c r="A1504" s="9">
        <v>40035</v>
      </c>
      <c r="B1504" s="2" t="inlineStr">
        <is>
          <t xml:space="preserve">2009-08</t>
        </is>
      </c>
      <c r="C1504" s="2" t="inlineStr">
        <is>
          <t xml:space="preserve">2009/10</t>
        </is>
      </c>
      <c r="D1504">
        <v>0.0</v>
      </c>
      <c r="E1504">
        <v>21.36</v>
      </c>
      <c r="F1504">
        <v>27.52</v>
      </c>
      <c r="G1504">
        <v>16.18</v>
      </c>
      <c r="H1504">
        <v>0.4</v>
      </c>
      <c r="I1504">
        <v>0.214</v>
      </c>
      <c r="J1504">
        <v>22.11</v>
      </c>
      <c r="K1504">
        <v>27.27</v>
      </c>
      <c r="L1504">
        <v>18.54</v>
      </c>
      <c r="M1504">
        <v>0.24</v>
      </c>
      <c r="N1504">
        <v>0.136</v>
      </c>
      <c r="O1504">
        <v>22.29</v>
      </c>
      <c r="P1504">
        <v>26.73</v>
      </c>
      <c r="Q1504">
        <v>19.15</v>
      </c>
      <c r="R1504">
        <v>0.49</v>
      </c>
    </row>
    <row r="1505">
      <c r="A1505" s="9">
        <v>40036</v>
      </c>
      <c r="B1505" s="2" t="inlineStr">
        <is>
          <t xml:space="preserve">2009-08</t>
        </is>
      </c>
      <c r="C1505" s="2" t="inlineStr">
        <is>
          <t xml:space="preserve">2009/10</t>
        </is>
      </c>
      <c r="D1505">
        <v>0.0</v>
      </c>
      <c r="E1505">
        <v>21.39</v>
      </c>
      <c r="F1505">
        <v>26.46</v>
      </c>
      <c r="G1505">
        <v>17.86</v>
      </c>
      <c r="H1505">
        <v>1.75</v>
      </c>
      <c r="I1505">
        <v>0.0</v>
      </c>
      <c r="J1505">
        <v>21.44</v>
      </c>
      <c r="K1505">
        <v>25.24</v>
      </c>
      <c r="L1505">
        <v>18.27</v>
      </c>
      <c r="M1505">
        <v>2.66</v>
      </c>
      <c r="N1505">
        <v>0.09</v>
      </c>
      <c r="O1505">
        <v>21.83</v>
      </c>
      <c r="P1505">
        <v>25.71</v>
      </c>
      <c r="Q1505">
        <v>18.64</v>
      </c>
      <c r="R1505">
        <v>3.15</v>
      </c>
    </row>
    <row r="1506">
      <c r="A1506" s="9">
        <v>40037</v>
      </c>
      <c r="B1506" s="2" t="inlineStr">
        <is>
          <t xml:space="preserve">2009-08</t>
        </is>
      </c>
      <c r="C1506" s="2" t="inlineStr">
        <is>
          <t xml:space="preserve">2009/10</t>
        </is>
      </c>
      <c r="D1506">
        <v>0.406</v>
      </c>
      <c r="E1506">
        <v>22.09</v>
      </c>
      <c r="F1506">
        <v>27.36</v>
      </c>
      <c r="G1506">
        <v>18.25</v>
      </c>
      <c r="H1506">
        <v>2.86</v>
      </c>
      <c r="I1506">
        <v>15.365</v>
      </c>
      <c r="J1506">
        <v>21.64</v>
      </c>
      <c r="K1506">
        <v>24.94</v>
      </c>
      <c r="L1506">
        <v>19.66</v>
      </c>
      <c r="M1506">
        <v>9.28</v>
      </c>
      <c r="N1506">
        <v>10.377</v>
      </c>
      <c r="O1506">
        <v>22.02</v>
      </c>
      <c r="P1506">
        <v>25.06</v>
      </c>
      <c r="Q1506">
        <v>20.14</v>
      </c>
      <c r="R1506">
        <v>9.45</v>
      </c>
    </row>
    <row r="1507">
      <c r="A1507" s="9">
        <v>40038</v>
      </c>
      <c r="B1507" s="2" t="inlineStr">
        <is>
          <t xml:space="preserve">2009-08</t>
        </is>
      </c>
      <c r="C1507" s="2" t="inlineStr">
        <is>
          <t xml:space="preserve">2009/10</t>
        </is>
      </c>
      <c r="D1507">
        <v>0.0</v>
      </c>
      <c r="E1507">
        <v>22.81</v>
      </c>
      <c r="F1507">
        <v>28.49</v>
      </c>
      <c r="G1507">
        <v>18.67</v>
      </c>
      <c r="H1507">
        <v>1.75</v>
      </c>
      <c r="I1507">
        <v>0.0</v>
      </c>
      <c r="J1507">
        <v>22.42</v>
      </c>
      <c r="K1507">
        <v>26.38</v>
      </c>
      <c r="L1507">
        <v>19.19</v>
      </c>
      <c r="M1507">
        <v>2.08</v>
      </c>
      <c r="N1507">
        <v>0.328</v>
      </c>
      <c r="O1507">
        <v>22.63</v>
      </c>
      <c r="P1507">
        <v>26.6</v>
      </c>
      <c r="Q1507">
        <v>19.81</v>
      </c>
      <c r="R1507">
        <v>2.64</v>
      </c>
    </row>
    <row r="1508">
      <c r="A1508" s="9">
        <v>40039</v>
      </c>
      <c r="B1508" s="2" t="inlineStr">
        <is>
          <t xml:space="preserve">2009-08</t>
        </is>
      </c>
      <c r="C1508" s="2" t="inlineStr">
        <is>
          <t xml:space="preserve">2009/10</t>
        </is>
      </c>
      <c r="D1508">
        <v>0.205</v>
      </c>
      <c r="E1508">
        <v>22.83</v>
      </c>
      <c r="F1508">
        <v>28.25</v>
      </c>
      <c r="G1508">
        <v>18.62</v>
      </c>
      <c r="H1508">
        <v>0.95</v>
      </c>
      <c r="I1508">
        <v>5.992</v>
      </c>
      <c r="J1508">
        <v>22.78</v>
      </c>
      <c r="K1508">
        <v>26.98</v>
      </c>
      <c r="L1508">
        <v>19.58</v>
      </c>
      <c r="M1508">
        <v>3.78</v>
      </c>
      <c r="N1508">
        <v>3.592</v>
      </c>
      <c r="O1508">
        <v>22.84</v>
      </c>
      <c r="P1508">
        <v>27.12</v>
      </c>
      <c r="Q1508">
        <v>20.11</v>
      </c>
      <c r="R1508">
        <v>2.51</v>
      </c>
    </row>
    <row r="1509">
      <c r="A1509" s="9">
        <v>40040</v>
      </c>
      <c r="B1509" s="2" t="inlineStr">
        <is>
          <t xml:space="preserve">2009-08</t>
        </is>
      </c>
      <c r="C1509" s="2" t="inlineStr">
        <is>
          <t xml:space="preserve">2009/10</t>
        </is>
      </c>
      <c r="D1509">
        <v>0.968</v>
      </c>
      <c r="E1509">
        <v>22.29</v>
      </c>
      <c r="F1509">
        <v>27.88</v>
      </c>
      <c r="G1509">
        <v>17.67</v>
      </c>
      <c r="H1509">
        <v>7.7</v>
      </c>
      <c r="I1509">
        <v>5.761</v>
      </c>
      <c r="J1509">
        <v>22.81</v>
      </c>
      <c r="K1509">
        <v>27.54</v>
      </c>
      <c r="L1509">
        <v>18.51</v>
      </c>
      <c r="M1509">
        <v>6.74</v>
      </c>
      <c r="N1509">
        <v>0.629</v>
      </c>
      <c r="O1509">
        <v>23.0</v>
      </c>
      <c r="P1509">
        <v>27.59</v>
      </c>
      <c r="Q1509">
        <v>19.79</v>
      </c>
      <c r="R1509">
        <v>4.04</v>
      </c>
    </row>
    <row r="1510">
      <c r="A1510" s="9">
        <v>40041</v>
      </c>
      <c r="B1510" s="2" t="inlineStr">
        <is>
          <t xml:space="preserve">2009-08</t>
        </is>
      </c>
      <c r="C1510" s="2" t="inlineStr">
        <is>
          <t xml:space="preserve">2009/10</t>
        </is>
      </c>
      <c r="D1510">
        <v>7.224</v>
      </c>
      <c r="E1510">
        <v>21.43</v>
      </c>
      <c r="F1510">
        <v>26.44</v>
      </c>
      <c r="G1510">
        <v>16.4</v>
      </c>
      <c r="H1510">
        <v>12.87</v>
      </c>
      <c r="I1510">
        <v>11.73</v>
      </c>
      <c r="J1510">
        <v>23.07</v>
      </c>
      <c r="K1510">
        <v>27.92</v>
      </c>
      <c r="L1510">
        <v>19.27</v>
      </c>
      <c r="M1510">
        <v>21.39</v>
      </c>
      <c r="N1510">
        <v>10.696</v>
      </c>
      <c r="O1510">
        <v>23.16</v>
      </c>
      <c r="P1510">
        <v>27.76</v>
      </c>
      <c r="Q1510">
        <v>20.0</v>
      </c>
      <c r="R1510">
        <v>22.73</v>
      </c>
    </row>
    <row r="1511">
      <c r="A1511" s="9">
        <v>40042</v>
      </c>
      <c r="B1511" s="2" t="inlineStr">
        <is>
          <t xml:space="preserve">2009-08</t>
        </is>
      </c>
      <c r="C1511" s="2" t="inlineStr">
        <is>
          <t xml:space="preserve">2009/10</t>
        </is>
      </c>
      <c r="D1511">
        <v>33.66</v>
      </c>
      <c r="E1511">
        <v>20.95</v>
      </c>
      <c r="F1511">
        <v>25.11</v>
      </c>
      <c r="G1511">
        <v>18.43</v>
      </c>
      <c r="H1511">
        <v>16.51</v>
      </c>
      <c r="I1511">
        <v>41.586</v>
      </c>
      <c r="J1511">
        <v>21.54</v>
      </c>
      <c r="K1511">
        <v>23.73</v>
      </c>
      <c r="L1511">
        <v>19.88</v>
      </c>
      <c r="M1511">
        <v>36.35</v>
      </c>
      <c r="N1511">
        <v>83.445</v>
      </c>
      <c r="O1511">
        <v>21.85</v>
      </c>
      <c r="P1511">
        <v>24.53</v>
      </c>
      <c r="Q1511">
        <v>20.35</v>
      </c>
      <c r="R1511">
        <v>44.24</v>
      </c>
    </row>
    <row r="1512">
      <c r="A1512" s="9">
        <v>40043</v>
      </c>
      <c r="B1512" s="2" t="inlineStr">
        <is>
          <t xml:space="preserve">2009-08</t>
        </is>
      </c>
      <c r="C1512" s="2" t="inlineStr">
        <is>
          <t xml:space="preserve">2009/10</t>
        </is>
      </c>
      <c r="D1512">
        <v>7.022</v>
      </c>
      <c r="E1512">
        <v>21.91</v>
      </c>
      <c r="F1512">
        <v>26.82</v>
      </c>
      <c r="G1512">
        <v>18.02</v>
      </c>
      <c r="H1512">
        <v>5.6</v>
      </c>
      <c r="I1512">
        <v>1.491</v>
      </c>
      <c r="J1512">
        <v>23.29</v>
      </c>
      <c r="K1512">
        <v>27.77</v>
      </c>
      <c r="L1512">
        <v>19.88</v>
      </c>
      <c r="M1512">
        <v>4.56</v>
      </c>
      <c r="N1512">
        <v>2.077</v>
      </c>
      <c r="O1512">
        <v>23.28</v>
      </c>
      <c r="P1512">
        <v>27.13</v>
      </c>
      <c r="Q1512">
        <v>20.64</v>
      </c>
      <c r="R1512">
        <v>2.89</v>
      </c>
    </row>
    <row r="1513">
      <c r="A1513" s="9">
        <v>40044</v>
      </c>
      <c r="B1513" s="2" t="inlineStr">
        <is>
          <t xml:space="preserve">2009-08</t>
        </is>
      </c>
      <c r="C1513" s="2" t="inlineStr">
        <is>
          <t xml:space="preserve">2009/10</t>
        </is>
      </c>
      <c r="D1513">
        <v>3.625</v>
      </c>
      <c r="E1513">
        <v>22.05</v>
      </c>
      <c r="F1513">
        <v>27.11</v>
      </c>
      <c r="G1513">
        <v>17.84</v>
      </c>
      <c r="H1513">
        <v>3.17</v>
      </c>
      <c r="I1513">
        <v>10.779</v>
      </c>
      <c r="J1513">
        <v>23.4</v>
      </c>
      <c r="K1513">
        <v>27.53</v>
      </c>
      <c r="L1513">
        <v>20.69</v>
      </c>
      <c r="M1513">
        <v>6.76</v>
      </c>
      <c r="N1513">
        <v>1.608</v>
      </c>
      <c r="O1513">
        <v>23.33</v>
      </c>
      <c r="P1513">
        <v>27.28</v>
      </c>
      <c r="Q1513">
        <v>20.59</v>
      </c>
      <c r="R1513">
        <v>3.32</v>
      </c>
    </row>
    <row r="1514">
      <c r="A1514" s="9">
        <v>40045</v>
      </c>
      <c r="B1514" s="2" t="inlineStr">
        <is>
          <t xml:space="preserve">2009-08</t>
        </is>
      </c>
      <c r="C1514" s="2" t="inlineStr">
        <is>
          <t xml:space="preserve">2009/10</t>
        </is>
      </c>
      <c r="D1514">
        <v>4.767</v>
      </c>
      <c r="E1514">
        <v>21.64</v>
      </c>
      <c r="F1514">
        <v>25.87</v>
      </c>
      <c r="G1514">
        <v>18.06</v>
      </c>
      <c r="H1514">
        <v>1.93</v>
      </c>
      <c r="I1514">
        <v>21.143</v>
      </c>
      <c r="J1514">
        <v>22.74</v>
      </c>
      <c r="K1514">
        <v>26.16</v>
      </c>
      <c r="L1514">
        <v>20.12</v>
      </c>
      <c r="M1514">
        <v>7.45</v>
      </c>
      <c r="N1514">
        <v>0.746</v>
      </c>
      <c r="O1514">
        <v>23.0</v>
      </c>
      <c r="P1514">
        <v>27.29</v>
      </c>
      <c r="Q1514">
        <v>20.08</v>
      </c>
      <c r="R1514">
        <v>2.73</v>
      </c>
    </row>
    <row r="1515">
      <c r="A1515" s="9">
        <v>40046</v>
      </c>
      <c r="B1515" s="2" t="inlineStr">
        <is>
          <t xml:space="preserve">2009-08</t>
        </is>
      </c>
      <c r="C1515" s="2" t="inlineStr">
        <is>
          <t xml:space="preserve">2009/10</t>
        </is>
      </c>
      <c r="D1515">
        <v>6.489</v>
      </c>
      <c r="E1515">
        <v>21.74</v>
      </c>
      <c r="F1515">
        <v>26.48</v>
      </c>
      <c r="G1515">
        <v>17.98</v>
      </c>
      <c r="H1515">
        <v>2.44</v>
      </c>
      <c r="I1515">
        <v>0.0</v>
      </c>
      <c r="J1515">
        <v>22.3</v>
      </c>
      <c r="K1515">
        <v>25.63</v>
      </c>
      <c r="L1515">
        <v>20.09</v>
      </c>
      <c r="M1515">
        <v>0.81</v>
      </c>
      <c r="N1515">
        <v>0.029</v>
      </c>
      <c r="O1515">
        <v>22.7</v>
      </c>
      <c r="P1515">
        <v>26.21</v>
      </c>
      <c r="Q1515">
        <v>20.31</v>
      </c>
      <c r="R1515">
        <v>0.46</v>
      </c>
    </row>
    <row r="1516">
      <c r="A1516" s="9">
        <v>40047</v>
      </c>
      <c r="B1516" s="2" t="inlineStr">
        <is>
          <t xml:space="preserve">2009-08</t>
        </is>
      </c>
      <c r="C1516" s="2" t="inlineStr">
        <is>
          <t xml:space="preserve">2009/10</t>
        </is>
      </c>
      <c r="D1516">
        <v>0.0</v>
      </c>
      <c r="E1516">
        <v>22.23</v>
      </c>
      <c r="F1516">
        <v>26.66</v>
      </c>
      <c r="G1516">
        <v>18.87</v>
      </c>
      <c r="H1516">
        <v>0.58</v>
      </c>
      <c r="I1516">
        <v>2.498</v>
      </c>
      <c r="J1516">
        <v>22.35</v>
      </c>
      <c r="K1516">
        <v>26.25</v>
      </c>
      <c r="L1516">
        <v>19.36</v>
      </c>
      <c r="M1516">
        <v>2.23</v>
      </c>
      <c r="N1516">
        <v>0.226</v>
      </c>
      <c r="O1516">
        <v>22.76</v>
      </c>
      <c r="P1516">
        <v>26.5</v>
      </c>
      <c r="Q1516">
        <v>20.5</v>
      </c>
      <c r="R1516">
        <v>1.06</v>
      </c>
    </row>
    <row r="1517">
      <c r="A1517" s="9">
        <v>40048</v>
      </c>
      <c r="B1517" s="2" t="inlineStr">
        <is>
          <t xml:space="preserve">2009-08</t>
        </is>
      </c>
      <c r="C1517" s="2" t="inlineStr">
        <is>
          <t xml:space="preserve">2009/10</t>
        </is>
      </c>
      <c r="D1517">
        <v>0.425</v>
      </c>
      <c r="E1517">
        <v>22.55</v>
      </c>
      <c r="F1517">
        <v>27.93</v>
      </c>
      <c r="G1517">
        <v>18.44</v>
      </c>
      <c r="H1517">
        <v>1.71</v>
      </c>
      <c r="I1517">
        <v>5.638</v>
      </c>
      <c r="J1517">
        <v>22.22</v>
      </c>
      <c r="K1517">
        <v>26.32</v>
      </c>
      <c r="L1517">
        <v>18.94</v>
      </c>
      <c r="M1517">
        <v>7.62</v>
      </c>
      <c r="N1517">
        <v>0.345</v>
      </c>
      <c r="O1517">
        <v>22.64</v>
      </c>
      <c r="P1517">
        <v>27.18</v>
      </c>
      <c r="Q1517">
        <v>19.25</v>
      </c>
      <c r="R1517">
        <v>4.13</v>
      </c>
    </row>
    <row r="1518">
      <c r="A1518" s="9">
        <v>40049</v>
      </c>
      <c r="B1518" s="2" t="inlineStr">
        <is>
          <t xml:space="preserve">2009-08</t>
        </is>
      </c>
      <c r="C1518" s="2" t="inlineStr">
        <is>
          <t xml:space="preserve">2009/10</t>
        </is>
      </c>
      <c r="D1518">
        <v>0.051</v>
      </c>
      <c r="E1518">
        <v>22.44</v>
      </c>
      <c r="F1518">
        <v>27.52</v>
      </c>
      <c r="G1518">
        <v>18.83</v>
      </c>
      <c r="H1518">
        <v>4.75</v>
      </c>
      <c r="I1518">
        <v>27.035</v>
      </c>
      <c r="J1518">
        <v>22.38</v>
      </c>
      <c r="K1518">
        <v>26.7</v>
      </c>
      <c r="L1518">
        <v>18.98</v>
      </c>
      <c r="M1518">
        <v>14.73</v>
      </c>
      <c r="N1518">
        <v>9.591</v>
      </c>
      <c r="O1518">
        <v>22.73</v>
      </c>
      <c r="P1518">
        <v>26.72</v>
      </c>
      <c r="Q1518">
        <v>20.12</v>
      </c>
      <c r="R1518">
        <v>12.82</v>
      </c>
    </row>
    <row r="1519">
      <c r="A1519" s="9">
        <v>40050</v>
      </c>
      <c r="B1519" s="2" t="inlineStr">
        <is>
          <t xml:space="preserve">2009-08</t>
        </is>
      </c>
      <c r="C1519" s="2" t="inlineStr">
        <is>
          <t xml:space="preserve">2009/10</t>
        </is>
      </c>
      <c r="D1519">
        <v>1.691</v>
      </c>
      <c r="E1519">
        <v>21.61</v>
      </c>
      <c r="F1519">
        <v>26.74</v>
      </c>
      <c r="G1519">
        <v>18.03</v>
      </c>
      <c r="H1519">
        <v>4.43</v>
      </c>
      <c r="I1519">
        <v>0.047</v>
      </c>
      <c r="J1519">
        <v>22.59</v>
      </c>
      <c r="K1519">
        <v>26.87</v>
      </c>
      <c r="L1519">
        <v>19.11</v>
      </c>
      <c r="M1519">
        <v>1.46</v>
      </c>
      <c r="N1519">
        <v>0.925</v>
      </c>
      <c r="O1519">
        <v>22.95</v>
      </c>
      <c r="P1519">
        <v>26.75</v>
      </c>
      <c r="Q1519">
        <v>20.4</v>
      </c>
      <c r="R1519">
        <v>4.1</v>
      </c>
    </row>
    <row r="1520">
      <c r="A1520" s="9">
        <v>40051</v>
      </c>
      <c r="B1520" s="2" t="inlineStr">
        <is>
          <t xml:space="preserve">2009-08</t>
        </is>
      </c>
      <c r="C1520" s="2" t="inlineStr">
        <is>
          <t xml:space="preserve">2009/10</t>
        </is>
      </c>
      <c r="D1520">
        <v>9.627</v>
      </c>
      <c r="E1520">
        <v>21.82</v>
      </c>
      <c r="F1520">
        <v>26.5</v>
      </c>
      <c r="G1520">
        <v>18.49</v>
      </c>
      <c r="H1520">
        <v>6.84</v>
      </c>
      <c r="I1520">
        <v>1.612</v>
      </c>
      <c r="J1520">
        <v>22.1</v>
      </c>
      <c r="K1520">
        <v>25.78</v>
      </c>
      <c r="L1520">
        <v>18.7</v>
      </c>
      <c r="M1520">
        <v>9.0</v>
      </c>
      <c r="N1520">
        <v>5.771</v>
      </c>
      <c r="O1520">
        <v>22.32</v>
      </c>
      <c r="P1520">
        <v>25.84</v>
      </c>
      <c r="Q1520">
        <v>19.72</v>
      </c>
      <c r="R1520">
        <v>15.62</v>
      </c>
    </row>
    <row r="1521">
      <c r="A1521" s="9">
        <v>40052</v>
      </c>
      <c r="B1521" s="2" t="inlineStr">
        <is>
          <t xml:space="preserve">2009-08</t>
        </is>
      </c>
      <c r="C1521" s="2" t="inlineStr">
        <is>
          <t xml:space="preserve">2009/10</t>
        </is>
      </c>
      <c r="D1521">
        <v>6.118</v>
      </c>
      <c r="E1521">
        <v>22.49</v>
      </c>
      <c r="F1521">
        <v>27.54</v>
      </c>
      <c r="G1521">
        <v>18.17</v>
      </c>
      <c r="H1521">
        <v>6.91</v>
      </c>
      <c r="I1521">
        <v>4.977</v>
      </c>
      <c r="J1521">
        <v>23.42</v>
      </c>
      <c r="K1521">
        <v>27.77</v>
      </c>
      <c r="L1521">
        <v>20.01</v>
      </c>
      <c r="M1521">
        <v>11.94</v>
      </c>
      <c r="N1521">
        <v>17.29</v>
      </c>
      <c r="O1521">
        <v>23.17</v>
      </c>
      <c r="P1521">
        <v>26.75</v>
      </c>
      <c r="Q1521">
        <v>20.52</v>
      </c>
      <c r="R1521">
        <v>11.79</v>
      </c>
    </row>
    <row r="1522">
      <c r="A1522" s="9">
        <v>40053</v>
      </c>
      <c r="B1522" s="2" t="inlineStr">
        <is>
          <t xml:space="preserve">2009-08</t>
        </is>
      </c>
      <c r="C1522" s="2" t="inlineStr">
        <is>
          <t xml:space="preserve">2009/10</t>
        </is>
      </c>
      <c r="D1522">
        <v>8.082</v>
      </c>
      <c r="E1522">
        <v>22.96</v>
      </c>
      <c r="F1522">
        <v>28.3</v>
      </c>
      <c r="G1522">
        <v>18.95</v>
      </c>
      <c r="H1522">
        <v>9.68</v>
      </c>
      <c r="I1522">
        <v>26.213</v>
      </c>
      <c r="J1522">
        <v>23.31</v>
      </c>
      <c r="K1522">
        <v>27.03</v>
      </c>
      <c r="L1522">
        <v>20.7</v>
      </c>
      <c r="M1522">
        <v>12.32</v>
      </c>
      <c r="N1522">
        <v>7.343</v>
      </c>
      <c r="O1522">
        <v>23.21</v>
      </c>
      <c r="P1522">
        <v>26.72</v>
      </c>
      <c r="Q1522">
        <v>21.11</v>
      </c>
      <c r="R1522">
        <v>8.83</v>
      </c>
    </row>
    <row r="1523">
      <c r="A1523" s="9">
        <v>40054</v>
      </c>
      <c r="B1523" s="2" t="inlineStr">
        <is>
          <t xml:space="preserve">2009-08</t>
        </is>
      </c>
      <c r="C1523" s="2" t="inlineStr">
        <is>
          <t xml:space="preserve">2009/10</t>
        </is>
      </c>
      <c r="D1523">
        <v>22.585</v>
      </c>
      <c r="E1523">
        <v>22.29</v>
      </c>
      <c r="F1523">
        <v>27.62</v>
      </c>
      <c r="G1523">
        <v>18.47</v>
      </c>
      <c r="H1523">
        <v>4.16</v>
      </c>
      <c r="I1523">
        <v>7.422</v>
      </c>
      <c r="J1523">
        <v>23.45</v>
      </c>
      <c r="K1523">
        <v>28.04</v>
      </c>
      <c r="L1523">
        <v>19.73</v>
      </c>
      <c r="M1523">
        <v>7.35</v>
      </c>
      <c r="N1523">
        <v>8.487</v>
      </c>
      <c r="O1523">
        <v>23.17</v>
      </c>
      <c r="P1523">
        <v>27.59</v>
      </c>
      <c r="Q1523">
        <v>20.08</v>
      </c>
      <c r="R1523">
        <v>6.93</v>
      </c>
    </row>
    <row r="1524">
      <c r="A1524" s="9">
        <v>40055</v>
      </c>
      <c r="B1524" s="2" t="inlineStr">
        <is>
          <t xml:space="preserve">2009-08</t>
        </is>
      </c>
      <c r="C1524" s="2" t="inlineStr">
        <is>
          <t xml:space="preserve">2009/10</t>
        </is>
      </c>
      <c r="D1524">
        <v>7.897</v>
      </c>
      <c r="E1524">
        <v>22.06</v>
      </c>
      <c r="F1524">
        <v>27.09</v>
      </c>
      <c r="G1524">
        <v>17.15</v>
      </c>
      <c r="H1524">
        <v>5.01</v>
      </c>
      <c r="I1524">
        <v>10.6</v>
      </c>
      <c r="J1524">
        <v>23.33</v>
      </c>
      <c r="K1524">
        <v>27.98</v>
      </c>
      <c r="L1524">
        <v>19.46</v>
      </c>
      <c r="M1524">
        <v>7.89</v>
      </c>
      <c r="N1524">
        <v>19.5</v>
      </c>
      <c r="O1524">
        <v>23.08</v>
      </c>
      <c r="P1524">
        <v>27.63</v>
      </c>
      <c r="Q1524">
        <v>20.11</v>
      </c>
      <c r="R1524">
        <v>8.44</v>
      </c>
    </row>
    <row r="1525">
      <c r="A1525" s="9">
        <v>40056</v>
      </c>
      <c r="B1525" s="2" t="inlineStr">
        <is>
          <t xml:space="preserve">2009-08</t>
        </is>
      </c>
      <c r="C1525" s="2" t="inlineStr">
        <is>
          <t xml:space="preserve">2009/10</t>
        </is>
      </c>
      <c r="D1525">
        <v>3.475</v>
      </c>
      <c r="E1525">
        <v>21.44</v>
      </c>
      <c r="F1525">
        <v>25.39</v>
      </c>
      <c r="G1525">
        <v>18.07</v>
      </c>
      <c r="H1525">
        <v>3.68</v>
      </c>
      <c r="I1525">
        <v>4.868</v>
      </c>
      <c r="J1525">
        <v>22.43</v>
      </c>
      <c r="K1525">
        <v>25.46</v>
      </c>
      <c r="L1525">
        <v>20.02</v>
      </c>
      <c r="M1525">
        <v>3.09</v>
      </c>
      <c r="N1525">
        <v>4.136</v>
      </c>
      <c r="O1525">
        <v>22.77</v>
      </c>
      <c r="P1525">
        <v>26.49</v>
      </c>
      <c r="Q1525">
        <v>20.78</v>
      </c>
      <c r="R1525">
        <v>2.79</v>
      </c>
    </row>
    <row r="1526">
      <c r="A1526" s="9">
        <v>40057</v>
      </c>
      <c r="B1526" s="2" t="inlineStr">
        <is>
          <t xml:space="preserve">2009-09</t>
        </is>
      </c>
      <c r="C1526" s="2" t="inlineStr">
        <is>
          <t xml:space="preserve">2009/10</t>
        </is>
      </c>
      <c r="D1526">
        <v>1.03</v>
      </c>
      <c r="E1526">
        <v>22.7</v>
      </c>
      <c r="F1526">
        <v>27.97</v>
      </c>
      <c r="G1526">
        <v>18.15</v>
      </c>
      <c r="H1526">
        <v>0.48</v>
      </c>
      <c r="I1526">
        <v>1.205</v>
      </c>
      <c r="J1526">
        <v>23.11</v>
      </c>
      <c r="K1526">
        <v>27.56</v>
      </c>
      <c r="L1526">
        <v>19.12</v>
      </c>
      <c r="M1526">
        <v>1.82</v>
      </c>
      <c r="N1526">
        <v>0.348</v>
      </c>
      <c r="O1526">
        <v>23.47</v>
      </c>
      <c r="P1526">
        <v>27.78</v>
      </c>
      <c r="Q1526">
        <v>20.22</v>
      </c>
      <c r="R1526">
        <v>2.05</v>
      </c>
    </row>
    <row r="1527">
      <c r="A1527" s="9">
        <v>40058</v>
      </c>
      <c r="B1527" s="2" t="inlineStr">
        <is>
          <t xml:space="preserve">2009-09</t>
        </is>
      </c>
      <c r="C1527" s="2" t="inlineStr">
        <is>
          <t xml:space="preserve">2009/10</t>
        </is>
      </c>
      <c r="D1527">
        <v>0.0</v>
      </c>
      <c r="E1527">
        <v>22.72</v>
      </c>
      <c r="F1527">
        <v>27.91</v>
      </c>
      <c r="G1527">
        <v>18.53</v>
      </c>
      <c r="H1527">
        <v>0.19</v>
      </c>
      <c r="I1527">
        <v>1.795</v>
      </c>
      <c r="J1527">
        <v>22.46</v>
      </c>
      <c r="K1527">
        <v>25.99</v>
      </c>
      <c r="L1527">
        <v>19.77</v>
      </c>
      <c r="M1527">
        <v>2.1</v>
      </c>
      <c r="N1527">
        <v>6.6</v>
      </c>
      <c r="O1527">
        <v>22.84</v>
      </c>
      <c r="P1527">
        <v>26.32</v>
      </c>
      <c r="Q1527">
        <v>20.65</v>
      </c>
      <c r="R1527">
        <v>3.25</v>
      </c>
    </row>
    <row r="1528">
      <c r="A1528" s="9">
        <v>40059</v>
      </c>
      <c r="B1528" s="2" t="inlineStr">
        <is>
          <t xml:space="preserve">2009-09</t>
        </is>
      </c>
      <c r="C1528" s="2" t="inlineStr">
        <is>
          <t xml:space="preserve">2009/10</t>
        </is>
      </c>
      <c r="D1528">
        <v>0.119</v>
      </c>
      <c r="E1528">
        <v>22.66</v>
      </c>
      <c r="F1528">
        <v>27.51</v>
      </c>
      <c r="G1528">
        <v>18.79</v>
      </c>
      <c r="H1528">
        <v>0.21</v>
      </c>
      <c r="I1528">
        <v>6.012</v>
      </c>
      <c r="J1528">
        <v>22.34</v>
      </c>
      <c r="K1528">
        <v>26.64</v>
      </c>
      <c r="L1528">
        <v>18.82</v>
      </c>
      <c r="M1528">
        <v>4.04</v>
      </c>
      <c r="N1528">
        <v>0.452</v>
      </c>
      <c r="O1528">
        <v>22.48</v>
      </c>
      <c r="P1528">
        <v>26.3</v>
      </c>
      <c r="Q1528">
        <v>19.86</v>
      </c>
      <c r="R1528">
        <v>2.07</v>
      </c>
    </row>
    <row r="1529">
      <c r="A1529" s="9">
        <v>40060</v>
      </c>
      <c r="B1529" s="2" t="inlineStr">
        <is>
          <t xml:space="preserve">2009-09</t>
        </is>
      </c>
      <c r="C1529" s="2" t="inlineStr">
        <is>
          <t xml:space="preserve">2009/10</t>
        </is>
      </c>
      <c r="D1529">
        <v>0.126</v>
      </c>
      <c r="E1529">
        <v>23.25</v>
      </c>
      <c r="F1529">
        <v>28.87</v>
      </c>
      <c r="G1529">
        <v>18.74</v>
      </c>
      <c r="H1529">
        <v>0.53</v>
      </c>
      <c r="I1529">
        <v>3.638</v>
      </c>
      <c r="J1529">
        <v>22.7</v>
      </c>
      <c r="K1529">
        <v>27.43</v>
      </c>
      <c r="L1529">
        <v>18.82</v>
      </c>
      <c r="M1529">
        <v>3.47</v>
      </c>
      <c r="N1529">
        <v>0.228</v>
      </c>
      <c r="O1529">
        <v>23.02</v>
      </c>
      <c r="P1529">
        <v>27.65</v>
      </c>
      <c r="Q1529">
        <v>19.56</v>
      </c>
      <c r="R1529">
        <v>0.99</v>
      </c>
    </row>
    <row r="1530">
      <c r="A1530" s="9">
        <v>40061</v>
      </c>
      <c r="B1530" s="2" t="inlineStr">
        <is>
          <t xml:space="preserve">2009-09</t>
        </is>
      </c>
      <c r="C1530" s="2" t="inlineStr">
        <is>
          <t xml:space="preserve">2009/10</t>
        </is>
      </c>
      <c r="D1530">
        <v>1.065</v>
      </c>
      <c r="E1530">
        <v>22.69</v>
      </c>
      <c r="F1530">
        <v>28.1</v>
      </c>
      <c r="G1530">
        <v>18.67</v>
      </c>
      <c r="H1530">
        <v>5.12</v>
      </c>
      <c r="I1530">
        <v>8.633</v>
      </c>
      <c r="J1530">
        <v>23.06</v>
      </c>
      <c r="K1530">
        <v>27.65</v>
      </c>
      <c r="L1530">
        <v>19.31</v>
      </c>
      <c r="M1530">
        <v>5.8</v>
      </c>
      <c r="N1530">
        <v>0.42</v>
      </c>
      <c r="O1530">
        <v>23.37</v>
      </c>
      <c r="P1530">
        <v>27.93</v>
      </c>
      <c r="Q1530">
        <v>20.09</v>
      </c>
      <c r="R1530">
        <v>4.57</v>
      </c>
    </row>
    <row r="1531">
      <c r="A1531" s="9">
        <v>40062</v>
      </c>
      <c r="B1531" s="2" t="inlineStr">
        <is>
          <t xml:space="preserve">2009-09</t>
        </is>
      </c>
      <c r="C1531" s="2" t="inlineStr">
        <is>
          <t xml:space="preserve">2009/10</t>
        </is>
      </c>
      <c r="D1531">
        <v>25.554</v>
      </c>
      <c r="E1531">
        <v>21.13</v>
      </c>
      <c r="F1531">
        <v>26.01</v>
      </c>
      <c r="G1531">
        <v>17.73</v>
      </c>
      <c r="H1531">
        <v>11.58</v>
      </c>
      <c r="I1531">
        <v>4.526</v>
      </c>
      <c r="J1531">
        <v>22.79</v>
      </c>
      <c r="K1531">
        <v>26.48</v>
      </c>
      <c r="L1531">
        <v>20.54</v>
      </c>
      <c r="M1531">
        <v>5.77</v>
      </c>
      <c r="N1531">
        <v>13.337</v>
      </c>
      <c r="O1531">
        <v>23.28</v>
      </c>
      <c r="P1531">
        <v>27.73</v>
      </c>
      <c r="Q1531">
        <v>20.48</v>
      </c>
      <c r="R1531">
        <v>7.0</v>
      </c>
    </row>
    <row r="1532">
      <c r="A1532" s="9">
        <v>40063</v>
      </c>
      <c r="B1532" s="2" t="inlineStr">
        <is>
          <t xml:space="preserve">2009-09</t>
        </is>
      </c>
      <c r="C1532" s="2" t="inlineStr">
        <is>
          <t xml:space="preserve">2009/10</t>
        </is>
      </c>
      <c r="D1532">
        <v>7.245</v>
      </c>
      <c r="E1532">
        <v>22.75</v>
      </c>
      <c r="F1532">
        <v>28.85</v>
      </c>
      <c r="G1532">
        <v>17.22</v>
      </c>
      <c r="H1532">
        <v>2.31</v>
      </c>
      <c r="I1532">
        <v>0.0</v>
      </c>
      <c r="J1532">
        <v>23.45</v>
      </c>
      <c r="K1532">
        <v>28.08</v>
      </c>
      <c r="L1532">
        <v>19.4</v>
      </c>
      <c r="M1532">
        <v>0.32</v>
      </c>
      <c r="N1532">
        <v>0.167</v>
      </c>
      <c r="O1532">
        <v>23.71</v>
      </c>
      <c r="P1532">
        <v>28.36</v>
      </c>
      <c r="Q1532">
        <v>20.63</v>
      </c>
      <c r="R1532">
        <v>0.68</v>
      </c>
    </row>
    <row r="1533">
      <c r="A1533" s="9">
        <v>40064</v>
      </c>
      <c r="B1533" s="2" t="inlineStr">
        <is>
          <t xml:space="preserve">2009-09</t>
        </is>
      </c>
      <c r="C1533" s="2" t="inlineStr">
        <is>
          <t xml:space="preserve">2009/10</t>
        </is>
      </c>
      <c r="D1533">
        <v>0.0</v>
      </c>
      <c r="E1533">
        <v>22.99</v>
      </c>
      <c r="F1533">
        <v>27.43</v>
      </c>
      <c r="G1533">
        <v>19.43</v>
      </c>
      <c r="H1533">
        <v>1.29</v>
      </c>
      <c r="I1533">
        <v>0.0</v>
      </c>
      <c r="J1533">
        <v>22.91</v>
      </c>
      <c r="K1533">
        <v>26.39</v>
      </c>
      <c r="L1533">
        <v>20.39</v>
      </c>
      <c r="M1533">
        <v>2.49</v>
      </c>
      <c r="N1533">
        <v>0.102</v>
      </c>
      <c r="O1533">
        <v>23.04</v>
      </c>
      <c r="P1533">
        <v>26.01</v>
      </c>
      <c r="Q1533">
        <v>21.3</v>
      </c>
      <c r="R1533">
        <v>1.94</v>
      </c>
    </row>
    <row r="1534">
      <c r="A1534" s="9">
        <v>40065</v>
      </c>
      <c r="B1534" s="2" t="inlineStr">
        <is>
          <t xml:space="preserve">2009-09</t>
        </is>
      </c>
      <c r="C1534" s="2" t="inlineStr">
        <is>
          <t xml:space="preserve">2009/10</t>
        </is>
      </c>
      <c r="D1534">
        <v>1.23</v>
      </c>
      <c r="E1534">
        <v>23.32</v>
      </c>
      <c r="F1534">
        <v>29.32</v>
      </c>
      <c r="G1534">
        <v>18.17</v>
      </c>
      <c r="H1534">
        <v>1.09</v>
      </c>
      <c r="I1534">
        <v>12.876</v>
      </c>
      <c r="J1534">
        <v>23.66</v>
      </c>
      <c r="K1534">
        <v>27.77</v>
      </c>
      <c r="L1534">
        <v>20.0</v>
      </c>
      <c r="M1534">
        <v>5.55</v>
      </c>
      <c r="N1534">
        <v>0.729</v>
      </c>
      <c r="O1534">
        <v>23.79</v>
      </c>
      <c r="P1534">
        <v>28.46</v>
      </c>
      <c r="Q1534">
        <v>20.7</v>
      </c>
      <c r="R1534">
        <v>2.2</v>
      </c>
    </row>
    <row r="1535">
      <c r="A1535" s="9">
        <v>40066</v>
      </c>
      <c r="B1535" s="2" t="inlineStr">
        <is>
          <t xml:space="preserve">2009-09</t>
        </is>
      </c>
      <c r="C1535" s="2" t="inlineStr">
        <is>
          <t xml:space="preserve">2009/10</t>
        </is>
      </c>
      <c r="D1535">
        <v>9.278</v>
      </c>
      <c r="E1535">
        <v>22.92</v>
      </c>
      <c r="F1535">
        <v>28.68</v>
      </c>
      <c r="G1535">
        <v>18.59</v>
      </c>
      <c r="H1535">
        <v>4.31</v>
      </c>
      <c r="I1535">
        <v>0.624</v>
      </c>
      <c r="J1535">
        <v>23.08</v>
      </c>
      <c r="K1535">
        <v>27.49</v>
      </c>
      <c r="L1535">
        <v>19.45</v>
      </c>
      <c r="M1535">
        <v>1.84</v>
      </c>
      <c r="N1535">
        <v>2.062</v>
      </c>
      <c r="O1535">
        <v>23.48</v>
      </c>
      <c r="P1535">
        <v>27.33</v>
      </c>
      <c r="Q1535">
        <v>20.84</v>
      </c>
      <c r="R1535">
        <v>2.07</v>
      </c>
    </row>
    <row r="1536">
      <c r="A1536" s="9">
        <v>40067</v>
      </c>
      <c r="B1536" s="2" t="inlineStr">
        <is>
          <t xml:space="preserve">2009-09</t>
        </is>
      </c>
      <c r="C1536" s="2" t="inlineStr">
        <is>
          <t xml:space="preserve">2009/10</t>
        </is>
      </c>
      <c r="D1536">
        <v>2.471</v>
      </c>
      <c r="E1536">
        <v>22.35</v>
      </c>
      <c r="F1536">
        <v>27.66</v>
      </c>
      <c r="G1536">
        <v>17.73</v>
      </c>
      <c r="H1536">
        <v>3.08</v>
      </c>
      <c r="I1536">
        <v>0.0</v>
      </c>
      <c r="J1536">
        <v>22.93</v>
      </c>
      <c r="K1536">
        <v>26.9</v>
      </c>
      <c r="L1536">
        <v>19.48</v>
      </c>
      <c r="M1536">
        <v>0.91</v>
      </c>
      <c r="N1536">
        <v>0.145</v>
      </c>
      <c r="O1536">
        <v>23.82</v>
      </c>
      <c r="P1536">
        <v>28.71</v>
      </c>
      <c r="Q1536">
        <v>19.58</v>
      </c>
      <c r="R1536">
        <v>0.71</v>
      </c>
    </row>
    <row r="1537">
      <c r="A1537" s="9">
        <v>40068</v>
      </c>
      <c r="B1537" s="2" t="inlineStr">
        <is>
          <t xml:space="preserve">2009-09</t>
        </is>
      </c>
      <c r="C1537" s="2" t="inlineStr">
        <is>
          <t xml:space="preserve">2009/10</t>
        </is>
      </c>
      <c r="D1537">
        <v>3.494</v>
      </c>
      <c r="E1537">
        <v>22.54</v>
      </c>
      <c r="F1537">
        <v>28.94</v>
      </c>
      <c r="G1537">
        <v>18.11</v>
      </c>
      <c r="H1537">
        <v>2.66</v>
      </c>
      <c r="I1537">
        <v>2.196</v>
      </c>
      <c r="J1537">
        <v>22.29</v>
      </c>
      <c r="K1537">
        <v>27.43</v>
      </c>
      <c r="L1537">
        <v>18.99</v>
      </c>
      <c r="M1537">
        <v>0.89</v>
      </c>
      <c r="N1537">
        <v>0.391</v>
      </c>
      <c r="O1537">
        <v>23.65</v>
      </c>
      <c r="P1537">
        <v>29.09</v>
      </c>
      <c r="Q1537">
        <v>19.45</v>
      </c>
      <c r="R1537">
        <v>0.4</v>
      </c>
    </row>
    <row r="1538">
      <c r="A1538" s="9">
        <v>40069</v>
      </c>
      <c r="B1538" s="2" t="inlineStr">
        <is>
          <t xml:space="preserve">2009-09</t>
        </is>
      </c>
      <c r="C1538" s="2" t="inlineStr">
        <is>
          <t xml:space="preserve">2009/10</t>
        </is>
      </c>
      <c r="D1538">
        <v>0.065</v>
      </c>
      <c r="E1538">
        <v>23.21</v>
      </c>
      <c r="F1538">
        <v>29.83</v>
      </c>
      <c r="G1538">
        <v>17.28</v>
      </c>
      <c r="H1538">
        <v>0.47</v>
      </c>
      <c r="I1538">
        <v>0.028</v>
      </c>
      <c r="J1538">
        <v>22.32</v>
      </c>
      <c r="K1538">
        <v>27.39</v>
      </c>
      <c r="L1538">
        <v>18.37</v>
      </c>
      <c r="M1538">
        <v>0.05</v>
      </c>
      <c r="N1538">
        <v>0.0</v>
      </c>
      <c r="O1538">
        <v>23.67</v>
      </c>
      <c r="P1538">
        <v>29.28</v>
      </c>
      <c r="Q1538">
        <v>18.8</v>
      </c>
      <c r="R1538">
        <v>0.17</v>
      </c>
    </row>
    <row r="1539">
      <c r="A1539" s="9">
        <v>40070</v>
      </c>
      <c r="B1539" s="2" t="inlineStr">
        <is>
          <t xml:space="preserve">2009-09</t>
        </is>
      </c>
      <c r="C1539" s="2" t="inlineStr">
        <is>
          <t xml:space="preserve">2009/10</t>
        </is>
      </c>
      <c r="D1539">
        <v>1.447</v>
      </c>
      <c r="E1539">
        <v>24.27</v>
      </c>
      <c r="F1539">
        <v>30.66</v>
      </c>
      <c r="G1539">
        <v>18.47</v>
      </c>
      <c r="H1539">
        <v>0.22</v>
      </c>
      <c r="I1539">
        <v>0.0</v>
      </c>
      <c r="J1539">
        <v>23.44</v>
      </c>
      <c r="K1539">
        <v>29.02</v>
      </c>
      <c r="L1539">
        <v>17.77</v>
      </c>
      <c r="M1539">
        <v>0.04</v>
      </c>
      <c r="N1539">
        <v>0.0</v>
      </c>
      <c r="O1539">
        <v>24.54</v>
      </c>
      <c r="P1539">
        <v>29.68</v>
      </c>
      <c r="Q1539">
        <v>19.14</v>
      </c>
      <c r="R1539">
        <v>0.36</v>
      </c>
    </row>
    <row r="1540">
      <c r="A1540" s="9">
        <v>40071</v>
      </c>
      <c r="B1540" s="2" t="inlineStr">
        <is>
          <t xml:space="preserve">2009-09</t>
        </is>
      </c>
      <c r="C1540" s="2" t="inlineStr">
        <is>
          <t xml:space="preserve">2009/10</t>
        </is>
      </c>
      <c r="D1540">
        <v>0.0</v>
      </c>
      <c r="E1540">
        <v>24.7</v>
      </c>
      <c r="F1540">
        <v>31.45</v>
      </c>
      <c r="G1540">
        <v>18.58</v>
      </c>
      <c r="H1540">
        <v>0.45</v>
      </c>
      <c r="I1540">
        <v>0.0</v>
      </c>
      <c r="J1540">
        <v>24.01</v>
      </c>
      <c r="K1540">
        <v>28.43</v>
      </c>
      <c r="L1540">
        <v>19.51</v>
      </c>
      <c r="M1540">
        <v>0.02</v>
      </c>
      <c r="N1540">
        <v>0.0</v>
      </c>
      <c r="O1540">
        <v>24.72</v>
      </c>
      <c r="P1540">
        <v>29.4</v>
      </c>
      <c r="Q1540">
        <v>21.11</v>
      </c>
      <c r="R1540">
        <v>0.02</v>
      </c>
    </row>
    <row r="1541">
      <c r="A1541" s="9">
        <v>40072</v>
      </c>
      <c r="B1541" s="2" t="inlineStr">
        <is>
          <t xml:space="preserve">2009-09</t>
        </is>
      </c>
      <c r="C1541" s="2" t="inlineStr">
        <is>
          <t xml:space="preserve">2009/10</t>
        </is>
      </c>
      <c r="D1541">
        <v>5.381</v>
      </c>
      <c r="E1541">
        <v>24.18</v>
      </c>
      <c r="F1541">
        <v>29.98</v>
      </c>
      <c r="G1541">
        <v>19.09</v>
      </c>
      <c r="H1541">
        <v>3.04</v>
      </c>
      <c r="I1541">
        <v>0.0</v>
      </c>
      <c r="J1541">
        <v>24.03</v>
      </c>
      <c r="K1541">
        <v>28.48</v>
      </c>
      <c r="L1541">
        <v>20.26</v>
      </c>
      <c r="M1541">
        <v>0.47</v>
      </c>
      <c r="N1541">
        <v>0.053</v>
      </c>
      <c r="O1541">
        <v>24.47</v>
      </c>
      <c r="P1541">
        <v>29.7</v>
      </c>
      <c r="Q1541">
        <v>20.32</v>
      </c>
      <c r="R1541">
        <v>0.33</v>
      </c>
    </row>
    <row r="1542">
      <c r="A1542" s="9">
        <v>40073</v>
      </c>
      <c r="B1542" s="2" t="inlineStr">
        <is>
          <t xml:space="preserve">2009-09</t>
        </is>
      </c>
      <c r="C1542" s="2" t="inlineStr">
        <is>
          <t xml:space="preserve">2009/10</t>
        </is>
      </c>
      <c r="D1542">
        <v>4.847</v>
      </c>
      <c r="E1542">
        <v>22.77</v>
      </c>
      <c r="F1542">
        <v>28.03</v>
      </c>
      <c r="G1542">
        <v>19.58</v>
      </c>
      <c r="H1542">
        <v>10.77</v>
      </c>
      <c r="I1542">
        <v>4.031</v>
      </c>
      <c r="J1542">
        <v>23.0</v>
      </c>
      <c r="K1542">
        <v>26.5</v>
      </c>
      <c r="L1542">
        <v>20.32</v>
      </c>
      <c r="M1542">
        <v>4.57</v>
      </c>
      <c r="N1542">
        <v>0.546</v>
      </c>
      <c r="O1542">
        <v>23.33</v>
      </c>
      <c r="P1542">
        <v>26.99</v>
      </c>
      <c r="Q1542">
        <v>20.96</v>
      </c>
      <c r="R1542">
        <v>2.66</v>
      </c>
    </row>
    <row r="1543">
      <c r="A1543" s="9">
        <v>40074</v>
      </c>
      <c r="B1543" s="2" t="inlineStr">
        <is>
          <t xml:space="preserve">2009-09</t>
        </is>
      </c>
      <c r="C1543" s="2" t="inlineStr">
        <is>
          <t xml:space="preserve">2009/10</t>
        </is>
      </c>
      <c r="D1543">
        <v>13.501</v>
      </c>
      <c r="E1543">
        <v>22.64</v>
      </c>
      <c r="F1543">
        <v>27.8</v>
      </c>
      <c r="G1543">
        <v>18.75</v>
      </c>
      <c r="H1543">
        <v>12.27</v>
      </c>
      <c r="I1543">
        <v>9.216</v>
      </c>
      <c r="J1543">
        <v>21.98</v>
      </c>
      <c r="K1543">
        <v>24.86</v>
      </c>
      <c r="L1543">
        <v>20.08</v>
      </c>
      <c r="M1543">
        <v>11.95</v>
      </c>
      <c r="N1543">
        <v>4.828</v>
      </c>
      <c r="O1543">
        <v>23.13</v>
      </c>
      <c r="P1543">
        <v>26.87</v>
      </c>
      <c r="Q1543">
        <v>21.32</v>
      </c>
      <c r="R1543">
        <v>8.77</v>
      </c>
    </row>
    <row r="1544">
      <c r="A1544" s="9">
        <v>40075</v>
      </c>
      <c r="B1544" s="2" t="inlineStr">
        <is>
          <t xml:space="preserve">2009-09</t>
        </is>
      </c>
      <c r="C1544" s="2" t="inlineStr">
        <is>
          <t xml:space="preserve">2009/10</t>
        </is>
      </c>
      <c r="D1544">
        <v>15.772</v>
      </c>
      <c r="E1544">
        <v>21.43</v>
      </c>
      <c r="F1544">
        <v>25.25</v>
      </c>
      <c r="G1544">
        <v>19.0</v>
      </c>
      <c r="H1544">
        <v>5.49</v>
      </c>
      <c r="I1544">
        <v>26.121</v>
      </c>
      <c r="J1544">
        <v>21.75</v>
      </c>
      <c r="K1544">
        <v>24.72</v>
      </c>
      <c r="L1544">
        <v>19.72</v>
      </c>
      <c r="M1544">
        <v>10.58</v>
      </c>
      <c r="N1544">
        <v>3.051</v>
      </c>
      <c r="O1544">
        <v>22.03</v>
      </c>
      <c r="P1544">
        <v>24.75</v>
      </c>
      <c r="Q1544">
        <v>20.49</v>
      </c>
      <c r="R1544">
        <v>4.61</v>
      </c>
    </row>
    <row r="1545">
      <c r="A1545" s="9">
        <v>40076</v>
      </c>
      <c r="B1545" s="2" t="inlineStr">
        <is>
          <t xml:space="preserve">2009-09</t>
        </is>
      </c>
      <c r="C1545" s="2" t="inlineStr">
        <is>
          <t xml:space="preserve">2009/10</t>
        </is>
      </c>
      <c r="D1545">
        <v>1.141</v>
      </c>
      <c r="E1545">
        <v>22.22</v>
      </c>
      <c r="F1545">
        <v>26.93</v>
      </c>
      <c r="G1545">
        <v>18.73</v>
      </c>
      <c r="H1545">
        <v>3.19</v>
      </c>
      <c r="I1545">
        <v>4.658</v>
      </c>
      <c r="J1545">
        <v>21.46</v>
      </c>
      <c r="K1545">
        <v>24.73</v>
      </c>
      <c r="L1545">
        <v>19.23</v>
      </c>
      <c r="M1545">
        <v>3.3</v>
      </c>
      <c r="N1545">
        <v>1.008</v>
      </c>
      <c r="O1545">
        <v>22.03</v>
      </c>
      <c r="P1545">
        <v>25.05</v>
      </c>
      <c r="Q1545">
        <v>20.01</v>
      </c>
      <c r="R1545">
        <v>2.37</v>
      </c>
    </row>
    <row r="1546">
      <c r="A1546" s="9">
        <v>40077</v>
      </c>
      <c r="B1546" s="2" t="inlineStr">
        <is>
          <t xml:space="preserve">2009-09</t>
        </is>
      </c>
      <c r="C1546" s="2" t="inlineStr">
        <is>
          <t xml:space="preserve">2009/10</t>
        </is>
      </c>
      <c r="D1546">
        <v>19.555</v>
      </c>
      <c r="E1546">
        <v>23.04</v>
      </c>
      <c r="F1546">
        <v>28.67</v>
      </c>
      <c r="G1546">
        <v>18.5</v>
      </c>
      <c r="H1546">
        <v>8.56</v>
      </c>
      <c r="I1546">
        <v>4.772</v>
      </c>
      <c r="J1546">
        <v>21.91</v>
      </c>
      <c r="K1546">
        <v>25.31</v>
      </c>
      <c r="L1546">
        <v>19.78</v>
      </c>
      <c r="M1546">
        <v>4.67</v>
      </c>
      <c r="N1546">
        <v>4.047</v>
      </c>
      <c r="O1546">
        <v>21.83</v>
      </c>
      <c r="P1546">
        <v>24.56</v>
      </c>
      <c r="Q1546">
        <v>20.5</v>
      </c>
      <c r="R1546">
        <v>6.65</v>
      </c>
    </row>
    <row r="1547">
      <c r="A1547" s="9">
        <v>40078</v>
      </c>
      <c r="B1547" s="2" t="inlineStr">
        <is>
          <t xml:space="preserve">2009-09</t>
        </is>
      </c>
      <c r="C1547" s="2" t="inlineStr">
        <is>
          <t xml:space="preserve">2009/10</t>
        </is>
      </c>
      <c r="D1547">
        <v>0.123</v>
      </c>
      <c r="E1547">
        <v>22.29</v>
      </c>
      <c r="F1547">
        <v>27.43</v>
      </c>
      <c r="G1547">
        <v>19.67</v>
      </c>
      <c r="H1547">
        <v>2.66</v>
      </c>
      <c r="I1547">
        <v>1.067</v>
      </c>
      <c r="J1547">
        <v>21.44</v>
      </c>
      <c r="K1547">
        <v>24.77</v>
      </c>
      <c r="L1547">
        <v>19.52</v>
      </c>
      <c r="M1547">
        <v>5.22</v>
      </c>
      <c r="N1547">
        <v>4.321</v>
      </c>
      <c r="O1547">
        <v>22.08</v>
      </c>
      <c r="P1547">
        <v>25.34</v>
      </c>
      <c r="Q1547">
        <v>20.6</v>
      </c>
      <c r="R1547">
        <v>4.75</v>
      </c>
    </row>
    <row r="1548">
      <c r="A1548" s="9">
        <v>40079</v>
      </c>
      <c r="B1548" s="2" t="inlineStr">
        <is>
          <t xml:space="preserve">2009-09</t>
        </is>
      </c>
      <c r="C1548" s="2" t="inlineStr">
        <is>
          <t xml:space="preserve">2009/10</t>
        </is>
      </c>
      <c r="D1548">
        <v>3.7</v>
      </c>
      <c r="E1548">
        <v>21.75</v>
      </c>
      <c r="F1548">
        <v>25.76</v>
      </c>
      <c r="G1548">
        <v>18.94</v>
      </c>
      <c r="H1548">
        <v>3.5</v>
      </c>
      <c r="I1548">
        <v>9.885</v>
      </c>
      <c r="J1548">
        <v>21.98</v>
      </c>
      <c r="K1548">
        <v>26.34</v>
      </c>
      <c r="L1548">
        <v>18.79</v>
      </c>
      <c r="M1548">
        <v>6.38</v>
      </c>
      <c r="N1548">
        <v>1.354</v>
      </c>
      <c r="O1548">
        <v>21.87</v>
      </c>
      <c r="P1548">
        <v>24.98</v>
      </c>
      <c r="Q1548">
        <v>19.97</v>
      </c>
      <c r="R1548">
        <v>4.96</v>
      </c>
    </row>
    <row r="1549">
      <c r="A1549" s="9">
        <v>40080</v>
      </c>
      <c r="B1549" s="2" t="inlineStr">
        <is>
          <t xml:space="preserve">2009-09</t>
        </is>
      </c>
      <c r="C1549" s="2" t="inlineStr">
        <is>
          <t xml:space="preserve">2009/10</t>
        </is>
      </c>
      <c r="D1549">
        <v>6.794</v>
      </c>
      <c r="E1549">
        <v>21.27</v>
      </c>
      <c r="F1549">
        <v>26.26</v>
      </c>
      <c r="G1549">
        <v>17.67</v>
      </c>
      <c r="H1549">
        <v>7.5</v>
      </c>
      <c r="I1549">
        <v>10.595</v>
      </c>
      <c r="J1549">
        <v>21.75</v>
      </c>
      <c r="K1549">
        <v>25.71</v>
      </c>
      <c r="L1549">
        <v>18.32</v>
      </c>
      <c r="M1549">
        <v>9.88</v>
      </c>
      <c r="N1549">
        <v>17.83</v>
      </c>
      <c r="O1549">
        <v>22.11</v>
      </c>
      <c r="P1549">
        <v>25.45</v>
      </c>
      <c r="Q1549">
        <v>18.65</v>
      </c>
      <c r="R1549">
        <v>12.3</v>
      </c>
    </row>
    <row r="1550">
      <c r="A1550" s="9">
        <v>40081</v>
      </c>
      <c r="B1550" s="2" t="inlineStr">
        <is>
          <t xml:space="preserve">2009-09</t>
        </is>
      </c>
      <c r="C1550" s="2" t="inlineStr">
        <is>
          <t xml:space="preserve">2009/10</t>
        </is>
      </c>
      <c r="D1550">
        <v>4.54</v>
      </c>
      <c r="E1550">
        <v>21.14</v>
      </c>
      <c r="F1550">
        <v>25.81</v>
      </c>
      <c r="G1550">
        <v>18.28</v>
      </c>
      <c r="H1550">
        <v>9.09</v>
      </c>
      <c r="I1550">
        <v>1.794</v>
      </c>
      <c r="J1550">
        <v>21.21</v>
      </c>
      <c r="K1550">
        <v>23.6</v>
      </c>
      <c r="L1550">
        <v>19.33</v>
      </c>
      <c r="M1550">
        <v>6.63</v>
      </c>
      <c r="N1550">
        <v>1.528</v>
      </c>
      <c r="O1550">
        <v>22.27</v>
      </c>
      <c r="P1550">
        <v>25.4</v>
      </c>
      <c r="Q1550">
        <v>20.06</v>
      </c>
      <c r="R1550">
        <v>7.0</v>
      </c>
    </row>
    <row r="1551">
      <c r="A1551" s="9">
        <v>40082</v>
      </c>
      <c r="B1551" s="2" t="inlineStr">
        <is>
          <t xml:space="preserve">2009-09</t>
        </is>
      </c>
      <c r="C1551" s="2" t="inlineStr">
        <is>
          <t xml:space="preserve">2009/10</t>
        </is>
      </c>
      <c r="D1551">
        <v>14.046</v>
      </c>
      <c r="E1551">
        <v>19.68</v>
      </c>
      <c r="F1551">
        <v>22.96</v>
      </c>
      <c r="G1551">
        <v>17.14</v>
      </c>
      <c r="H1551">
        <v>7.71</v>
      </c>
      <c r="I1551">
        <v>12.354</v>
      </c>
      <c r="J1551">
        <v>21.43</v>
      </c>
      <c r="K1551">
        <v>25.74</v>
      </c>
      <c r="L1551">
        <v>18.67</v>
      </c>
      <c r="M1551">
        <v>11.1</v>
      </c>
      <c r="N1551">
        <v>18.556</v>
      </c>
      <c r="O1551">
        <v>21.03</v>
      </c>
      <c r="P1551">
        <v>23.41</v>
      </c>
      <c r="Q1551">
        <v>18.8</v>
      </c>
      <c r="R1551">
        <v>11.33</v>
      </c>
    </row>
    <row r="1552">
      <c r="A1552" s="9">
        <v>40083</v>
      </c>
      <c r="B1552" s="2" t="inlineStr">
        <is>
          <t xml:space="preserve">2009-09</t>
        </is>
      </c>
      <c r="C1552" s="2" t="inlineStr">
        <is>
          <t xml:space="preserve">2009/10</t>
        </is>
      </c>
      <c r="D1552">
        <v>9.057</v>
      </c>
      <c r="E1552">
        <v>21.15</v>
      </c>
      <c r="F1552">
        <v>25.9</v>
      </c>
      <c r="G1552">
        <v>16.97</v>
      </c>
      <c r="H1552">
        <v>3.14</v>
      </c>
      <c r="I1552">
        <v>12.352</v>
      </c>
      <c r="J1552">
        <v>21.21</v>
      </c>
      <c r="K1552">
        <v>25.12</v>
      </c>
      <c r="L1552">
        <v>17.57</v>
      </c>
      <c r="M1552">
        <v>5.47</v>
      </c>
      <c r="N1552">
        <v>0.807</v>
      </c>
      <c r="O1552">
        <v>21.53</v>
      </c>
      <c r="P1552">
        <v>25.7</v>
      </c>
      <c r="Q1552">
        <v>18.24</v>
      </c>
      <c r="R1552">
        <v>3.01</v>
      </c>
    </row>
    <row r="1553">
      <c r="A1553" s="9">
        <v>40084</v>
      </c>
      <c r="B1553" s="2" t="inlineStr">
        <is>
          <t xml:space="preserve">2009-09</t>
        </is>
      </c>
      <c r="C1553" s="2" t="inlineStr">
        <is>
          <t xml:space="preserve">2009/10</t>
        </is>
      </c>
      <c r="D1553">
        <v>2.651</v>
      </c>
      <c r="E1553">
        <v>22.08</v>
      </c>
      <c r="F1553">
        <v>27.92</v>
      </c>
      <c r="G1553">
        <v>17.25</v>
      </c>
      <c r="H1553">
        <v>1.78</v>
      </c>
      <c r="I1553">
        <v>5.251</v>
      </c>
      <c r="J1553">
        <v>22.97</v>
      </c>
      <c r="K1553">
        <v>27.73</v>
      </c>
      <c r="L1553">
        <v>18.86</v>
      </c>
      <c r="M1553">
        <v>6.89</v>
      </c>
      <c r="N1553">
        <v>0.374</v>
      </c>
      <c r="O1553">
        <v>23.03</v>
      </c>
      <c r="P1553">
        <v>27.2</v>
      </c>
      <c r="Q1553">
        <v>20.07</v>
      </c>
      <c r="R1553">
        <v>3.49</v>
      </c>
    </row>
    <row r="1554">
      <c r="A1554" s="9">
        <v>40085</v>
      </c>
      <c r="B1554" s="2" t="inlineStr">
        <is>
          <t xml:space="preserve">2009-09</t>
        </is>
      </c>
      <c r="C1554" s="2" t="inlineStr">
        <is>
          <t xml:space="preserve">2009/10</t>
        </is>
      </c>
      <c r="D1554">
        <v>0.166</v>
      </c>
      <c r="E1554">
        <v>22.09</v>
      </c>
      <c r="F1554">
        <v>27.7</v>
      </c>
      <c r="G1554">
        <v>17.67</v>
      </c>
      <c r="H1554">
        <v>2.12</v>
      </c>
      <c r="I1554">
        <v>19.356</v>
      </c>
      <c r="J1554">
        <v>22.77</v>
      </c>
      <c r="K1554">
        <v>27.22</v>
      </c>
      <c r="L1554">
        <v>19.24</v>
      </c>
      <c r="M1554">
        <v>13.41</v>
      </c>
      <c r="N1554">
        <v>10.621</v>
      </c>
      <c r="O1554">
        <v>22.92</v>
      </c>
      <c r="P1554">
        <v>26.88</v>
      </c>
      <c r="Q1554">
        <v>20.26</v>
      </c>
      <c r="R1554">
        <v>9.88</v>
      </c>
    </row>
    <row r="1555">
      <c r="A1555" s="9">
        <v>40086</v>
      </c>
      <c r="B1555" s="2" t="inlineStr">
        <is>
          <t xml:space="preserve">2009-09</t>
        </is>
      </c>
      <c r="C1555" s="2" t="inlineStr">
        <is>
          <t xml:space="preserve">2009/10</t>
        </is>
      </c>
      <c r="D1555">
        <v>3.357</v>
      </c>
      <c r="E1555">
        <v>22.42</v>
      </c>
      <c r="F1555">
        <v>27.8</v>
      </c>
      <c r="G1555">
        <v>18.3</v>
      </c>
      <c r="H1555">
        <v>3.03</v>
      </c>
      <c r="I1555">
        <v>18.359</v>
      </c>
      <c r="J1555">
        <v>22.95</v>
      </c>
      <c r="K1555">
        <v>26.66</v>
      </c>
      <c r="L1555">
        <v>19.98</v>
      </c>
      <c r="M1555">
        <v>7.04</v>
      </c>
      <c r="N1555">
        <v>1.888</v>
      </c>
      <c r="O1555">
        <v>22.84</v>
      </c>
      <c r="P1555">
        <v>25.99</v>
      </c>
      <c r="Q1555">
        <v>20.81</v>
      </c>
      <c r="R1555">
        <v>8.9</v>
      </c>
    </row>
    <row r="1556">
      <c r="A1556" s="9">
        <v>40087</v>
      </c>
      <c r="B1556" s="2" t="inlineStr">
        <is>
          <t xml:space="preserve">2009-10</t>
        </is>
      </c>
      <c r="C1556" s="2" t="inlineStr">
        <is>
          <t xml:space="preserve">2009/10</t>
        </is>
      </c>
      <c r="D1556">
        <v>5.704</v>
      </c>
      <c r="E1556">
        <v>22.51</v>
      </c>
      <c r="F1556">
        <v>28.57</v>
      </c>
      <c r="G1556">
        <v>18.42</v>
      </c>
      <c r="H1556">
        <v>1.18</v>
      </c>
      <c r="I1556">
        <v>0.0</v>
      </c>
      <c r="J1556">
        <v>23.0</v>
      </c>
      <c r="K1556">
        <v>26.89</v>
      </c>
      <c r="L1556">
        <v>20.04</v>
      </c>
      <c r="M1556">
        <v>0.25</v>
      </c>
      <c r="N1556">
        <v>0.057</v>
      </c>
      <c r="O1556">
        <v>22.79</v>
      </c>
      <c r="P1556">
        <v>26.35</v>
      </c>
      <c r="Q1556">
        <v>20.51</v>
      </c>
      <c r="R1556">
        <v>0.94</v>
      </c>
    </row>
    <row r="1557">
      <c r="A1557" s="9">
        <v>40088</v>
      </c>
      <c r="B1557" s="2" t="inlineStr">
        <is>
          <t xml:space="preserve">2009-10</t>
        </is>
      </c>
      <c r="C1557" s="2" t="inlineStr">
        <is>
          <t xml:space="preserve">2009/10</t>
        </is>
      </c>
      <c r="D1557">
        <v>0.2</v>
      </c>
      <c r="E1557">
        <v>23.2</v>
      </c>
      <c r="F1557">
        <v>29.19</v>
      </c>
      <c r="G1557">
        <v>18.24</v>
      </c>
      <c r="H1557">
        <v>0.21</v>
      </c>
      <c r="I1557">
        <v>0.254</v>
      </c>
      <c r="J1557">
        <v>23.31</v>
      </c>
      <c r="K1557">
        <v>28.35</v>
      </c>
      <c r="L1557">
        <v>18.93</v>
      </c>
      <c r="M1557">
        <v>1.25</v>
      </c>
      <c r="N1557">
        <v>0.0</v>
      </c>
      <c r="O1557">
        <v>23.54</v>
      </c>
      <c r="P1557">
        <v>28.36</v>
      </c>
      <c r="Q1557">
        <v>20.26</v>
      </c>
      <c r="R1557">
        <v>0.51</v>
      </c>
    </row>
    <row r="1558">
      <c r="A1558" s="9">
        <v>40089</v>
      </c>
      <c r="B1558" s="2" t="inlineStr">
        <is>
          <t xml:space="preserve">2009-10</t>
        </is>
      </c>
      <c r="C1558" s="2" t="inlineStr">
        <is>
          <t xml:space="preserve">2009/10</t>
        </is>
      </c>
      <c r="D1558">
        <v>0.241</v>
      </c>
      <c r="E1558">
        <v>23.38</v>
      </c>
      <c r="F1558">
        <v>29.28</v>
      </c>
      <c r="G1558">
        <v>18.24</v>
      </c>
      <c r="H1558">
        <v>1.36</v>
      </c>
      <c r="I1558">
        <v>10.656</v>
      </c>
      <c r="J1558">
        <v>23.25</v>
      </c>
      <c r="K1558">
        <v>27.57</v>
      </c>
      <c r="L1558">
        <v>20.02</v>
      </c>
      <c r="M1558">
        <v>5.05</v>
      </c>
      <c r="N1558">
        <v>0.519</v>
      </c>
      <c r="O1558">
        <v>23.79</v>
      </c>
      <c r="P1558">
        <v>28.56</v>
      </c>
      <c r="Q1558">
        <v>20.29</v>
      </c>
      <c r="R1558">
        <v>1.22</v>
      </c>
    </row>
    <row r="1559">
      <c r="A1559" s="9">
        <v>40090</v>
      </c>
      <c r="B1559" s="2" t="inlineStr">
        <is>
          <t xml:space="preserve">2009-10</t>
        </is>
      </c>
      <c r="C1559" s="2" t="inlineStr">
        <is>
          <t xml:space="preserve">2009/10</t>
        </is>
      </c>
      <c r="D1559">
        <v>0.0</v>
      </c>
      <c r="E1559">
        <v>23.57</v>
      </c>
      <c r="F1559">
        <v>29.71</v>
      </c>
      <c r="G1559">
        <v>18.26</v>
      </c>
      <c r="H1559">
        <v>1.88</v>
      </c>
      <c r="I1559">
        <v>4.645</v>
      </c>
      <c r="J1559">
        <v>24.11</v>
      </c>
      <c r="K1559">
        <v>28.52</v>
      </c>
      <c r="L1559">
        <v>20.83</v>
      </c>
      <c r="M1559">
        <v>3.4</v>
      </c>
      <c r="N1559">
        <v>0.441</v>
      </c>
      <c r="O1559">
        <v>24.05</v>
      </c>
      <c r="P1559">
        <v>28.96</v>
      </c>
      <c r="Q1559">
        <v>20.59</v>
      </c>
      <c r="R1559">
        <v>1.7</v>
      </c>
    </row>
    <row r="1560">
      <c r="A1560" s="9">
        <v>40091</v>
      </c>
      <c r="B1560" s="2" t="inlineStr">
        <is>
          <t xml:space="preserve">2009-10</t>
        </is>
      </c>
      <c r="C1560" s="2" t="inlineStr">
        <is>
          <t xml:space="preserve">2009/10</t>
        </is>
      </c>
      <c r="D1560">
        <v>4.186</v>
      </c>
      <c r="E1560">
        <v>22.7</v>
      </c>
      <c r="F1560">
        <v>28.71</v>
      </c>
      <c r="G1560">
        <v>18.36</v>
      </c>
      <c r="H1560">
        <v>3.8</v>
      </c>
      <c r="I1560">
        <v>18.107</v>
      </c>
      <c r="J1560">
        <v>23.54</v>
      </c>
      <c r="K1560">
        <v>27.93</v>
      </c>
      <c r="L1560">
        <v>20.04</v>
      </c>
      <c r="M1560">
        <v>12.37</v>
      </c>
      <c r="N1560">
        <v>1.141</v>
      </c>
      <c r="O1560">
        <v>23.71</v>
      </c>
      <c r="P1560">
        <v>28.26</v>
      </c>
      <c r="Q1560">
        <v>20.57</v>
      </c>
      <c r="R1560">
        <v>6.6</v>
      </c>
    </row>
    <row r="1561">
      <c r="A1561" s="9">
        <v>40092</v>
      </c>
      <c r="B1561" s="2" t="inlineStr">
        <is>
          <t xml:space="preserve">2009-10</t>
        </is>
      </c>
      <c r="C1561" s="2" t="inlineStr">
        <is>
          <t xml:space="preserve">2009/10</t>
        </is>
      </c>
      <c r="D1561">
        <v>6.637</v>
      </c>
      <c r="E1561">
        <v>22.47</v>
      </c>
      <c r="F1561">
        <v>27.98</v>
      </c>
      <c r="G1561">
        <v>18.32</v>
      </c>
      <c r="H1561">
        <v>6.58</v>
      </c>
      <c r="I1561">
        <v>11.638</v>
      </c>
      <c r="J1561">
        <v>22.72</v>
      </c>
      <c r="K1561">
        <v>26.88</v>
      </c>
      <c r="L1561">
        <v>19.86</v>
      </c>
      <c r="M1561">
        <v>7.71</v>
      </c>
      <c r="N1561">
        <v>10.22</v>
      </c>
      <c r="O1561">
        <v>23.49</v>
      </c>
      <c r="P1561">
        <v>28.06</v>
      </c>
      <c r="Q1561">
        <v>19.81</v>
      </c>
      <c r="R1561">
        <v>7.22</v>
      </c>
    </row>
    <row r="1562">
      <c r="A1562" s="9">
        <v>40093</v>
      </c>
      <c r="B1562" s="2" t="inlineStr">
        <is>
          <t xml:space="preserve">2009-10</t>
        </is>
      </c>
      <c r="C1562" s="2" t="inlineStr">
        <is>
          <t xml:space="preserve">2009/10</t>
        </is>
      </c>
      <c r="D1562">
        <v>7.328</v>
      </c>
      <c r="E1562">
        <v>22.77</v>
      </c>
      <c r="F1562">
        <v>28.84</v>
      </c>
      <c r="G1562">
        <v>17.89</v>
      </c>
      <c r="H1562">
        <v>3.39</v>
      </c>
      <c r="I1562">
        <v>1.204</v>
      </c>
      <c r="J1562">
        <v>23.25</v>
      </c>
      <c r="K1562">
        <v>28.13</v>
      </c>
      <c r="L1562">
        <v>19.38</v>
      </c>
      <c r="M1562">
        <v>1.01</v>
      </c>
      <c r="N1562">
        <v>0.857</v>
      </c>
      <c r="O1562">
        <v>23.44</v>
      </c>
      <c r="P1562">
        <v>28.06</v>
      </c>
      <c r="Q1562">
        <v>20.56</v>
      </c>
      <c r="R1562">
        <v>0.75</v>
      </c>
    </row>
    <row r="1563">
      <c r="A1563" s="9">
        <v>40094</v>
      </c>
      <c r="B1563" s="2" t="inlineStr">
        <is>
          <t xml:space="preserve">2009-10</t>
        </is>
      </c>
      <c r="C1563" s="2" t="inlineStr">
        <is>
          <t xml:space="preserve">2009/10</t>
        </is>
      </c>
      <c r="D1563">
        <v>0.686</v>
      </c>
      <c r="E1563">
        <v>22.03</v>
      </c>
      <c r="F1563">
        <v>28.17</v>
      </c>
      <c r="G1563">
        <v>17.87</v>
      </c>
      <c r="H1563">
        <v>0.65</v>
      </c>
      <c r="I1563">
        <v>0.21</v>
      </c>
      <c r="J1563">
        <v>22.89</v>
      </c>
      <c r="K1563">
        <v>26.93</v>
      </c>
      <c r="L1563">
        <v>19.31</v>
      </c>
      <c r="M1563">
        <v>1.6</v>
      </c>
      <c r="N1563">
        <v>0.0</v>
      </c>
      <c r="O1563">
        <v>23.25</v>
      </c>
      <c r="P1563">
        <v>27.61</v>
      </c>
      <c r="Q1563">
        <v>20.45</v>
      </c>
      <c r="R1563">
        <v>0.97</v>
      </c>
    </row>
    <row r="1564">
      <c r="A1564" s="9">
        <v>40095</v>
      </c>
      <c r="B1564" s="2" t="inlineStr">
        <is>
          <t xml:space="preserve">2009-10</t>
        </is>
      </c>
      <c r="C1564" s="2" t="inlineStr">
        <is>
          <t xml:space="preserve">2009/10</t>
        </is>
      </c>
      <c r="D1564">
        <v>9.449</v>
      </c>
      <c r="E1564">
        <v>21.35</v>
      </c>
      <c r="F1564">
        <v>27.11</v>
      </c>
      <c r="G1564">
        <v>16.96</v>
      </c>
      <c r="H1564">
        <v>5.13</v>
      </c>
      <c r="I1564">
        <v>5.534</v>
      </c>
      <c r="J1564">
        <v>22.57</v>
      </c>
      <c r="K1564">
        <v>26.94</v>
      </c>
      <c r="L1564">
        <v>18.72</v>
      </c>
      <c r="M1564">
        <v>2.5</v>
      </c>
      <c r="N1564">
        <v>0.954</v>
      </c>
      <c r="O1564">
        <v>22.82</v>
      </c>
      <c r="P1564">
        <v>27.41</v>
      </c>
      <c r="Q1564">
        <v>19.75</v>
      </c>
      <c r="R1564">
        <v>1.67</v>
      </c>
    </row>
    <row r="1565">
      <c r="A1565" s="9">
        <v>40096</v>
      </c>
      <c r="B1565" s="2" t="inlineStr">
        <is>
          <t xml:space="preserve">2009-10</t>
        </is>
      </c>
      <c r="C1565" s="2" t="inlineStr">
        <is>
          <t xml:space="preserve">2009/10</t>
        </is>
      </c>
      <c r="D1565">
        <v>0.329</v>
      </c>
      <c r="E1565">
        <v>21.1</v>
      </c>
      <c r="F1565">
        <v>26.94</v>
      </c>
      <c r="G1565">
        <v>16.84</v>
      </c>
      <c r="H1565">
        <v>3.09</v>
      </c>
      <c r="I1565">
        <v>0.0</v>
      </c>
      <c r="J1565">
        <v>22.18</v>
      </c>
      <c r="K1565">
        <v>25.56</v>
      </c>
      <c r="L1565">
        <v>19.84</v>
      </c>
      <c r="M1565">
        <v>0.71</v>
      </c>
      <c r="N1565">
        <v>0.122</v>
      </c>
      <c r="O1565">
        <v>22.69</v>
      </c>
      <c r="P1565">
        <v>25.99</v>
      </c>
      <c r="Q1565">
        <v>20.15</v>
      </c>
      <c r="R1565">
        <v>0.94</v>
      </c>
    </row>
    <row r="1566">
      <c r="A1566" s="9">
        <v>40097</v>
      </c>
      <c r="B1566" s="2" t="inlineStr">
        <is>
          <t xml:space="preserve">2009-10</t>
        </is>
      </c>
      <c r="C1566" s="2" t="inlineStr">
        <is>
          <t xml:space="preserve">2009/10</t>
        </is>
      </c>
      <c r="D1566">
        <v>5.393</v>
      </c>
      <c r="E1566">
        <v>22.69</v>
      </c>
      <c r="F1566">
        <v>29.73</v>
      </c>
      <c r="G1566">
        <v>17.3</v>
      </c>
      <c r="H1566">
        <v>5.97</v>
      </c>
      <c r="I1566">
        <v>0.257</v>
      </c>
      <c r="J1566">
        <v>23.35</v>
      </c>
      <c r="K1566">
        <v>27.98</v>
      </c>
      <c r="L1566">
        <v>19.69</v>
      </c>
      <c r="M1566">
        <v>0.4</v>
      </c>
      <c r="N1566">
        <v>0.747</v>
      </c>
      <c r="O1566">
        <v>23.48</v>
      </c>
      <c r="P1566">
        <v>28.84</v>
      </c>
      <c r="Q1566">
        <v>20.05</v>
      </c>
      <c r="R1566">
        <v>0.62</v>
      </c>
    </row>
    <row r="1567">
      <c r="A1567" s="9">
        <v>40098</v>
      </c>
      <c r="B1567" s="2" t="inlineStr">
        <is>
          <t xml:space="preserve">2009-10</t>
        </is>
      </c>
      <c r="C1567" s="2" t="inlineStr">
        <is>
          <t xml:space="preserve">2009/10</t>
        </is>
      </c>
      <c r="D1567">
        <v>3.035</v>
      </c>
      <c r="E1567">
        <v>22.59</v>
      </c>
      <c r="F1567">
        <v>28.34</v>
      </c>
      <c r="G1567">
        <v>17.52</v>
      </c>
      <c r="H1567">
        <v>1.37</v>
      </c>
      <c r="I1567">
        <v>0.296</v>
      </c>
      <c r="J1567">
        <v>22.85</v>
      </c>
      <c r="K1567">
        <v>27.36</v>
      </c>
      <c r="L1567">
        <v>18.9</v>
      </c>
      <c r="M1567">
        <v>0.34</v>
      </c>
      <c r="N1567">
        <v>0.141</v>
      </c>
      <c r="O1567">
        <v>23.24</v>
      </c>
      <c r="P1567">
        <v>27.85</v>
      </c>
      <c r="Q1567">
        <v>20.1</v>
      </c>
      <c r="R1567">
        <v>0.57</v>
      </c>
    </row>
    <row r="1568">
      <c r="A1568" s="9">
        <v>40099</v>
      </c>
      <c r="B1568" s="2" t="inlineStr">
        <is>
          <t xml:space="preserve">2009-10</t>
        </is>
      </c>
      <c r="C1568" s="2" t="inlineStr">
        <is>
          <t xml:space="preserve">2009/10</t>
        </is>
      </c>
      <c r="D1568">
        <v>0.0</v>
      </c>
      <c r="E1568">
        <v>22.99</v>
      </c>
      <c r="F1568">
        <v>29.01</v>
      </c>
      <c r="G1568">
        <v>18.69</v>
      </c>
      <c r="H1568">
        <v>0.61</v>
      </c>
      <c r="I1568">
        <v>0.141</v>
      </c>
      <c r="J1568">
        <v>22.99</v>
      </c>
      <c r="K1568">
        <v>27.43</v>
      </c>
      <c r="L1568">
        <v>20.02</v>
      </c>
      <c r="M1568">
        <v>0.44</v>
      </c>
      <c r="N1568">
        <v>1.505</v>
      </c>
      <c r="O1568">
        <v>23.38</v>
      </c>
      <c r="P1568">
        <v>27.76</v>
      </c>
      <c r="Q1568">
        <v>20.57</v>
      </c>
      <c r="R1568">
        <v>0.73</v>
      </c>
    </row>
    <row r="1569">
      <c r="A1569" s="9">
        <v>40100</v>
      </c>
      <c r="B1569" s="2" t="inlineStr">
        <is>
          <t xml:space="preserve">2009-10</t>
        </is>
      </c>
      <c r="C1569" s="2" t="inlineStr">
        <is>
          <t xml:space="preserve">2009/10</t>
        </is>
      </c>
      <c r="D1569">
        <v>0.0</v>
      </c>
      <c r="E1569">
        <v>22.88</v>
      </c>
      <c r="F1569">
        <v>29.87</v>
      </c>
      <c r="G1569">
        <v>17.39</v>
      </c>
      <c r="H1569">
        <v>0.0</v>
      </c>
      <c r="I1569">
        <v>0.0</v>
      </c>
      <c r="J1569">
        <v>22.79</v>
      </c>
      <c r="K1569">
        <v>27.95</v>
      </c>
      <c r="L1569">
        <v>18.5</v>
      </c>
      <c r="M1569">
        <v>0.0</v>
      </c>
      <c r="N1569">
        <v>0.0</v>
      </c>
      <c r="O1569">
        <v>23.41</v>
      </c>
      <c r="P1569">
        <v>28.55</v>
      </c>
      <c r="Q1569">
        <v>19.91</v>
      </c>
      <c r="R1569">
        <v>0.0</v>
      </c>
    </row>
    <row r="1570">
      <c r="A1570" s="9">
        <v>40101</v>
      </c>
      <c r="B1570" s="2" t="inlineStr">
        <is>
          <t xml:space="preserve">2009-10</t>
        </is>
      </c>
      <c r="C1570" s="2" t="inlineStr">
        <is>
          <t xml:space="preserve">2009/10</t>
        </is>
      </c>
      <c r="D1570">
        <v>0.0</v>
      </c>
      <c r="E1570">
        <v>22.93</v>
      </c>
      <c r="F1570">
        <v>30.24</v>
      </c>
      <c r="G1570">
        <v>16.04</v>
      </c>
      <c r="H1570">
        <v>0.63</v>
      </c>
      <c r="I1570">
        <v>0.0</v>
      </c>
      <c r="J1570">
        <v>22.78</v>
      </c>
      <c r="K1570">
        <v>27.63</v>
      </c>
      <c r="L1570">
        <v>18.84</v>
      </c>
      <c r="M1570">
        <v>0.02</v>
      </c>
      <c r="N1570">
        <v>0.0</v>
      </c>
      <c r="O1570">
        <v>23.58</v>
      </c>
      <c r="P1570">
        <v>28.98</v>
      </c>
      <c r="Q1570">
        <v>18.47</v>
      </c>
      <c r="R1570">
        <v>0.02</v>
      </c>
    </row>
    <row r="1571">
      <c r="A1571" s="9">
        <v>40102</v>
      </c>
      <c r="B1571" s="2" t="inlineStr">
        <is>
          <t xml:space="preserve">2009-10</t>
        </is>
      </c>
      <c r="C1571" s="2" t="inlineStr">
        <is>
          <t xml:space="preserve">2009/10</t>
        </is>
      </c>
      <c r="D1571">
        <v>4.433</v>
      </c>
      <c r="E1571">
        <v>23.09</v>
      </c>
      <c r="F1571">
        <v>30.12</v>
      </c>
      <c r="G1571">
        <v>17.15</v>
      </c>
      <c r="H1571">
        <v>1.23</v>
      </c>
      <c r="I1571">
        <v>0.0</v>
      </c>
      <c r="J1571">
        <v>22.99</v>
      </c>
      <c r="K1571">
        <v>27.53</v>
      </c>
      <c r="L1571">
        <v>19.02</v>
      </c>
      <c r="M1571">
        <v>0.14</v>
      </c>
      <c r="N1571">
        <v>0.045</v>
      </c>
      <c r="O1571">
        <v>23.25</v>
      </c>
      <c r="P1571">
        <v>28.8</v>
      </c>
      <c r="Q1571">
        <v>18.9</v>
      </c>
      <c r="R1571">
        <v>0.22</v>
      </c>
    </row>
    <row r="1572">
      <c r="A1572" s="9">
        <v>40103</v>
      </c>
      <c r="B1572" s="2" t="inlineStr">
        <is>
          <t xml:space="preserve">2009-10</t>
        </is>
      </c>
      <c r="C1572" s="2" t="inlineStr">
        <is>
          <t xml:space="preserve">2009/10</t>
        </is>
      </c>
      <c r="D1572">
        <v>0.0</v>
      </c>
      <c r="E1572">
        <v>22.79</v>
      </c>
      <c r="F1572">
        <v>28.6</v>
      </c>
      <c r="G1572">
        <v>18.36</v>
      </c>
      <c r="H1572">
        <v>2.57</v>
      </c>
      <c r="I1572">
        <v>0.086</v>
      </c>
      <c r="J1572">
        <v>21.95</v>
      </c>
      <c r="K1572">
        <v>25.96</v>
      </c>
      <c r="L1572">
        <v>18.52</v>
      </c>
      <c r="M1572">
        <v>3.0</v>
      </c>
      <c r="N1572">
        <v>0.92</v>
      </c>
      <c r="O1572">
        <v>22.47</v>
      </c>
      <c r="P1572">
        <v>26.9</v>
      </c>
      <c r="Q1572">
        <v>19.53</v>
      </c>
      <c r="R1572">
        <v>3.44</v>
      </c>
    </row>
    <row r="1573">
      <c r="A1573" s="9">
        <v>40104</v>
      </c>
      <c r="B1573" s="2" t="inlineStr">
        <is>
          <t xml:space="preserve">2009-10</t>
        </is>
      </c>
      <c r="C1573" s="2" t="inlineStr">
        <is>
          <t xml:space="preserve">2009/10</t>
        </is>
      </c>
      <c r="D1573">
        <v>2.945</v>
      </c>
      <c r="E1573">
        <v>21.69</v>
      </c>
      <c r="F1573">
        <v>27.32</v>
      </c>
      <c r="G1573">
        <v>18.65</v>
      </c>
      <c r="H1573">
        <v>9.08</v>
      </c>
      <c r="I1573">
        <v>4.012</v>
      </c>
      <c r="J1573">
        <v>21.31</v>
      </c>
      <c r="K1573">
        <v>25.26</v>
      </c>
      <c r="L1573">
        <v>18.21</v>
      </c>
      <c r="M1573">
        <v>7.49</v>
      </c>
      <c r="N1573">
        <v>15.216</v>
      </c>
      <c r="O1573">
        <v>21.78</v>
      </c>
      <c r="P1573">
        <v>25.27</v>
      </c>
      <c r="Q1573">
        <v>19.53</v>
      </c>
      <c r="R1573">
        <v>10.95</v>
      </c>
    </row>
    <row r="1574">
      <c r="A1574" s="9">
        <v>40105</v>
      </c>
      <c r="B1574" s="2" t="inlineStr">
        <is>
          <t xml:space="preserve">2009-10</t>
        </is>
      </c>
      <c r="C1574" s="2" t="inlineStr">
        <is>
          <t xml:space="preserve">2009/10</t>
        </is>
      </c>
      <c r="D1574">
        <v>2.839</v>
      </c>
      <c r="E1574">
        <v>19.36</v>
      </c>
      <c r="F1574">
        <v>22.88</v>
      </c>
      <c r="G1574">
        <v>16.97</v>
      </c>
      <c r="H1574">
        <v>9.92</v>
      </c>
      <c r="I1574">
        <v>2.49</v>
      </c>
      <c r="J1574">
        <v>19.62</v>
      </c>
      <c r="K1574">
        <v>23.42</v>
      </c>
      <c r="L1574">
        <v>17.18</v>
      </c>
      <c r="M1574">
        <v>2.66</v>
      </c>
      <c r="N1574">
        <v>7.377</v>
      </c>
      <c r="O1574">
        <v>19.57</v>
      </c>
      <c r="P1574">
        <v>22.47</v>
      </c>
      <c r="Q1574">
        <v>17.47</v>
      </c>
      <c r="R1574">
        <v>2.93</v>
      </c>
    </row>
    <row r="1575">
      <c r="A1575" s="9">
        <v>40106</v>
      </c>
      <c r="B1575" s="2" t="inlineStr">
        <is>
          <t xml:space="preserve">2009-10</t>
        </is>
      </c>
      <c r="C1575" s="2" t="inlineStr">
        <is>
          <t xml:space="preserve">2009/10</t>
        </is>
      </c>
      <c r="D1575">
        <v>0.033</v>
      </c>
      <c r="E1575">
        <v>18.66</v>
      </c>
      <c r="F1575">
        <v>22.57</v>
      </c>
      <c r="G1575">
        <v>16.67</v>
      </c>
      <c r="H1575">
        <v>1.24</v>
      </c>
      <c r="I1575">
        <v>0.064</v>
      </c>
      <c r="J1575">
        <v>18.87</v>
      </c>
      <c r="K1575">
        <v>22.21</v>
      </c>
      <c r="L1575">
        <v>16.16</v>
      </c>
      <c r="M1575">
        <v>0.05</v>
      </c>
      <c r="N1575">
        <v>0.0</v>
      </c>
      <c r="O1575">
        <v>18.7</v>
      </c>
      <c r="P1575">
        <v>21.98</v>
      </c>
      <c r="Q1575">
        <v>16.61</v>
      </c>
      <c r="R1575">
        <v>0.07</v>
      </c>
    </row>
    <row r="1576">
      <c r="A1576" s="9">
        <v>40107</v>
      </c>
      <c r="B1576" s="2" t="inlineStr">
        <is>
          <t xml:space="preserve">2009-10</t>
        </is>
      </c>
      <c r="C1576" s="2" t="inlineStr">
        <is>
          <t xml:space="preserve">2009/10</t>
        </is>
      </c>
      <c r="D1576">
        <v>0.0</v>
      </c>
      <c r="E1576">
        <v>20.91</v>
      </c>
      <c r="F1576">
        <v>27.03</v>
      </c>
      <c r="G1576">
        <v>15.78</v>
      </c>
      <c r="H1576">
        <v>0.15</v>
      </c>
      <c r="I1576">
        <v>0.0</v>
      </c>
      <c r="J1576">
        <v>20.79</v>
      </c>
      <c r="K1576">
        <v>26.44</v>
      </c>
      <c r="L1576">
        <v>15.63</v>
      </c>
      <c r="M1576">
        <v>0.06</v>
      </c>
      <c r="N1576">
        <v>0.167</v>
      </c>
      <c r="O1576">
        <v>20.72</v>
      </c>
      <c r="P1576">
        <v>26.47</v>
      </c>
      <c r="Q1576">
        <v>16.26</v>
      </c>
      <c r="R1576">
        <v>0.1</v>
      </c>
    </row>
    <row r="1577">
      <c r="A1577" s="9">
        <v>40108</v>
      </c>
      <c r="B1577" s="2" t="inlineStr">
        <is>
          <t xml:space="preserve">2009-10</t>
        </is>
      </c>
      <c r="C1577" s="2" t="inlineStr">
        <is>
          <t xml:space="preserve">2009/10</t>
        </is>
      </c>
      <c r="D1577">
        <v>0.121</v>
      </c>
      <c r="E1577">
        <v>22.51</v>
      </c>
      <c r="F1577">
        <v>29.09</v>
      </c>
      <c r="G1577">
        <v>17.01</v>
      </c>
      <c r="H1577">
        <v>0.08</v>
      </c>
      <c r="I1577">
        <v>0.0</v>
      </c>
      <c r="J1577">
        <v>22.53</v>
      </c>
      <c r="K1577">
        <v>27.82</v>
      </c>
      <c r="L1577">
        <v>18.25</v>
      </c>
      <c r="M1577">
        <v>0.04</v>
      </c>
      <c r="N1577">
        <v>0.0</v>
      </c>
      <c r="O1577">
        <v>22.79</v>
      </c>
      <c r="P1577">
        <v>28.43</v>
      </c>
      <c r="Q1577">
        <v>18.72</v>
      </c>
      <c r="R1577">
        <v>0.03</v>
      </c>
    </row>
    <row r="1578">
      <c r="A1578" s="9">
        <v>40109</v>
      </c>
      <c r="B1578" s="2" t="inlineStr">
        <is>
          <t xml:space="preserve">2009-10</t>
        </is>
      </c>
      <c r="C1578" s="2" t="inlineStr">
        <is>
          <t xml:space="preserve">2009/10</t>
        </is>
      </c>
      <c r="D1578">
        <v>0.0</v>
      </c>
      <c r="E1578">
        <v>22.86</v>
      </c>
      <c r="F1578">
        <v>28.91</v>
      </c>
      <c r="G1578">
        <v>17.86</v>
      </c>
      <c r="H1578">
        <v>0.29</v>
      </c>
      <c r="I1578">
        <v>0.0</v>
      </c>
      <c r="J1578">
        <v>23.0</v>
      </c>
      <c r="K1578">
        <v>27.71</v>
      </c>
      <c r="L1578">
        <v>18.65</v>
      </c>
      <c r="M1578">
        <v>0.07</v>
      </c>
      <c r="N1578">
        <v>0.0</v>
      </c>
      <c r="O1578">
        <v>23.21</v>
      </c>
      <c r="P1578">
        <v>28.3</v>
      </c>
      <c r="Q1578">
        <v>19.78</v>
      </c>
      <c r="R1578">
        <v>0.02</v>
      </c>
    </row>
    <row r="1579">
      <c r="A1579" s="9">
        <v>40110</v>
      </c>
      <c r="B1579" s="2" t="inlineStr">
        <is>
          <t xml:space="preserve">2009-10</t>
        </is>
      </c>
      <c r="C1579" s="2" t="inlineStr">
        <is>
          <t xml:space="preserve">2009/10</t>
        </is>
      </c>
      <c r="D1579">
        <v>0.337</v>
      </c>
      <c r="E1579">
        <v>22.46</v>
      </c>
      <c r="F1579">
        <v>28.63</v>
      </c>
      <c r="G1579">
        <v>18.28</v>
      </c>
      <c r="H1579">
        <v>0.25</v>
      </c>
      <c r="I1579">
        <v>0.049</v>
      </c>
      <c r="J1579">
        <v>22.03</v>
      </c>
      <c r="K1579">
        <v>26.85</v>
      </c>
      <c r="L1579">
        <v>18.71</v>
      </c>
      <c r="M1579">
        <v>0.02</v>
      </c>
      <c r="N1579">
        <v>0.0</v>
      </c>
      <c r="O1579">
        <v>22.52</v>
      </c>
      <c r="P1579">
        <v>26.97</v>
      </c>
      <c r="Q1579">
        <v>19.63</v>
      </c>
      <c r="R1579">
        <v>0.01</v>
      </c>
    </row>
    <row r="1580">
      <c r="A1580" s="9">
        <v>40111</v>
      </c>
      <c r="B1580" s="2" t="inlineStr">
        <is>
          <t xml:space="preserve">2009-10</t>
        </is>
      </c>
      <c r="C1580" s="2" t="inlineStr">
        <is>
          <t xml:space="preserve">2009/10</t>
        </is>
      </c>
      <c r="D1580">
        <v>0.0</v>
      </c>
      <c r="E1580">
        <v>22.49</v>
      </c>
      <c r="F1580">
        <v>29.34</v>
      </c>
      <c r="G1580">
        <v>17.49</v>
      </c>
      <c r="H1580">
        <v>1.13</v>
      </c>
      <c r="I1580">
        <v>0.0</v>
      </c>
      <c r="J1580">
        <v>21.21</v>
      </c>
      <c r="K1580">
        <v>26.14</v>
      </c>
      <c r="L1580">
        <v>17.35</v>
      </c>
      <c r="M1580">
        <v>0.35</v>
      </c>
      <c r="N1580">
        <v>0.0</v>
      </c>
      <c r="O1580">
        <v>21.57</v>
      </c>
      <c r="P1580">
        <v>27.07</v>
      </c>
      <c r="Q1580">
        <v>18.27</v>
      </c>
      <c r="R1580">
        <v>0.29</v>
      </c>
    </row>
    <row r="1581">
      <c r="A1581" s="9">
        <v>40112</v>
      </c>
      <c r="B1581" s="2" t="inlineStr">
        <is>
          <t xml:space="preserve">2009-10</t>
        </is>
      </c>
      <c r="C1581" s="2" t="inlineStr">
        <is>
          <t xml:space="preserve">2009/10</t>
        </is>
      </c>
      <c r="D1581">
        <v>7.107</v>
      </c>
      <c r="E1581">
        <v>22.51</v>
      </c>
      <c r="F1581">
        <v>28.7</v>
      </c>
      <c r="G1581">
        <v>17.94</v>
      </c>
      <c r="H1581">
        <v>5.41</v>
      </c>
      <c r="I1581">
        <v>1.937</v>
      </c>
      <c r="J1581">
        <v>21.83</v>
      </c>
      <c r="K1581">
        <v>27.58</v>
      </c>
      <c r="L1581">
        <v>16.23</v>
      </c>
      <c r="M1581">
        <v>8.36</v>
      </c>
      <c r="N1581">
        <v>4.558</v>
      </c>
      <c r="O1581">
        <v>22.53</v>
      </c>
      <c r="P1581">
        <v>27.97</v>
      </c>
      <c r="Q1581">
        <v>18.23</v>
      </c>
      <c r="R1581">
        <v>10.24</v>
      </c>
    </row>
    <row r="1582">
      <c r="A1582" s="9">
        <v>40113</v>
      </c>
      <c r="B1582" s="2" t="inlineStr">
        <is>
          <t xml:space="preserve">2009-10</t>
        </is>
      </c>
      <c r="C1582" s="2" t="inlineStr">
        <is>
          <t xml:space="preserve">2009/10</t>
        </is>
      </c>
      <c r="D1582">
        <v>14.506</v>
      </c>
      <c r="E1582">
        <v>23.25</v>
      </c>
      <c r="F1582">
        <v>29.19</v>
      </c>
      <c r="G1582">
        <v>19.14</v>
      </c>
      <c r="H1582">
        <v>11.83</v>
      </c>
      <c r="I1582">
        <v>9.013</v>
      </c>
      <c r="J1582">
        <v>22.15</v>
      </c>
      <c r="K1582">
        <v>25.48</v>
      </c>
      <c r="L1582">
        <v>19.69</v>
      </c>
      <c r="M1582">
        <v>19.66</v>
      </c>
      <c r="N1582">
        <v>29.108</v>
      </c>
      <c r="O1582">
        <v>23.24</v>
      </c>
      <c r="P1582">
        <v>27.25</v>
      </c>
      <c r="Q1582">
        <v>20.74</v>
      </c>
      <c r="R1582">
        <v>25.71</v>
      </c>
    </row>
    <row r="1583">
      <c r="A1583" s="9">
        <v>40114</v>
      </c>
      <c r="B1583" s="2" t="inlineStr">
        <is>
          <t xml:space="preserve">2009-10</t>
        </is>
      </c>
      <c r="C1583" s="2" t="inlineStr">
        <is>
          <t xml:space="preserve">2009/10</t>
        </is>
      </c>
      <c r="D1583">
        <v>12.214</v>
      </c>
      <c r="E1583">
        <v>22.97</v>
      </c>
      <c r="F1583">
        <v>29.44</v>
      </c>
      <c r="G1583">
        <v>18.62</v>
      </c>
      <c r="H1583">
        <v>3.34</v>
      </c>
      <c r="I1583">
        <v>13.866</v>
      </c>
      <c r="J1583">
        <v>22.99</v>
      </c>
      <c r="K1583">
        <v>27.83</v>
      </c>
      <c r="L1583">
        <v>19.51</v>
      </c>
      <c r="M1583">
        <v>13.11</v>
      </c>
      <c r="N1583">
        <v>41.126</v>
      </c>
      <c r="O1583">
        <v>23.41</v>
      </c>
      <c r="P1583">
        <v>28.31</v>
      </c>
      <c r="Q1583">
        <v>20.55</v>
      </c>
      <c r="R1583">
        <v>19.82</v>
      </c>
    </row>
    <row r="1584">
      <c r="A1584" s="9">
        <v>40115</v>
      </c>
      <c r="B1584" s="2" t="inlineStr">
        <is>
          <t xml:space="preserve">2009-10</t>
        </is>
      </c>
      <c r="C1584" s="2" t="inlineStr">
        <is>
          <t xml:space="preserve">2009/10</t>
        </is>
      </c>
      <c r="D1584">
        <v>0.467</v>
      </c>
      <c r="E1584">
        <v>22.56</v>
      </c>
      <c r="F1584">
        <v>29.32</v>
      </c>
      <c r="G1584">
        <v>16.98</v>
      </c>
      <c r="H1584">
        <v>1.18</v>
      </c>
      <c r="I1584">
        <v>0.0</v>
      </c>
      <c r="J1584">
        <v>23.09</v>
      </c>
      <c r="K1584">
        <v>27.96</v>
      </c>
      <c r="L1584">
        <v>19.42</v>
      </c>
      <c r="M1584">
        <v>0.05</v>
      </c>
      <c r="N1584">
        <v>0.0</v>
      </c>
      <c r="O1584">
        <v>23.32</v>
      </c>
      <c r="P1584">
        <v>28.74</v>
      </c>
      <c r="Q1584">
        <v>18.78</v>
      </c>
      <c r="R1584">
        <v>0.07</v>
      </c>
    </row>
    <row r="1585">
      <c r="A1585" s="9">
        <v>40116</v>
      </c>
      <c r="B1585" s="2" t="inlineStr">
        <is>
          <t xml:space="preserve">2009-10</t>
        </is>
      </c>
      <c r="C1585" s="2" t="inlineStr">
        <is>
          <t xml:space="preserve">2009/10</t>
        </is>
      </c>
      <c r="D1585">
        <v>0.19</v>
      </c>
      <c r="E1585">
        <v>22.14</v>
      </c>
      <c r="F1585">
        <v>27.35</v>
      </c>
      <c r="G1585">
        <v>18.03</v>
      </c>
      <c r="H1585">
        <v>2.19</v>
      </c>
      <c r="I1585">
        <v>0.03</v>
      </c>
      <c r="J1585">
        <v>21.72</v>
      </c>
      <c r="K1585">
        <v>25.19</v>
      </c>
      <c r="L1585">
        <v>19.04</v>
      </c>
      <c r="M1585">
        <v>0.35</v>
      </c>
      <c r="N1585">
        <v>0.099</v>
      </c>
      <c r="O1585">
        <v>22.67</v>
      </c>
      <c r="P1585">
        <v>26.55</v>
      </c>
      <c r="Q1585">
        <v>19.6</v>
      </c>
      <c r="R1585">
        <v>0.46</v>
      </c>
    </row>
    <row r="1586">
      <c r="A1586" s="9">
        <v>40117</v>
      </c>
      <c r="B1586" s="2" t="inlineStr">
        <is>
          <t xml:space="preserve">2009-10</t>
        </is>
      </c>
      <c r="C1586" s="2" t="inlineStr">
        <is>
          <t xml:space="preserve">2009/10</t>
        </is>
      </c>
      <c r="D1586">
        <v>0.436</v>
      </c>
      <c r="E1586">
        <v>21.44</v>
      </c>
      <c r="F1586">
        <v>25.39</v>
      </c>
      <c r="G1586">
        <v>18.85</v>
      </c>
      <c r="H1586">
        <v>9.4</v>
      </c>
      <c r="I1586">
        <v>0.932</v>
      </c>
      <c r="J1586">
        <v>21.36</v>
      </c>
      <c r="K1586">
        <v>24.64</v>
      </c>
      <c r="L1586">
        <v>19.18</v>
      </c>
      <c r="M1586">
        <v>3.51</v>
      </c>
      <c r="N1586">
        <v>0.153</v>
      </c>
      <c r="O1586">
        <v>22.1</v>
      </c>
      <c r="P1586">
        <v>25.18</v>
      </c>
      <c r="Q1586">
        <v>20.02</v>
      </c>
      <c r="R1586">
        <v>5.18</v>
      </c>
    </row>
    <row r="1587">
      <c r="A1587" s="9">
        <v>40118</v>
      </c>
      <c r="B1587" s="2" t="inlineStr">
        <is>
          <t xml:space="preserve">2009-11</t>
        </is>
      </c>
      <c r="C1587" s="2" t="inlineStr">
        <is>
          <t xml:space="preserve">2009/10</t>
        </is>
      </c>
      <c r="D1587">
        <v>14.798</v>
      </c>
      <c r="E1587">
        <v>20.81</v>
      </c>
      <c r="F1587">
        <v>25.17</v>
      </c>
      <c r="G1587">
        <v>17.61</v>
      </c>
      <c r="H1587">
        <v>19.2</v>
      </c>
      <c r="I1587">
        <v>4.599</v>
      </c>
      <c r="J1587">
        <v>21.03</v>
      </c>
      <c r="K1587">
        <v>24.48</v>
      </c>
      <c r="L1587">
        <v>18.67</v>
      </c>
      <c r="M1587">
        <v>9.49</v>
      </c>
      <c r="N1587">
        <v>17.648</v>
      </c>
      <c r="O1587">
        <v>21.32</v>
      </c>
      <c r="P1587">
        <v>23.41</v>
      </c>
      <c r="Q1587">
        <v>19.8</v>
      </c>
      <c r="R1587">
        <v>13.95</v>
      </c>
    </row>
    <row r="1588">
      <c r="A1588" s="9">
        <v>40119</v>
      </c>
      <c r="B1588" s="2" t="inlineStr">
        <is>
          <t xml:space="preserve">2009-11</t>
        </is>
      </c>
      <c r="C1588" s="2" t="inlineStr">
        <is>
          <t xml:space="preserve">2009/10</t>
        </is>
      </c>
      <c r="D1588">
        <v>12.764</v>
      </c>
      <c r="E1588">
        <v>20.52</v>
      </c>
      <c r="F1588">
        <v>25.75</v>
      </c>
      <c r="G1588">
        <v>17.4</v>
      </c>
      <c r="H1588">
        <v>2.68</v>
      </c>
      <c r="I1588">
        <v>2.712</v>
      </c>
      <c r="J1588">
        <v>20.88</v>
      </c>
      <c r="K1588">
        <v>24.44</v>
      </c>
      <c r="L1588">
        <v>18.74</v>
      </c>
      <c r="M1588">
        <v>2.56</v>
      </c>
      <c r="N1588">
        <v>4.572</v>
      </c>
      <c r="O1588">
        <v>20.94</v>
      </c>
      <c r="P1588">
        <v>24.11</v>
      </c>
      <c r="Q1588">
        <v>19.14</v>
      </c>
      <c r="R1588">
        <v>4.74</v>
      </c>
    </row>
    <row r="1589">
      <c r="A1589" s="9">
        <v>40120</v>
      </c>
      <c r="B1589" s="2" t="inlineStr">
        <is>
          <t xml:space="preserve">2009-11</t>
        </is>
      </c>
      <c r="C1589" s="2" t="inlineStr">
        <is>
          <t xml:space="preserve">2009/10</t>
        </is>
      </c>
      <c r="D1589">
        <v>0.0</v>
      </c>
      <c r="E1589">
        <v>20.78</v>
      </c>
      <c r="F1589">
        <v>26.51</v>
      </c>
      <c r="G1589">
        <v>16.72</v>
      </c>
      <c r="H1589">
        <v>0.78</v>
      </c>
      <c r="I1589">
        <v>0.0</v>
      </c>
      <c r="J1589">
        <v>20.74</v>
      </c>
      <c r="K1589">
        <v>24.38</v>
      </c>
      <c r="L1589">
        <v>18.34</v>
      </c>
      <c r="M1589">
        <v>1.06</v>
      </c>
      <c r="N1589">
        <v>0.0</v>
      </c>
      <c r="O1589">
        <v>21.29</v>
      </c>
      <c r="P1589">
        <v>25.26</v>
      </c>
      <c r="Q1589">
        <v>18.53</v>
      </c>
      <c r="R1589">
        <v>1.81</v>
      </c>
    </row>
    <row r="1590">
      <c r="A1590" s="9">
        <v>40121</v>
      </c>
      <c r="B1590" s="2" t="inlineStr">
        <is>
          <t xml:space="preserve">2009-11</t>
        </is>
      </c>
      <c r="C1590" s="2" t="inlineStr">
        <is>
          <t xml:space="preserve">2009/10</t>
        </is>
      </c>
      <c r="D1590">
        <v>0.989</v>
      </c>
      <c r="E1590">
        <v>20.21</v>
      </c>
      <c r="F1590">
        <v>25.18</v>
      </c>
      <c r="G1590">
        <v>17.2</v>
      </c>
      <c r="H1590">
        <v>3.62</v>
      </c>
      <c r="I1590">
        <v>3.586</v>
      </c>
      <c r="J1590">
        <v>20.03</v>
      </c>
      <c r="K1590">
        <v>23.15</v>
      </c>
      <c r="L1590">
        <v>18.09</v>
      </c>
      <c r="M1590">
        <v>5.57</v>
      </c>
      <c r="N1590">
        <v>4.104</v>
      </c>
      <c r="O1590">
        <v>20.74</v>
      </c>
      <c r="P1590">
        <v>23.79</v>
      </c>
      <c r="Q1590">
        <v>19.13</v>
      </c>
      <c r="R1590">
        <v>4.45</v>
      </c>
    </row>
    <row r="1591">
      <c r="A1591" s="9">
        <v>40122</v>
      </c>
      <c r="B1591" s="2" t="inlineStr">
        <is>
          <t xml:space="preserve">2009-11</t>
        </is>
      </c>
      <c r="C1591" s="2" t="inlineStr">
        <is>
          <t xml:space="preserve">2009/10</t>
        </is>
      </c>
      <c r="D1591">
        <v>3.102</v>
      </c>
      <c r="E1591">
        <v>19.18</v>
      </c>
      <c r="F1591">
        <v>23.29</v>
      </c>
      <c r="G1591">
        <v>16.97</v>
      </c>
      <c r="H1591">
        <v>4.26</v>
      </c>
      <c r="I1591">
        <v>6.612</v>
      </c>
      <c r="J1591">
        <v>19.33</v>
      </c>
      <c r="K1591">
        <v>22.22</v>
      </c>
      <c r="L1591">
        <v>17.61</v>
      </c>
      <c r="M1591">
        <v>8.5</v>
      </c>
      <c r="N1591">
        <v>6.192</v>
      </c>
      <c r="O1591">
        <v>19.47</v>
      </c>
      <c r="P1591">
        <v>21.74</v>
      </c>
      <c r="Q1591">
        <v>18.18</v>
      </c>
      <c r="R1591">
        <v>8.68</v>
      </c>
    </row>
    <row r="1592">
      <c r="A1592" s="9">
        <v>40123</v>
      </c>
      <c r="B1592" s="2" t="inlineStr">
        <is>
          <t xml:space="preserve">2009-11</t>
        </is>
      </c>
      <c r="C1592" s="2" t="inlineStr">
        <is>
          <t xml:space="preserve">2009/10</t>
        </is>
      </c>
      <c r="D1592">
        <v>1.491</v>
      </c>
      <c r="E1592">
        <v>19.69</v>
      </c>
      <c r="F1592">
        <v>24.28</v>
      </c>
      <c r="G1592">
        <v>16.12</v>
      </c>
      <c r="H1592">
        <v>7.45</v>
      </c>
      <c r="I1592">
        <v>2.432</v>
      </c>
      <c r="J1592">
        <v>19.96</v>
      </c>
      <c r="K1592">
        <v>24.08</v>
      </c>
      <c r="L1592">
        <v>17.42</v>
      </c>
      <c r="M1592">
        <v>7.82</v>
      </c>
      <c r="N1592">
        <v>1.7</v>
      </c>
      <c r="O1592">
        <v>19.75</v>
      </c>
      <c r="P1592">
        <v>23.18</v>
      </c>
      <c r="Q1592">
        <v>17.84</v>
      </c>
      <c r="R1592">
        <v>5.96</v>
      </c>
    </row>
    <row r="1593">
      <c r="A1593" s="9">
        <v>40124</v>
      </c>
      <c r="B1593" s="2" t="inlineStr">
        <is>
          <t xml:space="preserve">2009-11</t>
        </is>
      </c>
      <c r="C1593" s="2" t="inlineStr">
        <is>
          <t xml:space="preserve">2009/10</t>
        </is>
      </c>
      <c r="D1593">
        <v>15.966</v>
      </c>
      <c r="E1593">
        <v>20.74</v>
      </c>
      <c r="F1593">
        <v>26.43</v>
      </c>
      <c r="G1593">
        <v>16.9</v>
      </c>
      <c r="H1593">
        <v>11.28</v>
      </c>
      <c r="I1593">
        <v>33.413</v>
      </c>
      <c r="J1593">
        <v>20.46</v>
      </c>
      <c r="K1593">
        <v>24.35</v>
      </c>
      <c r="L1593">
        <v>17.65</v>
      </c>
      <c r="M1593">
        <v>26.2</v>
      </c>
      <c r="N1593">
        <v>9.315</v>
      </c>
      <c r="O1593">
        <v>20.87</v>
      </c>
      <c r="P1593">
        <v>25.49</v>
      </c>
      <c r="Q1593">
        <v>18.15</v>
      </c>
      <c r="R1593">
        <v>15.39</v>
      </c>
    </row>
    <row r="1594">
      <c r="A1594" s="9">
        <v>40125</v>
      </c>
      <c r="B1594" s="2" t="inlineStr">
        <is>
          <t xml:space="preserve">2009-11</t>
        </is>
      </c>
      <c r="C1594" s="2" t="inlineStr">
        <is>
          <t xml:space="preserve">2009/10</t>
        </is>
      </c>
      <c r="D1594">
        <v>23.326</v>
      </c>
      <c r="E1594">
        <v>20.81</v>
      </c>
      <c r="F1594">
        <v>26.12</v>
      </c>
      <c r="G1594">
        <v>16.36</v>
      </c>
      <c r="H1594">
        <v>9.72</v>
      </c>
      <c r="I1594">
        <v>44.563</v>
      </c>
      <c r="J1594">
        <v>21.18</v>
      </c>
      <c r="K1594">
        <v>25.59</v>
      </c>
      <c r="L1594">
        <v>17.93</v>
      </c>
      <c r="M1594">
        <v>20.18</v>
      </c>
      <c r="N1594">
        <v>25.296</v>
      </c>
      <c r="O1594">
        <v>21.66</v>
      </c>
      <c r="P1594">
        <v>26.54</v>
      </c>
      <c r="Q1594">
        <v>17.75</v>
      </c>
      <c r="R1594">
        <v>12.24</v>
      </c>
    </row>
    <row r="1595">
      <c r="A1595" s="9">
        <v>40126</v>
      </c>
      <c r="B1595" s="2" t="inlineStr">
        <is>
          <t xml:space="preserve">2009-11</t>
        </is>
      </c>
      <c r="C1595" s="2" t="inlineStr">
        <is>
          <t xml:space="preserve">2009/10</t>
        </is>
      </c>
      <c r="D1595">
        <v>20.228</v>
      </c>
      <c r="E1595">
        <v>21.52</v>
      </c>
      <c r="F1595">
        <v>26.73</v>
      </c>
      <c r="G1595">
        <v>17.4</v>
      </c>
      <c r="H1595">
        <v>10.55</v>
      </c>
      <c r="I1595">
        <v>4.596</v>
      </c>
      <c r="J1595">
        <v>22.1</v>
      </c>
      <c r="K1595">
        <v>27.73</v>
      </c>
      <c r="L1595">
        <v>17.97</v>
      </c>
      <c r="M1595">
        <v>3.79</v>
      </c>
      <c r="N1595">
        <v>3.382</v>
      </c>
      <c r="O1595">
        <v>22.72</v>
      </c>
      <c r="P1595">
        <v>29.78</v>
      </c>
      <c r="Q1595">
        <v>17.74</v>
      </c>
      <c r="R1595">
        <v>3.76</v>
      </c>
    </row>
    <row r="1596">
      <c r="A1596" s="9">
        <v>40127</v>
      </c>
      <c r="B1596" s="2" t="inlineStr">
        <is>
          <t xml:space="preserve">2009-11</t>
        </is>
      </c>
      <c r="C1596" s="2" t="inlineStr">
        <is>
          <t xml:space="preserve">2009/10</t>
        </is>
      </c>
      <c r="D1596">
        <v>0.218</v>
      </c>
      <c r="E1596">
        <v>21.15</v>
      </c>
      <c r="F1596">
        <v>25.6</v>
      </c>
      <c r="G1596">
        <v>18.43</v>
      </c>
      <c r="H1596">
        <v>2.57</v>
      </c>
      <c r="I1596">
        <v>0.666</v>
      </c>
      <c r="J1596">
        <v>21.21</v>
      </c>
      <c r="K1596">
        <v>24.97</v>
      </c>
      <c r="L1596">
        <v>18.9</v>
      </c>
      <c r="M1596">
        <v>1.36</v>
      </c>
      <c r="N1596">
        <v>2.701</v>
      </c>
      <c r="O1596">
        <v>21.75</v>
      </c>
      <c r="P1596">
        <v>24.82</v>
      </c>
      <c r="Q1596">
        <v>19.94</v>
      </c>
      <c r="R1596">
        <v>2.53</v>
      </c>
    </row>
    <row r="1597">
      <c r="A1597" s="9">
        <v>40128</v>
      </c>
      <c r="B1597" s="2" t="inlineStr">
        <is>
          <t xml:space="preserve">2009-11</t>
        </is>
      </c>
      <c r="C1597" s="2" t="inlineStr">
        <is>
          <t xml:space="preserve">2009/10</t>
        </is>
      </c>
      <c r="D1597">
        <v>0.0</v>
      </c>
      <c r="E1597">
        <v>20.48</v>
      </c>
      <c r="F1597">
        <v>25.4</v>
      </c>
      <c r="G1597">
        <v>17.59</v>
      </c>
      <c r="H1597">
        <v>0.93</v>
      </c>
      <c r="I1597">
        <v>0.079</v>
      </c>
      <c r="J1597">
        <v>20.37</v>
      </c>
      <c r="K1597">
        <v>24.47</v>
      </c>
      <c r="L1597">
        <v>17.53</v>
      </c>
      <c r="M1597">
        <v>1.26</v>
      </c>
      <c r="N1597">
        <v>0.845</v>
      </c>
      <c r="O1597">
        <v>21.15</v>
      </c>
      <c r="P1597">
        <v>24.55</v>
      </c>
      <c r="Q1597">
        <v>18.9</v>
      </c>
      <c r="R1597">
        <v>2.83</v>
      </c>
    </row>
    <row r="1598">
      <c r="A1598" s="9">
        <v>40129</v>
      </c>
      <c r="B1598" s="2" t="inlineStr">
        <is>
          <t xml:space="preserve">2009-11</t>
        </is>
      </c>
      <c r="C1598" s="2" t="inlineStr">
        <is>
          <t xml:space="preserve">2009/10</t>
        </is>
      </c>
      <c r="D1598">
        <v>0.045</v>
      </c>
      <c r="E1598">
        <v>17.58</v>
      </c>
      <c r="F1598">
        <v>21.68</v>
      </c>
      <c r="G1598">
        <v>12.92</v>
      </c>
      <c r="H1598">
        <v>2.54</v>
      </c>
      <c r="I1598">
        <v>1.638</v>
      </c>
      <c r="J1598">
        <v>18.02</v>
      </c>
      <c r="K1598">
        <v>21.63</v>
      </c>
      <c r="L1598">
        <v>15.26</v>
      </c>
      <c r="M1598">
        <v>1.95</v>
      </c>
      <c r="N1598">
        <v>6.374</v>
      </c>
      <c r="O1598">
        <v>18.13</v>
      </c>
      <c r="P1598">
        <v>21.19</v>
      </c>
      <c r="Q1598">
        <v>15.43</v>
      </c>
      <c r="R1598">
        <v>2.19</v>
      </c>
    </row>
    <row r="1599">
      <c r="A1599" s="9">
        <v>40130</v>
      </c>
      <c r="B1599" s="2" t="inlineStr">
        <is>
          <t xml:space="preserve">2009-11</t>
        </is>
      </c>
      <c r="C1599" s="2" t="inlineStr">
        <is>
          <t xml:space="preserve">2009/10</t>
        </is>
      </c>
      <c r="D1599">
        <v>0.0</v>
      </c>
      <c r="E1599">
        <v>18.1</v>
      </c>
      <c r="F1599">
        <v>24.56</v>
      </c>
      <c r="G1599">
        <v>12.96</v>
      </c>
      <c r="H1599">
        <v>0.01</v>
      </c>
      <c r="I1599">
        <v>0.0</v>
      </c>
      <c r="J1599">
        <v>17.74</v>
      </c>
      <c r="K1599">
        <v>23.15</v>
      </c>
      <c r="L1599">
        <v>13.68</v>
      </c>
      <c r="M1599">
        <v>0.0</v>
      </c>
      <c r="N1599">
        <v>0.0</v>
      </c>
      <c r="O1599">
        <v>18.27</v>
      </c>
      <c r="P1599">
        <v>22.98</v>
      </c>
      <c r="Q1599">
        <v>14.87</v>
      </c>
      <c r="R1599">
        <v>0.0</v>
      </c>
    </row>
    <row r="1600">
      <c r="A1600" s="9">
        <v>40131</v>
      </c>
      <c r="B1600" s="2" t="inlineStr">
        <is>
          <t xml:space="preserve">2009-11</t>
        </is>
      </c>
      <c r="C1600" s="2" t="inlineStr">
        <is>
          <t xml:space="preserve">2009/10</t>
        </is>
      </c>
      <c r="D1600">
        <v>0.0</v>
      </c>
      <c r="E1600">
        <v>20.15</v>
      </c>
      <c r="F1600">
        <v>26.44</v>
      </c>
      <c r="G1600">
        <v>15.09</v>
      </c>
      <c r="H1600">
        <v>0.0</v>
      </c>
      <c r="I1600">
        <v>0.0</v>
      </c>
      <c r="J1600">
        <v>20.05</v>
      </c>
      <c r="K1600">
        <v>26.11</v>
      </c>
      <c r="L1600">
        <v>14.76</v>
      </c>
      <c r="M1600">
        <v>0.0</v>
      </c>
      <c r="N1600">
        <v>0.0</v>
      </c>
      <c r="O1600">
        <v>19.89</v>
      </c>
      <c r="P1600">
        <v>25.49</v>
      </c>
      <c r="Q1600">
        <v>15.7</v>
      </c>
      <c r="R1600">
        <v>0.0</v>
      </c>
    </row>
    <row r="1601">
      <c r="A1601" s="9">
        <v>40132</v>
      </c>
      <c r="B1601" s="2" t="inlineStr">
        <is>
          <t xml:space="preserve">2009-11</t>
        </is>
      </c>
      <c r="C1601" s="2" t="inlineStr">
        <is>
          <t xml:space="preserve">2009/10</t>
        </is>
      </c>
      <c r="D1601">
        <v>0.0</v>
      </c>
      <c r="E1601">
        <v>21.36</v>
      </c>
      <c r="F1601">
        <v>27.36</v>
      </c>
      <c r="G1601">
        <v>16.93</v>
      </c>
      <c r="H1601">
        <v>0.0</v>
      </c>
      <c r="I1601">
        <v>0.0</v>
      </c>
      <c r="J1601">
        <v>21.49</v>
      </c>
      <c r="K1601">
        <v>27.25</v>
      </c>
      <c r="L1601">
        <v>17.02</v>
      </c>
      <c r="M1601">
        <v>0.0</v>
      </c>
      <c r="N1601">
        <v>0.0</v>
      </c>
      <c r="O1601">
        <v>21.26</v>
      </c>
      <c r="P1601">
        <v>26.62</v>
      </c>
      <c r="Q1601">
        <v>17.37</v>
      </c>
      <c r="R1601">
        <v>0.0</v>
      </c>
    </row>
    <row r="1602">
      <c r="A1602" s="9">
        <v>40133</v>
      </c>
      <c r="B1602" s="2" t="inlineStr">
        <is>
          <t xml:space="preserve">2009-11</t>
        </is>
      </c>
      <c r="C1602" s="2" t="inlineStr">
        <is>
          <t xml:space="preserve">2009/10</t>
        </is>
      </c>
      <c r="D1602">
        <v>0.0</v>
      </c>
      <c r="E1602">
        <v>20.9</v>
      </c>
      <c r="F1602">
        <v>26.85</v>
      </c>
      <c r="G1602">
        <v>17.06</v>
      </c>
      <c r="H1602">
        <v>0.0</v>
      </c>
      <c r="I1602">
        <v>0.0</v>
      </c>
      <c r="J1602">
        <v>20.97</v>
      </c>
      <c r="K1602">
        <v>26.38</v>
      </c>
      <c r="L1602">
        <v>17.41</v>
      </c>
      <c r="M1602">
        <v>0.01</v>
      </c>
      <c r="N1602">
        <v>0.0</v>
      </c>
      <c r="O1602">
        <v>21.11</v>
      </c>
      <c r="P1602">
        <v>26.21</v>
      </c>
      <c r="Q1602">
        <v>17.79</v>
      </c>
      <c r="R1602">
        <v>0.1</v>
      </c>
    </row>
    <row r="1603">
      <c r="A1603" s="9">
        <v>40134</v>
      </c>
      <c r="B1603" s="2" t="inlineStr">
        <is>
          <t xml:space="preserve">2009-11</t>
        </is>
      </c>
      <c r="C1603" s="2" t="inlineStr">
        <is>
          <t xml:space="preserve">2009/10</t>
        </is>
      </c>
      <c r="D1603">
        <v>0.0</v>
      </c>
      <c r="E1603">
        <v>19.5</v>
      </c>
      <c r="F1603">
        <v>24.98</v>
      </c>
      <c r="G1603">
        <v>15.46</v>
      </c>
      <c r="H1603">
        <v>0.0</v>
      </c>
      <c r="I1603">
        <v>0.0</v>
      </c>
      <c r="J1603">
        <v>19.54</v>
      </c>
      <c r="K1603">
        <v>24.31</v>
      </c>
      <c r="L1603">
        <v>16.36</v>
      </c>
      <c r="M1603">
        <v>0.02</v>
      </c>
      <c r="N1603">
        <v>0.0</v>
      </c>
      <c r="O1603">
        <v>19.73</v>
      </c>
      <c r="P1603">
        <v>24.24</v>
      </c>
      <c r="Q1603">
        <v>16.5</v>
      </c>
      <c r="R1603">
        <v>0.23</v>
      </c>
    </row>
    <row r="1604">
      <c r="A1604" s="9">
        <v>40135</v>
      </c>
      <c r="B1604" s="2" t="inlineStr">
        <is>
          <t xml:space="preserve">2009-11</t>
        </is>
      </c>
      <c r="C1604" s="2" t="inlineStr">
        <is>
          <t xml:space="preserve">2009/10</t>
        </is>
      </c>
      <c r="D1604">
        <v>0.0</v>
      </c>
      <c r="E1604">
        <v>18.49</v>
      </c>
      <c r="F1604">
        <v>24.44</v>
      </c>
      <c r="G1604">
        <v>14.51</v>
      </c>
      <c r="H1604">
        <v>0.0</v>
      </c>
      <c r="I1604">
        <v>0.0</v>
      </c>
      <c r="J1604">
        <v>17.92</v>
      </c>
      <c r="K1604">
        <v>22.26</v>
      </c>
      <c r="L1604">
        <v>15.05</v>
      </c>
      <c r="M1604">
        <v>0.0</v>
      </c>
      <c r="N1604">
        <v>0.0</v>
      </c>
      <c r="O1604">
        <v>18.17</v>
      </c>
      <c r="P1604">
        <v>22.29</v>
      </c>
      <c r="Q1604">
        <v>15.09</v>
      </c>
      <c r="R1604">
        <v>0.0</v>
      </c>
    </row>
    <row r="1605">
      <c r="A1605" s="9">
        <v>40136</v>
      </c>
      <c r="B1605" s="2" t="inlineStr">
        <is>
          <t xml:space="preserve">2009-11</t>
        </is>
      </c>
      <c r="C1605" s="2" t="inlineStr">
        <is>
          <t xml:space="preserve">2009/10</t>
        </is>
      </c>
      <c r="D1605">
        <v>0.0</v>
      </c>
      <c r="E1605">
        <v>19.23</v>
      </c>
      <c r="F1605">
        <v>25.96</v>
      </c>
      <c r="G1605">
        <v>14.01</v>
      </c>
      <c r="H1605">
        <v>0.08</v>
      </c>
      <c r="I1605">
        <v>0.0</v>
      </c>
      <c r="J1605">
        <v>18.68</v>
      </c>
      <c r="K1605">
        <v>24.32</v>
      </c>
      <c r="L1605">
        <v>14.81</v>
      </c>
      <c r="M1605">
        <v>0.01</v>
      </c>
      <c r="N1605">
        <v>0.0</v>
      </c>
      <c r="O1605">
        <v>19.13</v>
      </c>
      <c r="P1605">
        <v>24.23</v>
      </c>
      <c r="Q1605">
        <v>15.27</v>
      </c>
      <c r="R1605">
        <v>0.17</v>
      </c>
    </row>
    <row r="1606">
      <c r="A1606" s="9">
        <v>40137</v>
      </c>
      <c r="B1606" s="2" t="inlineStr">
        <is>
          <t xml:space="preserve">2009-11</t>
        </is>
      </c>
      <c r="C1606" s="2" t="inlineStr">
        <is>
          <t xml:space="preserve">2009/10</t>
        </is>
      </c>
      <c r="D1606">
        <v>0.0</v>
      </c>
      <c r="E1606">
        <v>19.83</v>
      </c>
      <c r="F1606">
        <v>26.61</v>
      </c>
      <c r="G1606">
        <v>15.62</v>
      </c>
      <c r="H1606">
        <v>0.01</v>
      </c>
      <c r="I1606">
        <v>0.0</v>
      </c>
      <c r="J1606">
        <v>19.83</v>
      </c>
      <c r="K1606">
        <v>25.97</v>
      </c>
      <c r="L1606">
        <v>16.01</v>
      </c>
      <c r="M1606">
        <v>0.01</v>
      </c>
      <c r="N1606">
        <v>0.0</v>
      </c>
      <c r="O1606">
        <v>20.1</v>
      </c>
      <c r="P1606">
        <v>25.04</v>
      </c>
      <c r="Q1606">
        <v>17.29</v>
      </c>
      <c r="R1606">
        <v>0.14</v>
      </c>
    </row>
    <row r="1607">
      <c r="A1607" s="9">
        <v>40138</v>
      </c>
      <c r="B1607" s="2" t="inlineStr">
        <is>
          <t xml:space="preserve">2009-11</t>
        </is>
      </c>
      <c r="C1607" s="2" t="inlineStr">
        <is>
          <t xml:space="preserve">2009/10</t>
        </is>
      </c>
      <c r="D1607">
        <v>0.0</v>
      </c>
      <c r="E1607">
        <v>20.04</v>
      </c>
      <c r="F1607">
        <v>27.37</v>
      </c>
      <c r="G1607">
        <v>14.96</v>
      </c>
      <c r="H1607">
        <v>0.0</v>
      </c>
      <c r="I1607">
        <v>0.0</v>
      </c>
      <c r="J1607">
        <v>19.53</v>
      </c>
      <c r="K1607">
        <v>25.52</v>
      </c>
      <c r="L1607">
        <v>15.47</v>
      </c>
      <c r="M1607">
        <v>0.0</v>
      </c>
      <c r="N1607">
        <v>0.0</v>
      </c>
      <c r="O1607">
        <v>20.11</v>
      </c>
      <c r="P1607">
        <v>25.54</v>
      </c>
      <c r="Q1607">
        <v>17.02</v>
      </c>
      <c r="R1607">
        <v>0.0</v>
      </c>
    </row>
    <row r="1608">
      <c r="A1608" s="9">
        <v>40139</v>
      </c>
      <c r="B1608" s="2" t="inlineStr">
        <is>
          <t xml:space="preserve">2009-11</t>
        </is>
      </c>
      <c r="C1608" s="2" t="inlineStr">
        <is>
          <t xml:space="preserve">2009/10</t>
        </is>
      </c>
      <c r="D1608">
        <v>0.0</v>
      </c>
      <c r="E1608">
        <v>21.46</v>
      </c>
      <c r="F1608">
        <v>28.43</v>
      </c>
      <c r="G1608">
        <v>16.61</v>
      </c>
      <c r="H1608">
        <v>0.0</v>
      </c>
      <c r="I1608">
        <v>0.0</v>
      </c>
      <c r="J1608">
        <v>20.15</v>
      </c>
      <c r="K1608">
        <v>26.41</v>
      </c>
      <c r="L1608">
        <v>15.01</v>
      </c>
      <c r="M1608">
        <v>0.0</v>
      </c>
      <c r="N1608">
        <v>0.0</v>
      </c>
      <c r="O1608">
        <v>20.74</v>
      </c>
      <c r="P1608">
        <v>26.26</v>
      </c>
      <c r="Q1608">
        <v>16.45</v>
      </c>
      <c r="R1608">
        <v>0.0</v>
      </c>
    </row>
    <row r="1609">
      <c r="A1609" s="9">
        <v>40140</v>
      </c>
      <c r="B1609" s="2" t="inlineStr">
        <is>
          <t xml:space="preserve">2009-11</t>
        </is>
      </c>
      <c r="C1609" s="2" t="inlineStr">
        <is>
          <t xml:space="preserve">2009/10</t>
        </is>
      </c>
      <c r="D1609">
        <v>0.0</v>
      </c>
      <c r="E1609">
        <v>22.04</v>
      </c>
      <c r="F1609">
        <v>28.58</v>
      </c>
      <c r="G1609">
        <v>17.47</v>
      </c>
      <c r="H1609">
        <v>0.05</v>
      </c>
      <c r="I1609">
        <v>0.0</v>
      </c>
      <c r="J1609">
        <v>21.24</v>
      </c>
      <c r="K1609">
        <v>26.54</v>
      </c>
      <c r="L1609">
        <v>17.05</v>
      </c>
      <c r="M1609">
        <v>0.05</v>
      </c>
      <c r="N1609">
        <v>0.0</v>
      </c>
      <c r="O1609">
        <v>21.84</v>
      </c>
      <c r="P1609">
        <v>27.18</v>
      </c>
      <c r="Q1609">
        <v>17.87</v>
      </c>
      <c r="R1609">
        <v>0.1</v>
      </c>
    </row>
    <row r="1610">
      <c r="A1610" s="9">
        <v>40141</v>
      </c>
      <c r="B1610" s="2" t="inlineStr">
        <is>
          <t xml:space="preserve">2009-11</t>
        </is>
      </c>
      <c r="C1610" s="2" t="inlineStr">
        <is>
          <t xml:space="preserve">2009/10</t>
        </is>
      </c>
      <c r="D1610">
        <v>0.0</v>
      </c>
      <c r="E1610">
        <v>22.3</v>
      </c>
      <c r="F1610">
        <v>28.55</v>
      </c>
      <c r="G1610">
        <v>17.34</v>
      </c>
      <c r="H1610">
        <v>0.18</v>
      </c>
      <c r="I1610">
        <v>0.0</v>
      </c>
      <c r="J1610">
        <v>21.96</v>
      </c>
      <c r="K1610">
        <v>26.94</v>
      </c>
      <c r="L1610">
        <v>17.66</v>
      </c>
      <c r="M1610">
        <v>0.12</v>
      </c>
      <c r="N1610">
        <v>0.314</v>
      </c>
      <c r="O1610">
        <v>22.25</v>
      </c>
      <c r="P1610">
        <v>27.26</v>
      </c>
      <c r="Q1610">
        <v>18.71</v>
      </c>
      <c r="R1610">
        <v>0.35</v>
      </c>
    </row>
    <row r="1611">
      <c r="A1611" s="9">
        <v>40142</v>
      </c>
      <c r="B1611" s="2" t="inlineStr">
        <is>
          <t xml:space="preserve">2009-11</t>
        </is>
      </c>
      <c r="C1611" s="2" t="inlineStr">
        <is>
          <t xml:space="preserve">2009/10</t>
        </is>
      </c>
      <c r="D1611">
        <v>0.0</v>
      </c>
      <c r="E1611">
        <v>22.53</v>
      </c>
      <c r="F1611">
        <v>28.23</v>
      </c>
      <c r="G1611">
        <v>19.22</v>
      </c>
      <c r="H1611">
        <v>3.26</v>
      </c>
      <c r="I1611">
        <v>0.0</v>
      </c>
      <c r="J1611">
        <v>21.86</v>
      </c>
      <c r="K1611">
        <v>26.75</v>
      </c>
      <c r="L1611">
        <v>17.97</v>
      </c>
      <c r="M1611">
        <v>0.22</v>
      </c>
      <c r="N1611">
        <v>0.0</v>
      </c>
      <c r="O1611">
        <v>22.2</v>
      </c>
      <c r="P1611">
        <v>26.8</v>
      </c>
      <c r="Q1611">
        <v>19.3</v>
      </c>
      <c r="R1611">
        <v>0.28</v>
      </c>
    </row>
    <row r="1612">
      <c r="A1612" s="9">
        <v>40143</v>
      </c>
      <c r="B1612" s="2" t="inlineStr">
        <is>
          <t xml:space="preserve">2009-11</t>
        </is>
      </c>
      <c r="C1612" s="2" t="inlineStr">
        <is>
          <t xml:space="preserve">2009/10</t>
        </is>
      </c>
      <c r="D1612">
        <v>8.103</v>
      </c>
      <c r="E1612">
        <v>20.83</v>
      </c>
      <c r="F1612">
        <v>25.91</v>
      </c>
      <c r="G1612">
        <v>18.26</v>
      </c>
      <c r="H1612">
        <v>5.11</v>
      </c>
      <c r="I1612">
        <v>0.0</v>
      </c>
      <c r="J1612">
        <v>20.18</v>
      </c>
      <c r="K1612">
        <v>23.78</v>
      </c>
      <c r="L1612">
        <v>17.88</v>
      </c>
      <c r="M1612">
        <v>0.59</v>
      </c>
      <c r="N1612">
        <v>0.873</v>
      </c>
      <c r="O1612">
        <v>20.7</v>
      </c>
      <c r="P1612">
        <v>24.31</v>
      </c>
      <c r="Q1612">
        <v>18.15</v>
      </c>
      <c r="R1612">
        <v>0.59</v>
      </c>
    </row>
    <row r="1613">
      <c r="A1613" s="9">
        <v>40144</v>
      </c>
      <c r="B1613" s="2" t="inlineStr">
        <is>
          <t xml:space="preserve">2009-11</t>
        </is>
      </c>
      <c r="C1613" s="2" t="inlineStr">
        <is>
          <t xml:space="preserve">2009/10</t>
        </is>
      </c>
      <c r="D1613">
        <v>0.0</v>
      </c>
      <c r="E1613">
        <v>20.81</v>
      </c>
      <c r="F1613">
        <v>26.2</v>
      </c>
      <c r="G1613">
        <v>18.01</v>
      </c>
      <c r="H1613">
        <v>0.1</v>
      </c>
      <c r="I1613">
        <v>0.0</v>
      </c>
      <c r="J1613">
        <v>19.62</v>
      </c>
      <c r="K1613">
        <v>23.17</v>
      </c>
      <c r="L1613">
        <v>16.51</v>
      </c>
      <c r="M1613">
        <v>0.12</v>
      </c>
      <c r="N1613">
        <v>0.0</v>
      </c>
      <c r="O1613">
        <v>19.79</v>
      </c>
      <c r="P1613">
        <v>22.7</v>
      </c>
      <c r="Q1613">
        <v>17.92</v>
      </c>
      <c r="R1613">
        <v>0.54</v>
      </c>
    </row>
    <row r="1614">
      <c r="A1614" s="9">
        <v>40145</v>
      </c>
      <c r="B1614" s="2" t="inlineStr">
        <is>
          <t xml:space="preserve">2009-11</t>
        </is>
      </c>
      <c r="C1614" s="2" t="inlineStr">
        <is>
          <t xml:space="preserve">2009/10</t>
        </is>
      </c>
      <c r="D1614">
        <v>0.0</v>
      </c>
      <c r="E1614">
        <v>20.43</v>
      </c>
      <c r="F1614">
        <v>26.01</v>
      </c>
      <c r="G1614">
        <v>17.52</v>
      </c>
      <c r="H1614">
        <v>0.4</v>
      </c>
      <c r="I1614">
        <v>0.0</v>
      </c>
      <c r="J1614">
        <v>17.77</v>
      </c>
      <c r="K1614">
        <v>21.88</v>
      </c>
      <c r="L1614">
        <v>14.98</v>
      </c>
      <c r="M1614">
        <v>0.33</v>
      </c>
      <c r="N1614">
        <v>0.784</v>
      </c>
      <c r="O1614">
        <v>18.06</v>
      </c>
      <c r="P1614">
        <v>21.14</v>
      </c>
      <c r="Q1614">
        <v>16.25</v>
      </c>
      <c r="R1614">
        <v>0.72</v>
      </c>
    </row>
    <row r="1615">
      <c r="A1615" s="9">
        <v>40146</v>
      </c>
      <c r="B1615" s="2" t="inlineStr">
        <is>
          <t xml:space="preserve">2009-11</t>
        </is>
      </c>
      <c r="C1615" s="2" t="inlineStr">
        <is>
          <t xml:space="preserve">2009/10</t>
        </is>
      </c>
      <c r="D1615">
        <v>0.0</v>
      </c>
      <c r="E1615">
        <v>21.24</v>
      </c>
      <c r="F1615">
        <v>28.03</v>
      </c>
      <c r="G1615">
        <v>16.43</v>
      </c>
      <c r="H1615">
        <v>0.0</v>
      </c>
      <c r="I1615">
        <v>0.0</v>
      </c>
      <c r="J1615">
        <v>20.09</v>
      </c>
      <c r="K1615">
        <v>26.12</v>
      </c>
      <c r="L1615">
        <v>15.23</v>
      </c>
      <c r="M1615">
        <v>0.0</v>
      </c>
      <c r="N1615">
        <v>0.0</v>
      </c>
      <c r="O1615">
        <v>20.4</v>
      </c>
      <c r="P1615">
        <v>26.16</v>
      </c>
      <c r="Q1615">
        <v>16.18</v>
      </c>
      <c r="R1615">
        <v>0.0</v>
      </c>
    </row>
    <row r="1616">
      <c r="A1616" s="9">
        <v>40147</v>
      </c>
      <c r="B1616" s="2" t="inlineStr">
        <is>
          <t xml:space="preserve">2009-11</t>
        </is>
      </c>
      <c r="C1616" s="2" t="inlineStr">
        <is>
          <t xml:space="preserve">2009/10</t>
        </is>
      </c>
      <c r="D1616">
        <v>0.0</v>
      </c>
      <c r="E1616">
        <v>21.34</v>
      </c>
      <c r="F1616">
        <v>28.69</v>
      </c>
      <c r="G1616">
        <v>15.77</v>
      </c>
      <c r="H1616">
        <v>0.0</v>
      </c>
      <c r="I1616">
        <v>0.0</v>
      </c>
      <c r="J1616">
        <v>21.45</v>
      </c>
      <c r="K1616">
        <v>27.07</v>
      </c>
      <c r="L1616">
        <v>17.0</v>
      </c>
      <c r="M1616">
        <v>0.0</v>
      </c>
      <c r="N1616">
        <v>0.0</v>
      </c>
      <c r="O1616">
        <v>21.76</v>
      </c>
      <c r="P1616">
        <v>27.05</v>
      </c>
      <c r="Q1616">
        <v>18.39</v>
      </c>
      <c r="R1616">
        <v>0.0</v>
      </c>
    </row>
    <row r="1617">
      <c r="A1617" s="9">
        <v>40148</v>
      </c>
      <c r="B1617" s="2" t="inlineStr">
        <is>
          <t xml:space="preserve">2009-12</t>
        </is>
      </c>
      <c r="C1617" s="2" t="inlineStr">
        <is>
          <t xml:space="preserve">2009/10</t>
        </is>
      </c>
      <c r="D1617">
        <v>0.0</v>
      </c>
      <c r="E1617">
        <v>21.25</v>
      </c>
      <c r="F1617">
        <v>28.53</v>
      </c>
      <c r="G1617">
        <v>15.19</v>
      </c>
      <c r="H1617">
        <v>0.0</v>
      </c>
      <c r="I1617">
        <v>0.0</v>
      </c>
      <c r="J1617">
        <v>21.53</v>
      </c>
      <c r="K1617">
        <v>27.07</v>
      </c>
      <c r="L1617">
        <v>17.47</v>
      </c>
      <c r="M1617">
        <v>0.0</v>
      </c>
      <c r="N1617">
        <v>0.0</v>
      </c>
      <c r="O1617">
        <v>22.38</v>
      </c>
      <c r="P1617">
        <v>27.61</v>
      </c>
      <c r="Q1617">
        <v>18.4</v>
      </c>
      <c r="R1617">
        <v>0.0</v>
      </c>
    </row>
    <row r="1618">
      <c r="A1618" s="9">
        <v>40149</v>
      </c>
      <c r="B1618" s="2" t="inlineStr">
        <is>
          <t xml:space="preserve">2009-12</t>
        </is>
      </c>
      <c r="C1618" s="2" t="inlineStr">
        <is>
          <t xml:space="preserve">2009/10</t>
        </is>
      </c>
      <c r="D1618">
        <v>0.0</v>
      </c>
      <c r="E1618">
        <v>22.52</v>
      </c>
      <c r="F1618">
        <v>30.06</v>
      </c>
      <c r="G1618">
        <v>15.78</v>
      </c>
      <c r="H1618">
        <v>0.0</v>
      </c>
      <c r="I1618">
        <v>0.0</v>
      </c>
      <c r="J1618">
        <v>21.23</v>
      </c>
      <c r="K1618">
        <v>27.3</v>
      </c>
      <c r="L1618">
        <v>16.05</v>
      </c>
      <c r="M1618">
        <v>0.0</v>
      </c>
      <c r="N1618">
        <v>0.0</v>
      </c>
      <c r="O1618">
        <v>22.17</v>
      </c>
      <c r="P1618">
        <v>28.58</v>
      </c>
      <c r="Q1618">
        <v>15.91</v>
      </c>
      <c r="R1618">
        <v>0.0</v>
      </c>
    </row>
    <row r="1619">
      <c r="A1619" s="9">
        <v>40150</v>
      </c>
      <c r="B1619" s="2" t="inlineStr">
        <is>
          <t xml:space="preserve">2009-12</t>
        </is>
      </c>
      <c r="C1619" s="2" t="inlineStr">
        <is>
          <t xml:space="preserve">2009/10</t>
        </is>
      </c>
      <c r="D1619">
        <v>0.0</v>
      </c>
      <c r="E1619">
        <v>22.6</v>
      </c>
      <c r="F1619">
        <v>29.4</v>
      </c>
      <c r="G1619">
        <v>17.26</v>
      </c>
      <c r="H1619">
        <v>0.06</v>
      </c>
      <c r="I1619">
        <v>0.0</v>
      </c>
      <c r="J1619">
        <v>21.16</v>
      </c>
      <c r="K1619">
        <v>27.01</v>
      </c>
      <c r="L1619">
        <v>16.17</v>
      </c>
      <c r="M1619">
        <v>0.01</v>
      </c>
      <c r="N1619">
        <v>0.0</v>
      </c>
      <c r="O1619">
        <v>21.98</v>
      </c>
      <c r="P1619">
        <v>27.48</v>
      </c>
      <c r="Q1619">
        <v>17.72</v>
      </c>
      <c r="R1619">
        <v>0.01</v>
      </c>
    </row>
    <row r="1620">
      <c r="A1620" s="9">
        <v>40151</v>
      </c>
      <c r="B1620" s="2" t="inlineStr">
        <is>
          <t xml:space="preserve">2009-12</t>
        </is>
      </c>
      <c r="C1620" s="2" t="inlineStr">
        <is>
          <t xml:space="preserve">2009/10</t>
        </is>
      </c>
      <c r="D1620">
        <v>0.0</v>
      </c>
      <c r="E1620">
        <v>22.46</v>
      </c>
      <c r="F1620">
        <v>29.58</v>
      </c>
      <c r="G1620">
        <v>17.78</v>
      </c>
      <c r="H1620">
        <v>0.04</v>
      </c>
      <c r="I1620">
        <v>0.0</v>
      </c>
      <c r="J1620">
        <v>21.69</v>
      </c>
      <c r="K1620">
        <v>27.26</v>
      </c>
      <c r="L1620">
        <v>17.12</v>
      </c>
      <c r="M1620">
        <v>0.01</v>
      </c>
      <c r="N1620">
        <v>0.0</v>
      </c>
      <c r="O1620">
        <v>22.48</v>
      </c>
      <c r="P1620">
        <v>28.15</v>
      </c>
      <c r="Q1620">
        <v>18.45</v>
      </c>
      <c r="R1620">
        <v>0.02</v>
      </c>
    </row>
    <row r="1621">
      <c r="A1621" s="9">
        <v>40152</v>
      </c>
      <c r="B1621" s="2" t="inlineStr">
        <is>
          <t xml:space="preserve">2009-12</t>
        </is>
      </c>
      <c r="C1621" s="2" t="inlineStr">
        <is>
          <t xml:space="preserve">2009/10</t>
        </is>
      </c>
      <c r="D1621">
        <v>0.0</v>
      </c>
      <c r="E1621">
        <v>20.9</v>
      </c>
      <c r="F1621">
        <v>26.94</v>
      </c>
      <c r="G1621">
        <v>16.22</v>
      </c>
      <c r="H1621">
        <v>0.97</v>
      </c>
      <c r="I1621">
        <v>0.0</v>
      </c>
      <c r="J1621">
        <v>21.32</v>
      </c>
      <c r="K1621">
        <v>26.38</v>
      </c>
      <c r="L1621">
        <v>17.73</v>
      </c>
      <c r="M1621">
        <v>0.46</v>
      </c>
      <c r="N1621">
        <v>0.081</v>
      </c>
      <c r="O1621">
        <v>21.57</v>
      </c>
      <c r="P1621">
        <v>26.33</v>
      </c>
      <c r="Q1621">
        <v>18.46</v>
      </c>
      <c r="R1621">
        <v>1.1</v>
      </c>
    </row>
    <row r="1622">
      <c r="A1622" s="9">
        <v>40153</v>
      </c>
      <c r="B1622" s="2" t="inlineStr">
        <is>
          <t xml:space="preserve">2009-12</t>
        </is>
      </c>
      <c r="C1622" s="2" t="inlineStr">
        <is>
          <t xml:space="preserve">2009/10</t>
        </is>
      </c>
      <c r="D1622">
        <v>0.0</v>
      </c>
      <c r="E1622">
        <v>20.92</v>
      </c>
      <c r="F1622">
        <v>28.28</v>
      </c>
      <c r="G1622">
        <v>16.21</v>
      </c>
      <c r="H1622">
        <v>0.48</v>
      </c>
      <c r="I1622">
        <v>0.083</v>
      </c>
      <c r="J1622">
        <v>20.82</v>
      </c>
      <c r="K1622">
        <v>26.48</v>
      </c>
      <c r="L1622">
        <v>16.88</v>
      </c>
      <c r="M1622">
        <v>0.39</v>
      </c>
      <c r="N1622">
        <v>1.099</v>
      </c>
      <c r="O1622">
        <v>20.96</v>
      </c>
      <c r="P1622">
        <v>26.24</v>
      </c>
      <c r="Q1622">
        <v>17.64</v>
      </c>
      <c r="R1622">
        <v>0.69</v>
      </c>
    </row>
    <row r="1623">
      <c r="A1623" s="9">
        <v>40154</v>
      </c>
      <c r="B1623" s="2" t="inlineStr">
        <is>
          <t xml:space="preserve">2009-12</t>
        </is>
      </c>
      <c r="C1623" s="2" t="inlineStr">
        <is>
          <t xml:space="preserve">2009/10</t>
        </is>
      </c>
      <c r="D1623">
        <v>0.0</v>
      </c>
      <c r="E1623">
        <v>20.61</v>
      </c>
      <c r="F1623">
        <v>27.55</v>
      </c>
      <c r="G1623">
        <v>14.48</v>
      </c>
      <c r="H1623">
        <v>0.58</v>
      </c>
      <c r="I1623">
        <v>0.0</v>
      </c>
      <c r="J1623">
        <v>20.8</v>
      </c>
      <c r="K1623">
        <v>26.58</v>
      </c>
      <c r="L1623">
        <v>16.67</v>
      </c>
      <c r="M1623">
        <v>0.0</v>
      </c>
      <c r="N1623">
        <v>0.0</v>
      </c>
      <c r="O1623">
        <v>21.33</v>
      </c>
      <c r="P1623">
        <v>27.02</v>
      </c>
      <c r="Q1623">
        <v>17.54</v>
      </c>
      <c r="R1623">
        <v>0.0</v>
      </c>
    </row>
    <row r="1624">
      <c r="A1624" s="9">
        <v>40155</v>
      </c>
      <c r="B1624" s="2" t="inlineStr">
        <is>
          <t xml:space="preserve">2009-12</t>
        </is>
      </c>
      <c r="C1624" s="2" t="inlineStr">
        <is>
          <t xml:space="preserve">2009/10</t>
        </is>
      </c>
      <c r="D1624">
        <v>0.0</v>
      </c>
      <c r="E1624">
        <v>21.04</v>
      </c>
      <c r="F1624">
        <v>28.98</v>
      </c>
      <c r="G1624">
        <v>15.58</v>
      </c>
      <c r="H1624">
        <v>0.05</v>
      </c>
      <c r="I1624">
        <v>0.0</v>
      </c>
      <c r="J1624">
        <v>22.03</v>
      </c>
      <c r="K1624">
        <v>27.39</v>
      </c>
      <c r="L1624">
        <v>18.2</v>
      </c>
      <c r="M1624">
        <v>0.0</v>
      </c>
      <c r="N1624">
        <v>0.0</v>
      </c>
      <c r="O1624">
        <v>22.77</v>
      </c>
      <c r="P1624">
        <v>28.64</v>
      </c>
      <c r="Q1624">
        <v>18.81</v>
      </c>
      <c r="R1624">
        <v>0.0</v>
      </c>
    </row>
    <row r="1625">
      <c r="A1625" s="9">
        <v>40156</v>
      </c>
      <c r="B1625" s="2" t="inlineStr">
        <is>
          <t xml:space="preserve">2009-12</t>
        </is>
      </c>
      <c r="C1625" s="2" t="inlineStr">
        <is>
          <t xml:space="preserve">2009/10</t>
        </is>
      </c>
      <c r="D1625">
        <v>0.0</v>
      </c>
      <c r="E1625">
        <v>21.18</v>
      </c>
      <c r="F1625">
        <v>29.64</v>
      </c>
      <c r="G1625">
        <v>13.83</v>
      </c>
      <c r="H1625">
        <v>0.0</v>
      </c>
      <c r="I1625">
        <v>0.0</v>
      </c>
      <c r="J1625">
        <v>20.92</v>
      </c>
      <c r="K1625">
        <v>27.4</v>
      </c>
      <c r="L1625">
        <v>16.23</v>
      </c>
      <c r="M1625">
        <v>0.0</v>
      </c>
      <c r="N1625">
        <v>0.0</v>
      </c>
      <c r="O1625">
        <v>22.08</v>
      </c>
      <c r="P1625">
        <v>28.76</v>
      </c>
      <c r="Q1625">
        <v>16.28</v>
      </c>
      <c r="R1625">
        <v>0.0</v>
      </c>
    </row>
    <row r="1626">
      <c r="A1626" s="9">
        <v>40157</v>
      </c>
      <c r="B1626" s="2" t="inlineStr">
        <is>
          <t xml:space="preserve">2009-12</t>
        </is>
      </c>
      <c r="C1626" s="2" t="inlineStr">
        <is>
          <t xml:space="preserve">2009/10</t>
        </is>
      </c>
      <c r="D1626">
        <v>0.0</v>
      </c>
      <c r="E1626">
        <v>21.7</v>
      </c>
      <c r="F1626">
        <v>29.79</v>
      </c>
      <c r="G1626">
        <v>14.94</v>
      </c>
      <c r="H1626">
        <v>0.05</v>
      </c>
      <c r="I1626">
        <v>0.0</v>
      </c>
      <c r="J1626">
        <v>20.95</v>
      </c>
      <c r="K1626">
        <v>27.95</v>
      </c>
      <c r="L1626">
        <v>15.24</v>
      </c>
      <c r="M1626">
        <v>0.0</v>
      </c>
      <c r="N1626">
        <v>0.0</v>
      </c>
      <c r="O1626">
        <v>21.52</v>
      </c>
      <c r="P1626">
        <v>28.57</v>
      </c>
      <c r="Q1626">
        <v>15.71</v>
      </c>
      <c r="R1626">
        <v>0.0</v>
      </c>
    </row>
    <row r="1627">
      <c r="A1627" s="9">
        <v>40158</v>
      </c>
      <c r="B1627" s="2" t="inlineStr">
        <is>
          <t xml:space="preserve">2009-12</t>
        </is>
      </c>
      <c r="C1627" s="2" t="inlineStr">
        <is>
          <t xml:space="preserve">2009/10</t>
        </is>
      </c>
      <c r="D1627">
        <v>0.0</v>
      </c>
      <c r="E1627">
        <v>21.72</v>
      </c>
      <c r="F1627">
        <v>28.59</v>
      </c>
      <c r="G1627">
        <v>16.32</v>
      </c>
      <c r="H1627">
        <v>0.11</v>
      </c>
      <c r="I1627">
        <v>0.0</v>
      </c>
      <c r="J1627">
        <v>21.15</v>
      </c>
      <c r="K1627">
        <v>27.22</v>
      </c>
      <c r="L1627">
        <v>16.45</v>
      </c>
      <c r="M1627">
        <v>0.03</v>
      </c>
      <c r="N1627">
        <v>0.0</v>
      </c>
      <c r="O1627">
        <v>22.02</v>
      </c>
      <c r="P1627">
        <v>27.56</v>
      </c>
      <c r="Q1627">
        <v>18.55</v>
      </c>
      <c r="R1627">
        <v>0.03</v>
      </c>
    </row>
    <row r="1628">
      <c r="A1628" s="9">
        <v>40159</v>
      </c>
      <c r="B1628" s="2" t="inlineStr">
        <is>
          <t xml:space="preserve">2009-12</t>
        </is>
      </c>
      <c r="C1628" s="2" t="inlineStr">
        <is>
          <t xml:space="preserve">2009/10</t>
        </is>
      </c>
      <c r="D1628">
        <v>0.0</v>
      </c>
      <c r="E1628">
        <v>20.64</v>
      </c>
      <c r="F1628">
        <v>27.75</v>
      </c>
      <c r="G1628">
        <v>14.52</v>
      </c>
      <c r="H1628">
        <v>0.07</v>
      </c>
      <c r="I1628">
        <v>0.0</v>
      </c>
      <c r="J1628">
        <v>21.1</v>
      </c>
      <c r="K1628">
        <v>26.57</v>
      </c>
      <c r="L1628">
        <v>17.48</v>
      </c>
      <c r="M1628">
        <v>0.07</v>
      </c>
      <c r="N1628">
        <v>0.165</v>
      </c>
      <c r="O1628">
        <v>21.57</v>
      </c>
      <c r="P1628">
        <v>26.9</v>
      </c>
      <c r="Q1628">
        <v>18.46</v>
      </c>
      <c r="R1628">
        <v>0.19</v>
      </c>
    </row>
    <row r="1629">
      <c r="A1629" s="9">
        <v>40160</v>
      </c>
      <c r="B1629" s="2" t="inlineStr">
        <is>
          <t xml:space="preserve">2009-12</t>
        </is>
      </c>
      <c r="C1629" s="2" t="inlineStr">
        <is>
          <t xml:space="preserve">2009/10</t>
        </is>
      </c>
      <c r="D1629">
        <v>0.0</v>
      </c>
      <c r="E1629">
        <v>20.69</v>
      </c>
      <c r="F1629">
        <v>28.41</v>
      </c>
      <c r="G1629">
        <v>14.82</v>
      </c>
      <c r="H1629">
        <v>0.42</v>
      </c>
      <c r="I1629">
        <v>0.0</v>
      </c>
      <c r="J1629">
        <v>20.87</v>
      </c>
      <c r="K1629">
        <v>27.31</v>
      </c>
      <c r="L1629">
        <v>16.69</v>
      </c>
      <c r="M1629">
        <v>0.1</v>
      </c>
      <c r="N1629">
        <v>0.067</v>
      </c>
      <c r="O1629">
        <v>21.38</v>
      </c>
      <c r="P1629">
        <v>27.14</v>
      </c>
      <c r="Q1629">
        <v>17.93</v>
      </c>
      <c r="R1629">
        <v>0.45</v>
      </c>
    </row>
    <row r="1630">
      <c r="A1630" s="9">
        <v>40161</v>
      </c>
      <c r="B1630" s="2" t="inlineStr">
        <is>
          <t xml:space="preserve">2009-12</t>
        </is>
      </c>
      <c r="C1630" s="2" t="inlineStr">
        <is>
          <t xml:space="preserve">2009/10</t>
        </is>
      </c>
      <c r="D1630">
        <v>0.0</v>
      </c>
      <c r="E1630">
        <v>20.55</v>
      </c>
      <c r="F1630">
        <v>28.42</v>
      </c>
      <c r="G1630">
        <v>15.77</v>
      </c>
      <c r="H1630">
        <v>0.02</v>
      </c>
      <c r="I1630">
        <v>0.0</v>
      </c>
      <c r="J1630">
        <v>21.14</v>
      </c>
      <c r="K1630">
        <v>26.95</v>
      </c>
      <c r="L1630">
        <v>16.0</v>
      </c>
      <c r="M1630">
        <v>0.0</v>
      </c>
      <c r="N1630">
        <v>0.0</v>
      </c>
      <c r="O1630">
        <v>21.2</v>
      </c>
      <c r="P1630">
        <v>26.82</v>
      </c>
      <c r="Q1630">
        <v>16.86</v>
      </c>
      <c r="R1630">
        <v>0.0</v>
      </c>
    </row>
    <row r="1631">
      <c r="A1631" s="9">
        <v>40162</v>
      </c>
      <c r="B1631" s="2" t="inlineStr">
        <is>
          <t xml:space="preserve">2009-12</t>
        </is>
      </c>
      <c r="C1631" s="2" t="inlineStr">
        <is>
          <t xml:space="preserve">2009/10</t>
        </is>
      </c>
      <c r="D1631">
        <v>0.0</v>
      </c>
      <c r="E1631">
        <v>20.42</v>
      </c>
      <c r="F1631">
        <v>28.16</v>
      </c>
      <c r="G1631">
        <v>14.62</v>
      </c>
      <c r="H1631">
        <v>1.84</v>
      </c>
      <c r="I1631">
        <v>0.0</v>
      </c>
      <c r="J1631">
        <v>21.06</v>
      </c>
      <c r="K1631">
        <v>26.91</v>
      </c>
      <c r="L1631">
        <v>16.81</v>
      </c>
      <c r="M1631">
        <v>3.41</v>
      </c>
      <c r="N1631">
        <v>0.0</v>
      </c>
      <c r="O1631">
        <v>21.24</v>
      </c>
      <c r="P1631">
        <v>26.83</v>
      </c>
      <c r="Q1631">
        <v>16.93</v>
      </c>
      <c r="R1631">
        <v>4.32</v>
      </c>
    </row>
    <row r="1632">
      <c r="A1632" s="9">
        <v>40163</v>
      </c>
      <c r="B1632" s="2" t="inlineStr">
        <is>
          <t xml:space="preserve">2009-12</t>
        </is>
      </c>
      <c r="C1632" s="2" t="inlineStr">
        <is>
          <t xml:space="preserve">2009/10</t>
        </is>
      </c>
      <c r="D1632">
        <v>11.97</v>
      </c>
      <c r="E1632">
        <v>19.79</v>
      </c>
      <c r="F1632">
        <v>26.38</v>
      </c>
      <c r="G1632">
        <v>15.41</v>
      </c>
      <c r="H1632">
        <v>12.97</v>
      </c>
      <c r="I1632">
        <v>10.845</v>
      </c>
      <c r="J1632">
        <v>20.75</v>
      </c>
      <c r="K1632">
        <v>26.19</v>
      </c>
      <c r="L1632">
        <v>17.35</v>
      </c>
      <c r="M1632">
        <v>7.52</v>
      </c>
      <c r="N1632">
        <v>13.935</v>
      </c>
      <c r="O1632">
        <v>20.79</v>
      </c>
      <c r="P1632">
        <v>25.45</v>
      </c>
      <c r="Q1632">
        <v>18.03</v>
      </c>
      <c r="R1632">
        <v>9.03</v>
      </c>
    </row>
    <row r="1633">
      <c r="A1633" s="9">
        <v>40164</v>
      </c>
      <c r="B1633" s="2" t="inlineStr">
        <is>
          <t xml:space="preserve">2009-12</t>
        </is>
      </c>
      <c r="C1633" s="2" t="inlineStr">
        <is>
          <t xml:space="preserve">2009/10</t>
        </is>
      </c>
      <c r="D1633">
        <v>0.0</v>
      </c>
      <c r="E1633">
        <v>20.93</v>
      </c>
      <c r="F1633">
        <v>28.25</v>
      </c>
      <c r="G1633">
        <v>15.16</v>
      </c>
      <c r="H1633">
        <v>0.08</v>
      </c>
      <c r="I1633">
        <v>0.0</v>
      </c>
      <c r="J1633">
        <v>21.29</v>
      </c>
      <c r="K1633">
        <v>26.9</v>
      </c>
      <c r="L1633">
        <v>17.34</v>
      </c>
      <c r="M1633">
        <v>0.15</v>
      </c>
      <c r="N1633">
        <v>0.0</v>
      </c>
      <c r="O1633">
        <v>21.35</v>
      </c>
      <c r="P1633">
        <v>26.84</v>
      </c>
      <c r="Q1633">
        <v>18.03</v>
      </c>
      <c r="R1633">
        <v>0.24</v>
      </c>
    </row>
    <row r="1634">
      <c r="A1634" s="9">
        <v>40165</v>
      </c>
      <c r="B1634" s="2" t="inlineStr">
        <is>
          <t xml:space="preserve">2009-12</t>
        </is>
      </c>
      <c r="C1634" s="2" t="inlineStr">
        <is>
          <t xml:space="preserve">2009/10</t>
        </is>
      </c>
      <c r="D1634">
        <v>0.0</v>
      </c>
      <c r="E1634">
        <v>20.41</v>
      </c>
      <c r="F1634">
        <v>26.71</v>
      </c>
      <c r="G1634">
        <v>16.22</v>
      </c>
      <c r="H1634">
        <v>0.73</v>
      </c>
      <c r="I1634">
        <v>0.631</v>
      </c>
      <c r="J1634">
        <v>19.93</v>
      </c>
      <c r="K1634">
        <v>24.07</v>
      </c>
      <c r="L1634">
        <v>17.34</v>
      </c>
      <c r="M1634">
        <v>0.62</v>
      </c>
      <c r="N1634">
        <v>0.849</v>
      </c>
      <c r="O1634">
        <v>20.06</v>
      </c>
      <c r="P1634">
        <v>23.82</v>
      </c>
      <c r="Q1634">
        <v>17.95</v>
      </c>
      <c r="R1634">
        <v>0.91</v>
      </c>
    </row>
    <row r="1635">
      <c r="A1635" s="9">
        <v>40166</v>
      </c>
      <c r="B1635" s="2" t="inlineStr">
        <is>
          <t xml:space="preserve">2009-12</t>
        </is>
      </c>
      <c r="C1635" s="2" t="inlineStr">
        <is>
          <t xml:space="preserve">2009/10</t>
        </is>
      </c>
      <c r="D1635">
        <v>0.071</v>
      </c>
      <c r="E1635">
        <v>19.07</v>
      </c>
      <c r="F1635">
        <v>24.47</v>
      </c>
      <c r="G1635">
        <v>16.03</v>
      </c>
      <c r="H1635">
        <v>2.47</v>
      </c>
      <c r="I1635">
        <v>0.89</v>
      </c>
      <c r="J1635">
        <v>18.34</v>
      </c>
      <c r="K1635">
        <v>22.62</v>
      </c>
      <c r="L1635">
        <v>16.45</v>
      </c>
      <c r="M1635">
        <v>1.35</v>
      </c>
      <c r="N1635">
        <v>1.361</v>
      </c>
      <c r="O1635">
        <v>18.36</v>
      </c>
      <c r="P1635">
        <v>21.2</v>
      </c>
      <c r="Q1635">
        <v>16.58</v>
      </c>
      <c r="R1635">
        <v>2.2</v>
      </c>
    </row>
    <row r="1636">
      <c r="A1636" s="9">
        <v>40167</v>
      </c>
      <c r="B1636" s="2" t="inlineStr">
        <is>
          <t xml:space="preserve">2009-12</t>
        </is>
      </c>
      <c r="C1636" s="2" t="inlineStr">
        <is>
          <t xml:space="preserve">2009/10</t>
        </is>
      </c>
      <c r="D1636">
        <v>0.422</v>
      </c>
      <c r="E1636">
        <v>18.31</v>
      </c>
      <c r="F1636">
        <v>23.11</v>
      </c>
      <c r="G1636">
        <v>15.54</v>
      </c>
      <c r="H1636">
        <v>12.89</v>
      </c>
      <c r="I1636">
        <v>1.726</v>
      </c>
      <c r="J1636">
        <v>17.35</v>
      </c>
      <c r="K1636">
        <v>20.74</v>
      </c>
      <c r="L1636">
        <v>14.84</v>
      </c>
      <c r="M1636">
        <v>5.38</v>
      </c>
      <c r="N1636">
        <v>2.201</v>
      </c>
      <c r="O1636">
        <v>17.11</v>
      </c>
      <c r="P1636">
        <v>19.52</v>
      </c>
      <c r="Q1636">
        <v>15.34</v>
      </c>
      <c r="R1636">
        <v>7.43</v>
      </c>
    </row>
    <row r="1637">
      <c r="A1637" s="9">
        <v>40168</v>
      </c>
      <c r="B1637" s="2" t="inlineStr">
        <is>
          <t xml:space="preserve">2009-12</t>
        </is>
      </c>
      <c r="C1637" s="2" t="inlineStr">
        <is>
          <t xml:space="preserve">2009/10</t>
        </is>
      </c>
      <c r="D1637">
        <v>21.599</v>
      </c>
      <c r="E1637">
        <v>16.63</v>
      </c>
      <c r="F1637">
        <v>20.46</v>
      </c>
      <c r="G1637">
        <v>14.46</v>
      </c>
      <c r="H1637">
        <v>14.99</v>
      </c>
      <c r="I1637">
        <v>18.015</v>
      </c>
      <c r="J1637">
        <v>14.91</v>
      </c>
      <c r="K1637">
        <v>18.33</v>
      </c>
      <c r="L1637">
        <v>13.05</v>
      </c>
      <c r="M1637">
        <v>13.64</v>
      </c>
      <c r="N1637">
        <v>14.356</v>
      </c>
      <c r="O1637">
        <v>14.71</v>
      </c>
      <c r="P1637">
        <v>16.93</v>
      </c>
      <c r="Q1637">
        <v>13.53</v>
      </c>
      <c r="R1637">
        <v>11.95</v>
      </c>
    </row>
    <row r="1638">
      <c r="A1638" s="9">
        <v>40169</v>
      </c>
      <c r="B1638" s="2" t="inlineStr">
        <is>
          <t xml:space="preserve">2009-12</t>
        </is>
      </c>
      <c r="C1638" s="2" t="inlineStr">
        <is>
          <t xml:space="preserve">2009/10</t>
        </is>
      </c>
      <c r="D1638">
        <v>0.031</v>
      </c>
      <c r="E1638">
        <v>17.59</v>
      </c>
      <c r="F1638">
        <v>23.76</v>
      </c>
      <c r="G1638">
        <v>13.36</v>
      </c>
      <c r="H1638">
        <v>1.4</v>
      </c>
      <c r="I1638">
        <v>0.081</v>
      </c>
      <c r="J1638">
        <v>16.59</v>
      </c>
      <c r="K1638">
        <v>23.0</v>
      </c>
      <c r="L1638">
        <v>12.36</v>
      </c>
      <c r="M1638">
        <v>0.26</v>
      </c>
      <c r="N1638">
        <v>0.275</v>
      </c>
      <c r="O1638">
        <v>16.53</v>
      </c>
      <c r="P1638">
        <v>21.62</v>
      </c>
      <c r="Q1638">
        <v>13.09</v>
      </c>
      <c r="R1638">
        <v>0.52</v>
      </c>
    </row>
    <row r="1639">
      <c r="A1639" s="9">
        <v>40170</v>
      </c>
      <c r="B1639" s="2" t="inlineStr">
        <is>
          <t xml:space="preserve">2009-12</t>
        </is>
      </c>
      <c r="C1639" s="2" t="inlineStr">
        <is>
          <t xml:space="preserve">2009/10</t>
        </is>
      </c>
      <c r="D1639">
        <v>0.0</v>
      </c>
      <c r="E1639">
        <v>19.91</v>
      </c>
      <c r="F1639">
        <v>27.35</v>
      </c>
      <c r="G1639">
        <v>14.36</v>
      </c>
      <c r="H1639">
        <v>0.0</v>
      </c>
      <c r="I1639">
        <v>0.0</v>
      </c>
      <c r="J1639">
        <v>18.62</v>
      </c>
      <c r="K1639">
        <v>26.21</v>
      </c>
      <c r="L1639">
        <v>13.56</v>
      </c>
      <c r="M1639">
        <v>0.0</v>
      </c>
      <c r="N1639">
        <v>0.0</v>
      </c>
      <c r="O1639">
        <v>19.52</v>
      </c>
      <c r="P1639">
        <v>26.01</v>
      </c>
      <c r="Q1639">
        <v>14.44</v>
      </c>
      <c r="R1639">
        <v>0.0</v>
      </c>
    </row>
    <row r="1640">
      <c r="A1640" s="9">
        <v>40171</v>
      </c>
      <c r="B1640" s="2" t="inlineStr">
        <is>
          <t xml:space="preserve">2009-12</t>
        </is>
      </c>
      <c r="C1640" s="2" t="inlineStr">
        <is>
          <t xml:space="preserve">2009/10</t>
        </is>
      </c>
      <c r="D1640">
        <v>0.0</v>
      </c>
      <c r="E1640">
        <v>19.79</v>
      </c>
      <c r="F1640">
        <v>27.79</v>
      </c>
      <c r="G1640">
        <v>13.71</v>
      </c>
      <c r="H1640">
        <v>0.0</v>
      </c>
      <c r="I1640">
        <v>0.0</v>
      </c>
      <c r="J1640">
        <v>18.63</v>
      </c>
      <c r="K1640">
        <v>26.5</v>
      </c>
      <c r="L1640">
        <v>13.57</v>
      </c>
      <c r="M1640">
        <v>0.0</v>
      </c>
      <c r="N1640">
        <v>0.0</v>
      </c>
      <c r="O1640">
        <v>19.29</v>
      </c>
      <c r="P1640">
        <v>26.79</v>
      </c>
      <c r="Q1640">
        <v>14.11</v>
      </c>
      <c r="R1640">
        <v>0.0</v>
      </c>
    </row>
    <row r="1641">
      <c r="A1641" s="9">
        <v>40172</v>
      </c>
      <c r="B1641" s="2" t="inlineStr">
        <is>
          <t xml:space="preserve">2009-12</t>
        </is>
      </c>
      <c r="C1641" s="2" t="inlineStr">
        <is>
          <t xml:space="preserve">2009/10</t>
        </is>
      </c>
      <c r="D1641">
        <v>0.0</v>
      </c>
      <c r="E1641">
        <v>19.43</v>
      </c>
      <c r="F1641">
        <v>26.74</v>
      </c>
      <c r="G1641">
        <v>13.57</v>
      </c>
      <c r="H1641">
        <v>0.0</v>
      </c>
      <c r="I1641">
        <v>0.0</v>
      </c>
      <c r="J1641">
        <v>18.54</v>
      </c>
      <c r="K1641">
        <v>25.46</v>
      </c>
      <c r="L1641">
        <v>13.3</v>
      </c>
      <c r="M1641">
        <v>0.0</v>
      </c>
      <c r="N1641">
        <v>0.0</v>
      </c>
      <c r="O1641">
        <v>19.11</v>
      </c>
      <c r="P1641">
        <v>24.94</v>
      </c>
      <c r="Q1641">
        <v>14.97</v>
      </c>
      <c r="R1641">
        <v>0.0</v>
      </c>
    </row>
    <row r="1642">
      <c r="A1642" s="9">
        <v>40173</v>
      </c>
      <c r="B1642" s="2" t="inlineStr">
        <is>
          <t xml:space="preserve">2009-12</t>
        </is>
      </c>
      <c r="C1642" s="2" t="inlineStr">
        <is>
          <t xml:space="preserve">2009/10</t>
        </is>
      </c>
      <c r="D1642">
        <v>0.0</v>
      </c>
      <c r="E1642">
        <v>20.83</v>
      </c>
      <c r="F1642">
        <v>28.59</v>
      </c>
      <c r="G1642">
        <v>14.94</v>
      </c>
      <c r="H1642">
        <v>0.0</v>
      </c>
      <c r="I1642">
        <v>0.0</v>
      </c>
      <c r="J1642">
        <v>20.41</v>
      </c>
      <c r="K1642">
        <v>27.77</v>
      </c>
      <c r="L1642">
        <v>14.91</v>
      </c>
      <c r="M1642">
        <v>0.0</v>
      </c>
      <c r="N1642">
        <v>0.0</v>
      </c>
      <c r="O1642">
        <v>20.31</v>
      </c>
      <c r="P1642">
        <v>27.19</v>
      </c>
      <c r="Q1642">
        <v>15.62</v>
      </c>
      <c r="R1642">
        <v>0.0</v>
      </c>
    </row>
    <row r="1643">
      <c r="A1643" s="9">
        <v>40174</v>
      </c>
      <c r="B1643" s="2" t="inlineStr">
        <is>
          <t xml:space="preserve">2009-12</t>
        </is>
      </c>
      <c r="C1643" s="2" t="inlineStr">
        <is>
          <t xml:space="preserve">2009/10</t>
        </is>
      </c>
      <c r="D1643">
        <v>0.0</v>
      </c>
      <c r="E1643">
        <v>21.57</v>
      </c>
      <c r="F1643">
        <v>28.85</v>
      </c>
      <c r="G1643">
        <v>16.03</v>
      </c>
      <c r="H1643">
        <v>0.15</v>
      </c>
      <c r="I1643">
        <v>0.0</v>
      </c>
      <c r="J1643">
        <v>20.55</v>
      </c>
      <c r="K1643">
        <v>28.08</v>
      </c>
      <c r="L1643">
        <v>14.85</v>
      </c>
      <c r="M1643">
        <v>1.1</v>
      </c>
      <c r="N1643">
        <v>0.0</v>
      </c>
      <c r="O1643">
        <v>20.93</v>
      </c>
      <c r="P1643">
        <v>27.6</v>
      </c>
      <c r="Q1643">
        <v>16.93</v>
      </c>
      <c r="R1643">
        <v>2.15</v>
      </c>
    </row>
    <row r="1644">
      <c r="A1644" s="9">
        <v>40175</v>
      </c>
      <c r="B1644" s="2" t="inlineStr">
        <is>
          <t xml:space="preserve">2009-12</t>
        </is>
      </c>
      <c r="C1644" s="2" t="inlineStr">
        <is>
          <t xml:space="preserve">2009/10</t>
        </is>
      </c>
      <c r="D1644">
        <v>0.0</v>
      </c>
      <c r="E1644">
        <v>20.3</v>
      </c>
      <c r="F1644">
        <v>25.75</v>
      </c>
      <c r="G1644">
        <v>16.82</v>
      </c>
      <c r="H1644">
        <v>0.45</v>
      </c>
      <c r="I1644">
        <v>1.112</v>
      </c>
      <c r="J1644">
        <v>18.84</v>
      </c>
      <c r="K1644">
        <v>23.47</v>
      </c>
      <c r="L1644">
        <v>15.86</v>
      </c>
      <c r="M1644">
        <v>2.75</v>
      </c>
      <c r="N1644">
        <v>2.152</v>
      </c>
      <c r="O1644">
        <v>19.27</v>
      </c>
      <c r="P1644">
        <v>23.4</v>
      </c>
      <c r="Q1644">
        <v>16.46</v>
      </c>
      <c r="R1644">
        <v>10.69</v>
      </c>
    </row>
    <row r="1645">
      <c r="A1645" s="9">
        <v>40176</v>
      </c>
      <c r="B1645" s="2" t="inlineStr">
        <is>
          <t xml:space="preserve">2009-12</t>
        </is>
      </c>
      <c r="C1645" s="2" t="inlineStr">
        <is>
          <t xml:space="preserve">2009/10</t>
        </is>
      </c>
      <c r="D1645">
        <v>0.0</v>
      </c>
      <c r="E1645">
        <v>20.01</v>
      </c>
      <c r="F1645">
        <v>26.02</v>
      </c>
      <c r="G1645">
        <v>15.91</v>
      </c>
      <c r="H1645">
        <v>0.38</v>
      </c>
      <c r="I1645">
        <v>0.322</v>
      </c>
      <c r="J1645">
        <v>19.71</v>
      </c>
      <c r="K1645">
        <v>25.18</v>
      </c>
      <c r="L1645">
        <v>15.79</v>
      </c>
      <c r="M1645">
        <v>0.5</v>
      </c>
      <c r="N1645">
        <v>0.458</v>
      </c>
      <c r="O1645">
        <v>19.75</v>
      </c>
      <c r="P1645">
        <v>24.65</v>
      </c>
      <c r="Q1645">
        <v>16.58</v>
      </c>
      <c r="R1645">
        <v>1.45</v>
      </c>
    </row>
    <row r="1646">
      <c r="A1646" s="9">
        <v>40177</v>
      </c>
      <c r="B1646" s="2" t="inlineStr">
        <is>
          <t xml:space="preserve">2009-12</t>
        </is>
      </c>
      <c r="C1646" s="2" t="inlineStr">
        <is>
          <t xml:space="preserve">2009/10</t>
        </is>
      </c>
      <c r="D1646">
        <v>0.0</v>
      </c>
      <c r="E1646">
        <v>20.68</v>
      </c>
      <c r="F1646">
        <v>27.12</v>
      </c>
      <c r="G1646">
        <v>15.69</v>
      </c>
      <c r="H1646">
        <v>0.25</v>
      </c>
      <c r="I1646">
        <v>0.313</v>
      </c>
      <c r="J1646">
        <v>20.87</v>
      </c>
      <c r="K1646">
        <v>26.82</v>
      </c>
      <c r="L1646">
        <v>16.46</v>
      </c>
      <c r="M1646">
        <v>2.11</v>
      </c>
      <c r="N1646">
        <v>0.415</v>
      </c>
      <c r="O1646">
        <v>20.66</v>
      </c>
      <c r="P1646">
        <v>25.87</v>
      </c>
      <c r="Q1646">
        <v>17.14</v>
      </c>
      <c r="R1646">
        <v>2.58</v>
      </c>
    </row>
    <row r="1647">
      <c r="A1647" s="9">
        <v>40178</v>
      </c>
      <c r="B1647" s="2" t="inlineStr">
        <is>
          <t xml:space="preserve">2009-12</t>
        </is>
      </c>
      <c r="C1647" s="2" t="inlineStr">
        <is>
          <t xml:space="preserve">2009/10</t>
        </is>
      </c>
      <c r="D1647">
        <v>0.049</v>
      </c>
      <c r="E1647">
        <v>21.07</v>
      </c>
      <c r="F1647">
        <v>27.92</v>
      </c>
      <c r="G1647">
        <v>16.31</v>
      </c>
      <c r="H1647">
        <v>0.35</v>
      </c>
      <c r="I1647">
        <v>5.341</v>
      </c>
      <c r="J1647">
        <v>20.89</v>
      </c>
      <c r="K1647">
        <v>26.44</v>
      </c>
      <c r="L1647">
        <v>17.15</v>
      </c>
      <c r="M1647">
        <v>3.62</v>
      </c>
      <c r="N1647">
        <v>7.243</v>
      </c>
      <c r="O1647">
        <v>20.75</v>
      </c>
      <c r="P1647">
        <v>25.65</v>
      </c>
      <c r="Q1647">
        <v>17.81</v>
      </c>
      <c r="R1647">
        <v>3.87</v>
      </c>
    </row>
    <row r="1648">
      <c r="A1648" s="9">
        <v>40179</v>
      </c>
      <c r="B1648" s="2" t="inlineStr">
        <is>
          <t xml:space="preserve">2010-01</t>
        </is>
      </c>
      <c r="C1648" s="2" t="inlineStr">
        <is>
          <t xml:space="preserve">2009/10</t>
        </is>
      </c>
      <c r="D1648">
        <v>0.0</v>
      </c>
      <c r="E1648">
        <v>21.11</v>
      </c>
      <c r="F1648">
        <v>27.76</v>
      </c>
      <c r="G1648">
        <v>16.01</v>
      </c>
      <c r="H1648">
        <v>1.22</v>
      </c>
      <c r="I1648">
        <v>0.0</v>
      </c>
      <c r="J1648">
        <v>21.13</v>
      </c>
      <c r="K1648">
        <v>26.95</v>
      </c>
      <c r="L1648">
        <v>17.2</v>
      </c>
      <c r="M1648">
        <v>2.24</v>
      </c>
      <c r="N1648">
        <v>0.0</v>
      </c>
      <c r="O1648">
        <v>21.21</v>
      </c>
      <c r="P1648">
        <v>26.16</v>
      </c>
      <c r="Q1648">
        <v>18.05</v>
      </c>
      <c r="R1648">
        <v>7.86</v>
      </c>
    </row>
    <row r="1649">
      <c r="A1649" s="9">
        <v>40180</v>
      </c>
      <c r="B1649" s="2" t="inlineStr">
        <is>
          <t xml:space="preserve">2010-01</t>
        </is>
      </c>
      <c r="C1649" s="2" t="inlineStr">
        <is>
          <t xml:space="preserve">2009/10</t>
        </is>
      </c>
      <c r="D1649">
        <v>0.154</v>
      </c>
      <c r="E1649">
        <v>19.99</v>
      </c>
      <c r="F1649">
        <v>25.86</v>
      </c>
      <c r="G1649">
        <v>16.37</v>
      </c>
      <c r="H1649">
        <v>5.49</v>
      </c>
      <c r="I1649">
        <v>3.628</v>
      </c>
      <c r="J1649">
        <v>20.19</v>
      </c>
      <c r="K1649">
        <v>25.49</v>
      </c>
      <c r="L1649">
        <v>17.26</v>
      </c>
      <c r="M1649">
        <v>11.03</v>
      </c>
      <c r="N1649">
        <v>7.19</v>
      </c>
      <c r="O1649">
        <v>19.9</v>
      </c>
      <c r="P1649">
        <v>23.75</v>
      </c>
      <c r="Q1649">
        <v>17.75</v>
      </c>
      <c r="R1649">
        <v>33.24</v>
      </c>
    </row>
    <row r="1650">
      <c r="A1650" s="9">
        <v>40181</v>
      </c>
      <c r="B1650" s="2" t="inlineStr">
        <is>
          <t xml:space="preserve">2010-01</t>
        </is>
      </c>
      <c r="C1650" s="2" t="inlineStr">
        <is>
          <t xml:space="preserve">2009/10</t>
        </is>
      </c>
      <c r="D1650">
        <v>0.399</v>
      </c>
      <c r="E1650">
        <v>19.44</v>
      </c>
      <c r="F1650">
        <v>25.07</v>
      </c>
      <c r="G1650">
        <v>16.16</v>
      </c>
      <c r="H1650">
        <v>3.91</v>
      </c>
      <c r="I1650">
        <v>3.538</v>
      </c>
      <c r="J1650">
        <v>19.04</v>
      </c>
      <c r="K1650">
        <v>23.8</v>
      </c>
      <c r="L1650">
        <v>16.0</v>
      </c>
      <c r="M1650">
        <v>3.45</v>
      </c>
      <c r="N1650">
        <v>5.685</v>
      </c>
      <c r="O1650">
        <v>18.71</v>
      </c>
      <c r="P1650">
        <v>22.75</v>
      </c>
      <c r="Q1650">
        <v>16.13</v>
      </c>
      <c r="R1650">
        <v>4.4</v>
      </c>
    </row>
    <row r="1651">
      <c r="A1651" s="9">
        <v>40182</v>
      </c>
      <c r="B1651" s="2" t="inlineStr">
        <is>
          <t xml:space="preserve">2010-01</t>
        </is>
      </c>
      <c r="C1651" s="2" t="inlineStr">
        <is>
          <t xml:space="preserve">2009/10</t>
        </is>
      </c>
      <c r="D1651">
        <v>0.273</v>
      </c>
      <c r="E1651">
        <v>18.37</v>
      </c>
      <c r="F1651">
        <v>24.42</v>
      </c>
      <c r="G1651">
        <v>14.78</v>
      </c>
      <c r="H1651">
        <v>3.31</v>
      </c>
      <c r="I1651">
        <v>1.68</v>
      </c>
      <c r="J1651">
        <v>18.49</v>
      </c>
      <c r="K1651">
        <v>23.83</v>
      </c>
      <c r="L1651">
        <v>15.04</v>
      </c>
      <c r="M1651">
        <v>2.43</v>
      </c>
      <c r="N1651">
        <v>2.436</v>
      </c>
      <c r="O1651">
        <v>18.07</v>
      </c>
      <c r="P1651">
        <v>22.35</v>
      </c>
      <c r="Q1651">
        <v>15.4</v>
      </c>
      <c r="R1651">
        <v>3.51</v>
      </c>
    </row>
    <row r="1652">
      <c r="A1652" s="9">
        <v>40183</v>
      </c>
      <c r="B1652" s="2" t="inlineStr">
        <is>
          <t xml:space="preserve">2010-01</t>
        </is>
      </c>
      <c r="C1652" s="2" t="inlineStr">
        <is>
          <t xml:space="preserve">2009/10</t>
        </is>
      </c>
      <c r="D1652">
        <v>0.182</v>
      </c>
      <c r="E1652">
        <v>18.05</v>
      </c>
      <c r="F1652">
        <v>23.89</v>
      </c>
      <c r="G1652">
        <v>15.3</v>
      </c>
      <c r="H1652">
        <v>5.16</v>
      </c>
      <c r="I1652">
        <v>2.203</v>
      </c>
      <c r="J1652">
        <v>17.14</v>
      </c>
      <c r="K1652">
        <v>21.15</v>
      </c>
      <c r="L1652">
        <v>14.87</v>
      </c>
      <c r="M1652">
        <v>2.95</v>
      </c>
      <c r="N1652">
        <v>3.154</v>
      </c>
      <c r="O1652">
        <v>16.88</v>
      </c>
      <c r="P1652">
        <v>19.68</v>
      </c>
      <c r="Q1652">
        <v>15.35</v>
      </c>
      <c r="R1652">
        <v>4.09</v>
      </c>
    </row>
    <row r="1653">
      <c r="A1653" s="9">
        <v>40184</v>
      </c>
      <c r="B1653" s="2" t="inlineStr">
        <is>
          <t xml:space="preserve">2010-01</t>
        </is>
      </c>
      <c r="C1653" s="2" t="inlineStr">
        <is>
          <t xml:space="preserve">2009/10</t>
        </is>
      </c>
      <c r="D1653">
        <v>0.172</v>
      </c>
      <c r="E1653">
        <v>17.6</v>
      </c>
      <c r="F1653">
        <v>23.35</v>
      </c>
      <c r="G1653">
        <v>14.17</v>
      </c>
      <c r="H1653">
        <v>5.11</v>
      </c>
      <c r="I1653">
        <v>2.064</v>
      </c>
      <c r="J1653">
        <v>16.38</v>
      </c>
      <c r="K1653">
        <v>20.88</v>
      </c>
      <c r="L1653">
        <v>13.98</v>
      </c>
      <c r="M1653">
        <v>2.33</v>
      </c>
      <c r="N1653">
        <v>3.295</v>
      </c>
      <c r="O1653">
        <v>16.08</v>
      </c>
      <c r="P1653">
        <v>19.04</v>
      </c>
      <c r="Q1653">
        <v>14.32</v>
      </c>
      <c r="R1653">
        <v>3.3</v>
      </c>
    </row>
    <row r="1654">
      <c r="A1654" s="9">
        <v>40185</v>
      </c>
      <c r="B1654" s="2" t="inlineStr">
        <is>
          <t xml:space="preserve">2010-01</t>
        </is>
      </c>
      <c r="C1654" s="2" t="inlineStr">
        <is>
          <t xml:space="preserve">2009/10</t>
        </is>
      </c>
      <c r="D1654">
        <v>0.0</v>
      </c>
      <c r="E1654">
        <v>18.56</v>
      </c>
      <c r="F1654">
        <v>25.59</v>
      </c>
      <c r="G1654">
        <v>13.98</v>
      </c>
      <c r="H1654">
        <v>0.11</v>
      </c>
      <c r="I1654">
        <v>0.256</v>
      </c>
      <c r="J1654">
        <v>18.09</v>
      </c>
      <c r="K1654">
        <v>24.67</v>
      </c>
      <c r="L1654">
        <v>13.32</v>
      </c>
      <c r="M1654">
        <v>0.17</v>
      </c>
      <c r="N1654">
        <v>0.351</v>
      </c>
      <c r="O1654">
        <v>17.63</v>
      </c>
      <c r="P1654">
        <v>22.99</v>
      </c>
      <c r="Q1654">
        <v>13.75</v>
      </c>
      <c r="R1654">
        <v>0.3</v>
      </c>
    </row>
    <row r="1655">
      <c r="A1655" s="9">
        <v>40186</v>
      </c>
      <c r="B1655" s="2" t="inlineStr">
        <is>
          <t xml:space="preserve">2010-01</t>
        </is>
      </c>
      <c r="C1655" s="2" t="inlineStr">
        <is>
          <t xml:space="preserve">2009/10</t>
        </is>
      </c>
      <c r="D1655">
        <v>0.0</v>
      </c>
      <c r="E1655">
        <v>19.2</v>
      </c>
      <c r="F1655">
        <v>26.06</v>
      </c>
      <c r="G1655">
        <v>13.98</v>
      </c>
      <c r="H1655">
        <v>0.06</v>
      </c>
      <c r="I1655">
        <v>0.0</v>
      </c>
      <c r="J1655">
        <v>19.27</v>
      </c>
      <c r="K1655">
        <v>25.7</v>
      </c>
      <c r="L1655">
        <v>15.18</v>
      </c>
      <c r="M1655">
        <v>0.32</v>
      </c>
      <c r="N1655">
        <v>0.0</v>
      </c>
      <c r="O1655">
        <v>18.47</v>
      </c>
      <c r="P1655">
        <v>23.33</v>
      </c>
      <c r="Q1655">
        <v>14.98</v>
      </c>
      <c r="R1655">
        <v>0.37</v>
      </c>
    </row>
    <row r="1656">
      <c r="A1656" s="9">
        <v>40187</v>
      </c>
      <c r="B1656" s="2" t="inlineStr">
        <is>
          <t xml:space="preserve">2010-01</t>
        </is>
      </c>
      <c r="C1656" s="2" t="inlineStr">
        <is>
          <t xml:space="preserve">2009/10</t>
        </is>
      </c>
      <c r="D1656">
        <v>0.0</v>
      </c>
      <c r="E1656">
        <v>18.69</v>
      </c>
      <c r="F1656">
        <v>24.67</v>
      </c>
      <c r="G1656">
        <v>15.07</v>
      </c>
      <c r="H1656">
        <v>0.65</v>
      </c>
      <c r="I1656">
        <v>1.861</v>
      </c>
      <c r="J1656">
        <v>17.41</v>
      </c>
      <c r="K1656">
        <v>23.04</v>
      </c>
      <c r="L1656">
        <v>13.12</v>
      </c>
      <c r="M1656">
        <v>2.19</v>
      </c>
      <c r="N1656">
        <v>2.519</v>
      </c>
      <c r="O1656">
        <v>17.52</v>
      </c>
      <c r="P1656">
        <v>22.45</v>
      </c>
      <c r="Q1656">
        <v>13.47</v>
      </c>
      <c r="R1656">
        <v>3.12</v>
      </c>
    </row>
    <row r="1657">
      <c r="A1657" s="9">
        <v>40188</v>
      </c>
      <c r="B1657" s="2" t="inlineStr">
        <is>
          <t xml:space="preserve">2010-01</t>
        </is>
      </c>
      <c r="C1657" s="2" t="inlineStr">
        <is>
          <t xml:space="preserve">2009/10</t>
        </is>
      </c>
      <c r="D1657">
        <v>0.041</v>
      </c>
      <c r="E1657">
        <v>13.95</v>
      </c>
      <c r="F1657">
        <v>18.52</v>
      </c>
      <c r="G1657">
        <v>11.48</v>
      </c>
      <c r="H1657">
        <v>1.36</v>
      </c>
      <c r="I1657">
        <v>1.316</v>
      </c>
      <c r="J1657">
        <v>13.4</v>
      </c>
      <c r="K1657">
        <v>16.73</v>
      </c>
      <c r="L1657">
        <v>11.37</v>
      </c>
      <c r="M1657">
        <v>1.25</v>
      </c>
      <c r="N1657">
        <v>1.954</v>
      </c>
      <c r="O1657">
        <v>13.09</v>
      </c>
      <c r="P1657">
        <v>15.14</v>
      </c>
      <c r="Q1657">
        <v>11.69</v>
      </c>
      <c r="R1657">
        <v>1.67</v>
      </c>
    </row>
    <row r="1658">
      <c r="A1658" s="9">
        <v>40189</v>
      </c>
      <c r="B1658" s="2" t="inlineStr">
        <is>
          <t xml:space="preserve">2010-01</t>
        </is>
      </c>
      <c r="C1658" s="2" t="inlineStr">
        <is>
          <t xml:space="preserve">2009/10</t>
        </is>
      </c>
      <c r="D1658">
        <v>0.0</v>
      </c>
      <c r="E1658">
        <v>13.99</v>
      </c>
      <c r="F1658">
        <v>17.77</v>
      </c>
      <c r="G1658">
        <v>11.3</v>
      </c>
      <c r="H1658">
        <v>0.3</v>
      </c>
      <c r="I1658">
        <v>0.204</v>
      </c>
      <c r="J1658">
        <v>11.88</v>
      </c>
      <c r="K1658">
        <v>14.59</v>
      </c>
      <c r="L1658">
        <v>9.4</v>
      </c>
      <c r="M1658">
        <v>0.24</v>
      </c>
      <c r="N1658">
        <v>0.276</v>
      </c>
      <c r="O1658">
        <v>11.57</v>
      </c>
      <c r="P1658">
        <v>12.89</v>
      </c>
      <c r="Q1658">
        <v>9.75</v>
      </c>
      <c r="R1658">
        <v>0.32</v>
      </c>
    </row>
    <row r="1659">
      <c r="A1659" s="9">
        <v>40190</v>
      </c>
      <c r="B1659" s="2" t="inlineStr">
        <is>
          <t xml:space="preserve">2010-01</t>
        </is>
      </c>
      <c r="C1659" s="2" t="inlineStr">
        <is>
          <t xml:space="preserve">2009/10</t>
        </is>
      </c>
      <c r="D1659">
        <v>0.0</v>
      </c>
      <c r="E1659">
        <v>14.96</v>
      </c>
      <c r="F1659">
        <v>20.01</v>
      </c>
      <c r="G1659">
        <v>11.99</v>
      </c>
      <c r="H1659">
        <v>0.29</v>
      </c>
      <c r="I1659">
        <v>0.506</v>
      </c>
      <c r="J1659">
        <v>14.25</v>
      </c>
      <c r="K1659">
        <v>18.76</v>
      </c>
      <c r="L1659">
        <v>10.97</v>
      </c>
      <c r="M1659">
        <v>1.36</v>
      </c>
      <c r="N1659">
        <v>0.671</v>
      </c>
      <c r="O1659">
        <v>14.7</v>
      </c>
      <c r="P1659">
        <v>18.18</v>
      </c>
      <c r="Q1659">
        <v>12.57</v>
      </c>
      <c r="R1659">
        <v>1.31</v>
      </c>
    </row>
    <row r="1660">
      <c r="A1660" s="9">
        <v>40191</v>
      </c>
      <c r="B1660" s="2" t="inlineStr">
        <is>
          <t xml:space="preserve">2010-01</t>
        </is>
      </c>
      <c r="C1660" s="2" t="inlineStr">
        <is>
          <t xml:space="preserve">2009/10</t>
        </is>
      </c>
      <c r="D1660">
        <v>0.043</v>
      </c>
      <c r="E1660">
        <v>15.36</v>
      </c>
      <c r="F1660">
        <v>21.07</v>
      </c>
      <c r="G1660">
        <v>12.25</v>
      </c>
      <c r="H1660">
        <v>0.63</v>
      </c>
      <c r="I1660">
        <v>3.131</v>
      </c>
      <c r="J1660">
        <v>15.52</v>
      </c>
      <c r="K1660">
        <v>20.04</v>
      </c>
      <c r="L1660">
        <v>13.2</v>
      </c>
      <c r="M1660">
        <v>2.65</v>
      </c>
      <c r="N1660">
        <v>4.179</v>
      </c>
      <c r="O1660">
        <v>15.37</v>
      </c>
      <c r="P1660">
        <v>18.36</v>
      </c>
      <c r="Q1660">
        <v>13.59</v>
      </c>
      <c r="R1660">
        <v>3.16</v>
      </c>
    </row>
    <row r="1661">
      <c r="A1661" s="9">
        <v>40192</v>
      </c>
      <c r="B1661" s="2" t="inlineStr">
        <is>
          <t xml:space="preserve">2010-01</t>
        </is>
      </c>
      <c r="C1661" s="2" t="inlineStr">
        <is>
          <t xml:space="preserve">2009/10</t>
        </is>
      </c>
      <c r="D1661">
        <v>0.0</v>
      </c>
      <c r="E1661">
        <v>18.15</v>
      </c>
      <c r="F1661">
        <v>25.81</v>
      </c>
      <c r="G1661">
        <v>12.44</v>
      </c>
      <c r="H1661">
        <v>0.05</v>
      </c>
      <c r="I1661">
        <v>1.01</v>
      </c>
      <c r="J1661">
        <v>17.5</v>
      </c>
      <c r="K1661">
        <v>24.64</v>
      </c>
      <c r="L1661">
        <v>12.4</v>
      </c>
      <c r="M1661">
        <v>0.75</v>
      </c>
      <c r="N1661">
        <v>1.342</v>
      </c>
      <c r="O1661">
        <v>16.74</v>
      </c>
      <c r="P1661">
        <v>22.13</v>
      </c>
      <c r="Q1661">
        <v>12.72</v>
      </c>
      <c r="R1661">
        <v>0.79</v>
      </c>
    </row>
    <row r="1662">
      <c r="A1662" s="9">
        <v>40193</v>
      </c>
      <c r="B1662" s="2" t="inlineStr">
        <is>
          <t xml:space="preserve">2010-01</t>
        </is>
      </c>
      <c r="C1662" s="2" t="inlineStr">
        <is>
          <t xml:space="preserve">2009/10</t>
        </is>
      </c>
      <c r="D1662">
        <v>0.0</v>
      </c>
      <c r="E1662">
        <v>20.87</v>
      </c>
      <c r="F1662">
        <v>28.87</v>
      </c>
      <c r="G1662">
        <v>14.01</v>
      </c>
      <c r="H1662">
        <v>0.01</v>
      </c>
      <c r="I1662">
        <v>0.0</v>
      </c>
      <c r="J1662">
        <v>20.1</v>
      </c>
      <c r="K1662">
        <v>28.23</v>
      </c>
      <c r="L1662">
        <v>13.88</v>
      </c>
      <c r="M1662">
        <v>0.0</v>
      </c>
      <c r="N1662">
        <v>0.0</v>
      </c>
      <c r="O1662">
        <v>20.32</v>
      </c>
      <c r="P1662">
        <v>27.4</v>
      </c>
      <c r="Q1662">
        <v>13.9</v>
      </c>
      <c r="R1662">
        <v>0.0</v>
      </c>
    </row>
    <row r="1663">
      <c r="A1663" s="9">
        <v>40194</v>
      </c>
      <c r="B1663" s="2" t="inlineStr">
        <is>
          <t xml:space="preserve">2010-01</t>
        </is>
      </c>
      <c r="C1663" s="2" t="inlineStr">
        <is>
          <t xml:space="preserve">2009/10</t>
        </is>
      </c>
      <c r="D1663">
        <v>0.0</v>
      </c>
      <c r="E1663">
        <v>21.59</v>
      </c>
      <c r="F1663">
        <v>30.22</v>
      </c>
      <c r="G1663">
        <v>14.85</v>
      </c>
      <c r="H1663">
        <v>0.23</v>
      </c>
      <c r="I1663">
        <v>0.0</v>
      </c>
      <c r="J1663">
        <v>20.78</v>
      </c>
      <c r="K1663">
        <v>28.71</v>
      </c>
      <c r="L1663">
        <v>14.39</v>
      </c>
      <c r="M1663">
        <v>0.03</v>
      </c>
      <c r="N1663">
        <v>0.0</v>
      </c>
      <c r="O1663">
        <v>20.28</v>
      </c>
      <c r="P1663">
        <v>27.07</v>
      </c>
      <c r="Q1663">
        <v>14.73</v>
      </c>
      <c r="R1663">
        <v>0.06</v>
      </c>
    </row>
    <row r="1664">
      <c r="A1664" s="9">
        <v>40195</v>
      </c>
      <c r="B1664" s="2" t="inlineStr">
        <is>
          <t xml:space="preserve">2010-01</t>
        </is>
      </c>
      <c r="C1664" s="2" t="inlineStr">
        <is>
          <t xml:space="preserve">2009/10</t>
        </is>
      </c>
      <c r="D1664">
        <v>0.0</v>
      </c>
      <c r="E1664">
        <v>20.15</v>
      </c>
      <c r="F1664">
        <v>26.8</v>
      </c>
      <c r="G1664">
        <v>15.73</v>
      </c>
      <c r="H1664">
        <v>2.07</v>
      </c>
      <c r="I1664">
        <v>0.117</v>
      </c>
      <c r="J1664">
        <v>19.33</v>
      </c>
      <c r="K1664">
        <v>24.72</v>
      </c>
      <c r="L1664">
        <v>16.11</v>
      </c>
      <c r="M1664">
        <v>0.24</v>
      </c>
      <c r="N1664">
        <v>0.248</v>
      </c>
      <c r="O1664">
        <v>18.88</v>
      </c>
      <c r="P1664">
        <v>22.98</v>
      </c>
      <c r="Q1664">
        <v>16.29</v>
      </c>
      <c r="R1664">
        <v>0.38</v>
      </c>
    </row>
    <row r="1665">
      <c r="A1665" s="9">
        <v>40196</v>
      </c>
      <c r="B1665" s="2" t="inlineStr">
        <is>
          <t xml:space="preserve">2010-01</t>
        </is>
      </c>
      <c r="C1665" s="2" t="inlineStr">
        <is>
          <t xml:space="preserve">2009/10</t>
        </is>
      </c>
      <c r="D1665">
        <v>0.0</v>
      </c>
      <c r="E1665">
        <v>19.86</v>
      </c>
      <c r="F1665">
        <v>27.28</v>
      </c>
      <c r="G1665">
        <v>15.03</v>
      </c>
      <c r="H1665">
        <v>0.14</v>
      </c>
      <c r="I1665">
        <v>0.052</v>
      </c>
      <c r="J1665">
        <v>19.84</v>
      </c>
      <c r="K1665">
        <v>26.77</v>
      </c>
      <c r="L1665">
        <v>15.32</v>
      </c>
      <c r="M1665">
        <v>0.12</v>
      </c>
      <c r="N1665">
        <v>0.1</v>
      </c>
      <c r="O1665">
        <v>19.03</v>
      </c>
      <c r="P1665">
        <v>24.5</v>
      </c>
      <c r="Q1665">
        <v>15.58</v>
      </c>
      <c r="R1665">
        <v>0.27</v>
      </c>
    </row>
    <row r="1666">
      <c r="A1666" s="9">
        <v>40197</v>
      </c>
      <c r="B1666" s="2" t="inlineStr">
        <is>
          <t xml:space="preserve">2010-01</t>
        </is>
      </c>
      <c r="C1666" s="2" t="inlineStr">
        <is>
          <t xml:space="preserve">2009/10</t>
        </is>
      </c>
      <c r="D1666">
        <v>0.0</v>
      </c>
      <c r="E1666">
        <v>20.0</v>
      </c>
      <c r="F1666">
        <v>28.1</v>
      </c>
      <c r="G1666">
        <v>14.47</v>
      </c>
      <c r="H1666">
        <v>0.0</v>
      </c>
      <c r="I1666">
        <v>0.0</v>
      </c>
      <c r="J1666">
        <v>19.67</v>
      </c>
      <c r="K1666">
        <v>27.18</v>
      </c>
      <c r="L1666">
        <v>14.72</v>
      </c>
      <c r="M1666">
        <v>0.0</v>
      </c>
      <c r="N1666">
        <v>0.0</v>
      </c>
      <c r="O1666">
        <v>18.99</v>
      </c>
      <c r="P1666">
        <v>24.86</v>
      </c>
      <c r="Q1666">
        <v>15.34</v>
      </c>
      <c r="R1666">
        <v>0.0</v>
      </c>
    </row>
    <row r="1667">
      <c r="A1667" s="9">
        <v>40198</v>
      </c>
      <c r="B1667" s="2" t="inlineStr">
        <is>
          <t xml:space="preserve">2010-01</t>
        </is>
      </c>
      <c r="C1667" s="2" t="inlineStr">
        <is>
          <t xml:space="preserve">2009/10</t>
        </is>
      </c>
      <c r="D1667">
        <v>0.0</v>
      </c>
      <c r="E1667">
        <v>21.34</v>
      </c>
      <c r="F1667">
        <v>29.81</v>
      </c>
      <c r="G1667">
        <v>14.93</v>
      </c>
      <c r="H1667">
        <v>0.0</v>
      </c>
      <c r="I1667">
        <v>0.0</v>
      </c>
      <c r="J1667">
        <v>21.06</v>
      </c>
      <c r="K1667">
        <v>29.17</v>
      </c>
      <c r="L1667">
        <v>14.75</v>
      </c>
      <c r="M1667">
        <v>0.0</v>
      </c>
      <c r="N1667">
        <v>0.0</v>
      </c>
      <c r="O1667">
        <v>21.03</v>
      </c>
      <c r="P1667">
        <v>27.53</v>
      </c>
      <c r="Q1667">
        <v>16.34</v>
      </c>
      <c r="R1667">
        <v>0.0</v>
      </c>
    </row>
    <row r="1668">
      <c r="A1668" s="9">
        <v>40199</v>
      </c>
      <c r="B1668" s="2" t="inlineStr">
        <is>
          <t xml:space="preserve">2010-01</t>
        </is>
      </c>
      <c r="C1668" s="2" t="inlineStr">
        <is>
          <t xml:space="preserve">2009/10</t>
        </is>
      </c>
      <c r="D1668">
        <v>0.0</v>
      </c>
      <c r="E1668">
        <v>22.83</v>
      </c>
      <c r="F1668">
        <v>32.0</v>
      </c>
      <c r="G1668">
        <v>14.77</v>
      </c>
      <c r="H1668">
        <v>0.0</v>
      </c>
      <c r="I1668">
        <v>0.0</v>
      </c>
      <c r="J1668">
        <v>21.51</v>
      </c>
      <c r="K1668">
        <v>29.97</v>
      </c>
      <c r="L1668">
        <v>14.68</v>
      </c>
      <c r="M1668">
        <v>0.0</v>
      </c>
      <c r="N1668">
        <v>0.0</v>
      </c>
      <c r="O1668">
        <v>21.83</v>
      </c>
      <c r="P1668">
        <v>29.42</v>
      </c>
      <c r="Q1668">
        <v>14.78</v>
      </c>
      <c r="R1668">
        <v>0.0</v>
      </c>
    </row>
    <row r="1669">
      <c r="A1669" s="9">
        <v>40200</v>
      </c>
      <c r="B1669" s="2" t="inlineStr">
        <is>
          <t xml:space="preserve">2010-01</t>
        </is>
      </c>
      <c r="C1669" s="2" t="inlineStr">
        <is>
          <t xml:space="preserve">2009/10</t>
        </is>
      </c>
      <c r="D1669">
        <v>0.0</v>
      </c>
      <c r="E1669">
        <v>23.13</v>
      </c>
      <c r="F1669">
        <v>32.4</v>
      </c>
      <c r="G1669">
        <v>15.02</v>
      </c>
      <c r="H1669">
        <v>0.0</v>
      </c>
      <c r="I1669">
        <v>0.0</v>
      </c>
      <c r="J1669">
        <v>22.38</v>
      </c>
      <c r="K1669">
        <v>31.42</v>
      </c>
      <c r="L1669">
        <v>15.09</v>
      </c>
      <c r="M1669">
        <v>0.0</v>
      </c>
      <c r="N1669">
        <v>0.0</v>
      </c>
      <c r="O1669">
        <v>21.53</v>
      </c>
      <c r="P1669">
        <v>29.56</v>
      </c>
      <c r="Q1669">
        <v>14.53</v>
      </c>
      <c r="R1669">
        <v>0.0</v>
      </c>
    </row>
    <row r="1670">
      <c r="A1670" s="9">
        <v>40201</v>
      </c>
      <c r="B1670" s="2" t="inlineStr">
        <is>
          <t xml:space="preserve">2010-01</t>
        </is>
      </c>
      <c r="C1670" s="2" t="inlineStr">
        <is>
          <t xml:space="preserve">2009/10</t>
        </is>
      </c>
      <c r="D1670">
        <v>0.0</v>
      </c>
      <c r="E1670">
        <v>23.34</v>
      </c>
      <c r="F1670">
        <v>32.62</v>
      </c>
      <c r="G1670">
        <v>16.43</v>
      </c>
      <c r="H1670">
        <v>0.0</v>
      </c>
      <c r="I1670">
        <v>0.0</v>
      </c>
      <c r="J1670">
        <v>22.48</v>
      </c>
      <c r="K1670">
        <v>31.26</v>
      </c>
      <c r="L1670">
        <v>15.59</v>
      </c>
      <c r="M1670">
        <v>0.0</v>
      </c>
      <c r="N1670">
        <v>0.0</v>
      </c>
      <c r="O1670">
        <v>22.39</v>
      </c>
      <c r="P1670">
        <v>30.29</v>
      </c>
      <c r="Q1670">
        <v>15.7</v>
      </c>
      <c r="R1670">
        <v>0.0</v>
      </c>
    </row>
    <row r="1671">
      <c r="A1671" s="9">
        <v>40202</v>
      </c>
      <c r="B1671" s="2" t="inlineStr">
        <is>
          <t xml:space="preserve">2010-01</t>
        </is>
      </c>
      <c r="C1671" s="2" t="inlineStr">
        <is>
          <t xml:space="preserve">2009/10</t>
        </is>
      </c>
      <c r="D1671">
        <v>0.0</v>
      </c>
      <c r="E1671">
        <v>21.46</v>
      </c>
      <c r="F1671">
        <v>30.89</v>
      </c>
      <c r="G1671">
        <v>14.72</v>
      </c>
      <c r="H1671">
        <v>0.0</v>
      </c>
      <c r="I1671">
        <v>0.0</v>
      </c>
      <c r="J1671">
        <v>21.35</v>
      </c>
      <c r="K1671">
        <v>29.56</v>
      </c>
      <c r="L1671">
        <v>16.74</v>
      </c>
      <c r="M1671">
        <v>0.0</v>
      </c>
      <c r="N1671">
        <v>0.0</v>
      </c>
      <c r="O1671">
        <v>21.8</v>
      </c>
      <c r="P1671">
        <v>29.83</v>
      </c>
      <c r="Q1671">
        <v>16.29</v>
      </c>
      <c r="R1671">
        <v>0.0</v>
      </c>
    </row>
    <row r="1672">
      <c r="A1672" s="9">
        <v>40203</v>
      </c>
      <c r="B1672" s="2" t="inlineStr">
        <is>
          <t xml:space="preserve">2010-01</t>
        </is>
      </c>
      <c r="C1672" s="2" t="inlineStr">
        <is>
          <t xml:space="preserve">2009/10</t>
        </is>
      </c>
      <c r="D1672">
        <v>0.0</v>
      </c>
      <c r="E1672">
        <v>19.76</v>
      </c>
      <c r="F1672">
        <v>27.55</v>
      </c>
      <c r="G1672">
        <v>13.18</v>
      </c>
      <c r="H1672">
        <v>0.43</v>
      </c>
      <c r="I1672">
        <v>0.0</v>
      </c>
      <c r="J1672">
        <v>20.1</v>
      </c>
      <c r="K1672">
        <v>27.1</v>
      </c>
      <c r="L1672">
        <v>14.22</v>
      </c>
      <c r="M1672">
        <v>0.09</v>
      </c>
      <c r="N1672">
        <v>0.0</v>
      </c>
      <c r="O1672">
        <v>19.69</v>
      </c>
      <c r="P1672">
        <v>25.44</v>
      </c>
      <c r="Q1672">
        <v>15.11</v>
      </c>
      <c r="R1672">
        <v>0.16</v>
      </c>
    </row>
    <row r="1673">
      <c r="A1673" s="9">
        <v>40204</v>
      </c>
      <c r="B1673" s="2" t="inlineStr">
        <is>
          <t xml:space="preserve">2010-01</t>
        </is>
      </c>
      <c r="C1673" s="2" t="inlineStr">
        <is>
          <t xml:space="preserve">2009/10</t>
        </is>
      </c>
      <c r="D1673">
        <v>0.0</v>
      </c>
      <c r="E1673">
        <v>20.34</v>
      </c>
      <c r="F1673">
        <v>26.47</v>
      </c>
      <c r="G1673">
        <v>16.16</v>
      </c>
      <c r="H1673">
        <v>1.25</v>
      </c>
      <c r="I1673">
        <v>1.878</v>
      </c>
      <c r="J1673">
        <v>19.78</v>
      </c>
      <c r="K1673">
        <v>26.24</v>
      </c>
      <c r="L1673">
        <v>15.91</v>
      </c>
      <c r="M1673">
        <v>3.68</v>
      </c>
      <c r="N1673">
        <v>2.552</v>
      </c>
      <c r="O1673">
        <v>19.33</v>
      </c>
      <c r="P1673">
        <v>24.69</v>
      </c>
      <c r="Q1673">
        <v>15.79</v>
      </c>
      <c r="R1673">
        <v>4.02</v>
      </c>
    </row>
    <row r="1674">
      <c r="A1674" s="9">
        <v>40205</v>
      </c>
      <c r="B1674" s="2" t="inlineStr">
        <is>
          <t xml:space="preserve">2010-01</t>
        </is>
      </c>
      <c r="C1674" s="2" t="inlineStr">
        <is>
          <t xml:space="preserve">2009/10</t>
        </is>
      </c>
      <c r="D1674">
        <v>0.107</v>
      </c>
      <c r="E1674">
        <v>19.77</v>
      </c>
      <c r="F1674">
        <v>27.04</v>
      </c>
      <c r="G1674">
        <v>14.3</v>
      </c>
      <c r="H1674">
        <v>1.06</v>
      </c>
      <c r="I1674">
        <v>4.306</v>
      </c>
      <c r="J1674">
        <v>19.71</v>
      </c>
      <c r="K1674">
        <v>25.9</v>
      </c>
      <c r="L1674">
        <v>16.43</v>
      </c>
      <c r="M1674">
        <v>2.91</v>
      </c>
      <c r="N1674">
        <v>5.813</v>
      </c>
      <c r="O1674">
        <v>19.62</v>
      </c>
      <c r="P1674">
        <v>24.29</v>
      </c>
      <c r="Q1674">
        <v>17.49</v>
      </c>
      <c r="R1674">
        <v>3.53</v>
      </c>
    </row>
    <row r="1675">
      <c r="A1675" s="9">
        <v>40206</v>
      </c>
      <c r="B1675" s="2" t="inlineStr">
        <is>
          <t xml:space="preserve">2010-01</t>
        </is>
      </c>
      <c r="C1675" s="2" t="inlineStr">
        <is>
          <t xml:space="preserve">2009/10</t>
        </is>
      </c>
      <c r="D1675">
        <v>0.0</v>
      </c>
      <c r="E1675">
        <v>21.49</v>
      </c>
      <c r="F1675">
        <v>29.0</v>
      </c>
      <c r="G1675">
        <v>16.23</v>
      </c>
      <c r="H1675">
        <v>0.29</v>
      </c>
      <c r="I1675">
        <v>0.0</v>
      </c>
      <c r="J1675">
        <v>21.86</v>
      </c>
      <c r="K1675">
        <v>29.08</v>
      </c>
      <c r="L1675">
        <v>16.0</v>
      </c>
      <c r="M1675">
        <v>0.04</v>
      </c>
      <c r="N1675">
        <v>0.0</v>
      </c>
      <c r="O1675">
        <v>21.27</v>
      </c>
      <c r="P1675">
        <v>27.17</v>
      </c>
      <c r="Q1675">
        <v>16.59</v>
      </c>
      <c r="R1675">
        <v>0.15</v>
      </c>
    </row>
    <row r="1676">
      <c r="A1676" s="9">
        <v>40207</v>
      </c>
      <c r="B1676" s="2" t="inlineStr">
        <is>
          <t xml:space="preserve">2010-01</t>
        </is>
      </c>
      <c r="C1676" s="2" t="inlineStr">
        <is>
          <t xml:space="preserve">2009/10</t>
        </is>
      </c>
      <c r="D1676">
        <v>0.057</v>
      </c>
      <c r="E1676">
        <v>21.88</v>
      </c>
      <c r="F1676">
        <v>29.05</v>
      </c>
      <c r="G1676">
        <v>16.17</v>
      </c>
      <c r="H1676">
        <v>0.38</v>
      </c>
      <c r="I1676">
        <v>0.0</v>
      </c>
      <c r="J1676">
        <v>23.16</v>
      </c>
      <c r="K1676">
        <v>30.06</v>
      </c>
      <c r="L1676">
        <v>17.02</v>
      </c>
      <c r="M1676">
        <v>0.04</v>
      </c>
      <c r="N1676">
        <v>0.0</v>
      </c>
      <c r="O1676">
        <v>22.12</v>
      </c>
      <c r="P1676">
        <v>28.38</v>
      </c>
      <c r="Q1676">
        <v>17.43</v>
      </c>
      <c r="R1676">
        <v>0.09</v>
      </c>
    </row>
    <row r="1677">
      <c r="A1677" s="9">
        <v>40208</v>
      </c>
      <c r="B1677" s="2" t="inlineStr">
        <is>
          <t xml:space="preserve">2010-01</t>
        </is>
      </c>
      <c r="C1677" s="2" t="inlineStr">
        <is>
          <t xml:space="preserve">2009/10</t>
        </is>
      </c>
      <c r="D1677">
        <v>0.0</v>
      </c>
      <c r="E1677">
        <v>22.23</v>
      </c>
      <c r="F1677">
        <v>30.43</v>
      </c>
      <c r="G1677">
        <v>16.0</v>
      </c>
      <c r="H1677">
        <v>0.01</v>
      </c>
      <c r="I1677">
        <v>0.0</v>
      </c>
      <c r="J1677">
        <v>23.59</v>
      </c>
      <c r="K1677">
        <v>29.56</v>
      </c>
      <c r="L1677">
        <v>19.08</v>
      </c>
      <c r="M1677">
        <v>0.08</v>
      </c>
      <c r="N1677">
        <v>0.0</v>
      </c>
      <c r="O1677">
        <v>22.49</v>
      </c>
      <c r="P1677">
        <v>28.18</v>
      </c>
      <c r="Q1677">
        <v>18.49</v>
      </c>
      <c r="R1677">
        <v>0.59</v>
      </c>
    </row>
    <row r="1678">
      <c r="A1678" s="9">
        <v>40209</v>
      </c>
      <c r="B1678" s="2" t="inlineStr">
        <is>
          <t xml:space="preserve">2010-01</t>
        </is>
      </c>
      <c r="C1678" s="2" t="inlineStr">
        <is>
          <t xml:space="preserve">2009/10</t>
        </is>
      </c>
      <c r="D1678">
        <v>0.0</v>
      </c>
      <c r="E1678">
        <v>21.1</v>
      </c>
      <c r="F1678">
        <v>28.45</v>
      </c>
      <c r="G1678">
        <v>15.03</v>
      </c>
      <c r="H1678">
        <v>0.7</v>
      </c>
      <c r="I1678">
        <v>0.0</v>
      </c>
      <c r="J1678">
        <v>19.57</v>
      </c>
      <c r="K1678">
        <v>22.14</v>
      </c>
      <c r="L1678">
        <v>16.95</v>
      </c>
      <c r="M1678">
        <v>0.33</v>
      </c>
      <c r="N1678">
        <v>0.094</v>
      </c>
      <c r="O1678">
        <v>19.54</v>
      </c>
      <c r="P1678">
        <v>22.31</v>
      </c>
      <c r="Q1678">
        <v>17.77</v>
      </c>
      <c r="R1678">
        <v>1.77</v>
      </c>
    </row>
    <row r="1679">
      <c r="A1679" s="9">
        <v>40210</v>
      </c>
      <c r="B1679" s="2" t="inlineStr">
        <is>
          <t xml:space="preserve">2010-02</t>
        </is>
      </c>
      <c r="C1679" s="2" t="inlineStr">
        <is>
          <t xml:space="preserve">2009/10</t>
        </is>
      </c>
      <c r="D1679">
        <v>0.0</v>
      </c>
      <c r="E1679">
        <v>21.74</v>
      </c>
      <c r="F1679">
        <v>29.08</v>
      </c>
      <c r="G1679">
        <v>16.46</v>
      </c>
      <c r="H1679">
        <v>0.4</v>
      </c>
      <c r="I1679">
        <v>1.32</v>
      </c>
      <c r="J1679">
        <v>20.92</v>
      </c>
      <c r="K1679">
        <v>27.92</v>
      </c>
      <c r="L1679">
        <v>16.37</v>
      </c>
      <c r="M1679">
        <v>1.21</v>
      </c>
      <c r="N1679">
        <v>2.067</v>
      </c>
      <c r="O1679">
        <v>20.39</v>
      </c>
      <c r="P1679">
        <v>25.69</v>
      </c>
      <c r="Q1679">
        <v>17.51</v>
      </c>
      <c r="R1679">
        <v>2.09</v>
      </c>
    </row>
    <row r="1680">
      <c r="A1680" s="9">
        <v>40211</v>
      </c>
      <c r="B1680" s="2" t="inlineStr">
        <is>
          <t xml:space="preserve">2010-02</t>
        </is>
      </c>
      <c r="C1680" s="2" t="inlineStr">
        <is>
          <t xml:space="preserve">2009/10</t>
        </is>
      </c>
      <c r="D1680">
        <v>0.0</v>
      </c>
      <c r="E1680">
        <v>22.75</v>
      </c>
      <c r="F1680">
        <v>30.08</v>
      </c>
      <c r="G1680">
        <v>17.24</v>
      </c>
      <c r="H1680">
        <v>0.05</v>
      </c>
      <c r="I1680">
        <v>0.0</v>
      </c>
      <c r="J1680">
        <v>22.61</v>
      </c>
      <c r="K1680">
        <v>29.72</v>
      </c>
      <c r="L1680">
        <v>17.02</v>
      </c>
      <c r="M1680">
        <v>0.04</v>
      </c>
      <c r="N1680">
        <v>0.0</v>
      </c>
      <c r="O1680">
        <v>21.7</v>
      </c>
      <c r="P1680">
        <v>27.79</v>
      </c>
      <c r="Q1680">
        <v>17.35</v>
      </c>
      <c r="R1680">
        <v>0.2</v>
      </c>
    </row>
    <row r="1681">
      <c r="A1681" s="9">
        <v>40212</v>
      </c>
      <c r="B1681" s="2" t="inlineStr">
        <is>
          <t xml:space="preserve">2010-02</t>
        </is>
      </c>
      <c r="C1681" s="2" t="inlineStr">
        <is>
          <t xml:space="preserve">2009/10</t>
        </is>
      </c>
      <c r="D1681">
        <v>0.0</v>
      </c>
      <c r="E1681">
        <v>23.12</v>
      </c>
      <c r="F1681">
        <v>31.08</v>
      </c>
      <c r="G1681">
        <v>17.48</v>
      </c>
      <c r="H1681">
        <v>0.02</v>
      </c>
      <c r="I1681">
        <v>0.0</v>
      </c>
      <c r="J1681">
        <v>24.09</v>
      </c>
      <c r="K1681">
        <v>31.78</v>
      </c>
      <c r="L1681">
        <v>18.14</v>
      </c>
      <c r="M1681">
        <v>0.01</v>
      </c>
      <c r="N1681">
        <v>0.0</v>
      </c>
      <c r="O1681">
        <v>22.69</v>
      </c>
      <c r="P1681">
        <v>29.38</v>
      </c>
      <c r="Q1681">
        <v>18.33</v>
      </c>
      <c r="R1681">
        <v>0.03</v>
      </c>
    </row>
    <row r="1682">
      <c r="A1682" s="9">
        <v>40213</v>
      </c>
      <c r="B1682" s="2" t="inlineStr">
        <is>
          <t xml:space="preserve">2010-02</t>
        </is>
      </c>
      <c r="C1682" s="2" t="inlineStr">
        <is>
          <t xml:space="preserve">2009/10</t>
        </is>
      </c>
      <c r="D1682">
        <v>0.0</v>
      </c>
      <c r="E1682">
        <v>23.39</v>
      </c>
      <c r="F1682">
        <v>32.31</v>
      </c>
      <c r="G1682">
        <v>15.92</v>
      </c>
      <c r="H1682">
        <v>0.0</v>
      </c>
      <c r="I1682">
        <v>0.0</v>
      </c>
      <c r="J1682">
        <v>24.37</v>
      </c>
      <c r="K1682">
        <v>32.37</v>
      </c>
      <c r="L1682">
        <v>18.44</v>
      </c>
      <c r="M1682">
        <v>0.0</v>
      </c>
      <c r="N1682">
        <v>0.0</v>
      </c>
      <c r="O1682">
        <v>24.49</v>
      </c>
      <c r="P1682">
        <v>31.79</v>
      </c>
      <c r="Q1682">
        <v>18.96</v>
      </c>
      <c r="R1682">
        <v>0.0</v>
      </c>
    </row>
    <row r="1683">
      <c r="A1683" s="9">
        <v>40214</v>
      </c>
      <c r="B1683" s="2" t="inlineStr">
        <is>
          <t xml:space="preserve">2010-02</t>
        </is>
      </c>
      <c r="C1683" s="2" t="inlineStr">
        <is>
          <t xml:space="preserve">2009/10</t>
        </is>
      </c>
      <c r="D1683">
        <v>0.0</v>
      </c>
      <c r="E1683">
        <v>23.72</v>
      </c>
      <c r="F1683">
        <v>33.54</v>
      </c>
      <c r="G1683">
        <v>16.69</v>
      </c>
      <c r="H1683">
        <v>0.01</v>
      </c>
      <c r="I1683">
        <v>0.0</v>
      </c>
      <c r="J1683">
        <v>23.65</v>
      </c>
      <c r="K1683">
        <v>32.98</v>
      </c>
      <c r="L1683">
        <v>16.13</v>
      </c>
      <c r="M1683">
        <v>0.11</v>
      </c>
      <c r="N1683">
        <v>0.0</v>
      </c>
      <c r="O1683">
        <v>23.03</v>
      </c>
      <c r="P1683">
        <v>31.74</v>
      </c>
      <c r="Q1683">
        <v>16.31</v>
      </c>
      <c r="R1683">
        <v>0.31</v>
      </c>
    </row>
    <row r="1684">
      <c r="A1684" s="9">
        <v>40215</v>
      </c>
      <c r="B1684" s="2" t="inlineStr">
        <is>
          <t xml:space="preserve">2010-02</t>
        </is>
      </c>
      <c r="C1684" s="2" t="inlineStr">
        <is>
          <t xml:space="preserve">2009/10</t>
        </is>
      </c>
      <c r="D1684">
        <v>0.06</v>
      </c>
      <c r="E1684">
        <v>21.59</v>
      </c>
      <c r="F1684">
        <v>29.6</v>
      </c>
      <c r="G1684">
        <v>16.92</v>
      </c>
      <c r="H1684">
        <v>1.29</v>
      </c>
      <c r="I1684">
        <v>4.059</v>
      </c>
      <c r="J1684">
        <v>22.54</v>
      </c>
      <c r="K1684">
        <v>29.5</v>
      </c>
      <c r="L1684">
        <v>18.35</v>
      </c>
      <c r="M1684">
        <v>4.13</v>
      </c>
      <c r="N1684">
        <v>5.583</v>
      </c>
      <c r="O1684">
        <v>21.31</v>
      </c>
      <c r="P1684">
        <v>27.11</v>
      </c>
      <c r="Q1684">
        <v>17.28</v>
      </c>
      <c r="R1684">
        <v>4.3</v>
      </c>
    </row>
    <row r="1685">
      <c r="A1685" s="9">
        <v>40216</v>
      </c>
      <c r="B1685" s="2" t="inlineStr">
        <is>
          <t xml:space="preserve">2010-02</t>
        </is>
      </c>
      <c r="C1685" s="2" t="inlineStr">
        <is>
          <t xml:space="preserve">2009/10</t>
        </is>
      </c>
      <c r="D1685">
        <v>0.0</v>
      </c>
      <c r="E1685">
        <v>20.67</v>
      </c>
      <c r="F1685">
        <v>27.64</v>
      </c>
      <c r="G1685">
        <v>15.75</v>
      </c>
      <c r="H1685">
        <v>0.23</v>
      </c>
      <c r="I1685">
        <v>0.164</v>
      </c>
      <c r="J1685">
        <v>21.19</v>
      </c>
      <c r="K1685">
        <v>27.12</v>
      </c>
      <c r="L1685">
        <v>16.59</v>
      </c>
      <c r="M1685">
        <v>0.08</v>
      </c>
      <c r="N1685">
        <v>0.247</v>
      </c>
      <c r="O1685">
        <v>20.1</v>
      </c>
      <c r="P1685">
        <v>26.14</v>
      </c>
      <c r="Q1685">
        <v>15.94</v>
      </c>
      <c r="R1685">
        <v>0.07</v>
      </c>
    </row>
    <row r="1686">
      <c r="A1686" s="9">
        <v>40217</v>
      </c>
      <c r="B1686" s="2" t="inlineStr">
        <is>
          <t xml:space="preserve">2010-02</t>
        </is>
      </c>
      <c r="C1686" s="2" t="inlineStr">
        <is>
          <t xml:space="preserve">2009/10</t>
        </is>
      </c>
      <c r="D1686">
        <v>0.139</v>
      </c>
      <c r="E1686">
        <v>22.86</v>
      </c>
      <c r="F1686">
        <v>31.34</v>
      </c>
      <c r="G1686">
        <v>16.33</v>
      </c>
      <c r="H1686">
        <v>0.09</v>
      </c>
      <c r="I1686">
        <v>0.075</v>
      </c>
      <c r="J1686">
        <v>22.72</v>
      </c>
      <c r="K1686">
        <v>30.91</v>
      </c>
      <c r="L1686">
        <v>16.02</v>
      </c>
      <c r="M1686">
        <v>0.08</v>
      </c>
      <c r="N1686">
        <v>0.0</v>
      </c>
      <c r="O1686">
        <v>22.92</v>
      </c>
      <c r="P1686">
        <v>31.18</v>
      </c>
      <c r="Q1686">
        <v>15.97</v>
      </c>
      <c r="R1686">
        <v>0.01</v>
      </c>
    </row>
    <row r="1687">
      <c r="A1687" s="9">
        <v>40218</v>
      </c>
      <c r="B1687" s="2" t="inlineStr">
        <is>
          <t xml:space="preserve">2010-02</t>
        </is>
      </c>
      <c r="C1687" s="2" t="inlineStr">
        <is>
          <t xml:space="preserve">2009/10</t>
        </is>
      </c>
      <c r="D1687">
        <v>0.0</v>
      </c>
      <c r="E1687">
        <v>24.03</v>
      </c>
      <c r="F1687">
        <v>32.66</v>
      </c>
      <c r="G1687">
        <v>16.61</v>
      </c>
      <c r="H1687">
        <v>0.64</v>
      </c>
      <c r="I1687">
        <v>0.0</v>
      </c>
      <c r="J1687">
        <v>23.84</v>
      </c>
      <c r="K1687">
        <v>31.55</v>
      </c>
      <c r="L1687">
        <v>16.93</v>
      </c>
      <c r="M1687">
        <v>0.54</v>
      </c>
      <c r="N1687">
        <v>0.0</v>
      </c>
      <c r="O1687">
        <v>23.93</v>
      </c>
      <c r="P1687">
        <v>32.14</v>
      </c>
      <c r="Q1687">
        <v>17.34</v>
      </c>
      <c r="R1687">
        <v>0.4</v>
      </c>
    </row>
    <row r="1688">
      <c r="A1688" s="9">
        <v>40219</v>
      </c>
      <c r="B1688" s="2" t="inlineStr">
        <is>
          <t xml:space="preserve">2010-02</t>
        </is>
      </c>
      <c r="C1688" s="2" t="inlineStr">
        <is>
          <t xml:space="preserve">2009/10</t>
        </is>
      </c>
      <c r="D1688">
        <v>0.903</v>
      </c>
      <c r="E1688">
        <v>22.09</v>
      </c>
      <c r="F1688">
        <v>28.7</v>
      </c>
      <c r="G1688">
        <v>18.04</v>
      </c>
      <c r="H1688">
        <v>1.59</v>
      </c>
      <c r="I1688">
        <v>3.022</v>
      </c>
      <c r="J1688">
        <v>22.34</v>
      </c>
      <c r="K1688">
        <v>28.65</v>
      </c>
      <c r="L1688">
        <v>18.59</v>
      </c>
      <c r="M1688">
        <v>3.21</v>
      </c>
      <c r="N1688">
        <v>3.998</v>
      </c>
      <c r="O1688">
        <v>21.6</v>
      </c>
      <c r="P1688">
        <v>27.04</v>
      </c>
      <c r="Q1688">
        <v>18.73</v>
      </c>
      <c r="R1688">
        <v>4.69</v>
      </c>
    </row>
    <row r="1689">
      <c r="A1689" s="9">
        <v>40220</v>
      </c>
      <c r="B1689" s="2" t="inlineStr">
        <is>
          <t xml:space="preserve">2010-02</t>
        </is>
      </c>
      <c r="C1689" s="2" t="inlineStr">
        <is>
          <t xml:space="preserve">2009/10</t>
        </is>
      </c>
      <c r="D1689">
        <v>0.048</v>
      </c>
      <c r="E1689">
        <v>22.05</v>
      </c>
      <c r="F1689">
        <v>29.42</v>
      </c>
      <c r="G1689">
        <v>16.9</v>
      </c>
      <c r="H1689">
        <v>2.99</v>
      </c>
      <c r="I1689">
        <v>0.992</v>
      </c>
      <c r="J1689">
        <v>22.69</v>
      </c>
      <c r="K1689">
        <v>29.11</v>
      </c>
      <c r="L1689">
        <v>17.51</v>
      </c>
      <c r="M1689">
        <v>2.97</v>
      </c>
      <c r="N1689">
        <v>2.443</v>
      </c>
      <c r="O1689">
        <v>21.76</v>
      </c>
      <c r="P1689">
        <v>27.34</v>
      </c>
      <c r="Q1689">
        <v>18.51</v>
      </c>
      <c r="R1689">
        <v>7.95</v>
      </c>
    </row>
    <row r="1690">
      <c r="A1690" s="9">
        <v>40221</v>
      </c>
      <c r="B1690" s="2" t="inlineStr">
        <is>
          <t xml:space="preserve">2010-02</t>
        </is>
      </c>
      <c r="C1690" s="2" t="inlineStr">
        <is>
          <t xml:space="preserve">2009/10</t>
        </is>
      </c>
      <c r="D1690">
        <v>0.0</v>
      </c>
      <c r="E1690">
        <v>23.84</v>
      </c>
      <c r="F1690">
        <v>33.16</v>
      </c>
      <c r="G1690">
        <v>15.91</v>
      </c>
      <c r="H1690">
        <v>0.44</v>
      </c>
      <c r="I1690">
        <v>0.126</v>
      </c>
      <c r="J1690">
        <v>24.01</v>
      </c>
      <c r="K1690">
        <v>32.38</v>
      </c>
      <c r="L1690">
        <v>17.19</v>
      </c>
      <c r="M1690">
        <v>0.4</v>
      </c>
      <c r="N1690">
        <v>0.166</v>
      </c>
      <c r="O1690">
        <v>23.35</v>
      </c>
      <c r="P1690">
        <v>31.28</v>
      </c>
      <c r="Q1690">
        <v>17.19</v>
      </c>
      <c r="R1690">
        <v>0.79</v>
      </c>
    </row>
    <row r="1691">
      <c r="A1691" s="9">
        <v>40222</v>
      </c>
      <c r="B1691" s="2" t="inlineStr">
        <is>
          <t xml:space="preserve">2010-02</t>
        </is>
      </c>
      <c r="C1691" s="2" t="inlineStr">
        <is>
          <t xml:space="preserve">2009/10</t>
        </is>
      </c>
      <c r="D1691">
        <v>0.053</v>
      </c>
      <c r="E1691">
        <v>18.71</v>
      </c>
      <c r="F1691">
        <v>23.82</v>
      </c>
      <c r="G1691">
        <v>14.09</v>
      </c>
      <c r="H1691">
        <v>1.58</v>
      </c>
      <c r="I1691">
        <v>0.299</v>
      </c>
      <c r="J1691">
        <v>18.31</v>
      </c>
      <c r="K1691">
        <v>24.23</v>
      </c>
      <c r="L1691">
        <v>13.58</v>
      </c>
      <c r="M1691">
        <v>0.35</v>
      </c>
      <c r="N1691">
        <v>0.523</v>
      </c>
      <c r="O1691">
        <v>17.77</v>
      </c>
      <c r="P1691">
        <v>23.34</v>
      </c>
      <c r="Q1691">
        <v>13.28</v>
      </c>
      <c r="R1691">
        <v>0.55</v>
      </c>
    </row>
    <row r="1692">
      <c r="A1692" s="9">
        <v>40223</v>
      </c>
      <c r="B1692" s="2" t="inlineStr">
        <is>
          <t xml:space="preserve">2010-02</t>
        </is>
      </c>
      <c r="C1692" s="2" t="inlineStr">
        <is>
          <t xml:space="preserve">2009/10</t>
        </is>
      </c>
      <c r="D1692">
        <v>0.0</v>
      </c>
      <c r="E1692">
        <v>20.66</v>
      </c>
      <c r="F1692">
        <v>30.44</v>
      </c>
      <c r="G1692">
        <v>12.52</v>
      </c>
      <c r="H1692">
        <v>0.0</v>
      </c>
      <c r="I1692">
        <v>0.0</v>
      </c>
      <c r="J1692">
        <v>20.73</v>
      </c>
      <c r="K1692">
        <v>30.49</v>
      </c>
      <c r="L1692">
        <v>12.41</v>
      </c>
      <c r="M1692">
        <v>0.0</v>
      </c>
      <c r="N1692">
        <v>0.0</v>
      </c>
      <c r="O1692">
        <v>18.79</v>
      </c>
      <c r="P1692">
        <v>28.07</v>
      </c>
      <c r="Q1692">
        <v>11.2</v>
      </c>
      <c r="R1692">
        <v>0.0</v>
      </c>
    </row>
    <row r="1693">
      <c r="A1693" s="9">
        <v>40224</v>
      </c>
      <c r="B1693" s="2" t="inlineStr">
        <is>
          <t xml:space="preserve">2010-02</t>
        </is>
      </c>
      <c r="C1693" s="2" t="inlineStr">
        <is>
          <t xml:space="preserve">2009/10</t>
        </is>
      </c>
      <c r="D1693">
        <v>0.0</v>
      </c>
      <c r="E1693">
        <v>22.57</v>
      </c>
      <c r="F1693">
        <v>31.68</v>
      </c>
      <c r="G1693">
        <v>14.7</v>
      </c>
      <c r="H1693">
        <v>0.36</v>
      </c>
      <c r="I1693">
        <v>0.0</v>
      </c>
      <c r="J1693">
        <v>22.51</v>
      </c>
      <c r="K1693">
        <v>31.09</v>
      </c>
      <c r="L1693">
        <v>14.93</v>
      </c>
      <c r="M1693">
        <v>0.1</v>
      </c>
      <c r="N1693">
        <v>0.0</v>
      </c>
      <c r="O1693">
        <v>21.2</v>
      </c>
      <c r="P1693">
        <v>29.4</v>
      </c>
      <c r="Q1693">
        <v>14.99</v>
      </c>
      <c r="R1693">
        <v>0.12</v>
      </c>
    </row>
    <row r="1694">
      <c r="A1694" s="9">
        <v>40225</v>
      </c>
      <c r="B1694" s="2" t="inlineStr">
        <is>
          <t xml:space="preserve">2010-02</t>
        </is>
      </c>
      <c r="C1694" s="2" t="inlineStr">
        <is>
          <t xml:space="preserve">2009/10</t>
        </is>
      </c>
      <c r="D1694">
        <v>0.04</v>
      </c>
      <c r="E1694">
        <v>19.57</v>
      </c>
      <c r="F1694">
        <v>26.31</v>
      </c>
      <c r="G1694">
        <v>14.56</v>
      </c>
      <c r="H1694">
        <v>2.13</v>
      </c>
      <c r="I1694">
        <v>0.804</v>
      </c>
      <c r="J1694">
        <v>19.58</v>
      </c>
      <c r="K1694">
        <v>24.15</v>
      </c>
      <c r="L1694">
        <v>15.89</v>
      </c>
      <c r="M1694">
        <v>0.92</v>
      </c>
      <c r="N1694">
        <v>1.203</v>
      </c>
      <c r="O1694">
        <v>18.43</v>
      </c>
      <c r="P1694">
        <v>21.94</v>
      </c>
      <c r="Q1694">
        <v>15.57</v>
      </c>
      <c r="R1694">
        <v>1.43</v>
      </c>
    </row>
    <row r="1695">
      <c r="A1695" s="9">
        <v>40226</v>
      </c>
      <c r="B1695" s="2" t="inlineStr">
        <is>
          <t xml:space="preserve">2010-02</t>
        </is>
      </c>
      <c r="C1695" s="2" t="inlineStr">
        <is>
          <t xml:space="preserve">2009/10</t>
        </is>
      </c>
      <c r="D1695">
        <v>0.0</v>
      </c>
      <c r="E1695">
        <v>18.74</v>
      </c>
      <c r="F1695">
        <v>26.68</v>
      </c>
      <c r="G1695">
        <v>14.46</v>
      </c>
      <c r="H1695">
        <v>2.61</v>
      </c>
      <c r="I1695">
        <v>0.0</v>
      </c>
      <c r="J1695">
        <v>18.86</v>
      </c>
      <c r="K1695">
        <v>25.73</v>
      </c>
      <c r="L1695">
        <v>14.91</v>
      </c>
      <c r="M1695">
        <v>1.26</v>
      </c>
      <c r="N1695">
        <v>0.0</v>
      </c>
      <c r="O1695">
        <v>18.07</v>
      </c>
      <c r="P1695">
        <v>24.29</v>
      </c>
      <c r="Q1695">
        <v>14.59</v>
      </c>
      <c r="R1695">
        <v>1.82</v>
      </c>
    </row>
    <row r="1696">
      <c r="A1696" s="9">
        <v>40227</v>
      </c>
      <c r="B1696" s="2" t="inlineStr">
        <is>
          <t xml:space="preserve">2010-02</t>
        </is>
      </c>
      <c r="C1696" s="2" t="inlineStr">
        <is>
          <t xml:space="preserve">2009/10</t>
        </is>
      </c>
      <c r="D1696">
        <v>0.356</v>
      </c>
      <c r="E1696">
        <v>18.11</v>
      </c>
      <c r="F1696">
        <v>24.98</v>
      </c>
      <c r="G1696">
        <v>14.61</v>
      </c>
      <c r="H1696">
        <v>4.01</v>
      </c>
      <c r="I1696">
        <v>4.238</v>
      </c>
      <c r="J1696">
        <v>18.17</v>
      </c>
      <c r="K1696">
        <v>25.07</v>
      </c>
      <c r="L1696">
        <v>14.38</v>
      </c>
      <c r="M1696">
        <v>4.22</v>
      </c>
      <c r="N1696">
        <v>5.969</v>
      </c>
      <c r="O1696">
        <v>17.5</v>
      </c>
      <c r="P1696">
        <v>23.07</v>
      </c>
      <c r="Q1696">
        <v>14.79</v>
      </c>
      <c r="R1696">
        <v>5.8</v>
      </c>
    </row>
    <row r="1697">
      <c r="A1697" s="9">
        <v>40228</v>
      </c>
      <c r="B1697" s="2" t="inlineStr">
        <is>
          <t xml:space="preserve">2010-02</t>
        </is>
      </c>
      <c r="C1697" s="2" t="inlineStr">
        <is>
          <t xml:space="preserve">2009/10</t>
        </is>
      </c>
      <c r="D1697">
        <v>0.0</v>
      </c>
      <c r="E1697">
        <v>20.12</v>
      </c>
      <c r="F1697">
        <v>28.04</v>
      </c>
      <c r="G1697">
        <v>15.18</v>
      </c>
      <c r="H1697">
        <v>0.03</v>
      </c>
      <c r="I1697">
        <v>0.147</v>
      </c>
      <c r="J1697">
        <v>20.14</v>
      </c>
      <c r="K1697">
        <v>27.08</v>
      </c>
      <c r="L1697">
        <v>15.07</v>
      </c>
      <c r="M1697">
        <v>0.11</v>
      </c>
      <c r="N1697">
        <v>0.193</v>
      </c>
      <c r="O1697">
        <v>19.32</v>
      </c>
      <c r="P1697">
        <v>25.74</v>
      </c>
      <c r="Q1697">
        <v>15.37</v>
      </c>
      <c r="R1697">
        <v>0.15</v>
      </c>
    </row>
    <row r="1698">
      <c r="A1698" s="9">
        <v>40229</v>
      </c>
      <c r="B1698" s="2" t="inlineStr">
        <is>
          <t xml:space="preserve">2010-02</t>
        </is>
      </c>
      <c r="C1698" s="2" t="inlineStr">
        <is>
          <t xml:space="preserve">2009/10</t>
        </is>
      </c>
      <c r="D1698">
        <v>0.0</v>
      </c>
      <c r="E1698">
        <v>22.45</v>
      </c>
      <c r="F1698">
        <v>30.8</v>
      </c>
      <c r="G1698">
        <v>15.7</v>
      </c>
      <c r="H1698">
        <v>0.0</v>
      </c>
      <c r="I1698">
        <v>0.0</v>
      </c>
      <c r="J1698">
        <v>22.17</v>
      </c>
      <c r="K1698">
        <v>30.34</v>
      </c>
      <c r="L1698">
        <v>15.66</v>
      </c>
      <c r="M1698">
        <v>0.0</v>
      </c>
      <c r="N1698">
        <v>0.0</v>
      </c>
      <c r="O1698">
        <v>21.29</v>
      </c>
      <c r="P1698">
        <v>28.48</v>
      </c>
      <c r="Q1698">
        <v>15.75</v>
      </c>
      <c r="R1698">
        <v>0.0</v>
      </c>
    </row>
    <row r="1699">
      <c r="A1699" s="9">
        <v>40230</v>
      </c>
      <c r="B1699" s="2" t="inlineStr">
        <is>
          <t xml:space="preserve">2010-02</t>
        </is>
      </c>
      <c r="C1699" s="2" t="inlineStr">
        <is>
          <t xml:space="preserve">2009/10</t>
        </is>
      </c>
      <c r="D1699">
        <v>0.0</v>
      </c>
      <c r="E1699">
        <v>24.66</v>
      </c>
      <c r="F1699">
        <v>32.6</v>
      </c>
      <c r="G1699">
        <v>17.55</v>
      </c>
      <c r="H1699">
        <v>0.0</v>
      </c>
      <c r="I1699">
        <v>0.0</v>
      </c>
      <c r="J1699">
        <v>24.66</v>
      </c>
      <c r="K1699">
        <v>33.38</v>
      </c>
      <c r="L1699">
        <v>17.3</v>
      </c>
      <c r="M1699">
        <v>0.0</v>
      </c>
      <c r="N1699">
        <v>0.0</v>
      </c>
      <c r="O1699">
        <v>24.71</v>
      </c>
      <c r="P1699">
        <v>32.78</v>
      </c>
      <c r="Q1699">
        <v>18.03</v>
      </c>
      <c r="R1699">
        <v>0.0</v>
      </c>
    </row>
    <row r="1700">
      <c r="A1700" s="9">
        <v>40231</v>
      </c>
      <c r="B1700" s="2" t="inlineStr">
        <is>
          <t xml:space="preserve">2010-02</t>
        </is>
      </c>
      <c r="C1700" s="2" t="inlineStr">
        <is>
          <t xml:space="preserve">2009/10</t>
        </is>
      </c>
      <c r="D1700">
        <v>0.0</v>
      </c>
      <c r="E1700">
        <v>26.17</v>
      </c>
      <c r="F1700">
        <v>34.82</v>
      </c>
      <c r="G1700">
        <v>18.83</v>
      </c>
      <c r="H1700">
        <v>0.0</v>
      </c>
      <c r="I1700">
        <v>0.0</v>
      </c>
      <c r="J1700">
        <v>24.94</v>
      </c>
      <c r="K1700">
        <v>33.98</v>
      </c>
      <c r="L1700">
        <v>18.16</v>
      </c>
      <c r="M1700">
        <v>0.0</v>
      </c>
      <c r="N1700">
        <v>0.0</v>
      </c>
      <c r="O1700">
        <v>25.63</v>
      </c>
      <c r="P1700">
        <v>34.25</v>
      </c>
      <c r="Q1700">
        <v>18.47</v>
      </c>
      <c r="R1700">
        <v>0.0</v>
      </c>
    </row>
    <row r="1701">
      <c r="A1701" s="9">
        <v>40232</v>
      </c>
      <c r="B1701" s="2" t="inlineStr">
        <is>
          <t xml:space="preserve">2010-02</t>
        </is>
      </c>
      <c r="C1701" s="2" t="inlineStr">
        <is>
          <t xml:space="preserve">2009/10</t>
        </is>
      </c>
      <c r="D1701">
        <v>0.0</v>
      </c>
      <c r="E1701">
        <v>25.76</v>
      </c>
      <c r="F1701">
        <v>35.02</v>
      </c>
      <c r="G1701">
        <v>19.01</v>
      </c>
      <c r="H1701">
        <v>0.0</v>
      </c>
      <c r="I1701">
        <v>0.0</v>
      </c>
      <c r="J1701">
        <v>24.57</v>
      </c>
      <c r="K1701">
        <v>33.63</v>
      </c>
      <c r="L1701">
        <v>18.8</v>
      </c>
      <c r="M1701">
        <v>0.0</v>
      </c>
      <c r="N1701">
        <v>0.0</v>
      </c>
      <c r="O1701">
        <v>25.32</v>
      </c>
      <c r="P1701">
        <v>33.79</v>
      </c>
      <c r="Q1701">
        <v>19.32</v>
      </c>
      <c r="R1701">
        <v>0.0</v>
      </c>
    </row>
    <row r="1702">
      <c r="A1702" s="9">
        <v>40233</v>
      </c>
      <c r="B1702" s="2" t="inlineStr">
        <is>
          <t xml:space="preserve">2010-02</t>
        </is>
      </c>
      <c r="C1702" s="2" t="inlineStr">
        <is>
          <t xml:space="preserve">2009/10</t>
        </is>
      </c>
      <c r="D1702">
        <v>0.0</v>
      </c>
      <c r="E1702">
        <v>24.66</v>
      </c>
      <c r="F1702">
        <v>33.2</v>
      </c>
      <c r="G1702">
        <v>18.82</v>
      </c>
      <c r="H1702">
        <v>1.39</v>
      </c>
      <c r="I1702">
        <v>0.0</v>
      </c>
      <c r="J1702">
        <v>23.56</v>
      </c>
      <c r="K1702">
        <v>31.14</v>
      </c>
      <c r="L1702">
        <v>14.4</v>
      </c>
      <c r="M1702">
        <v>1.17</v>
      </c>
      <c r="N1702">
        <v>0.0</v>
      </c>
      <c r="O1702">
        <v>22.99</v>
      </c>
      <c r="P1702">
        <v>28.81</v>
      </c>
      <c r="Q1702">
        <v>14.69</v>
      </c>
      <c r="R1702">
        <v>0.99</v>
      </c>
    </row>
    <row r="1703">
      <c r="A1703" s="9">
        <v>40234</v>
      </c>
      <c r="B1703" s="2" t="inlineStr">
        <is>
          <t xml:space="preserve">2010-02</t>
        </is>
      </c>
      <c r="C1703" s="2" t="inlineStr">
        <is>
          <t xml:space="preserve">2009/10</t>
        </is>
      </c>
      <c r="D1703">
        <v>0.071</v>
      </c>
      <c r="E1703">
        <v>16.96</v>
      </c>
      <c r="F1703">
        <v>23.37</v>
      </c>
      <c r="G1703">
        <v>12.23</v>
      </c>
      <c r="H1703">
        <v>1.25</v>
      </c>
      <c r="I1703">
        <v>2.596</v>
      </c>
      <c r="J1703">
        <v>16.05</v>
      </c>
      <c r="K1703">
        <v>22.37</v>
      </c>
      <c r="L1703">
        <v>11.49</v>
      </c>
      <c r="M1703">
        <v>1.51</v>
      </c>
      <c r="N1703">
        <v>3.513</v>
      </c>
      <c r="O1703">
        <v>15.32</v>
      </c>
      <c r="P1703">
        <v>21.0</v>
      </c>
      <c r="Q1703">
        <v>11.65</v>
      </c>
      <c r="R1703">
        <v>1.8</v>
      </c>
    </row>
    <row r="1704">
      <c r="A1704" s="9">
        <v>40235</v>
      </c>
      <c r="B1704" s="2" t="inlineStr">
        <is>
          <t xml:space="preserve">2010-02</t>
        </is>
      </c>
      <c r="C1704" s="2" t="inlineStr">
        <is>
          <t xml:space="preserve">2009/10</t>
        </is>
      </c>
      <c r="D1704">
        <v>0.0</v>
      </c>
      <c r="E1704">
        <v>22.29</v>
      </c>
      <c r="F1704">
        <v>32.57</v>
      </c>
      <c r="G1704">
        <v>12.85</v>
      </c>
      <c r="H1704">
        <v>0.0</v>
      </c>
      <c r="I1704">
        <v>0.0</v>
      </c>
      <c r="J1704">
        <v>21.51</v>
      </c>
      <c r="K1704">
        <v>31.02</v>
      </c>
      <c r="L1704">
        <v>12.88</v>
      </c>
      <c r="M1704">
        <v>0.0</v>
      </c>
      <c r="N1704">
        <v>0.0</v>
      </c>
      <c r="O1704">
        <v>21.84</v>
      </c>
      <c r="P1704">
        <v>32.12</v>
      </c>
      <c r="Q1704">
        <v>12.52</v>
      </c>
      <c r="R1704">
        <v>0.0</v>
      </c>
    </row>
    <row r="1705">
      <c r="A1705" s="9">
        <v>40236</v>
      </c>
      <c r="B1705" s="2" t="inlineStr">
        <is>
          <t xml:space="preserve">2010-02</t>
        </is>
      </c>
      <c r="C1705" s="2" t="inlineStr">
        <is>
          <t xml:space="preserve">2009/10</t>
        </is>
      </c>
      <c r="D1705">
        <v>0.0</v>
      </c>
      <c r="E1705">
        <v>21.74</v>
      </c>
      <c r="F1705">
        <v>29.15</v>
      </c>
      <c r="G1705">
        <v>17.35</v>
      </c>
      <c r="H1705">
        <v>0.04</v>
      </c>
      <c r="I1705">
        <v>0.0</v>
      </c>
      <c r="J1705">
        <v>22.32</v>
      </c>
      <c r="K1705">
        <v>28.68</v>
      </c>
      <c r="L1705">
        <v>17.66</v>
      </c>
      <c r="M1705">
        <v>0.02</v>
      </c>
      <c r="N1705">
        <v>0.0</v>
      </c>
      <c r="O1705">
        <v>21.54</v>
      </c>
      <c r="P1705">
        <v>27.26</v>
      </c>
      <c r="Q1705">
        <v>17.38</v>
      </c>
      <c r="R1705">
        <v>0.04</v>
      </c>
    </row>
    <row r="1706">
      <c r="A1706" s="9">
        <v>40237</v>
      </c>
      <c r="B1706" s="2" t="inlineStr">
        <is>
          <t xml:space="preserve">2010-02</t>
        </is>
      </c>
      <c r="C1706" s="2" t="inlineStr">
        <is>
          <t xml:space="preserve">2009/10</t>
        </is>
      </c>
      <c r="D1706">
        <v>0.0</v>
      </c>
      <c r="E1706">
        <v>20.32</v>
      </c>
      <c r="F1706">
        <v>27.31</v>
      </c>
      <c r="G1706">
        <v>16.15</v>
      </c>
      <c r="H1706">
        <v>0.18</v>
      </c>
      <c r="I1706">
        <v>0.075</v>
      </c>
      <c r="J1706">
        <v>20.25</v>
      </c>
      <c r="K1706">
        <v>27.58</v>
      </c>
      <c r="L1706">
        <v>14.97</v>
      </c>
      <c r="M1706">
        <v>0.06</v>
      </c>
      <c r="N1706">
        <v>0.104</v>
      </c>
      <c r="O1706">
        <v>19.39</v>
      </c>
      <c r="P1706">
        <v>25.77</v>
      </c>
      <c r="Q1706">
        <v>15.57</v>
      </c>
      <c r="R1706">
        <v>0.08</v>
      </c>
    </row>
    <row r="1707">
      <c r="A1707" s="9">
        <v>40238</v>
      </c>
      <c r="B1707" s="2" t="inlineStr">
        <is>
          <t xml:space="preserve">2010-03</t>
        </is>
      </c>
      <c r="C1707" s="2" t="inlineStr">
        <is>
          <t xml:space="preserve">2009/10</t>
        </is>
      </c>
      <c r="D1707">
        <v>0.0</v>
      </c>
      <c r="E1707">
        <v>23.98</v>
      </c>
      <c r="F1707">
        <v>34.39</v>
      </c>
      <c r="G1707">
        <v>15.04</v>
      </c>
      <c r="H1707">
        <v>0.01</v>
      </c>
      <c r="I1707">
        <v>0.0</v>
      </c>
      <c r="J1707">
        <v>23.46</v>
      </c>
      <c r="K1707">
        <v>33.36</v>
      </c>
      <c r="L1707">
        <v>15.37</v>
      </c>
      <c r="M1707">
        <v>0.0</v>
      </c>
      <c r="N1707">
        <v>0.0</v>
      </c>
      <c r="O1707">
        <v>23.68</v>
      </c>
      <c r="P1707">
        <v>34.09</v>
      </c>
      <c r="Q1707">
        <v>14.97</v>
      </c>
      <c r="R1707">
        <v>0.16</v>
      </c>
    </row>
    <row r="1708">
      <c r="A1708" s="9">
        <v>40239</v>
      </c>
      <c r="B1708" s="2" t="inlineStr">
        <is>
          <t xml:space="preserve">2010-03</t>
        </is>
      </c>
      <c r="C1708" s="2" t="inlineStr">
        <is>
          <t xml:space="preserve">2009/10</t>
        </is>
      </c>
      <c r="D1708">
        <v>0.0</v>
      </c>
      <c r="E1708">
        <v>23.74</v>
      </c>
      <c r="F1708">
        <v>32.53</v>
      </c>
      <c r="G1708">
        <v>17.44</v>
      </c>
      <c r="H1708">
        <v>0.58</v>
      </c>
      <c r="I1708">
        <v>0.113</v>
      </c>
      <c r="J1708">
        <v>24.17</v>
      </c>
      <c r="K1708">
        <v>31.58</v>
      </c>
      <c r="L1708">
        <v>18.29</v>
      </c>
      <c r="M1708">
        <v>0.33</v>
      </c>
      <c r="N1708">
        <v>0.197</v>
      </c>
      <c r="O1708">
        <v>23.32</v>
      </c>
      <c r="P1708">
        <v>29.67</v>
      </c>
      <c r="Q1708">
        <v>18.66</v>
      </c>
      <c r="R1708">
        <v>0.56</v>
      </c>
    </row>
    <row r="1709">
      <c r="A1709" s="9">
        <v>40240</v>
      </c>
      <c r="B1709" s="2" t="inlineStr">
        <is>
          <t xml:space="preserve">2010-03</t>
        </is>
      </c>
      <c r="C1709" s="2" t="inlineStr">
        <is>
          <t xml:space="preserve">2009/10</t>
        </is>
      </c>
      <c r="D1709">
        <v>0.071</v>
      </c>
      <c r="E1709">
        <v>20.05</v>
      </c>
      <c r="F1709">
        <v>26.99</v>
      </c>
      <c r="G1709">
        <v>15.58</v>
      </c>
      <c r="H1709">
        <v>0.76</v>
      </c>
      <c r="I1709">
        <v>0.0</v>
      </c>
      <c r="J1709">
        <v>19.67</v>
      </c>
      <c r="K1709">
        <v>27.08</v>
      </c>
      <c r="L1709">
        <v>14.62</v>
      </c>
      <c r="M1709">
        <v>0.09</v>
      </c>
      <c r="N1709">
        <v>0.0</v>
      </c>
      <c r="O1709">
        <v>18.97</v>
      </c>
      <c r="P1709">
        <v>25.83</v>
      </c>
      <c r="Q1709">
        <v>15.02</v>
      </c>
      <c r="R1709">
        <v>0.09</v>
      </c>
    </row>
    <row r="1710">
      <c r="A1710" s="9">
        <v>40241</v>
      </c>
      <c r="B1710" s="2" t="inlineStr">
        <is>
          <t xml:space="preserve">2010-03</t>
        </is>
      </c>
      <c r="C1710" s="2" t="inlineStr">
        <is>
          <t xml:space="preserve">2009/10</t>
        </is>
      </c>
      <c r="D1710">
        <v>0.0</v>
      </c>
      <c r="E1710">
        <v>19.48</v>
      </c>
      <c r="F1710">
        <v>27.12</v>
      </c>
      <c r="G1710">
        <v>14.22</v>
      </c>
      <c r="H1710">
        <v>0.0</v>
      </c>
      <c r="I1710">
        <v>0.251</v>
      </c>
      <c r="J1710">
        <v>20.28</v>
      </c>
      <c r="K1710">
        <v>28.79</v>
      </c>
      <c r="L1710">
        <v>14.27</v>
      </c>
      <c r="M1710">
        <v>0.2</v>
      </c>
      <c r="N1710">
        <v>0.332</v>
      </c>
      <c r="O1710">
        <v>18.85</v>
      </c>
      <c r="P1710">
        <v>26.05</v>
      </c>
      <c r="Q1710">
        <v>14.09</v>
      </c>
      <c r="R1710">
        <v>0.22</v>
      </c>
    </row>
    <row r="1711">
      <c r="A1711" s="9">
        <v>40242</v>
      </c>
      <c r="B1711" s="2" t="inlineStr">
        <is>
          <t xml:space="preserve">2010-03</t>
        </is>
      </c>
      <c r="C1711" s="2" t="inlineStr">
        <is>
          <t xml:space="preserve">2009/10</t>
        </is>
      </c>
      <c r="D1711">
        <v>0.0</v>
      </c>
      <c r="E1711">
        <v>20.55</v>
      </c>
      <c r="F1711">
        <v>29.12</v>
      </c>
      <c r="G1711">
        <v>14.24</v>
      </c>
      <c r="H1711">
        <v>0.0</v>
      </c>
      <c r="I1711">
        <v>0.0</v>
      </c>
      <c r="J1711">
        <v>21.02</v>
      </c>
      <c r="K1711">
        <v>29.65</v>
      </c>
      <c r="L1711">
        <v>14.57</v>
      </c>
      <c r="M1711">
        <v>0.0</v>
      </c>
      <c r="N1711">
        <v>0.0</v>
      </c>
      <c r="O1711">
        <v>19.83</v>
      </c>
      <c r="P1711">
        <v>27.26</v>
      </c>
      <c r="Q1711">
        <v>14.65</v>
      </c>
      <c r="R1711">
        <v>0.0</v>
      </c>
    </row>
    <row r="1712">
      <c r="A1712" s="9">
        <v>40243</v>
      </c>
      <c r="B1712" s="2" t="inlineStr">
        <is>
          <t xml:space="preserve">2010-03</t>
        </is>
      </c>
      <c r="C1712" s="2" t="inlineStr">
        <is>
          <t xml:space="preserve">2009/10</t>
        </is>
      </c>
      <c r="D1712">
        <v>0.0</v>
      </c>
      <c r="E1712">
        <v>19.7</v>
      </c>
      <c r="F1712">
        <v>28.39</v>
      </c>
      <c r="G1712">
        <v>14.14</v>
      </c>
      <c r="H1712">
        <v>0.0</v>
      </c>
      <c r="I1712">
        <v>0.0</v>
      </c>
      <c r="J1712">
        <v>20.57</v>
      </c>
      <c r="K1712">
        <v>28.8</v>
      </c>
      <c r="L1712">
        <v>15.27</v>
      </c>
      <c r="M1712">
        <v>0.0</v>
      </c>
      <c r="N1712">
        <v>0.0</v>
      </c>
      <c r="O1712">
        <v>19.65</v>
      </c>
      <c r="P1712">
        <v>26.59</v>
      </c>
      <c r="Q1712">
        <v>15.2</v>
      </c>
      <c r="R1712">
        <v>0.0</v>
      </c>
    </row>
    <row r="1713">
      <c r="A1713" s="9">
        <v>40244</v>
      </c>
      <c r="B1713" s="2" t="inlineStr">
        <is>
          <t xml:space="preserve">2010-03</t>
        </is>
      </c>
      <c r="C1713" s="2" t="inlineStr">
        <is>
          <t xml:space="preserve">2009/10</t>
        </is>
      </c>
      <c r="D1713">
        <v>0.0</v>
      </c>
      <c r="E1713">
        <v>18.14</v>
      </c>
      <c r="F1713">
        <v>27.05</v>
      </c>
      <c r="G1713">
        <v>12.26</v>
      </c>
      <c r="H1713">
        <v>0.0</v>
      </c>
      <c r="I1713">
        <v>0.0</v>
      </c>
      <c r="J1713">
        <v>19.01</v>
      </c>
      <c r="K1713">
        <v>26.99</v>
      </c>
      <c r="L1713">
        <v>13.6</v>
      </c>
      <c r="M1713">
        <v>0.0</v>
      </c>
      <c r="N1713">
        <v>0.0</v>
      </c>
      <c r="O1713">
        <v>18.38</v>
      </c>
      <c r="P1713">
        <v>25.05</v>
      </c>
      <c r="Q1713">
        <v>14.47</v>
      </c>
      <c r="R1713">
        <v>0.0</v>
      </c>
    </row>
    <row r="1714">
      <c r="A1714" s="9">
        <v>40245</v>
      </c>
      <c r="B1714" s="2" t="inlineStr">
        <is>
          <t xml:space="preserve">2010-03</t>
        </is>
      </c>
      <c r="C1714" s="2" t="inlineStr">
        <is>
          <t xml:space="preserve">2009/10</t>
        </is>
      </c>
      <c r="D1714">
        <v>0.0</v>
      </c>
      <c r="E1714">
        <v>19.47</v>
      </c>
      <c r="F1714">
        <v>30.09</v>
      </c>
      <c r="G1714">
        <v>11.31</v>
      </c>
      <c r="H1714">
        <v>0.0</v>
      </c>
      <c r="I1714">
        <v>0.0</v>
      </c>
      <c r="J1714">
        <v>20.1</v>
      </c>
      <c r="K1714">
        <v>30.56</v>
      </c>
      <c r="L1714">
        <v>12.28</v>
      </c>
      <c r="M1714">
        <v>0.0</v>
      </c>
      <c r="N1714">
        <v>0.0</v>
      </c>
      <c r="O1714">
        <v>19.37</v>
      </c>
      <c r="P1714">
        <v>27.94</v>
      </c>
      <c r="Q1714">
        <v>13.72</v>
      </c>
      <c r="R1714">
        <v>0.0</v>
      </c>
    </row>
    <row r="1715">
      <c r="A1715" s="9">
        <v>40246</v>
      </c>
      <c r="B1715" s="2" t="inlineStr">
        <is>
          <t xml:space="preserve">2010-03</t>
        </is>
      </c>
      <c r="C1715" s="2" t="inlineStr">
        <is>
          <t xml:space="preserve">2009/10</t>
        </is>
      </c>
      <c r="D1715">
        <v>0.0</v>
      </c>
      <c r="E1715">
        <v>23.58</v>
      </c>
      <c r="F1715">
        <v>36.62</v>
      </c>
      <c r="G1715">
        <v>12.76</v>
      </c>
      <c r="H1715">
        <v>0.0</v>
      </c>
      <c r="I1715">
        <v>0.0</v>
      </c>
      <c r="J1715">
        <v>23.49</v>
      </c>
      <c r="K1715">
        <v>35.18</v>
      </c>
      <c r="L1715">
        <v>13.84</v>
      </c>
      <c r="M1715">
        <v>0.0</v>
      </c>
      <c r="N1715">
        <v>0.0</v>
      </c>
      <c r="O1715">
        <v>23.05</v>
      </c>
      <c r="P1715">
        <v>34.8</v>
      </c>
      <c r="Q1715">
        <v>13.45</v>
      </c>
      <c r="R1715">
        <v>0.0</v>
      </c>
    </row>
    <row r="1716">
      <c r="A1716" s="9">
        <v>40247</v>
      </c>
      <c r="B1716" s="2" t="inlineStr">
        <is>
          <t xml:space="preserve">2010-03</t>
        </is>
      </c>
      <c r="C1716" s="2" t="inlineStr">
        <is>
          <t xml:space="preserve">2009/10</t>
        </is>
      </c>
      <c r="D1716">
        <v>0.0</v>
      </c>
      <c r="E1716">
        <v>23.67</v>
      </c>
      <c r="F1716">
        <v>34.48</v>
      </c>
      <c r="G1716">
        <v>15.51</v>
      </c>
      <c r="H1716">
        <v>0.0</v>
      </c>
      <c r="I1716">
        <v>0.0</v>
      </c>
      <c r="J1716">
        <v>23.49</v>
      </c>
      <c r="K1716">
        <v>33.09</v>
      </c>
      <c r="L1716">
        <v>17.01</v>
      </c>
      <c r="M1716">
        <v>0.0</v>
      </c>
      <c r="N1716">
        <v>0.0</v>
      </c>
      <c r="O1716">
        <v>24.63</v>
      </c>
      <c r="P1716">
        <v>34.97</v>
      </c>
      <c r="Q1716">
        <v>15.16</v>
      </c>
      <c r="R1716">
        <v>0.0</v>
      </c>
    </row>
    <row r="1717">
      <c r="A1717" s="9">
        <v>40248</v>
      </c>
      <c r="B1717" s="2" t="inlineStr">
        <is>
          <t xml:space="preserve">2010-03</t>
        </is>
      </c>
      <c r="C1717" s="2" t="inlineStr">
        <is>
          <t xml:space="preserve">2009/10</t>
        </is>
      </c>
      <c r="D1717">
        <v>0.0</v>
      </c>
      <c r="E1717">
        <v>23.39</v>
      </c>
      <c r="F1717">
        <v>34.18</v>
      </c>
      <c r="G1717">
        <v>14.89</v>
      </c>
      <c r="H1717">
        <v>0.0</v>
      </c>
      <c r="I1717">
        <v>0.0</v>
      </c>
      <c r="J1717">
        <v>22.68</v>
      </c>
      <c r="K1717">
        <v>32.28</v>
      </c>
      <c r="L1717">
        <v>16.88</v>
      </c>
      <c r="M1717">
        <v>0.0</v>
      </c>
      <c r="N1717">
        <v>0.0</v>
      </c>
      <c r="O1717">
        <v>24.98</v>
      </c>
      <c r="P1717">
        <v>35.26</v>
      </c>
      <c r="Q1717">
        <v>17.79</v>
      </c>
      <c r="R1717">
        <v>0.0</v>
      </c>
    </row>
    <row r="1718">
      <c r="A1718" s="9">
        <v>40249</v>
      </c>
      <c r="B1718" s="2" t="inlineStr">
        <is>
          <t xml:space="preserve">2010-03</t>
        </is>
      </c>
      <c r="C1718" s="2" t="inlineStr">
        <is>
          <t xml:space="preserve">2009/10</t>
        </is>
      </c>
      <c r="D1718">
        <v>0.0</v>
      </c>
      <c r="E1718">
        <v>25.84</v>
      </c>
      <c r="F1718">
        <v>38.26</v>
      </c>
      <c r="G1718">
        <v>15.19</v>
      </c>
      <c r="H1718">
        <v>0.01</v>
      </c>
      <c r="I1718">
        <v>0.0</v>
      </c>
      <c r="J1718">
        <v>25.68</v>
      </c>
      <c r="K1718">
        <v>36.08</v>
      </c>
      <c r="L1718">
        <v>17.47</v>
      </c>
      <c r="M1718">
        <v>0.0</v>
      </c>
      <c r="N1718">
        <v>0.0</v>
      </c>
      <c r="O1718">
        <v>27.1</v>
      </c>
      <c r="P1718">
        <v>37.99</v>
      </c>
      <c r="Q1718">
        <v>18.34</v>
      </c>
      <c r="R1718">
        <v>0.0</v>
      </c>
    </row>
    <row r="1719">
      <c r="A1719" s="9">
        <v>40250</v>
      </c>
      <c r="B1719" s="2" t="inlineStr">
        <is>
          <t xml:space="preserve">2010-03</t>
        </is>
      </c>
      <c r="C1719" s="2" t="inlineStr">
        <is>
          <t xml:space="preserve">2009/10</t>
        </is>
      </c>
      <c r="D1719">
        <v>0.0</v>
      </c>
      <c r="E1719">
        <v>23.5</v>
      </c>
      <c r="F1719">
        <v>30.22</v>
      </c>
      <c r="G1719">
        <v>19.07</v>
      </c>
      <c r="H1719">
        <v>0.31</v>
      </c>
      <c r="I1719">
        <v>0.0</v>
      </c>
      <c r="J1719">
        <v>22.98</v>
      </c>
      <c r="K1719">
        <v>30.5</v>
      </c>
      <c r="L1719">
        <v>16.34</v>
      </c>
      <c r="M1719">
        <v>0.0</v>
      </c>
      <c r="N1719">
        <v>0.0</v>
      </c>
      <c r="O1719">
        <v>22.53</v>
      </c>
      <c r="P1719">
        <v>29.11</v>
      </c>
      <c r="Q1719">
        <v>17.39</v>
      </c>
      <c r="R1719">
        <v>0.0</v>
      </c>
    </row>
    <row r="1720">
      <c r="A1720" s="9">
        <v>40251</v>
      </c>
      <c r="B1720" s="2" t="inlineStr">
        <is>
          <t xml:space="preserve">2010-03</t>
        </is>
      </c>
      <c r="C1720" s="2" t="inlineStr">
        <is>
          <t xml:space="preserve">2009/10</t>
        </is>
      </c>
      <c r="D1720">
        <v>0.0</v>
      </c>
      <c r="E1720">
        <v>25.52</v>
      </c>
      <c r="F1720">
        <v>34.56</v>
      </c>
      <c r="G1720">
        <v>16.98</v>
      </c>
      <c r="H1720">
        <v>0.0</v>
      </c>
      <c r="I1720">
        <v>0.0</v>
      </c>
      <c r="J1720">
        <v>25.04</v>
      </c>
      <c r="K1720">
        <v>33.82</v>
      </c>
      <c r="L1720">
        <v>17.72</v>
      </c>
      <c r="M1720">
        <v>0.0</v>
      </c>
      <c r="N1720">
        <v>0.0</v>
      </c>
      <c r="O1720">
        <v>24.36</v>
      </c>
      <c r="P1720">
        <v>33.32</v>
      </c>
      <c r="Q1720">
        <v>16.84</v>
      </c>
      <c r="R1720">
        <v>0.0</v>
      </c>
    </row>
    <row r="1721">
      <c r="A1721" s="9">
        <v>40252</v>
      </c>
      <c r="B1721" s="2" t="inlineStr">
        <is>
          <t xml:space="preserve">2010-03</t>
        </is>
      </c>
      <c r="C1721" s="2" t="inlineStr">
        <is>
          <t xml:space="preserve">2009/10</t>
        </is>
      </c>
      <c r="D1721">
        <v>0.0</v>
      </c>
      <c r="E1721">
        <v>27.07</v>
      </c>
      <c r="F1721">
        <v>36.04</v>
      </c>
      <c r="G1721">
        <v>19.53</v>
      </c>
      <c r="H1721">
        <v>0.14</v>
      </c>
      <c r="I1721">
        <v>0.0</v>
      </c>
      <c r="J1721">
        <v>26.31</v>
      </c>
      <c r="K1721">
        <v>34.69</v>
      </c>
      <c r="L1721">
        <v>19.38</v>
      </c>
      <c r="M1721">
        <v>0.05</v>
      </c>
      <c r="N1721">
        <v>0.0</v>
      </c>
      <c r="O1721">
        <v>25.86</v>
      </c>
      <c r="P1721">
        <v>35.46</v>
      </c>
      <c r="Q1721">
        <v>18.84</v>
      </c>
      <c r="R1721">
        <v>0.06</v>
      </c>
    </row>
    <row r="1722">
      <c r="A1722" s="9">
        <v>40253</v>
      </c>
      <c r="B1722" s="2" t="inlineStr">
        <is>
          <t xml:space="preserve">2010-03</t>
        </is>
      </c>
      <c r="C1722" s="2" t="inlineStr">
        <is>
          <t xml:space="preserve">2009/10</t>
        </is>
      </c>
      <c r="D1722">
        <v>0.551</v>
      </c>
      <c r="E1722">
        <v>25.63</v>
      </c>
      <c r="F1722">
        <v>33.17</v>
      </c>
      <c r="G1722">
        <v>20.69</v>
      </c>
      <c r="H1722">
        <v>2.45</v>
      </c>
      <c r="I1722">
        <v>0.156</v>
      </c>
      <c r="J1722">
        <v>26.07</v>
      </c>
      <c r="K1722">
        <v>34.23</v>
      </c>
      <c r="L1722">
        <v>19.7</v>
      </c>
      <c r="M1722">
        <v>0.31</v>
      </c>
      <c r="N1722">
        <v>0.215</v>
      </c>
      <c r="O1722">
        <v>24.51</v>
      </c>
      <c r="P1722">
        <v>31.95</v>
      </c>
      <c r="Q1722">
        <v>19.56</v>
      </c>
      <c r="R1722">
        <v>0.52</v>
      </c>
    </row>
    <row r="1723">
      <c r="A1723" s="9">
        <v>40254</v>
      </c>
      <c r="B1723" s="2" t="inlineStr">
        <is>
          <t xml:space="preserve">2010-03</t>
        </is>
      </c>
      <c r="C1723" s="2" t="inlineStr">
        <is>
          <t xml:space="preserve">2009/10</t>
        </is>
      </c>
      <c r="D1723">
        <v>0.319</v>
      </c>
      <c r="E1723">
        <v>22.25</v>
      </c>
      <c r="F1723">
        <v>27.2</v>
      </c>
      <c r="G1723">
        <v>17.93</v>
      </c>
      <c r="H1723">
        <v>7.03</v>
      </c>
      <c r="I1723">
        <v>0.369</v>
      </c>
      <c r="J1723">
        <v>23.49</v>
      </c>
      <c r="K1723">
        <v>29.9</v>
      </c>
      <c r="L1723">
        <v>18.36</v>
      </c>
      <c r="M1723">
        <v>0.67</v>
      </c>
      <c r="N1723">
        <v>0.605</v>
      </c>
      <c r="O1723">
        <v>22.64</v>
      </c>
      <c r="P1723">
        <v>27.93</v>
      </c>
      <c r="Q1723">
        <v>19.3</v>
      </c>
      <c r="R1723">
        <v>1.2</v>
      </c>
    </row>
    <row r="1724">
      <c r="A1724" s="9">
        <v>40255</v>
      </c>
      <c r="B1724" s="2" t="inlineStr">
        <is>
          <t xml:space="preserve">2010-03</t>
        </is>
      </c>
      <c r="C1724" s="2" t="inlineStr">
        <is>
          <t xml:space="preserve">2009/10</t>
        </is>
      </c>
      <c r="D1724">
        <v>0.054</v>
      </c>
      <c r="E1724">
        <v>19.83</v>
      </c>
      <c r="F1724">
        <v>27.29</v>
      </c>
      <c r="G1724">
        <v>15.62</v>
      </c>
      <c r="H1724">
        <v>2.15</v>
      </c>
      <c r="I1724">
        <v>0.212</v>
      </c>
      <c r="J1724">
        <v>20.42</v>
      </c>
      <c r="K1724">
        <v>27.52</v>
      </c>
      <c r="L1724">
        <v>15.05</v>
      </c>
      <c r="M1724">
        <v>0.23</v>
      </c>
      <c r="N1724">
        <v>0.289</v>
      </c>
      <c r="O1724">
        <v>20.18</v>
      </c>
      <c r="P1724">
        <v>26.43</v>
      </c>
      <c r="Q1724">
        <v>16.3</v>
      </c>
      <c r="R1724">
        <v>0.36</v>
      </c>
    </row>
    <row r="1725">
      <c r="A1725" s="9">
        <v>40256</v>
      </c>
      <c r="B1725" s="2" t="inlineStr">
        <is>
          <t xml:space="preserve">2010-03</t>
        </is>
      </c>
      <c r="C1725" s="2" t="inlineStr">
        <is>
          <t xml:space="preserve">2009/10</t>
        </is>
      </c>
      <c r="D1725">
        <v>0.0</v>
      </c>
      <c r="E1725">
        <v>21.49</v>
      </c>
      <c r="F1725">
        <v>31.08</v>
      </c>
      <c r="G1725">
        <v>13.92</v>
      </c>
      <c r="H1725">
        <v>0.0</v>
      </c>
      <c r="I1725">
        <v>0.0</v>
      </c>
      <c r="J1725">
        <v>22.68</v>
      </c>
      <c r="K1725">
        <v>32.28</v>
      </c>
      <c r="L1725">
        <v>15.85</v>
      </c>
      <c r="M1725">
        <v>0.07</v>
      </c>
      <c r="N1725">
        <v>0.078</v>
      </c>
      <c r="O1725">
        <v>20.98</v>
      </c>
      <c r="P1725">
        <v>29.84</v>
      </c>
      <c r="Q1725">
        <v>15.23</v>
      </c>
      <c r="R1725">
        <v>0.36</v>
      </c>
    </row>
    <row r="1726">
      <c r="A1726" s="9">
        <v>40257</v>
      </c>
      <c r="B1726" s="2" t="inlineStr">
        <is>
          <t xml:space="preserve">2010-03</t>
        </is>
      </c>
      <c r="C1726" s="2" t="inlineStr">
        <is>
          <t xml:space="preserve">2009/10</t>
        </is>
      </c>
      <c r="D1726">
        <v>0.0</v>
      </c>
      <c r="E1726">
        <v>24.44</v>
      </c>
      <c r="F1726">
        <v>34.6</v>
      </c>
      <c r="G1726">
        <v>15.19</v>
      </c>
      <c r="H1726">
        <v>0.0</v>
      </c>
      <c r="I1726">
        <v>0.0</v>
      </c>
      <c r="J1726">
        <v>25.2</v>
      </c>
      <c r="K1726">
        <v>35.01</v>
      </c>
      <c r="L1726">
        <v>16.84</v>
      </c>
      <c r="M1726">
        <v>0.0</v>
      </c>
      <c r="N1726">
        <v>0.0</v>
      </c>
      <c r="O1726">
        <v>25.18</v>
      </c>
      <c r="P1726">
        <v>35.46</v>
      </c>
      <c r="Q1726">
        <v>15.69</v>
      </c>
      <c r="R1726">
        <v>0.0</v>
      </c>
    </row>
    <row r="1727">
      <c r="A1727" s="9">
        <v>40258</v>
      </c>
      <c r="B1727" s="2" t="inlineStr">
        <is>
          <t xml:space="preserve">2010-03</t>
        </is>
      </c>
      <c r="C1727" s="2" t="inlineStr">
        <is>
          <t xml:space="preserve">2009/10</t>
        </is>
      </c>
      <c r="D1727">
        <v>0.0</v>
      </c>
      <c r="E1727">
        <v>24.23</v>
      </c>
      <c r="F1727">
        <v>32.46</v>
      </c>
      <c r="G1727">
        <v>17.78</v>
      </c>
      <c r="H1727">
        <v>0.06</v>
      </c>
      <c r="I1727">
        <v>0.0</v>
      </c>
      <c r="J1727">
        <v>24.45</v>
      </c>
      <c r="K1727">
        <v>31.99</v>
      </c>
      <c r="L1727">
        <v>18.79</v>
      </c>
      <c r="M1727">
        <v>0.04</v>
      </c>
      <c r="N1727">
        <v>0.0</v>
      </c>
      <c r="O1727">
        <v>24.21</v>
      </c>
      <c r="P1727">
        <v>30.44</v>
      </c>
      <c r="Q1727">
        <v>19.66</v>
      </c>
      <c r="R1727">
        <v>0.24</v>
      </c>
    </row>
    <row r="1728">
      <c r="A1728" s="9">
        <v>40259</v>
      </c>
      <c r="B1728" s="2" t="inlineStr">
        <is>
          <t xml:space="preserve">2010-03</t>
        </is>
      </c>
      <c r="C1728" s="2" t="inlineStr">
        <is>
          <t xml:space="preserve">2009/10</t>
        </is>
      </c>
      <c r="D1728">
        <v>0.0</v>
      </c>
      <c r="E1728">
        <v>20.35</v>
      </c>
      <c r="F1728">
        <v>26.32</v>
      </c>
      <c r="G1728">
        <v>15.26</v>
      </c>
      <c r="H1728">
        <v>0.62</v>
      </c>
      <c r="I1728">
        <v>0.0</v>
      </c>
      <c r="J1728">
        <v>19.96</v>
      </c>
      <c r="K1728">
        <v>25.74</v>
      </c>
      <c r="L1728">
        <v>15.75</v>
      </c>
      <c r="M1728">
        <v>0.12</v>
      </c>
      <c r="N1728">
        <v>0.0</v>
      </c>
      <c r="O1728">
        <v>19.42</v>
      </c>
      <c r="P1728">
        <v>24.68</v>
      </c>
      <c r="Q1728">
        <v>15.33</v>
      </c>
      <c r="R1728">
        <v>0.4</v>
      </c>
    </row>
    <row r="1729">
      <c r="A1729" s="9">
        <v>40260</v>
      </c>
      <c r="B1729" s="2" t="inlineStr">
        <is>
          <t xml:space="preserve">2010-03</t>
        </is>
      </c>
      <c r="C1729" s="2" t="inlineStr">
        <is>
          <t xml:space="preserve">2009/10</t>
        </is>
      </c>
      <c r="D1729">
        <v>0.0</v>
      </c>
      <c r="E1729">
        <v>21.87</v>
      </c>
      <c r="F1729">
        <v>31.87</v>
      </c>
      <c r="G1729">
        <v>14.44</v>
      </c>
      <c r="H1729">
        <v>0.0</v>
      </c>
      <c r="I1729">
        <v>0.0</v>
      </c>
      <c r="J1729">
        <v>22.5</v>
      </c>
      <c r="K1729">
        <v>32.63</v>
      </c>
      <c r="L1729">
        <v>14.57</v>
      </c>
      <c r="M1729">
        <v>0.0</v>
      </c>
      <c r="N1729">
        <v>0.0</v>
      </c>
      <c r="O1729">
        <v>20.39</v>
      </c>
      <c r="P1729">
        <v>29.36</v>
      </c>
      <c r="Q1729">
        <v>13.91</v>
      </c>
      <c r="R1729">
        <v>0.0</v>
      </c>
    </row>
    <row r="1730">
      <c r="A1730" s="9">
        <v>40261</v>
      </c>
      <c r="B1730" s="2" t="inlineStr">
        <is>
          <t xml:space="preserve">2010-03</t>
        </is>
      </c>
      <c r="C1730" s="2" t="inlineStr">
        <is>
          <t xml:space="preserve">2009/10</t>
        </is>
      </c>
      <c r="D1730">
        <v>0.0</v>
      </c>
      <c r="E1730">
        <v>24.15</v>
      </c>
      <c r="F1730">
        <v>33.56</v>
      </c>
      <c r="G1730">
        <v>16.79</v>
      </c>
      <c r="H1730">
        <v>0.0</v>
      </c>
      <c r="I1730">
        <v>0.0</v>
      </c>
      <c r="J1730">
        <v>24.72</v>
      </c>
      <c r="K1730">
        <v>33.55</v>
      </c>
      <c r="L1730">
        <v>16.61</v>
      </c>
      <c r="M1730">
        <v>0.0</v>
      </c>
      <c r="N1730">
        <v>0.0</v>
      </c>
      <c r="O1730">
        <v>23.81</v>
      </c>
      <c r="P1730">
        <v>32.46</v>
      </c>
      <c r="Q1730">
        <v>16.75</v>
      </c>
      <c r="R1730">
        <v>0.0</v>
      </c>
    </row>
    <row r="1731">
      <c r="A1731" s="9">
        <v>40262</v>
      </c>
      <c r="B1731" s="2" t="inlineStr">
        <is>
          <t xml:space="preserve">2010-03</t>
        </is>
      </c>
      <c r="C1731" s="2" t="inlineStr">
        <is>
          <t xml:space="preserve">2009/10</t>
        </is>
      </c>
      <c r="D1731">
        <v>0.0</v>
      </c>
      <c r="E1731">
        <v>25.26</v>
      </c>
      <c r="F1731">
        <v>35.16</v>
      </c>
      <c r="G1731">
        <v>16.26</v>
      </c>
      <c r="H1731">
        <v>0.0</v>
      </c>
      <c r="I1731">
        <v>0.0</v>
      </c>
      <c r="J1731">
        <v>26.91</v>
      </c>
      <c r="K1731">
        <v>35.97</v>
      </c>
      <c r="L1731">
        <v>19.05</v>
      </c>
      <c r="M1731">
        <v>0.0</v>
      </c>
      <c r="N1731">
        <v>0.0</v>
      </c>
      <c r="O1731">
        <v>26.47</v>
      </c>
      <c r="P1731">
        <v>35.96</v>
      </c>
      <c r="Q1731">
        <v>18.39</v>
      </c>
      <c r="R1731">
        <v>0.0</v>
      </c>
    </row>
    <row r="1732">
      <c r="A1732" s="9">
        <v>40263</v>
      </c>
      <c r="B1732" s="2" t="inlineStr">
        <is>
          <t xml:space="preserve">2010-03</t>
        </is>
      </c>
      <c r="C1732" s="2" t="inlineStr">
        <is>
          <t xml:space="preserve">2009/10</t>
        </is>
      </c>
      <c r="D1732">
        <v>0.0</v>
      </c>
      <c r="E1732">
        <v>25.2</v>
      </c>
      <c r="F1732">
        <v>32.87</v>
      </c>
      <c r="G1732">
        <v>18.95</v>
      </c>
      <c r="H1732">
        <v>0.0</v>
      </c>
      <c r="I1732">
        <v>0.0</v>
      </c>
      <c r="J1732">
        <v>25.72</v>
      </c>
      <c r="K1732">
        <v>32.72</v>
      </c>
      <c r="L1732">
        <v>19.72</v>
      </c>
      <c r="M1732">
        <v>0.0</v>
      </c>
      <c r="N1732">
        <v>0.0</v>
      </c>
      <c r="O1732">
        <v>24.26</v>
      </c>
      <c r="P1732">
        <v>31.09</v>
      </c>
      <c r="Q1732">
        <v>18.59</v>
      </c>
      <c r="R1732">
        <v>0.0</v>
      </c>
    </row>
    <row r="1733">
      <c r="A1733" s="9">
        <v>40264</v>
      </c>
      <c r="B1733" s="2" t="inlineStr">
        <is>
          <t xml:space="preserve">2010-03</t>
        </is>
      </c>
      <c r="C1733" s="2" t="inlineStr">
        <is>
          <t xml:space="preserve">2009/10</t>
        </is>
      </c>
      <c r="D1733">
        <v>0.0</v>
      </c>
      <c r="E1733">
        <v>25.86</v>
      </c>
      <c r="F1733">
        <v>34.22</v>
      </c>
      <c r="G1733">
        <v>19.02</v>
      </c>
      <c r="H1733">
        <v>0.0</v>
      </c>
      <c r="I1733">
        <v>0.0</v>
      </c>
      <c r="J1733">
        <v>26.05</v>
      </c>
      <c r="K1733">
        <v>34.52</v>
      </c>
      <c r="L1733">
        <v>18.34</v>
      </c>
      <c r="M1733">
        <v>0.0</v>
      </c>
      <c r="N1733">
        <v>0.0</v>
      </c>
      <c r="O1733">
        <v>24.55</v>
      </c>
      <c r="P1733">
        <v>33.08</v>
      </c>
      <c r="Q1733">
        <v>18.14</v>
      </c>
      <c r="R1733">
        <v>0.0</v>
      </c>
    </row>
    <row r="1734">
      <c r="A1734" s="9">
        <v>40265</v>
      </c>
      <c r="B1734" s="2" t="inlineStr">
        <is>
          <t xml:space="preserve">2010-03</t>
        </is>
      </c>
      <c r="C1734" s="2" t="inlineStr">
        <is>
          <t xml:space="preserve">2009/10</t>
        </is>
      </c>
      <c r="D1734">
        <v>0.0</v>
      </c>
      <c r="E1734">
        <v>26.34</v>
      </c>
      <c r="F1734">
        <v>35.51</v>
      </c>
      <c r="G1734">
        <v>18.15</v>
      </c>
      <c r="H1734">
        <v>0.0</v>
      </c>
      <c r="I1734">
        <v>0.0</v>
      </c>
      <c r="J1734">
        <v>26.98</v>
      </c>
      <c r="K1734">
        <v>36.03</v>
      </c>
      <c r="L1734">
        <v>18.81</v>
      </c>
      <c r="M1734">
        <v>0.02</v>
      </c>
      <c r="N1734">
        <v>0.0</v>
      </c>
      <c r="O1734">
        <v>25.85</v>
      </c>
      <c r="P1734">
        <v>34.74</v>
      </c>
      <c r="Q1734">
        <v>19.24</v>
      </c>
      <c r="R1734">
        <v>0.02</v>
      </c>
    </row>
    <row r="1735">
      <c r="A1735" s="9">
        <v>40266</v>
      </c>
      <c r="B1735" s="2" t="inlineStr">
        <is>
          <t xml:space="preserve">2010-03</t>
        </is>
      </c>
      <c r="C1735" s="2" t="inlineStr">
        <is>
          <t xml:space="preserve">2009/10</t>
        </is>
      </c>
      <c r="D1735">
        <v>0.0</v>
      </c>
      <c r="E1735">
        <v>23.97</v>
      </c>
      <c r="F1735">
        <v>31.8</v>
      </c>
      <c r="G1735">
        <v>18.71</v>
      </c>
      <c r="H1735">
        <v>0.33</v>
      </c>
      <c r="I1735">
        <v>0.0</v>
      </c>
      <c r="J1735">
        <v>24.84</v>
      </c>
      <c r="K1735">
        <v>31.69</v>
      </c>
      <c r="L1735">
        <v>19.36</v>
      </c>
      <c r="M1735">
        <v>0.23</v>
      </c>
      <c r="N1735">
        <v>0.08</v>
      </c>
      <c r="O1735">
        <v>23.66</v>
      </c>
      <c r="P1735">
        <v>29.84</v>
      </c>
      <c r="Q1735">
        <v>19.57</v>
      </c>
      <c r="R1735">
        <v>1.17</v>
      </c>
    </row>
    <row r="1736">
      <c r="A1736" s="9">
        <v>40267</v>
      </c>
      <c r="B1736" s="2" t="inlineStr">
        <is>
          <t xml:space="preserve">2010-03</t>
        </is>
      </c>
      <c r="C1736" s="2" t="inlineStr">
        <is>
          <t xml:space="preserve">2009/10</t>
        </is>
      </c>
      <c r="D1736">
        <v>0.0</v>
      </c>
      <c r="E1736">
        <v>21.79</v>
      </c>
      <c r="F1736">
        <v>29.19</v>
      </c>
      <c r="G1736">
        <v>17.26</v>
      </c>
      <c r="H1736">
        <v>1.51</v>
      </c>
      <c r="I1736">
        <v>0.0</v>
      </c>
      <c r="J1736">
        <v>21.51</v>
      </c>
      <c r="K1736">
        <v>29.8</v>
      </c>
      <c r="L1736">
        <v>15.07</v>
      </c>
      <c r="M1736">
        <v>0.22</v>
      </c>
      <c r="N1736">
        <v>0.0</v>
      </c>
      <c r="O1736">
        <v>20.65</v>
      </c>
      <c r="P1736">
        <v>27.31</v>
      </c>
      <c r="Q1736">
        <v>15.94</v>
      </c>
      <c r="R1736">
        <v>0.69</v>
      </c>
    </row>
    <row r="1737">
      <c r="A1737" s="9">
        <v>40268</v>
      </c>
      <c r="B1737" s="2" t="inlineStr">
        <is>
          <t xml:space="preserve">2010-03</t>
        </is>
      </c>
      <c r="C1737" s="2" t="inlineStr">
        <is>
          <t xml:space="preserve">2009/10</t>
        </is>
      </c>
      <c r="D1737">
        <v>0.0</v>
      </c>
      <c r="E1737">
        <v>23.58</v>
      </c>
      <c r="F1737">
        <v>33.1</v>
      </c>
      <c r="G1737">
        <v>15.85</v>
      </c>
      <c r="H1737">
        <v>0.0</v>
      </c>
      <c r="I1737">
        <v>0.0</v>
      </c>
      <c r="J1737">
        <v>24.41</v>
      </c>
      <c r="K1737">
        <v>34.19</v>
      </c>
      <c r="L1737">
        <v>16.33</v>
      </c>
      <c r="M1737">
        <v>0.0</v>
      </c>
      <c r="N1737">
        <v>0.0</v>
      </c>
      <c r="O1737">
        <v>22.54</v>
      </c>
      <c r="P1737">
        <v>31.72</v>
      </c>
      <c r="Q1737">
        <v>16.02</v>
      </c>
      <c r="R1737">
        <v>0.0</v>
      </c>
    </row>
    <row r="1738">
      <c r="A1738" s="9">
        <v>40269</v>
      </c>
      <c r="B1738" s="2" t="inlineStr">
        <is>
          <t xml:space="preserve">2010-04</t>
        </is>
      </c>
      <c r="C1738" s="2" t="inlineStr">
        <is>
          <t xml:space="preserve">2009/10</t>
        </is>
      </c>
      <c r="D1738">
        <v>0.0</v>
      </c>
      <c r="E1738">
        <v>24.65</v>
      </c>
      <c r="F1738">
        <v>33.69</v>
      </c>
      <c r="G1738">
        <v>17.47</v>
      </c>
      <c r="H1738">
        <v>0.69</v>
      </c>
      <c r="I1738">
        <v>0.0</v>
      </c>
      <c r="J1738">
        <v>25.43</v>
      </c>
      <c r="K1738">
        <v>34.28</v>
      </c>
      <c r="L1738">
        <v>17.64</v>
      </c>
      <c r="M1738">
        <v>0.48</v>
      </c>
      <c r="N1738">
        <v>0.0</v>
      </c>
      <c r="O1738">
        <v>23.55</v>
      </c>
      <c r="P1738">
        <v>32.11</v>
      </c>
      <c r="Q1738">
        <v>17.46</v>
      </c>
      <c r="R1738">
        <v>0.34</v>
      </c>
    </row>
    <row r="1739">
      <c r="A1739" s="9">
        <v>40270</v>
      </c>
      <c r="B1739" s="2" t="inlineStr">
        <is>
          <t xml:space="preserve">2010-04</t>
        </is>
      </c>
      <c r="C1739" s="2" t="inlineStr">
        <is>
          <t xml:space="preserve">2009/10</t>
        </is>
      </c>
      <c r="D1739">
        <v>5.063</v>
      </c>
      <c r="E1739">
        <v>25.64</v>
      </c>
      <c r="F1739">
        <v>34.59</v>
      </c>
      <c r="G1739">
        <v>18.06</v>
      </c>
      <c r="H1739">
        <v>5.05</v>
      </c>
      <c r="I1739">
        <v>5.607</v>
      </c>
      <c r="J1739">
        <v>26.01</v>
      </c>
      <c r="K1739">
        <v>34.12</v>
      </c>
      <c r="L1739">
        <v>19.09</v>
      </c>
      <c r="M1739">
        <v>5.08</v>
      </c>
      <c r="N1739">
        <v>2.596</v>
      </c>
      <c r="O1739">
        <v>25.21</v>
      </c>
      <c r="P1739">
        <v>33.81</v>
      </c>
      <c r="Q1739">
        <v>19.08</v>
      </c>
      <c r="R1739">
        <v>3.68</v>
      </c>
    </row>
    <row r="1740">
      <c r="A1740" s="9">
        <v>40271</v>
      </c>
      <c r="B1740" s="2" t="inlineStr">
        <is>
          <t xml:space="preserve">2010-04</t>
        </is>
      </c>
      <c r="C1740" s="2" t="inlineStr">
        <is>
          <t xml:space="preserve">2009/10</t>
        </is>
      </c>
      <c r="D1740">
        <v>16.862</v>
      </c>
      <c r="E1740">
        <v>23.69</v>
      </c>
      <c r="F1740">
        <v>30.78</v>
      </c>
      <c r="G1740">
        <v>18.92</v>
      </c>
      <c r="H1740">
        <v>18.3</v>
      </c>
      <c r="I1740">
        <v>4.215</v>
      </c>
      <c r="J1740">
        <v>25.65</v>
      </c>
      <c r="K1740">
        <v>32.65</v>
      </c>
      <c r="L1740">
        <v>20.54</v>
      </c>
      <c r="M1740">
        <v>4.14</v>
      </c>
      <c r="N1740">
        <v>2.245</v>
      </c>
      <c r="O1740">
        <v>25.03</v>
      </c>
      <c r="P1740">
        <v>32.59</v>
      </c>
      <c r="Q1740">
        <v>20.39</v>
      </c>
      <c r="R1740">
        <v>2.96</v>
      </c>
    </row>
    <row r="1741">
      <c r="A1741" s="9">
        <v>40272</v>
      </c>
      <c r="B1741" s="2" t="inlineStr">
        <is>
          <t xml:space="preserve">2010-04</t>
        </is>
      </c>
      <c r="C1741" s="2" t="inlineStr">
        <is>
          <t xml:space="preserve">2009/10</t>
        </is>
      </c>
      <c r="D1741">
        <v>5.426</v>
      </c>
      <c r="E1741">
        <v>22.25</v>
      </c>
      <c r="F1741">
        <v>26.67</v>
      </c>
      <c r="G1741">
        <v>19.58</v>
      </c>
      <c r="H1741">
        <v>8.3</v>
      </c>
      <c r="I1741">
        <v>5.463</v>
      </c>
      <c r="J1741">
        <v>24.06</v>
      </c>
      <c r="K1741">
        <v>30.03</v>
      </c>
      <c r="L1741">
        <v>19.92</v>
      </c>
      <c r="M1741">
        <v>5.17</v>
      </c>
      <c r="N1741">
        <v>7.469</v>
      </c>
      <c r="O1741">
        <v>23.05</v>
      </c>
      <c r="P1741">
        <v>28.63</v>
      </c>
      <c r="Q1741">
        <v>19.86</v>
      </c>
      <c r="R1741">
        <v>5.69</v>
      </c>
    </row>
    <row r="1742">
      <c r="A1742" s="9">
        <v>40273</v>
      </c>
      <c r="B1742" s="2" t="inlineStr">
        <is>
          <t xml:space="preserve">2010-04</t>
        </is>
      </c>
      <c r="C1742" s="2" t="inlineStr">
        <is>
          <t xml:space="preserve">2009/10</t>
        </is>
      </c>
      <c r="D1742">
        <v>2.14</v>
      </c>
      <c r="E1742">
        <v>22.92</v>
      </c>
      <c r="F1742">
        <v>30.02</v>
      </c>
      <c r="G1742">
        <v>18.23</v>
      </c>
      <c r="H1742">
        <v>1.17</v>
      </c>
      <c r="I1742">
        <v>7.297</v>
      </c>
      <c r="J1742">
        <v>23.56</v>
      </c>
      <c r="K1742">
        <v>30.51</v>
      </c>
      <c r="L1742">
        <v>19.0</v>
      </c>
      <c r="M1742">
        <v>5.7</v>
      </c>
      <c r="N1742">
        <v>9.105</v>
      </c>
      <c r="O1742">
        <v>22.56</v>
      </c>
      <c r="P1742">
        <v>29.12</v>
      </c>
      <c r="Q1742">
        <v>18.81</v>
      </c>
      <c r="R1742">
        <v>5.13</v>
      </c>
    </row>
    <row r="1743">
      <c r="A1743" s="9">
        <v>40274</v>
      </c>
      <c r="B1743" s="2" t="inlineStr">
        <is>
          <t xml:space="preserve">2010-04</t>
        </is>
      </c>
      <c r="C1743" s="2" t="inlineStr">
        <is>
          <t xml:space="preserve">2009/10</t>
        </is>
      </c>
      <c r="D1743">
        <v>0.0</v>
      </c>
      <c r="E1743">
        <v>23.44</v>
      </c>
      <c r="F1743">
        <v>30.31</v>
      </c>
      <c r="G1743">
        <v>18.15</v>
      </c>
      <c r="H1743">
        <v>2.23</v>
      </c>
      <c r="I1743">
        <v>0.0</v>
      </c>
      <c r="J1743">
        <v>24.71</v>
      </c>
      <c r="K1743">
        <v>31.6</v>
      </c>
      <c r="L1743">
        <v>19.21</v>
      </c>
      <c r="M1743">
        <v>0.77</v>
      </c>
      <c r="N1743">
        <v>0.0</v>
      </c>
      <c r="O1743">
        <v>23.86</v>
      </c>
      <c r="P1743">
        <v>30.87</v>
      </c>
      <c r="Q1743">
        <v>18.9</v>
      </c>
      <c r="R1743">
        <v>0.76</v>
      </c>
    </row>
    <row r="1744">
      <c r="A1744" s="9">
        <v>40275</v>
      </c>
      <c r="B1744" s="2" t="inlineStr">
        <is>
          <t xml:space="preserve">2010-04</t>
        </is>
      </c>
      <c r="C1744" s="2" t="inlineStr">
        <is>
          <t xml:space="preserve">2009/10</t>
        </is>
      </c>
      <c r="D1744">
        <v>8.876</v>
      </c>
      <c r="E1744">
        <v>22.44</v>
      </c>
      <c r="F1744">
        <v>26.07</v>
      </c>
      <c r="G1744">
        <v>19.38</v>
      </c>
      <c r="H1744">
        <v>2.74</v>
      </c>
      <c r="I1744">
        <v>5.52</v>
      </c>
      <c r="J1744">
        <v>24.76</v>
      </c>
      <c r="K1744">
        <v>30.86</v>
      </c>
      <c r="L1744">
        <v>20.46</v>
      </c>
      <c r="M1744">
        <v>3.89</v>
      </c>
      <c r="N1744">
        <v>1.973</v>
      </c>
      <c r="O1744">
        <v>25.09</v>
      </c>
      <c r="P1744">
        <v>32.24</v>
      </c>
      <c r="Q1744">
        <v>20.26</v>
      </c>
      <c r="R1744">
        <v>2.42</v>
      </c>
    </row>
    <row r="1745">
      <c r="A1745" s="9">
        <v>40276</v>
      </c>
      <c r="B1745" s="2" t="inlineStr">
        <is>
          <t xml:space="preserve">2010-04</t>
        </is>
      </c>
      <c r="C1745" s="2" t="inlineStr">
        <is>
          <t xml:space="preserve">2009/10</t>
        </is>
      </c>
      <c r="D1745">
        <v>0.686</v>
      </c>
      <c r="E1745">
        <v>24.07</v>
      </c>
      <c r="F1745">
        <v>31.84</v>
      </c>
      <c r="G1745">
        <v>18.02</v>
      </c>
      <c r="H1745">
        <v>1.91</v>
      </c>
      <c r="I1745">
        <v>0.11</v>
      </c>
      <c r="J1745">
        <v>26.11</v>
      </c>
      <c r="K1745">
        <v>33.2</v>
      </c>
      <c r="L1745">
        <v>20.07</v>
      </c>
      <c r="M1745">
        <v>0.94</v>
      </c>
      <c r="N1745">
        <v>0.0</v>
      </c>
      <c r="O1745">
        <v>26.71</v>
      </c>
      <c r="P1745">
        <v>34.73</v>
      </c>
      <c r="Q1745">
        <v>20.89</v>
      </c>
      <c r="R1745">
        <v>2.11</v>
      </c>
    </row>
    <row r="1746">
      <c r="A1746" s="9">
        <v>40277</v>
      </c>
      <c r="B1746" s="2" t="inlineStr">
        <is>
          <t xml:space="preserve">2010-04</t>
        </is>
      </c>
      <c r="C1746" s="2" t="inlineStr">
        <is>
          <t xml:space="preserve">2009/10</t>
        </is>
      </c>
      <c r="D1746">
        <v>4.001</v>
      </c>
      <c r="E1746">
        <v>23.8</v>
      </c>
      <c r="F1746">
        <v>30.89</v>
      </c>
      <c r="G1746">
        <v>18.61</v>
      </c>
      <c r="H1746">
        <v>3.73</v>
      </c>
      <c r="I1746">
        <v>2.228</v>
      </c>
      <c r="J1746">
        <v>25.03</v>
      </c>
      <c r="K1746">
        <v>31.63</v>
      </c>
      <c r="L1746">
        <v>20.42</v>
      </c>
      <c r="M1746">
        <v>1.77</v>
      </c>
      <c r="N1746">
        <v>0.814</v>
      </c>
      <c r="O1746">
        <v>23.78</v>
      </c>
      <c r="P1746">
        <v>30.21</v>
      </c>
      <c r="Q1746">
        <v>20.5</v>
      </c>
      <c r="R1746">
        <v>2.72</v>
      </c>
    </row>
    <row r="1747">
      <c r="A1747" s="9">
        <v>40278</v>
      </c>
      <c r="B1747" s="2" t="inlineStr">
        <is>
          <t xml:space="preserve">2010-04</t>
        </is>
      </c>
      <c r="C1747" s="2" t="inlineStr">
        <is>
          <t xml:space="preserve">2009/10</t>
        </is>
      </c>
      <c r="D1747">
        <v>0.0</v>
      </c>
      <c r="E1747">
        <v>23.92</v>
      </c>
      <c r="F1747">
        <v>31.63</v>
      </c>
      <c r="G1747">
        <v>17.84</v>
      </c>
      <c r="H1747">
        <v>0.21</v>
      </c>
      <c r="I1747">
        <v>0.0</v>
      </c>
      <c r="J1747">
        <v>24.33</v>
      </c>
      <c r="K1747">
        <v>31.93</v>
      </c>
      <c r="L1747">
        <v>18.83</v>
      </c>
      <c r="M1747">
        <v>0.07</v>
      </c>
      <c r="N1747">
        <v>0.0</v>
      </c>
      <c r="O1747">
        <v>23.51</v>
      </c>
      <c r="P1747">
        <v>30.02</v>
      </c>
      <c r="Q1747">
        <v>18.87</v>
      </c>
      <c r="R1747">
        <v>0.06</v>
      </c>
    </row>
    <row r="1748">
      <c r="A1748" s="9">
        <v>40279</v>
      </c>
      <c r="B1748" s="2" t="inlineStr">
        <is>
          <t xml:space="preserve">2010-04</t>
        </is>
      </c>
      <c r="C1748" s="2" t="inlineStr">
        <is>
          <t xml:space="preserve">2009/10</t>
        </is>
      </c>
      <c r="D1748">
        <v>0.266</v>
      </c>
      <c r="E1748">
        <v>23.32</v>
      </c>
      <c r="F1748">
        <v>31.15</v>
      </c>
      <c r="G1748">
        <v>18.2</v>
      </c>
      <c r="H1748">
        <v>0.22</v>
      </c>
      <c r="I1748">
        <v>0.216</v>
      </c>
      <c r="J1748">
        <v>23.81</v>
      </c>
      <c r="K1748">
        <v>31.84</v>
      </c>
      <c r="L1748">
        <v>18.46</v>
      </c>
      <c r="M1748">
        <v>0.14</v>
      </c>
      <c r="N1748">
        <v>0.109</v>
      </c>
      <c r="O1748">
        <v>23.11</v>
      </c>
      <c r="P1748">
        <v>29.81</v>
      </c>
      <c r="Q1748">
        <v>18.94</v>
      </c>
      <c r="R1748">
        <v>0.09</v>
      </c>
    </row>
    <row r="1749">
      <c r="A1749" s="9">
        <v>40280</v>
      </c>
      <c r="B1749" s="2" t="inlineStr">
        <is>
          <t xml:space="preserve">2010-04</t>
        </is>
      </c>
      <c r="C1749" s="2" t="inlineStr">
        <is>
          <t xml:space="preserve">2009/10</t>
        </is>
      </c>
      <c r="D1749">
        <v>0.0</v>
      </c>
      <c r="E1749">
        <v>22.72</v>
      </c>
      <c r="F1749">
        <v>30.95</v>
      </c>
      <c r="G1749">
        <v>16.22</v>
      </c>
      <c r="H1749">
        <v>0.06</v>
      </c>
      <c r="I1749">
        <v>0.0</v>
      </c>
      <c r="J1749">
        <v>23.55</v>
      </c>
      <c r="K1749">
        <v>32.38</v>
      </c>
      <c r="L1749">
        <v>15.85</v>
      </c>
      <c r="M1749">
        <v>0.03</v>
      </c>
      <c r="N1749">
        <v>0.0</v>
      </c>
      <c r="O1749">
        <v>22.55</v>
      </c>
      <c r="P1749">
        <v>30.24</v>
      </c>
      <c r="Q1749">
        <v>16.62</v>
      </c>
      <c r="R1749">
        <v>0.02</v>
      </c>
    </row>
    <row r="1750">
      <c r="A1750" s="9">
        <v>40281</v>
      </c>
      <c r="B1750" s="2" t="inlineStr">
        <is>
          <t xml:space="preserve">2010-04</t>
        </is>
      </c>
      <c r="C1750" s="2" t="inlineStr">
        <is>
          <t xml:space="preserve">2009/10</t>
        </is>
      </c>
      <c r="D1750">
        <v>0.88</v>
      </c>
      <c r="E1750">
        <v>23.58</v>
      </c>
      <c r="F1750">
        <v>32.13</v>
      </c>
      <c r="G1750">
        <v>17.11</v>
      </c>
      <c r="H1750">
        <v>2.31</v>
      </c>
      <c r="I1750">
        <v>0.847</v>
      </c>
      <c r="J1750">
        <v>24.56</v>
      </c>
      <c r="K1750">
        <v>32.85</v>
      </c>
      <c r="L1750">
        <v>17.3</v>
      </c>
      <c r="M1750">
        <v>3.71</v>
      </c>
      <c r="N1750">
        <v>0.298</v>
      </c>
      <c r="O1750">
        <v>23.6</v>
      </c>
      <c r="P1750">
        <v>32.07</v>
      </c>
      <c r="Q1750">
        <v>17.89</v>
      </c>
      <c r="R1750">
        <v>3.65</v>
      </c>
    </row>
    <row r="1751">
      <c r="A1751" s="9">
        <v>40282</v>
      </c>
      <c r="B1751" s="2" t="inlineStr">
        <is>
          <t xml:space="preserve">2010-04</t>
        </is>
      </c>
      <c r="C1751" s="2" t="inlineStr">
        <is>
          <t xml:space="preserve">2009/10</t>
        </is>
      </c>
      <c r="D1751">
        <v>9.8</v>
      </c>
      <c r="E1751">
        <v>23.31</v>
      </c>
      <c r="F1751">
        <v>29.24</v>
      </c>
      <c r="G1751">
        <v>18.7</v>
      </c>
      <c r="H1751">
        <v>5.32</v>
      </c>
      <c r="I1751">
        <v>9.958</v>
      </c>
      <c r="J1751">
        <v>24.61</v>
      </c>
      <c r="K1751">
        <v>30.79</v>
      </c>
      <c r="L1751">
        <v>19.39</v>
      </c>
      <c r="M1751">
        <v>11.53</v>
      </c>
      <c r="N1751">
        <v>24.678</v>
      </c>
      <c r="O1751">
        <v>23.53</v>
      </c>
      <c r="P1751">
        <v>30.04</v>
      </c>
      <c r="Q1751">
        <v>19.61</v>
      </c>
      <c r="R1751">
        <v>14.83</v>
      </c>
    </row>
    <row r="1752">
      <c r="A1752" s="9">
        <v>40283</v>
      </c>
      <c r="B1752" s="2" t="inlineStr">
        <is>
          <t xml:space="preserve">2010-04</t>
        </is>
      </c>
      <c r="C1752" s="2" t="inlineStr">
        <is>
          <t xml:space="preserve">2009/10</t>
        </is>
      </c>
      <c r="D1752">
        <v>0.555</v>
      </c>
      <c r="E1752">
        <v>23.17</v>
      </c>
      <c r="F1752">
        <v>28.91</v>
      </c>
      <c r="G1752">
        <v>19.17</v>
      </c>
      <c r="H1752">
        <v>0.91</v>
      </c>
      <c r="I1752">
        <v>0.0</v>
      </c>
      <c r="J1752">
        <v>25.07</v>
      </c>
      <c r="K1752">
        <v>31.43</v>
      </c>
      <c r="L1752">
        <v>19.68</v>
      </c>
      <c r="M1752">
        <v>0.58</v>
      </c>
      <c r="N1752">
        <v>0.0</v>
      </c>
      <c r="O1752">
        <v>24.2</v>
      </c>
      <c r="P1752">
        <v>30.49</v>
      </c>
      <c r="Q1752">
        <v>19.18</v>
      </c>
      <c r="R1752">
        <v>0.99</v>
      </c>
    </row>
    <row r="1753">
      <c r="A1753" s="9">
        <v>40284</v>
      </c>
      <c r="B1753" s="2" t="inlineStr">
        <is>
          <t xml:space="preserve">2010-04</t>
        </is>
      </c>
      <c r="C1753" s="2" t="inlineStr">
        <is>
          <t xml:space="preserve">2009/10</t>
        </is>
      </c>
      <c r="D1753">
        <v>6.627</v>
      </c>
      <c r="E1753">
        <v>21.66</v>
      </c>
      <c r="F1753">
        <v>26.0</v>
      </c>
      <c r="G1753">
        <v>19.13</v>
      </c>
      <c r="H1753">
        <v>3.84</v>
      </c>
      <c r="I1753">
        <v>1.004</v>
      </c>
      <c r="J1753">
        <v>24.07</v>
      </c>
      <c r="K1753">
        <v>29.31</v>
      </c>
      <c r="L1753">
        <v>19.95</v>
      </c>
      <c r="M1753">
        <v>1.92</v>
      </c>
      <c r="N1753">
        <v>3.53</v>
      </c>
      <c r="O1753">
        <v>24.12</v>
      </c>
      <c r="P1753">
        <v>30.73</v>
      </c>
      <c r="Q1753">
        <v>19.65</v>
      </c>
      <c r="R1753">
        <v>2.42</v>
      </c>
    </row>
    <row r="1754">
      <c r="A1754" s="9">
        <v>40285</v>
      </c>
      <c r="B1754" s="2" t="inlineStr">
        <is>
          <t xml:space="preserve">2010-04</t>
        </is>
      </c>
      <c r="C1754" s="2" t="inlineStr">
        <is>
          <t xml:space="preserve">2009/10</t>
        </is>
      </c>
      <c r="D1754">
        <v>6.087</v>
      </c>
      <c r="E1754">
        <v>22.48</v>
      </c>
      <c r="F1754">
        <v>28.06</v>
      </c>
      <c r="G1754">
        <v>17.92</v>
      </c>
      <c r="H1754">
        <v>2.87</v>
      </c>
      <c r="I1754">
        <v>0.312</v>
      </c>
      <c r="J1754">
        <v>24.65</v>
      </c>
      <c r="K1754">
        <v>31.36</v>
      </c>
      <c r="L1754">
        <v>19.7</v>
      </c>
      <c r="M1754">
        <v>1.47</v>
      </c>
      <c r="N1754">
        <v>1.313</v>
      </c>
      <c r="O1754">
        <v>24.21</v>
      </c>
      <c r="P1754">
        <v>30.24</v>
      </c>
      <c r="Q1754">
        <v>19.32</v>
      </c>
      <c r="R1754">
        <v>1.44</v>
      </c>
    </row>
    <row r="1755">
      <c r="A1755" s="9">
        <v>40286</v>
      </c>
      <c r="B1755" s="2" t="inlineStr">
        <is>
          <t xml:space="preserve">2010-04</t>
        </is>
      </c>
      <c r="C1755" s="2" t="inlineStr">
        <is>
          <t xml:space="preserve">2009/10</t>
        </is>
      </c>
      <c r="D1755">
        <v>0.57</v>
      </c>
      <c r="E1755">
        <v>24.03</v>
      </c>
      <c r="F1755">
        <v>30.61</v>
      </c>
      <c r="G1755">
        <v>18.85</v>
      </c>
      <c r="H1755">
        <v>1.88</v>
      </c>
      <c r="I1755">
        <v>0.034</v>
      </c>
      <c r="J1755">
        <v>25.23</v>
      </c>
      <c r="K1755">
        <v>32.47</v>
      </c>
      <c r="L1755">
        <v>18.87</v>
      </c>
      <c r="M1755">
        <v>3.36</v>
      </c>
      <c r="N1755">
        <v>0.386</v>
      </c>
      <c r="O1755">
        <v>25.51</v>
      </c>
      <c r="P1755">
        <v>32.11</v>
      </c>
      <c r="Q1755">
        <v>19.05</v>
      </c>
      <c r="R1755">
        <v>3.68</v>
      </c>
    </row>
    <row r="1756">
      <c r="A1756" s="9">
        <v>40287</v>
      </c>
      <c r="B1756" s="2" t="inlineStr">
        <is>
          <t xml:space="preserve">2010-04</t>
        </is>
      </c>
      <c r="C1756" s="2" t="inlineStr">
        <is>
          <t xml:space="preserve">2009/10</t>
        </is>
      </c>
      <c r="D1756">
        <v>0.424</v>
      </c>
      <c r="E1756">
        <v>25.12</v>
      </c>
      <c r="F1756">
        <v>32.77</v>
      </c>
      <c r="G1756">
        <v>18.81</v>
      </c>
      <c r="H1756">
        <v>6.54</v>
      </c>
      <c r="I1756">
        <v>7.356</v>
      </c>
      <c r="J1756">
        <v>25.35</v>
      </c>
      <c r="K1756">
        <v>31.85</v>
      </c>
      <c r="L1756">
        <v>19.85</v>
      </c>
      <c r="M1756">
        <v>10.05</v>
      </c>
      <c r="N1756">
        <v>28.509</v>
      </c>
      <c r="O1756">
        <v>24.26</v>
      </c>
      <c r="P1756">
        <v>29.46</v>
      </c>
      <c r="Q1756">
        <v>20.4</v>
      </c>
      <c r="R1756">
        <v>16.23</v>
      </c>
    </row>
    <row r="1757">
      <c r="A1757" s="9">
        <v>40288</v>
      </c>
      <c r="B1757" s="2" t="inlineStr">
        <is>
          <t xml:space="preserve">2010-04</t>
        </is>
      </c>
      <c r="C1757" s="2" t="inlineStr">
        <is>
          <t xml:space="preserve">2009/10</t>
        </is>
      </c>
      <c r="D1757">
        <v>25.047</v>
      </c>
      <c r="E1757">
        <v>23.36</v>
      </c>
      <c r="F1757">
        <v>27.29</v>
      </c>
      <c r="G1757">
        <v>20.95</v>
      </c>
      <c r="H1757">
        <v>10.07</v>
      </c>
      <c r="I1757">
        <v>0.66</v>
      </c>
      <c r="J1757">
        <v>26.61</v>
      </c>
      <c r="K1757">
        <v>33.97</v>
      </c>
      <c r="L1757">
        <v>20.81</v>
      </c>
      <c r="M1757">
        <v>1.93</v>
      </c>
      <c r="N1757">
        <v>2.538</v>
      </c>
      <c r="O1757">
        <v>25.16</v>
      </c>
      <c r="P1757">
        <v>31.03</v>
      </c>
      <c r="Q1757">
        <v>20.45</v>
      </c>
      <c r="R1757">
        <v>4.64</v>
      </c>
    </row>
    <row r="1758">
      <c r="A1758" s="9">
        <v>40289</v>
      </c>
      <c r="B1758" s="2" t="inlineStr">
        <is>
          <t xml:space="preserve">2010-04</t>
        </is>
      </c>
      <c r="C1758" s="2" t="inlineStr">
        <is>
          <t xml:space="preserve">2009/10</t>
        </is>
      </c>
      <c r="D1758">
        <v>2.236</v>
      </c>
      <c r="E1758">
        <v>24.94</v>
      </c>
      <c r="F1758">
        <v>31.95</v>
      </c>
      <c r="G1758">
        <v>19.69</v>
      </c>
      <c r="H1758">
        <v>5.16</v>
      </c>
      <c r="I1758">
        <v>0.0</v>
      </c>
      <c r="J1758">
        <v>26.26</v>
      </c>
      <c r="K1758">
        <v>33.67</v>
      </c>
      <c r="L1758">
        <v>20.3</v>
      </c>
      <c r="M1758">
        <v>4.18</v>
      </c>
      <c r="N1758">
        <v>1.919</v>
      </c>
      <c r="O1758">
        <v>25.27</v>
      </c>
      <c r="P1758">
        <v>31.63</v>
      </c>
      <c r="Q1758">
        <v>20.8</v>
      </c>
      <c r="R1758">
        <v>14.39</v>
      </c>
    </row>
    <row r="1759">
      <c r="A1759" s="9">
        <v>40290</v>
      </c>
      <c r="B1759" s="2" t="inlineStr">
        <is>
          <t xml:space="preserve">2010-04</t>
        </is>
      </c>
      <c r="C1759" s="2" t="inlineStr">
        <is>
          <t xml:space="preserve">2009/10</t>
        </is>
      </c>
      <c r="D1759">
        <v>7.109</v>
      </c>
      <c r="E1759">
        <v>25.03</v>
      </c>
      <c r="F1759">
        <v>30.71</v>
      </c>
      <c r="G1759">
        <v>20.81</v>
      </c>
      <c r="H1759">
        <v>3.92</v>
      </c>
      <c r="I1759">
        <v>1.264</v>
      </c>
      <c r="J1759">
        <v>26.08</v>
      </c>
      <c r="K1759">
        <v>32.29</v>
      </c>
      <c r="L1759">
        <v>21.61</v>
      </c>
      <c r="M1759">
        <v>2.21</v>
      </c>
      <c r="N1759">
        <v>2.478</v>
      </c>
      <c r="O1759">
        <v>25.11</v>
      </c>
      <c r="P1759">
        <v>31.51</v>
      </c>
      <c r="Q1759">
        <v>21.14</v>
      </c>
      <c r="R1759">
        <v>2.1</v>
      </c>
    </row>
    <row r="1760">
      <c r="A1760" s="9">
        <v>40291</v>
      </c>
      <c r="B1760" s="2" t="inlineStr">
        <is>
          <t xml:space="preserve">2010-04</t>
        </is>
      </c>
      <c r="C1760" s="2" t="inlineStr">
        <is>
          <t xml:space="preserve">2009/10</t>
        </is>
      </c>
      <c r="D1760">
        <v>0.025</v>
      </c>
      <c r="E1760">
        <v>26.66</v>
      </c>
      <c r="F1760">
        <v>34.56</v>
      </c>
      <c r="G1760">
        <v>19.88</v>
      </c>
      <c r="H1760">
        <v>0.01</v>
      </c>
      <c r="I1760">
        <v>0.0</v>
      </c>
      <c r="J1760">
        <v>27.4</v>
      </c>
      <c r="K1760">
        <v>34.5</v>
      </c>
      <c r="L1760">
        <v>21.17</v>
      </c>
      <c r="M1760">
        <v>0.01</v>
      </c>
      <c r="N1760">
        <v>0.0</v>
      </c>
      <c r="O1760">
        <v>27.32</v>
      </c>
      <c r="P1760">
        <v>34.61</v>
      </c>
      <c r="Q1760">
        <v>20.99</v>
      </c>
      <c r="R1760">
        <v>0.01</v>
      </c>
    </row>
    <row r="1761">
      <c r="A1761" s="9">
        <v>40292</v>
      </c>
      <c r="B1761" s="2" t="inlineStr">
        <is>
          <t xml:space="preserve">2010-04</t>
        </is>
      </c>
      <c r="C1761" s="2" t="inlineStr">
        <is>
          <t xml:space="preserve">2009/10</t>
        </is>
      </c>
      <c r="D1761">
        <v>0.0</v>
      </c>
      <c r="E1761">
        <v>27.09</v>
      </c>
      <c r="F1761">
        <v>35.3</v>
      </c>
      <c r="G1761">
        <v>19.23</v>
      </c>
      <c r="H1761">
        <v>0.0</v>
      </c>
      <c r="I1761">
        <v>0.0</v>
      </c>
      <c r="J1761">
        <v>27.65</v>
      </c>
      <c r="K1761">
        <v>35.91</v>
      </c>
      <c r="L1761">
        <v>20.92</v>
      </c>
      <c r="M1761">
        <v>0.0</v>
      </c>
      <c r="N1761">
        <v>0.0</v>
      </c>
      <c r="O1761">
        <v>28.26</v>
      </c>
      <c r="P1761">
        <v>36.46</v>
      </c>
      <c r="Q1761">
        <v>21.08</v>
      </c>
      <c r="R1761">
        <v>0.0</v>
      </c>
    </row>
    <row r="1762">
      <c r="A1762" s="9">
        <v>40293</v>
      </c>
      <c r="B1762" s="2" t="inlineStr">
        <is>
          <t xml:space="preserve">2010-04</t>
        </is>
      </c>
      <c r="C1762" s="2" t="inlineStr">
        <is>
          <t xml:space="preserve">2009/10</t>
        </is>
      </c>
      <c r="D1762">
        <v>0.0</v>
      </c>
      <c r="E1762">
        <v>27.34</v>
      </c>
      <c r="F1762">
        <v>35.11</v>
      </c>
      <c r="G1762">
        <v>20.57</v>
      </c>
      <c r="H1762">
        <v>0.23</v>
      </c>
      <c r="I1762">
        <v>0.0</v>
      </c>
      <c r="J1762">
        <v>27.35</v>
      </c>
      <c r="K1762">
        <v>35.05</v>
      </c>
      <c r="L1762">
        <v>20.74</v>
      </c>
      <c r="M1762">
        <v>0.05</v>
      </c>
      <c r="N1762">
        <v>0.0</v>
      </c>
      <c r="O1762">
        <v>28.64</v>
      </c>
      <c r="P1762">
        <v>37.15</v>
      </c>
      <c r="Q1762">
        <v>21.62</v>
      </c>
      <c r="R1762">
        <v>0.07</v>
      </c>
    </row>
    <row r="1763">
      <c r="A1763" s="9">
        <v>40294</v>
      </c>
      <c r="B1763" s="2" t="inlineStr">
        <is>
          <t xml:space="preserve">2010-04</t>
        </is>
      </c>
      <c r="C1763" s="2" t="inlineStr">
        <is>
          <t xml:space="preserve">2009/10</t>
        </is>
      </c>
      <c r="D1763">
        <v>0.813</v>
      </c>
      <c r="E1763">
        <v>27.0</v>
      </c>
      <c r="F1763">
        <v>33.98</v>
      </c>
      <c r="G1763">
        <v>21.33</v>
      </c>
      <c r="H1763">
        <v>5.18</v>
      </c>
      <c r="I1763">
        <v>6.857</v>
      </c>
      <c r="J1763">
        <v>26.29</v>
      </c>
      <c r="K1763">
        <v>31.67</v>
      </c>
      <c r="L1763">
        <v>22.43</v>
      </c>
      <c r="M1763">
        <v>11.92</v>
      </c>
      <c r="N1763">
        <v>25.11</v>
      </c>
      <c r="O1763">
        <v>26.8</v>
      </c>
      <c r="P1763">
        <v>32.17</v>
      </c>
      <c r="Q1763">
        <v>22.93</v>
      </c>
      <c r="R1763">
        <v>15.33</v>
      </c>
    </row>
    <row r="1764">
      <c r="A1764" s="9">
        <v>40295</v>
      </c>
      <c r="B1764" s="2" t="inlineStr">
        <is>
          <t xml:space="preserve">2010-04</t>
        </is>
      </c>
      <c r="C1764" s="2" t="inlineStr">
        <is>
          <t xml:space="preserve">2009/10</t>
        </is>
      </c>
      <c r="D1764">
        <v>0.172</v>
      </c>
      <c r="E1764">
        <v>26.29</v>
      </c>
      <c r="F1764">
        <v>33.01</v>
      </c>
      <c r="G1764">
        <v>21.61</v>
      </c>
      <c r="H1764">
        <v>5.76</v>
      </c>
      <c r="I1764">
        <v>4.033</v>
      </c>
      <c r="J1764">
        <v>25.59</v>
      </c>
      <c r="K1764">
        <v>31.71</v>
      </c>
      <c r="L1764">
        <v>22.22</v>
      </c>
      <c r="M1764">
        <v>5.42</v>
      </c>
      <c r="N1764">
        <v>14.577</v>
      </c>
      <c r="O1764">
        <v>26.59</v>
      </c>
      <c r="P1764">
        <v>32.73</v>
      </c>
      <c r="Q1764">
        <v>22.77</v>
      </c>
      <c r="R1764">
        <v>6.8</v>
      </c>
    </row>
    <row r="1765">
      <c r="A1765" s="9">
        <v>40296</v>
      </c>
      <c r="B1765" s="2" t="inlineStr">
        <is>
          <t xml:space="preserve">2010-04</t>
        </is>
      </c>
      <c r="C1765" s="2" t="inlineStr">
        <is>
          <t xml:space="preserve">2009/10</t>
        </is>
      </c>
      <c r="D1765">
        <v>3.343</v>
      </c>
      <c r="E1765">
        <v>24.63</v>
      </c>
      <c r="F1765">
        <v>29.06</v>
      </c>
      <c r="G1765">
        <v>21.51</v>
      </c>
      <c r="H1765">
        <v>7.63</v>
      </c>
      <c r="I1765">
        <v>2.272</v>
      </c>
      <c r="J1765">
        <v>24.88</v>
      </c>
      <c r="K1765">
        <v>30.43</v>
      </c>
      <c r="L1765">
        <v>21.52</v>
      </c>
      <c r="M1765">
        <v>3.51</v>
      </c>
      <c r="N1765">
        <v>8.252</v>
      </c>
      <c r="O1765">
        <v>25.45</v>
      </c>
      <c r="P1765">
        <v>31.15</v>
      </c>
      <c r="Q1765">
        <v>21.64</v>
      </c>
      <c r="R1765">
        <v>4.09</v>
      </c>
    </row>
    <row r="1766">
      <c r="A1766" s="9">
        <v>40297</v>
      </c>
      <c r="B1766" s="2" t="inlineStr">
        <is>
          <t xml:space="preserve">2010-04</t>
        </is>
      </c>
      <c r="C1766" s="2" t="inlineStr">
        <is>
          <t xml:space="preserve">2009/10</t>
        </is>
      </c>
      <c r="D1766">
        <v>3.297</v>
      </c>
      <c r="E1766">
        <v>24.19</v>
      </c>
      <c r="F1766">
        <v>29.21</v>
      </c>
      <c r="G1766">
        <v>20.41</v>
      </c>
      <c r="H1766">
        <v>4.83</v>
      </c>
      <c r="I1766">
        <v>1.904</v>
      </c>
      <c r="J1766">
        <v>23.92</v>
      </c>
      <c r="K1766">
        <v>27.86</v>
      </c>
      <c r="L1766">
        <v>21.41</v>
      </c>
      <c r="M1766">
        <v>0.69</v>
      </c>
      <c r="N1766">
        <v>0.096</v>
      </c>
      <c r="O1766">
        <v>24.47</v>
      </c>
      <c r="P1766">
        <v>28.68</v>
      </c>
      <c r="Q1766">
        <v>21.57</v>
      </c>
      <c r="R1766">
        <v>0.27</v>
      </c>
    </row>
    <row r="1767">
      <c r="A1767" s="9">
        <v>40298</v>
      </c>
      <c r="B1767" s="2" t="inlineStr">
        <is>
          <t xml:space="preserve">2010-04</t>
        </is>
      </c>
      <c r="C1767" s="2" t="inlineStr">
        <is>
          <t xml:space="preserve">2009/10</t>
        </is>
      </c>
      <c r="D1767">
        <v>1.437</v>
      </c>
      <c r="E1767">
        <v>23.79</v>
      </c>
      <c r="F1767">
        <v>29.21</v>
      </c>
      <c r="G1767">
        <v>19.58</v>
      </c>
      <c r="H1767">
        <v>2.13</v>
      </c>
      <c r="I1767">
        <v>0.0</v>
      </c>
      <c r="J1767">
        <v>24.88</v>
      </c>
      <c r="K1767">
        <v>31.76</v>
      </c>
      <c r="L1767">
        <v>19.83</v>
      </c>
      <c r="M1767">
        <v>0.74</v>
      </c>
      <c r="N1767">
        <v>0.0</v>
      </c>
      <c r="O1767">
        <v>25.81</v>
      </c>
      <c r="P1767">
        <v>32.95</v>
      </c>
      <c r="Q1767">
        <v>20.14</v>
      </c>
      <c r="R1767">
        <v>0.09</v>
      </c>
    </row>
    <row r="1768">
      <c r="A1768" s="9">
        <v>40299</v>
      </c>
      <c r="B1768" s="2" t="inlineStr">
        <is>
          <t xml:space="preserve">2010-05</t>
        </is>
      </c>
      <c r="C1768" s="2" t="inlineStr">
        <is>
          <t xml:space="preserve">2009/10</t>
        </is>
      </c>
      <c r="D1768">
        <v>3.093</v>
      </c>
      <c r="E1768">
        <v>23.33</v>
      </c>
      <c r="F1768">
        <v>28.14</v>
      </c>
      <c r="G1768">
        <v>20.48</v>
      </c>
      <c r="H1768">
        <v>1.87</v>
      </c>
      <c r="I1768">
        <v>5.945</v>
      </c>
      <c r="J1768">
        <v>23.45</v>
      </c>
      <c r="K1768">
        <v>30.21</v>
      </c>
      <c r="L1768">
        <v>19.08</v>
      </c>
      <c r="M1768">
        <v>3.2</v>
      </c>
      <c r="N1768">
        <v>0.676</v>
      </c>
      <c r="O1768">
        <v>25.23</v>
      </c>
      <c r="P1768">
        <v>31.76</v>
      </c>
      <c r="Q1768">
        <v>20.93</v>
      </c>
      <c r="R1768">
        <v>1.35</v>
      </c>
    </row>
    <row r="1769">
      <c r="A1769" s="9">
        <v>40300</v>
      </c>
      <c r="B1769" s="2" t="inlineStr">
        <is>
          <t xml:space="preserve">2010-05</t>
        </is>
      </c>
      <c r="C1769" s="2" t="inlineStr">
        <is>
          <t xml:space="preserve">2009/10</t>
        </is>
      </c>
      <c r="D1769">
        <v>0.088</v>
      </c>
      <c r="E1769">
        <v>25.13</v>
      </c>
      <c r="F1769">
        <v>32.99</v>
      </c>
      <c r="G1769">
        <v>18.33</v>
      </c>
      <c r="H1769">
        <v>0.21</v>
      </c>
      <c r="I1769">
        <v>1.785</v>
      </c>
      <c r="J1769">
        <v>24.2</v>
      </c>
      <c r="K1769">
        <v>32.86</v>
      </c>
      <c r="L1769">
        <v>17.29</v>
      </c>
      <c r="M1769">
        <v>0.84</v>
      </c>
      <c r="N1769">
        <v>0.12</v>
      </c>
      <c r="O1769">
        <v>26.48</v>
      </c>
      <c r="P1769">
        <v>34.94</v>
      </c>
      <c r="Q1769">
        <v>19.56</v>
      </c>
      <c r="R1769">
        <v>0.22</v>
      </c>
    </row>
    <row r="1770">
      <c r="A1770" s="9">
        <v>40301</v>
      </c>
      <c r="B1770" s="2" t="inlineStr">
        <is>
          <t xml:space="preserve">2010-05</t>
        </is>
      </c>
      <c r="C1770" s="2" t="inlineStr">
        <is>
          <t xml:space="preserve">2009/10</t>
        </is>
      </c>
      <c r="D1770">
        <v>6.651</v>
      </c>
      <c r="E1770">
        <v>26.04</v>
      </c>
      <c r="F1770">
        <v>34.07</v>
      </c>
      <c r="G1770">
        <v>19.03</v>
      </c>
      <c r="H1770">
        <v>4.8</v>
      </c>
      <c r="I1770">
        <v>0.0</v>
      </c>
      <c r="J1770">
        <v>26.84</v>
      </c>
      <c r="K1770">
        <v>35.21</v>
      </c>
      <c r="L1770">
        <v>19.22</v>
      </c>
      <c r="M1770">
        <v>1.02</v>
      </c>
      <c r="N1770">
        <v>0.03</v>
      </c>
      <c r="O1770">
        <v>27.47</v>
      </c>
      <c r="P1770">
        <v>35.56</v>
      </c>
      <c r="Q1770">
        <v>20.21</v>
      </c>
      <c r="R1770">
        <v>0.84</v>
      </c>
    </row>
    <row r="1771">
      <c r="A1771" s="9">
        <v>40302</v>
      </c>
      <c r="B1771" s="2" t="inlineStr">
        <is>
          <t xml:space="preserve">2010-05</t>
        </is>
      </c>
      <c r="C1771" s="2" t="inlineStr">
        <is>
          <t xml:space="preserve">2009/10</t>
        </is>
      </c>
      <c r="D1771">
        <v>10.426</v>
      </c>
      <c r="E1771">
        <v>25.42</v>
      </c>
      <c r="F1771">
        <v>32.9</v>
      </c>
      <c r="G1771">
        <v>19.01</v>
      </c>
      <c r="H1771">
        <v>2.84</v>
      </c>
      <c r="I1771">
        <v>1.716</v>
      </c>
      <c r="J1771">
        <v>26.85</v>
      </c>
      <c r="K1771">
        <v>33.61</v>
      </c>
      <c r="L1771">
        <v>21.85</v>
      </c>
      <c r="M1771">
        <v>1.99</v>
      </c>
      <c r="N1771">
        <v>3.165</v>
      </c>
      <c r="O1771">
        <v>26.0</v>
      </c>
      <c r="P1771">
        <v>32.64</v>
      </c>
      <c r="Q1771">
        <v>21.26</v>
      </c>
      <c r="R1771">
        <v>3.7</v>
      </c>
    </row>
    <row r="1772">
      <c r="A1772" s="9">
        <v>40303</v>
      </c>
      <c r="B1772" s="2" t="inlineStr">
        <is>
          <t xml:space="preserve">2010-05</t>
        </is>
      </c>
      <c r="C1772" s="2" t="inlineStr">
        <is>
          <t xml:space="preserve">2009/10</t>
        </is>
      </c>
      <c r="D1772">
        <v>0.031</v>
      </c>
      <c r="E1772">
        <v>24.91</v>
      </c>
      <c r="F1772">
        <v>32.23</v>
      </c>
      <c r="G1772">
        <v>18.9</v>
      </c>
      <c r="H1772">
        <v>0.55</v>
      </c>
      <c r="I1772">
        <v>1.051</v>
      </c>
      <c r="J1772">
        <v>24.88</v>
      </c>
      <c r="K1772">
        <v>31.42</v>
      </c>
      <c r="L1772">
        <v>19.43</v>
      </c>
      <c r="M1772">
        <v>1.24</v>
      </c>
      <c r="N1772">
        <v>0.66</v>
      </c>
      <c r="O1772">
        <v>24.27</v>
      </c>
      <c r="P1772">
        <v>30.2</v>
      </c>
      <c r="Q1772">
        <v>20.06</v>
      </c>
      <c r="R1772">
        <v>2.97</v>
      </c>
    </row>
    <row r="1773">
      <c r="A1773" s="9">
        <v>40304</v>
      </c>
      <c r="B1773" s="2" t="inlineStr">
        <is>
          <t xml:space="preserve">2010-05</t>
        </is>
      </c>
      <c r="C1773" s="2" t="inlineStr">
        <is>
          <t xml:space="preserve">2009/10</t>
        </is>
      </c>
      <c r="D1773">
        <v>0.429</v>
      </c>
      <c r="E1773">
        <v>25.05</v>
      </c>
      <c r="F1773">
        <v>32.84</v>
      </c>
      <c r="G1773">
        <v>18.74</v>
      </c>
      <c r="H1773">
        <v>0.48</v>
      </c>
      <c r="I1773">
        <v>0.0</v>
      </c>
      <c r="J1773">
        <v>25.75</v>
      </c>
      <c r="K1773">
        <v>33.14</v>
      </c>
      <c r="L1773">
        <v>19.16</v>
      </c>
      <c r="M1773">
        <v>0.56</v>
      </c>
      <c r="N1773">
        <v>0.021</v>
      </c>
      <c r="O1773">
        <v>25.01</v>
      </c>
      <c r="P1773">
        <v>31.82</v>
      </c>
      <c r="Q1773">
        <v>20.09</v>
      </c>
      <c r="R1773">
        <v>0.28</v>
      </c>
    </row>
    <row r="1774">
      <c r="A1774" s="9">
        <v>40305</v>
      </c>
      <c r="B1774" s="2" t="inlineStr">
        <is>
          <t xml:space="preserve">2010-05</t>
        </is>
      </c>
      <c r="C1774" s="2" t="inlineStr">
        <is>
          <t xml:space="preserve">2009/10</t>
        </is>
      </c>
      <c r="D1774">
        <v>0.0</v>
      </c>
      <c r="E1774">
        <v>24.54</v>
      </c>
      <c r="F1774">
        <v>31.25</v>
      </c>
      <c r="G1774">
        <v>18.2</v>
      </c>
      <c r="H1774">
        <v>0.53</v>
      </c>
      <c r="I1774">
        <v>9.69</v>
      </c>
      <c r="J1774">
        <v>25.46</v>
      </c>
      <c r="K1774">
        <v>32.45</v>
      </c>
      <c r="L1774">
        <v>19.54</v>
      </c>
      <c r="M1774">
        <v>4.0</v>
      </c>
      <c r="N1774">
        <v>0.508</v>
      </c>
      <c r="O1774">
        <v>24.88</v>
      </c>
      <c r="P1774">
        <v>31.7</v>
      </c>
      <c r="Q1774">
        <v>20.22</v>
      </c>
      <c r="R1774">
        <v>1.96</v>
      </c>
    </row>
    <row r="1775">
      <c r="A1775" s="9">
        <v>40306</v>
      </c>
      <c r="B1775" s="2" t="inlineStr">
        <is>
          <t xml:space="preserve">2010-05</t>
        </is>
      </c>
      <c r="C1775" s="2" t="inlineStr">
        <is>
          <t xml:space="preserve">2009/10</t>
        </is>
      </c>
      <c r="D1775">
        <v>0.0</v>
      </c>
      <c r="E1775">
        <v>25.41</v>
      </c>
      <c r="F1775">
        <v>33.64</v>
      </c>
      <c r="G1775">
        <v>18.72</v>
      </c>
      <c r="H1775">
        <v>0.0</v>
      </c>
      <c r="I1775">
        <v>0.073</v>
      </c>
      <c r="J1775">
        <v>26.19</v>
      </c>
      <c r="K1775">
        <v>33.89</v>
      </c>
      <c r="L1775">
        <v>20.23</v>
      </c>
      <c r="M1775">
        <v>0.03</v>
      </c>
      <c r="N1775">
        <v>0.0</v>
      </c>
      <c r="O1775">
        <v>25.16</v>
      </c>
      <c r="P1775">
        <v>31.98</v>
      </c>
      <c r="Q1775">
        <v>20.69</v>
      </c>
      <c r="R1775">
        <v>0.05</v>
      </c>
    </row>
    <row r="1776">
      <c r="A1776" s="9">
        <v>40307</v>
      </c>
      <c r="B1776" s="2" t="inlineStr">
        <is>
          <t xml:space="preserve">2010-05</t>
        </is>
      </c>
      <c r="C1776" s="2" t="inlineStr">
        <is>
          <t xml:space="preserve">2009/10</t>
        </is>
      </c>
      <c r="D1776">
        <v>0.0</v>
      </c>
      <c r="E1776">
        <v>24.58</v>
      </c>
      <c r="F1776">
        <v>31.92</v>
      </c>
      <c r="G1776">
        <v>19.24</v>
      </c>
      <c r="H1776">
        <v>0.02</v>
      </c>
      <c r="I1776">
        <v>0.058</v>
      </c>
      <c r="J1776">
        <v>25.03</v>
      </c>
      <c r="K1776">
        <v>32.12</v>
      </c>
      <c r="L1776">
        <v>20.28</v>
      </c>
      <c r="M1776">
        <v>0.05</v>
      </c>
      <c r="N1776">
        <v>0.0</v>
      </c>
      <c r="O1776">
        <v>24.38</v>
      </c>
      <c r="P1776">
        <v>30.34</v>
      </c>
      <c r="Q1776">
        <v>20.18</v>
      </c>
      <c r="R1776">
        <v>0.0</v>
      </c>
    </row>
    <row r="1777">
      <c r="A1777" s="9">
        <v>40308</v>
      </c>
      <c r="B1777" s="2" t="inlineStr">
        <is>
          <t xml:space="preserve">2010-05</t>
        </is>
      </c>
      <c r="C1777" s="2" t="inlineStr">
        <is>
          <t xml:space="preserve">2009/10</t>
        </is>
      </c>
      <c r="D1777">
        <v>0.0</v>
      </c>
      <c r="E1777">
        <v>24.27</v>
      </c>
      <c r="F1777">
        <v>32.12</v>
      </c>
      <c r="G1777">
        <v>17.89</v>
      </c>
      <c r="H1777">
        <v>0.04</v>
      </c>
      <c r="I1777">
        <v>0.0</v>
      </c>
      <c r="J1777">
        <v>24.83</v>
      </c>
      <c r="K1777">
        <v>32.4</v>
      </c>
      <c r="L1777">
        <v>18.7</v>
      </c>
      <c r="M1777">
        <v>0.0</v>
      </c>
      <c r="N1777">
        <v>0.0</v>
      </c>
      <c r="O1777">
        <v>24.0</v>
      </c>
      <c r="P1777">
        <v>30.86</v>
      </c>
      <c r="Q1777">
        <v>18.82</v>
      </c>
      <c r="R1777">
        <v>0.0</v>
      </c>
    </row>
    <row r="1778">
      <c r="A1778" s="9">
        <v>40309</v>
      </c>
      <c r="B1778" s="2" t="inlineStr">
        <is>
          <t xml:space="preserve">2010-05</t>
        </is>
      </c>
      <c r="C1778" s="2" t="inlineStr">
        <is>
          <t xml:space="preserve">2009/10</t>
        </is>
      </c>
      <c r="D1778">
        <v>0.0</v>
      </c>
      <c r="E1778">
        <v>25.03</v>
      </c>
      <c r="F1778">
        <v>32.63</v>
      </c>
      <c r="G1778">
        <v>18.83</v>
      </c>
      <c r="H1778">
        <v>0.04</v>
      </c>
      <c r="I1778">
        <v>0.0</v>
      </c>
      <c r="J1778">
        <v>25.29</v>
      </c>
      <c r="K1778">
        <v>32.39</v>
      </c>
      <c r="L1778">
        <v>19.03</v>
      </c>
      <c r="M1778">
        <v>0.3</v>
      </c>
      <c r="N1778">
        <v>0.0</v>
      </c>
      <c r="O1778">
        <v>24.4</v>
      </c>
      <c r="P1778">
        <v>31.65</v>
      </c>
      <c r="Q1778">
        <v>19.42</v>
      </c>
      <c r="R1778">
        <v>1.07</v>
      </c>
    </row>
    <row r="1779">
      <c r="A1779" s="9">
        <v>40310</v>
      </c>
      <c r="B1779" s="2" t="inlineStr">
        <is>
          <t xml:space="preserve">2010-05</t>
        </is>
      </c>
      <c r="C1779" s="2" t="inlineStr">
        <is>
          <t xml:space="preserve">2009/10</t>
        </is>
      </c>
      <c r="D1779">
        <v>0.0</v>
      </c>
      <c r="E1779">
        <v>25.81</v>
      </c>
      <c r="F1779">
        <v>33.24</v>
      </c>
      <c r="G1779">
        <v>19.37</v>
      </c>
      <c r="H1779">
        <v>0.34</v>
      </c>
      <c r="I1779">
        <v>0.0</v>
      </c>
      <c r="J1779">
        <v>25.95</v>
      </c>
      <c r="K1779">
        <v>32.97</v>
      </c>
      <c r="L1779">
        <v>20.15</v>
      </c>
      <c r="M1779">
        <v>2.91</v>
      </c>
      <c r="N1779">
        <v>0.585</v>
      </c>
      <c r="O1779">
        <v>24.75</v>
      </c>
      <c r="P1779">
        <v>31.69</v>
      </c>
      <c r="Q1779">
        <v>20.17</v>
      </c>
      <c r="R1779">
        <v>4.54</v>
      </c>
    </row>
    <row r="1780">
      <c r="A1780" s="9">
        <v>40311</v>
      </c>
      <c r="B1780" s="2" t="inlineStr">
        <is>
          <t xml:space="preserve">2010-05</t>
        </is>
      </c>
      <c r="C1780" s="2" t="inlineStr">
        <is>
          <t xml:space="preserve">2009/10</t>
        </is>
      </c>
      <c r="D1780">
        <v>1.613</v>
      </c>
      <c r="E1780">
        <v>25.65</v>
      </c>
      <c r="F1780">
        <v>32.36</v>
      </c>
      <c r="G1780">
        <v>19.71</v>
      </c>
      <c r="H1780">
        <v>1.25</v>
      </c>
      <c r="I1780">
        <v>7.511</v>
      </c>
      <c r="J1780">
        <v>26.19</v>
      </c>
      <c r="K1780">
        <v>33.25</v>
      </c>
      <c r="L1780">
        <v>20.92</v>
      </c>
      <c r="M1780">
        <v>3.88</v>
      </c>
      <c r="N1780">
        <v>0.372</v>
      </c>
      <c r="O1780">
        <v>25.6</v>
      </c>
      <c r="P1780">
        <v>32.39</v>
      </c>
      <c r="Q1780">
        <v>21.14</v>
      </c>
      <c r="R1780">
        <v>1.0</v>
      </c>
    </row>
    <row r="1781">
      <c r="A1781" s="9">
        <v>40312</v>
      </c>
      <c r="B1781" s="2" t="inlineStr">
        <is>
          <t xml:space="preserve">2010-05</t>
        </is>
      </c>
      <c r="C1781" s="2" t="inlineStr">
        <is>
          <t xml:space="preserve">2009/10</t>
        </is>
      </c>
      <c r="D1781">
        <v>0.035</v>
      </c>
      <c r="E1781">
        <v>25.24</v>
      </c>
      <c r="F1781">
        <v>31.7</v>
      </c>
      <c r="G1781">
        <v>19.32</v>
      </c>
      <c r="H1781">
        <v>1.04</v>
      </c>
      <c r="I1781">
        <v>11.366</v>
      </c>
      <c r="J1781">
        <v>26.39</v>
      </c>
      <c r="K1781">
        <v>32.42</v>
      </c>
      <c r="L1781">
        <v>21.93</v>
      </c>
      <c r="M1781">
        <v>3.08</v>
      </c>
      <c r="N1781">
        <v>0.33</v>
      </c>
      <c r="O1781">
        <v>25.75</v>
      </c>
      <c r="P1781">
        <v>32.39</v>
      </c>
      <c r="Q1781">
        <v>21.48</v>
      </c>
      <c r="R1781">
        <v>1.26</v>
      </c>
    </row>
    <row r="1782">
      <c r="A1782" s="9">
        <v>40313</v>
      </c>
      <c r="B1782" s="2" t="inlineStr">
        <is>
          <t xml:space="preserve">2010-05</t>
        </is>
      </c>
      <c r="C1782" s="2" t="inlineStr">
        <is>
          <t xml:space="preserve">2009/10</t>
        </is>
      </c>
      <c r="D1782">
        <v>0.0</v>
      </c>
      <c r="E1782">
        <v>25.7</v>
      </c>
      <c r="F1782">
        <v>32.62</v>
      </c>
      <c r="G1782">
        <v>20.18</v>
      </c>
      <c r="H1782">
        <v>2.81</v>
      </c>
      <c r="I1782">
        <v>1.367</v>
      </c>
      <c r="J1782">
        <v>26.4</v>
      </c>
      <c r="K1782">
        <v>31.88</v>
      </c>
      <c r="L1782">
        <v>21.93</v>
      </c>
      <c r="M1782">
        <v>0.74</v>
      </c>
      <c r="N1782">
        <v>0.04</v>
      </c>
      <c r="O1782">
        <v>25.85</v>
      </c>
      <c r="P1782">
        <v>32.41</v>
      </c>
      <c r="Q1782">
        <v>21.4</v>
      </c>
      <c r="R1782">
        <v>0.63</v>
      </c>
    </row>
    <row r="1783">
      <c r="A1783" s="9">
        <v>40314</v>
      </c>
      <c r="B1783" s="2" t="inlineStr">
        <is>
          <t xml:space="preserve">2010-05</t>
        </is>
      </c>
      <c r="C1783" s="2" t="inlineStr">
        <is>
          <t xml:space="preserve">2009/10</t>
        </is>
      </c>
      <c r="D1783">
        <v>9.058</v>
      </c>
      <c r="E1783">
        <v>24.14</v>
      </c>
      <c r="F1783">
        <v>28.99</v>
      </c>
      <c r="G1783">
        <v>20.39</v>
      </c>
      <c r="H1783">
        <v>11.53</v>
      </c>
      <c r="I1783">
        <v>0.781</v>
      </c>
      <c r="J1783">
        <v>25.26</v>
      </c>
      <c r="K1783">
        <v>30.34</v>
      </c>
      <c r="L1783">
        <v>21.74</v>
      </c>
      <c r="M1783">
        <v>4.26</v>
      </c>
      <c r="N1783">
        <v>0.678</v>
      </c>
      <c r="O1783">
        <v>25.63</v>
      </c>
      <c r="P1783">
        <v>32.34</v>
      </c>
      <c r="Q1783">
        <v>22.02</v>
      </c>
      <c r="R1783">
        <v>5.08</v>
      </c>
    </row>
    <row r="1784">
      <c r="A1784" s="9">
        <v>40315</v>
      </c>
      <c r="B1784" s="2" t="inlineStr">
        <is>
          <t xml:space="preserve">2010-05</t>
        </is>
      </c>
      <c r="C1784" s="2" t="inlineStr">
        <is>
          <t xml:space="preserve">2009/10</t>
        </is>
      </c>
      <c r="D1784">
        <v>11.09</v>
      </c>
      <c r="E1784">
        <v>23.76</v>
      </c>
      <c r="F1784">
        <v>28.54</v>
      </c>
      <c r="G1784">
        <v>20.5</v>
      </c>
      <c r="H1784">
        <v>15.53</v>
      </c>
      <c r="I1784">
        <v>6.781</v>
      </c>
      <c r="J1784">
        <v>24.85</v>
      </c>
      <c r="K1784">
        <v>29.68</v>
      </c>
      <c r="L1784">
        <v>21.47</v>
      </c>
      <c r="M1784">
        <v>12.18</v>
      </c>
      <c r="N1784">
        <v>24.264</v>
      </c>
      <c r="O1784">
        <v>23.91</v>
      </c>
      <c r="P1784">
        <v>27.84</v>
      </c>
      <c r="Q1784">
        <v>22.06</v>
      </c>
      <c r="R1784">
        <v>15.98</v>
      </c>
    </row>
    <row r="1785">
      <c r="A1785" s="9">
        <v>40316</v>
      </c>
      <c r="B1785" s="2" t="inlineStr">
        <is>
          <t xml:space="preserve">2010-05</t>
        </is>
      </c>
      <c r="C1785" s="2" t="inlineStr">
        <is>
          <t xml:space="preserve">2009/10</t>
        </is>
      </c>
      <c r="D1785">
        <v>8.281</v>
      </c>
      <c r="E1785">
        <v>22.92</v>
      </c>
      <c r="F1785">
        <v>26.25</v>
      </c>
      <c r="G1785">
        <v>20.67</v>
      </c>
      <c r="H1785">
        <v>14.2</v>
      </c>
      <c r="I1785">
        <v>11.895</v>
      </c>
      <c r="J1785">
        <v>24.19</v>
      </c>
      <c r="K1785">
        <v>28.13</v>
      </c>
      <c r="L1785">
        <v>21.42</v>
      </c>
      <c r="M1785">
        <v>12.9</v>
      </c>
      <c r="N1785">
        <v>33.655</v>
      </c>
      <c r="O1785">
        <v>23.49</v>
      </c>
      <c r="P1785">
        <v>26.19</v>
      </c>
      <c r="Q1785">
        <v>21.45</v>
      </c>
      <c r="R1785">
        <v>17.48</v>
      </c>
    </row>
    <row r="1786">
      <c r="A1786" s="9">
        <v>40317</v>
      </c>
      <c r="B1786" s="2" t="inlineStr">
        <is>
          <t xml:space="preserve">2010-05</t>
        </is>
      </c>
      <c r="C1786" s="2" t="inlineStr">
        <is>
          <t xml:space="preserve">2009/10</t>
        </is>
      </c>
      <c r="D1786">
        <v>0.898</v>
      </c>
      <c r="E1786">
        <v>24.17</v>
      </c>
      <c r="F1786">
        <v>28.92</v>
      </c>
      <c r="G1786">
        <v>20.17</v>
      </c>
      <c r="H1786">
        <v>3.31</v>
      </c>
      <c r="I1786">
        <v>0.087</v>
      </c>
      <c r="J1786">
        <v>25.56</v>
      </c>
      <c r="K1786">
        <v>32.13</v>
      </c>
      <c r="L1786">
        <v>20.65</v>
      </c>
      <c r="M1786">
        <v>1.39</v>
      </c>
      <c r="N1786">
        <v>1.025</v>
      </c>
      <c r="O1786">
        <v>25.65</v>
      </c>
      <c r="P1786">
        <v>32.07</v>
      </c>
      <c r="Q1786">
        <v>21.26</v>
      </c>
      <c r="R1786">
        <v>2.66</v>
      </c>
    </row>
    <row r="1787">
      <c r="A1787" s="9">
        <v>40318</v>
      </c>
      <c r="B1787" s="2" t="inlineStr">
        <is>
          <t xml:space="preserve">2010-05</t>
        </is>
      </c>
      <c r="C1787" s="2" t="inlineStr">
        <is>
          <t xml:space="preserve">2009/10</t>
        </is>
      </c>
      <c r="D1787">
        <v>3.018</v>
      </c>
      <c r="E1787">
        <v>25.09</v>
      </c>
      <c r="F1787">
        <v>32.13</v>
      </c>
      <c r="G1787">
        <v>20.31</v>
      </c>
      <c r="H1787">
        <v>9.47</v>
      </c>
      <c r="I1787">
        <v>1.884</v>
      </c>
      <c r="J1787">
        <v>25.86</v>
      </c>
      <c r="K1787">
        <v>32.6</v>
      </c>
      <c r="L1787">
        <v>21.2</v>
      </c>
      <c r="M1787">
        <v>11.7</v>
      </c>
      <c r="N1787">
        <v>6.834</v>
      </c>
      <c r="O1787">
        <v>26.27</v>
      </c>
      <c r="P1787">
        <v>32.82</v>
      </c>
      <c r="Q1787">
        <v>21.81</v>
      </c>
      <c r="R1787">
        <v>14.65</v>
      </c>
    </row>
    <row r="1788">
      <c r="A1788" s="9">
        <v>40319</v>
      </c>
      <c r="B1788" s="2" t="inlineStr">
        <is>
          <t xml:space="preserve">2010-05</t>
        </is>
      </c>
      <c r="C1788" s="2" t="inlineStr">
        <is>
          <t xml:space="preserve">2009/10</t>
        </is>
      </c>
      <c r="D1788">
        <v>9.679</v>
      </c>
      <c r="E1788">
        <v>23.58</v>
      </c>
      <c r="F1788">
        <v>26.96</v>
      </c>
      <c r="G1788">
        <v>20.77</v>
      </c>
      <c r="H1788">
        <v>7.98</v>
      </c>
      <c r="I1788">
        <v>13.721</v>
      </c>
      <c r="J1788">
        <v>24.75</v>
      </c>
      <c r="K1788">
        <v>31.57</v>
      </c>
      <c r="L1788">
        <v>19.39</v>
      </c>
      <c r="M1788">
        <v>14.4</v>
      </c>
      <c r="N1788">
        <v>48.531</v>
      </c>
      <c r="O1788">
        <v>25.44</v>
      </c>
      <c r="P1788">
        <v>31.25</v>
      </c>
      <c r="Q1788">
        <v>20.45</v>
      </c>
      <c r="R1788">
        <v>16.62</v>
      </c>
    </row>
    <row r="1789">
      <c r="A1789" s="9">
        <v>40320</v>
      </c>
      <c r="B1789" s="2" t="inlineStr">
        <is>
          <t xml:space="preserve">2010-05</t>
        </is>
      </c>
      <c r="C1789" s="2" t="inlineStr">
        <is>
          <t xml:space="preserve">2009/10</t>
        </is>
      </c>
      <c r="D1789">
        <v>0.0</v>
      </c>
      <c r="E1789">
        <v>24.35</v>
      </c>
      <c r="F1789">
        <v>29.51</v>
      </c>
      <c r="G1789">
        <v>20.32</v>
      </c>
      <c r="H1789">
        <v>1.42</v>
      </c>
      <c r="I1789">
        <v>1.203</v>
      </c>
      <c r="J1789">
        <v>25.55</v>
      </c>
      <c r="K1789">
        <v>30.79</v>
      </c>
      <c r="L1789">
        <v>21.25</v>
      </c>
      <c r="M1789">
        <v>1.75</v>
      </c>
      <c r="N1789">
        <v>0.377</v>
      </c>
      <c r="O1789">
        <v>25.05</v>
      </c>
      <c r="P1789">
        <v>30.7</v>
      </c>
      <c r="Q1789">
        <v>20.88</v>
      </c>
      <c r="R1789">
        <v>2.59</v>
      </c>
    </row>
    <row r="1790">
      <c r="A1790" s="9">
        <v>40321</v>
      </c>
      <c r="B1790" s="2" t="inlineStr">
        <is>
          <t xml:space="preserve">2010-05</t>
        </is>
      </c>
      <c r="C1790" s="2" t="inlineStr">
        <is>
          <t xml:space="preserve">2009/10</t>
        </is>
      </c>
      <c r="D1790">
        <v>4.076</v>
      </c>
      <c r="E1790">
        <v>23.8</v>
      </c>
      <c r="F1790">
        <v>28.64</v>
      </c>
      <c r="G1790">
        <v>20.61</v>
      </c>
      <c r="H1790">
        <v>6.38</v>
      </c>
      <c r="I1790">
        <v>1.537</v>
      </c>
      <c r="J1790">
        <v>23.88</v>
      </c>
      <c r="K1790">
        <v>27.5</v>
      </c>
      <c r="L1790">
        <v>21.06</v>
      </c>
      <c r="M1790">
        <v>5.58</v>
      </c>
      <c r="N1790">
        <v>5.804</v>
      </c>
      <c r="O1790">
        <v>23.46</v>
      </c>
      <c r="P1790">
        <v>26.88</v>
      </c>
      <c r="Q1790">
        <v>21.72</v>
      </c>
      <c r="R1790">
        <v>6.79</v>
      </c>
    </row>
    <row r="1791">
      <c r="A1791" s="9">
        <v>40322</v>
      </c>
      <c r="B1791" s="2" t="inlineStr">
        <is>
          <t xml:space="preserve">2010-05</t>
        </is>
      </c>
      <c r="C1791" s="2" t="inlineStr">
        <is>
          <t xml:space="preserve">2009/10</t>
        </is>
      </c>
      <c r="D1791">
        <v>10.035</v>
      </c>
      <c r="E1791">
        <v>23.3</v>
      </c>
      <c r="F1791">
        <v>27.71</v>
      </c>
      <c r="G1791">
        <v>20.74</v>
      </c>
      <c r="H1791">
        <v>8.41</v>
      </c>
      <c r="I1791">
        <v>7.408</v>
      </c>
      <c r="J1791">
        <v>22.84</v>
      </c>
      <c r="K1791">
        <v>25.25</v>
      </c>
      <c r="L1791">
        <v>21.3</v>
      </c>
      <c r="M1791">
        <v>7.09</v>
      </c>
      <c r="N1791">
        <v>9.764</v>
      </c>
      <c r="O1791">
        <v>23.26</v>
      </c>
      <c r="P1791">
        <v>26.81</v>
      </c>
      <c r="Q1791">
        <v>21.21</v>
      </c>
      <c r="R1791">
        <v>7.21</v>
      </c>
    </row>
    <row r="1792">
      <c r="A1792" s="9">
        <v>40323</v>
      </c>
      <c r="B1792" s="2" t="inlineStr">
        <is>
          <t xml:space="preserve">2010-05</t>
        </is>
      </c>
      <c r="C1792" s="2" t="inlineStr">
        <is>
          <t xml:space="preserve">2009/10</t>
        </is>
      </c>
      <c r="D1792">
        <v>1.14</v>
      </c>
      <c r="E1792">
        <v>23.75</v>
      </c>
      <c r="F1792">
        <v>29.72</v>
      </c>
      <c r="G1792">
        <v>19.97</v>
      </c>
      <c r="H1792">
        <v>2.66</v>
      </c>
      <c r="I1792">
        <v>5.344</v>
      </c>
      <c r="J1792">
        <v>24.09</v>
      </c>
      <c r="K1792">
        <v>29.91</v>
      </c>
      <c r="L1792">
        <v>20.37</v>
      </c>
      <c r="M1792">
        <v>6.41</v>
      </c>
      <c r="N1792">
        <v>4.959</v>
      </c>
      <c r="O1792">
        <v>24.24</v>
      </c>
      <c r="P1792">
        <v>29.14</v>
      </c>
      <c r="Q1792">
        <v>21.37</v>
      </c>
      <c r="R1792">
        <v>5.51</v>
      </c>
    </row>
    <row r="1793">
      <c r="A1793" s="9">
        <v>40324</v>
      </c>
      <c r="B1793" s="2" t="inlineStr">
        <is>
          <t xml:space="preserve">2010-05</t>
        </is>
      </c>
      <c r="C1793" s="2" t="inlineStr">
        <is>
          <t xml:space="preserve">2009/10</t>
        </is>
      </c>
      <c r="D1793">
        <v>12.103</v>
      </c>
      <c r="E1793">
        <v>22.11</v>
      </c>
      <c r="F1793">
        <v>24.22</v>
      </c>
      <c r="G1793">
        <v>20.58</v>
      </c>
      <c r="H1793">
        <v>18.37</v>
      </c>
      <c r="I1793">
        <v>11.72</v>
      </c>
      <c r="J1793">
        <v>23.95</v>
      </c>
      <c r="K1793">
        <v>28.77</v>
      </c>
      <c r="L1793">
        <v>21.53</v>
      </c>
      <c r="M1793">
        <v>13.82</v>
      </c>
      <c r="N1793">
        <v>11.176</v>
      </c>
      <c r="O1793">
        <v>24.06</v>
      </c>
      <c r="P1793">
        <v>28.75</v>
      </c>
      <c r="Q1793">
        <v>21.49</v>
      </c>
      <c r="R1793">
        <v>14.14</v>
      </c>
    </row>
    <row r="1794">
      <c r="A1794" s="9">
        <v>40325</v>
      </c>
      <c r="B1794" s="2" t="inlineStr">
        <is>
          <t xml:space="preserve">2010-05</t>
        </is>
      </c>
      <c r="C1794" s="2" t="inlineStr">
        <is>
          <t xml:space="preserve">2009/10</t>
        </is>
      </c>
      <c r="D1794">
        <v>23.641</v>
      </c>
      <c r="E1794">
        <v>21.89</v>
      </c>
      <c r="F1794">
        <v>24.82</v>
      </c>
      <c r="G1794">
        <v>19.53</v>
      </c>
      <c r="H1794">
        <v>27.58</v>
      </c>
      <c r="I1794">
        <v>5.83</v>
      </c>
      <c r="J1794">
        <v>22.06</v>
      </c>
      <c r="K1794">
        <v>24.27</v>
      </c>
      <c r="L1794">
        <v>20.44</v>
      </c>
      <c r="M1794">
        <v>23.41</v>
      </c>
      <c r="N1794">
        <v>17.561</v>
      </c>
      <c r="O1794">
        <v>22.09</v>
      </c>
      <c r="P1794">
        <v>23.88</v>
      </c>
      <c r="Q1794">
        <v>20.64</v>
      </c>
      <c r="R1794">
        <v>23.86</v>
      </c>
    </row>
    <row r="1795">
      <c r="A1795" s="9">
        <v>40326</v>
      </c>
      <c r="B1795" s="2" t="inlineStr">
        <is>
          <t xml:space="preserve">2010-05</t>
        </is>
      </c>
      <c r="C1795" s="2" t="inlineStr">
        <is>
          <t xml:space="preserve">2009/10</t>
        </is>
      </c>
      <c r="D1795">
        <v>44.761</v>
      </c>
      <c r="E1795">
        <v>21.63</v>
      </c>
      <c r="F1795">
        <v>24.27</v>
      </c>
      <c r="G1795">
        <v>19.42</v>
      </c>
      <c r="H1795">
        <v>40.15</v>
      </c>
      <c r="I1795">
        <v>36.886</v>
      </c>
      <c r="J1795">
        <v>21.95</v>
      </c>
      <c r="K1795">
        <v>24.19</v>
      </c>
      <c r="L1795">
        <v>20.26</v>
      </c>
      <c r="M1795">
        <v>24.27</v>
      </c>
      <c r="N1795">
        <v>28.112</v>
      </c>
      <c r="O1795">
        <v>21.71</v>
      </c>
      <c r="P1795">
        <v>24.87</v>
      </c>
      <c r="Q1795">
        <v>19.65</v>
      </c>
      <c r="R1795">
        <v>17.66</v>
      </c>
    </row>
    <row r="1796">
      <c r="A1796" s="9">
        <v>40327</v>
      </c>
      <c r="B1796" s="2" t="inlineStr">
        <is>
          <t xml:space="preserve">2010-05</t>
        </is>
      </c>
      <c r="C1796" s="2" t="inlineStr">
        <is>
          <t xml:space="preserve">2009/10</t>
        </is>
      </c>
      <c r="D1796">
        <v>44.813</v>
      </c>
      <c r="E1796">
        <v>21.43</v>
      </c>
      <c r="F1796">
        <v>24.13</v>
      </c>
      <c r="G1796">
        <v>19.39</v>
      </c>
      <c r="H1796">
        <v>37.47</v>
      </c>
      <c r="I1796">
        <v>19.079</v>
      </c>
      <c r="J1796">
        <v>21.88</v>
      </c>
      <c r="K1796">
        <v>24.25</v>
      </c>
      <c r="L1796">
        <v>20.29</v>
      </c>
      <c r="M1796">
        <v>28.33</v>
      </c>
      <c r="N1796">
        <v>26.06</v>
      </c>
      <c r="O1796">
        <v>21.65</v>
      </c>
      <c r="P1796">
        <v>24.03</v>
      </c>
      <c r="Q1796">
        <v>19.41</v>
      </c>
      <c r="R1796">
        <v>19.74</v>
      </c>
    </row>
    <row r="1797">
      <c r="A1797" s="9">
        <v>40328</v>
      </c>
      <c r="B1797" s="2" t="inlineStr">
        <is>
          <t xml:space="preserve">2010-05</t>
        </is>
      </c>
      <c r="C1797" s="2" t="inlineStr">
        <is>
          <t xml:space="preserve">2009/10</t>
        </is>
      </c>
      <c r="D1797">
        <v>114.424</v>
      </c>
      <c r="E1797">
        <v>21.96</v>
      </c>
      <c r="F1797">
        <v>24.37</v>
      </c>
      <c r="G1797">
        <v>19.55</v>
      </c>
      <c r="H1797">
        <v>71.18</v>
      </c>
      <c r="I1797">
        <v>57.307</v>
      </c>
      <c r="J1797">
        <v>22.15</v>
      </c>
      <c r="K1797">
        <v>25.99</v>
      </c>
      <c r="L1797">
        <v>19.36</v>
      </c>
      <c r="M1797">
        <v>38.32</v>
      </c>
      <c r="N1797">
        <v>46.104</v>
      </c>
      <c r="O1797">
        <v>22.6</v>
      </c>
      <c r="P1797">
        <v>27.26</v>
      </c>
      <c r="Q1797">
        <v>19.3</v>
      </c>
      <c r="R1797">
        <v>25.22</v>
      </c>
    </row>
    <row r="1798">
      <c r="A1798" s="9">
        <v>40329</v>
      </c>
      <c r="B1798" s="2" t="inlineStr">
        <is>
          <t xml:space="preserve">2010-05</t>
        </is>
      </c>
      <c r="C1798" s="2" t="inlineStr">
        <is>
          <t xml:space="preserve">2009/10</t>
        </is>
      </c>
      <c r="D1798">
        <v>0.717</v>
      </c>
      <c r="E1798">
        <v>21.67</v>
      </c>
      <c r="F1798">
        <v>26.4</v>
      </c>
      <c r="G1798">
        <v>17.99</v>
      </c>
      <c r="H1798">
        <v>0.87</v>
      </c>
      <c r="I1798">
        <v>1.102</v>
      </c>
      <c r="J1798">
        <v>22.67</v>
      </c>
      <c r="K1798">
        <v>28.11</v>
      </c>
      <c r="L1798">
        <v>18.69</v>
      </c>
      <c r="M1798">
        <v>0.79</v>
      </c>
      <c r="N1798">
        <v>0.065</v>
      </c>
      <c r="O1798">
        <v>23.89</v>
      </c>
      <c r="P1798">
        <v>29.65</v>
      </c>
      <c r="Q1798">
        <v>18.92</v>
      </c>
      <c r="R1798">
        <v>0.28</v>
      </c>
    </row>
    <row r="1799">
      <c r="A1799" s="9">
        <v>40330</v>
      </c>
      <c r="B1799" s="2" t="inlineStr">
        <is>
          <t xml:space="preserve">2010-06</t>
        </is>
      </c>
      <c r="C1799" s="2" t="inlineStr">
        <is>
          <t xml:space="preserve">2009/10</t>
        </is>
      </c>
      <c r="D1799">
        <v>2.292</v>
      </c>
      <c r="E1799">
        <v>23.65</v>
      </c>
      <c r="F1799">
        <v>29.21</v>
      </c>
      <c r="G1799">
        <v>18.4</v>
      </c>
      <c r="H1799">
        <v>3.97</v>
      </c>
      <c r="I1799">
        <v>0.0</v>
      </c>
      <c r="J1799">
        <v>24.09</v>
      </c>
      <c r="K1799">
        <v>28.93</v>
      </c>
      <c r="L1799">
        <v>19.47</v>
      </c>
      <c r="M1799">
        <v>0.76</v>
      </c>
      <c r="N1799">
        <v>0.0</v>
      </c>
      <c r="O1799">
        <v>25.08</v>
      </c>
      <c r="P1799">
        <v>30.61</v>
      </c>
      <c r="Q1799">
        <v>19.76</v>
      </c>
      <c r="R1799">
        <v>0.54</v>
      </c>
    </row>
    <row r="1800">
      <c r="A1800" s="9">
        <v>40331</v>
      </c>
      <c r="B1800" s="2" t="inlineStr">
        <is>
          <t xml:space="preserve">2010-06</t>
        </is>
      </c>
      <c r="C1800" s="2" t="inlineStr">
        <is>
          <t xml:space="preserve">2009/10</t>
        </is>
      </c>
      <c r="D1800">
        <v>6.286</v>
      </c>
      <c r="E1800">
        <v>23.54</v>
      </c>
      <c r="F1800">
        <v>27.93</v>
      </c>
      <c r="G1800">
        <v>19.71</v>
      </c>
      <c r="H1800">
        <v>3.18</v>
      </c>
      <c r="I1800">
        <v>1.246</v>
      </c>
      <c r="J1800">
        <v>23.63</v>
      </c>
      <c r="K1800">
        <v>27.47</v>
      </c>
      <c r="L1800">
        <v>21.41</v>
      </c>
      <c r="M1800">
        <v>2.49</v>
      </c>
      <c r="N1800">
        <v>2.28</v>
      </c>
      <c r="O1800">
        <v>25.45</v>
      </c>
      <c r="P1800">
        <v>29.42</v>
      </c>
      <c r="Q1800">
        <v>22.4</v>
      </c>
      <c r="R1800">
        <v>2.38</v>
      </c>
    </row>
    <row r="1801">
      <c r="A1801" s="9">
        <v>40332</v>
      </c>
      <c r="B1801" s="2" t="inlineStr">
        <is>
          <t xml:space="preserve">2010-06</t>
        </is>
      </c>
      <c r="C1801" s="2" t="inlineStr">
        <is>
          <t xml:space="preserve">2009/10</t>
        </is>
      </c>
      <c r="D1801">
        <v>3.895</v>
      </c>
      <c r="E1801">
        <v>23.78</v>
      </c>
      <c r="F1801">
        <v>28.94</v>
      </c>
      <c r="G1801">
        <v>19.91</v>
      </c>
      <c r="H1801">
        <v>7.32</v>
      </c>
      <c r="I1801">
        <v>0.421</v>
      </c>
      <c r="J1801">
        <v>23.76</v>
      </c>
      <c r="K1801">
        <v>28.16</v>
      </c>
      <c r="L1801">
        <v>20.69</v>
      </c>
      <c r="M1801">
        <v>5.67</v>
      </c>
      <c r="N1801">
        <v>0.809</v>
      </c>
      <c r="O1801">
        <v>25.17</v>
      </c>
      <c r="P1801">
        <v>29.69</v>
      </c>
      <c r="Q1801">
        <v>21.36</v>
      </c>
      <c r="R1801">
        <v>7.76</v>
      </c>
    </row>
    <row r="1802">
      <c r="A1802" s="9">
        <v>40333</v>
      </c>
      <c r="B1802" s="2" t="inlineStr">
        <is>
          <t xml:space="preserve">2010-06</t>
        </is>
      </c>
      <c r="C1802" s="2" t="inlineStr">
        <is>
          <t xml:space="preserve">2009/10</t>
        </is>
      </c>
      <c r="D1802">
        <v>17.726</v>
      </c>
      <c r="E1802">
        <v>22.39</v>
      </c>
      <c r="F1802">
        <v>25.43</v>
      </c>
      <c r="G1802">
        <v>19.93</v>
      </c>
      <c r="H1802">
        <v>5.69</v>
      </c>
      <c r="I1802">
        <v>9.623</v>
      </c>
      <c r="J1802">
        <v>22.42</v>
      </c>
      <c r="K1802">
        <v>25.91</v>
      </c>
      <c r="L1802">
        <v>20.49</v>
      </c>
      <c r="M1802">
        <v>10.74</v>
      </c>
      <c r="N1802">
        <v>26.773</v>
      </c>
      <c r="O1802">
        <v>23.8</v>
      </c>
      <c r="P1802">
        <v>28.22</v>
      </c>
      <c r="Q1802">
        <v>21.02</v>
      </c>
      <c r="R1802">
        <v>12.54</v>
      </c>
    </row>
    <row r="1803">
      <c r="A1803" s="9">
        <v>40334</v>
      </c>
      <c r="B1803" s="2" t="inlineStr">
        <is>
          <t xml:space="preserve">2010-06</t>
        </is>
      </c>
      <c r="C1803" s="2" t="inlineStr">
        <is>
          <t xml:space="preserve">2009/10</t>
        </is>
      </c>
      <c r="D1803">
        <v>0.149</v>
      </c>
      <c r="E1803">
        <v>22.97</v>
      </c>
      <c r="F1803">
        <v>26.97</v>
      </c>
      <c r="G1803">
        <v>19.0</v>
      </c>
      <c r="H1803">
        <v>0.12</v>
      </c>
      <c r="I1803">
        <v>0.095</v>
      </c>
      <c r="J1803">
        <v>23.71</v>
      </c>
      <c r="K1803">
        <v>28.0</v>
      </c>
      <c r="L1803">
        <v>19.41</v>
      </c>
      <c r="M1803">
        <v>0.56</v>
      </c>
      <c r="N1803">
        <v>0.283</v>
      </c>
      <c r="O1803">
        <v>25.04</v>
      </c>
      <c r="P1803">
        <v>29.97</v>
      </c>
      <c r="Q1803">
        <v>19.86</v>
      </c>
      <c r="R1803">
        <v>0.71</v>
      </c>
    </row>
    <row r="1804">
      <c r="A1804" s="9">
        <v>40335</v>
      </c>
      <c r="B1804" s="2" t="inlineStr">
        <is>
          <t xml:space="preserve">2010-06</t>
        </is>
      </c>
      <c r="C1804" s="2" t="inlineStr">
        <is>
          <t xml:space="preserve">2009/10</t>
        </is>
      </c>
      <c r="D1804">
        <v>0.0</v>
      </c>
      <c r="E1804">
        <v>23.61</v>
      </c>
      <c r="F1804">
        <v>29.23</v>
      </c>
      <c r="G1804">
        <v>19.37</v>
      </c>
      <c r="H1804">
        <v>0.02</v>
      </c>
      <c r="I1804">
        <v>0.04</v>
      </c>
      <c r="J1804">
        <v>24.79</v>
      </c>
      <c r="K1804">
        <v>29.45</v>
      </c>
      <c r="L1804">
        <v>20.71</v>
      </c>
      <c r="M1804">
        <v>3.52</v>
      </c>
      <c r="N1804">
        <v>0.259</v>
      </c>
      <c r="O1804">
        <v>25.93</v>
      </c>
      <c r="P1804">
        <v>30.68</v>
      </c>
      <c r="Q1804">
        <v>22.16</v>
      </c>
      <c r="R1804">
        <v>3.05</v>
      </c>
    </row>
    <row r="1805">
      <c r="A1805" s="9">
        <v>40336</v>
      </c>
      <c r="B1805" s="2" t="inlineStr">
        <is>
          <t xml:space="preserve">2010-06</t>
        </is>
      </c>
      <c r="C1805" s="2" t="inlineStr">
        <is>
          <t xml:space="preserve">2009/10</t>
        </is>
      </c>
      <c r="D1805">
        <v>0.0</v>
      </c>
      <c r="E1805">
        <v>22.81</v>
      </c>
      <c r="F1805">
        <v>28.67</v>
      </c>
      <c r="G1805">
        <v>17.63</v>
      </c>
      <c r="H1805">
        <v>0.61</v>
      </c>
      <c r="I1805">
        <v>0.0</v>
      </c>
      <c r="J1805">
        <v>24.47</v>
      </c>
      <c r="K1805">
        <v>28.88</v>
      </c>
      <c r="L1805">
        <v>21.12</v>
      </c>
      <c r="M1805">
        <v>1.17</v>
      </c>
      <c r="N1805">
        <v>0.0</v>
      </c>
      <c r="O1805">
        <v>24.74</v>
      </c>
      <c r="P1805">
        <v>30.32</v>
      </c>
      <c r="Q1805">
        <v>20.84</v>
      </c>
      <c r="R1805">
        <v>0.3</v>
      </c>
    </row>
    <row r="1806">
      <c r="A1806" s="9">
        <v>40337</v>
      </c>
      <c r="B1806" s="2" t="inlineStr">
        <is>
          <t xml:space="preserve">2010-06</t>
        </is>
      </c>
      <c r="C1806" s="2" t="inlineStr">
        <is>
          <t xml:space="preserve">2009/10</t>
        </is>
      </c>
      <c r="D1806">
        <v>1.56</v>
      </c>
      <c r="E1806">
        <v>23.11</v>
      </c>
      <c r="F1806">
        <v>27.71</v>
      </c>
      <c r="G1806">
        <v>19.28</v>
      </c>
      <c r="H1806">
        <v>2.56</v>
      </c>
      <c r="I1806">
        <v>9.948</v>
      </c>
      <c r="J1806">
        <v>22.9</v>
      </c>
      <c r="K1806">
        <v>27.43</v>
      </c>
      <c r="L1806">
        <v>19.54</v>
      </c>
      <c r="M1806">
        <v>5.31</v>
      </c>
      <c r="N1806">
        <v>0.333</v>
      </c>
      <c r="O1806">
        <v>24.26</v>
      </c>
      <c r="P1806">
        <v>29.18</v>
      </c>
      <c r="Q1806">
        <v>20.54</v>
      </c>
      <c r="R1806">
        <v>3.25</v>
      </c>
    </row>
    <row r="1807">
      <c r="A1807" s="9">
        <v>40338</v>
      </c>
      <c r="B1807" s="2" t="inlineStr">
        <is>
          <t xml:space="preserve">2010-06</t>
        </is>
      </c>
      <c r="C1807" s="2" t="inlineStr">
        <is>
          <t xml:space="preserve">2009/10</t>
        </is>
      </c>
      <c r="D1807">
        <v>6.865</v>
      </c>
      <c r="E1807">
        <v>22.54</v>
      </c>
      <c r="F1807">
        <v>26.48</v>
      </c>
      <c r="G1807">
        <v>19.95</v>
      </c>
      <c r="H1807">
        <v>7.16</v>
      </c>
      <c r="I1807">
        <v>3.3</v>
      </c>
      <c r="J1807">
        <v>23.42</v>
      </c>
      <c r="K1807">
        <v>27.18</v>
      </c>
      <c r="L1807">
        <v>20.87</v>
      </c>
      <c r="M1807">
        <v>11.39</v>
      </c>
      <c r="N1807">
        <v>7.728</v>
      </c>
      <c r="O1807">
        <v>23.77</v>
      </c>
      <c r="P1807">
        <v>26.49</v>
      </c>
      <c r="Q1807">
        <v>21.87</v>
      </c>
      <c r="R1807">
        <v>13.15</v>
      </c>
    </row>
    <row r="1808">
      <c r="A1808" s="9">
        <v>40339</v>
      </c>
      <c r="B1808" s="2" t="inlineStr">
        <is>
          <t xml:space="preserve">2010-06</t>
        </is>
      </c>
      <c r="C1808" s="2" t="inlineStr">
        <is>
          <t xml:space="preserve">2009/10</t>
        </is>
      </c>
      <c r="D1808">
        <v>25.885</v>
      </c>
      <c r="E1808">
        <v>22.49</v>
      </c>
      <c r="F1808">
        <v>27.18</v>
      </c>
      <c r="G1808">
        <v>19.08</v>
      </c>
      <c r="H1808">
        <v>16.33</v>
      </c>
      <c r="I1808">
        <v>10.729</v>
      </c>
      <c r="J1808">
        <v>22.95</v>
      </c>
      <c r="K1808">
        <v>26.82</v>
      </c>
      <c r="L1808">
        <v>20.22</v>
      </c>
      <c r="M1808">
        <v>17.91</v>
      </c>
      <c r="N1808">
        <v>31.134</v>
      </c>
      <c r="O1808">
        <v>23.43</v>
      </c>
      <c r="P1808">
        <v>27.25</v>
      </c>
      <c r="Q1808">
        <v>20.77</v>
      </c>
      <c r="R1808">
        <v>19.66</v>
      </c>
    </row>
    <row r="1809">
      <c r="A1809" s="9">
        <v>40340</v>
      </c>
      <c r="B1809" s="2" t="inlineStr">
        <is>
          <t xml:space="preserve">2010-06</t>
        </is>
      </c>
      <c r="C1809" s="2" t="inlineStr">
        <is>
          <t xml:space="preserve">2009/10</t>
        </is>
      </c>
      <c r="D1809">
        <v>28.469</v>
      </c>
      <c r="E1809">
        <v>21.67</v>
      </c>
      <c r="F1809">
        <v>26.46</v>
      </c>
      <c r="G1809">
        <v>17.85</v>
      </c>
      <c r="H1809">
        <v>15.78</v>
      </c>
      <c r="I1809">
        <v>23.713</v>
      </c>
      <c r="J1809">
        <v>23.48</v>
      </c>
      <c r="K1809">
        <v>28.29</v>
      </c>
      <c r="L1809">
        <v>19.94</v>
      </c>
      <c r="M1809">
        <v>32.11</v>
      </c>
      <c r="N1809">
        <v>55.477</v>
      </c>
      <c r="O1809">
        <v>23.78</v>
      </c>
      <c r="P1809">
        <v>28.64</v>
      </c>
      <c r="Q1809">
        <v>20.21</v>
      </c>
      <c r="R1809">
        <v>34.47</v>
      </c>
    </row>
    <row r="1810">
      <c r="A1810" s="9">
        <v>40341</v>
      </c>
      <c r="B1810" s="2" t="inlineStr">
        <is>
          <t xml:space="preserve">2010-06</t>
        </is>
      </c>
      <c r="C1810" s="2" t="inlineStr">
        <is>
          <t xml:space="preserve">2009/10</t>
        </is>
      </c>
      <c r="D1810">
        <v>30.385</v>
      </c>
      <c r="E1810">
        <v>20.53</v>
      </c>
      <c r="F1810">
        <v>24.83</v>
      </c>
      <c r="G1810">
        <v>17.6</v>
      </c>
      <c r="H1810">
        <v>16.51</v>
      </c>
      <c r="I1810">
        <v>30.177</v>
      </c>
      <c r="J1810">
        <v>22.56</v>
      </c>
      <c r="K1810">
        <v>25.95</v>
      </c>
      <c r="L1810">
        <v>20.29</v>
      </c>
      <c r="M1810">
        <v>25.37</v>
      </c>
      <c r="N1810">
        <v>22.13</v>
      </c>
      <c r="O1810">
        <v>21.9</v>
      </c>
      <c r="P1810">
        <v>24.5</v>
      </c>
      <c r="Q1810">
        <v>19.74</v>
      </c>
      <c r="R1810">
        <v>18.53</v>
      </c>
    </row>
    <row r="1811">
      <c r="A1811" s="9">
        <v>40342</v>
      </c>
      <c r="B1811" s="2" t="inlineStr">
        <is>
          <t xml:space="preserve">2010-06</t>
        </is>
      </c>
      <c r="C1811" s="2" t="inlineStr">
        <is>
          <t xml:space="preserve">2009/10</t>
        </is>
      </c>
      <c r="D1811">
        <v>15.814</v>
      </c>
      <c r="E1811">
        <v>21.16</v>
      </c>
      <c r="F1811">
        <v>25.67</v>
      </c>
      <c r="G1811">
        <v>17.11</v>
      </c>
      <c r="H1811">
        <v>13.77</v>
      </c>
      <c r="I1811">
        <v>20.516</v>
      </c>
      <c r="J1811">
        <v>22.52</v>
      </c>
      <c r="K1811">
        <v>26.75</v>
      </c>
      <c r="L1811">
        <v>19.66</v>
      </c>
      <c r="M1811">
        <v>12.42</v>
      </c>
      <c r="N1811">
        <v>27.537</v>
      </c>
      <c r="O1811">
        <v>22.56</v>
      </c>
      <c r="P1811">
        <v>27.36</v>
      </c>
      <c r="Q1811">
        <v>18.84</v>
      </c>
      <c r="R1811">
        <v>13.41</v>
      </c>
    </row>
    <row r="1812">
      <c r="A1812" s="9">
        <v>40343</v>
      </c>
      <c r="B1812" s="2" t="inlineStr">
        <is>
          <t xml:space="preserve">2010-06</t>
        </is>
      </c>
      <c r="C1812" s="2" t="inlineStr">
        <is>
          <t xml:space="preserve">2009/10</t>
        </is>
      </c>
      <c r="D1812">
        <v>11.011</v>
      </c>
      <c r="E1812">
        <v>22.32</v>
      </c>
      <c r="F1812">
        <v>27.55</v>
      </c>
      <c r="G1812">
        <v>18.03</v>
      </c>
      <c r="H1812">
        <v>6.48</v>
      </c>
      <c r="I1812">
        <v>4.021</v>
      </c>
      <c r="J1812">
        <v>22.61</v>
      </c>
      <c r="K1812">
        <v>26.59</v>
      </c>
      <c r="L1812">
        <v>19.82</v>
      </c>
      <c r="M1812">
        <v>8.95</v>
      </c>
      <c r="N1812">
        <v>13.214</v>
      </c>
      <c r="O1812">
        <v>23.45</v>
      </c>
      <c r="P1812">
        <v>27.42</v>
      </c>
      <c r="Q1812">
        <v>20.27</v>
      </c>
      <c r="R1812">
        <v>11.57</v>
      </c>
    </row>
    <row r="1813">
      <c r="A1813" s="9">
        <v>40344</v>
      </c>
      <c r="B1813" s="2" t="inlineStr">
        <is>
          <t xml:space="preserve">2010-06</t>
        </is>
      </c>
      <c r="C1813" s="2" t="inlineStr">
        <is>
          <t xml:space="preserve">2009/10</t>
        </is>
      </c>
      <c r="D1813">
        <v>14.836</v>
      </c>
      <c r="E1813">
        <v>22.12</v>
      </c>
      <c r="F1813">
        <v>26.33</v>
      </c>
      <c r="G1813">
        <v>18.75</v>
      </c>
      <c r="H1813">
        <v>20.02</v>
      </c>
      <c r="I1813">
        <v>4.383</v>
      </c>
      <c r="J1813">
        <v>22.76</v>
      </c>
      <c r="K1813">
        <v>28.12</v>
      </c>
      <c r="L1813">
        <v>19.09</v>
      </c>
      <c r="M1813">
        <v>13.56</v>
      </c>
      <c r="N1813">
        <v>15.432</v>
      </c>
      <c r="O1813">
        <v>23.72</v>
      </c>
      <c r="P1813">
        <v>27.98</v>
      </c>
      <c r="Q1813">
        <v>20.58</v>
      </c>
      <c r="R1813">
        <v>16.59</v>
      </c>
    </row>
    <row r="1814">
      <c r="A1814" s="9">
        <v>40345</v>
      </c>
      <c r="B1814" s="2" t="inlineStr">
        <is>
          <t xml:space="preserve">2010-06</t>
        </is>
      </c>
      <c r="C1814" s="2" t="inlineStr">
        <is>
          <t xml:space="preserve">2009/10</t>
        </is>
      </c>
      <c r="D1814">
        <v>14.798</v>
      </c>
      <c r="E1814">
        <v>21.73</v>
      </c>
      <c r="F1814">
        <v>26.18</v>
      </c>
      <c r="G1814">
        <v>18.53</v>
      </c>
      <c r="H1814">
        <v>11.16</v>
      </c>
      <c r="I1814">
        <v>27.076</v>
      </c>
      <c r="J1814">
        <v>23.0</v>
      </c>
      <c r="K1814">
        <v>26.76</v>
      </c>
      <c r="L1814">
        <v>20.24</v>
      </c>
      <c r="M1814">
        <v>25.7</v>
      </c>
      <c r="N1814">
        <v>36.55</v>
      </c>
      <c r="O1814">
        <v>23.39</v>
      </c>
      <c r="P1814">
        <v>27.29</v>
      </c>
      <c r="Q1814">
        <v>20.78</v>
      </c>
      <c r="R1814">
        <v>20.72</v>
      </c>
    </row>
    <row r="1815">
      <c r="A1815" s="9">
        <v>40346</v>
      </c>
      <c r="B1815" s="2" t="inlineStr">
        <is>
          <t xml:space="preserve">2010-06</t>
        </is>
      </c>
      <c r="C1815" s="2" t="inlineStr">
        <is>
          <t xml:space="preserve">2009/10</t>
        </is>
      </c>
      <c r="D1815">
        <v>5.26</v>
      </c>
      <c r="E1815">
        <v>21.43</v>
      </c>
      <c r="F1815">
        <v>26.48</v>
      </c>
      <c r="G1815">
        <v>17.16</v>
      </c>
      <c r="H1815">
        <v>2.04</v>
      </c>
      <c r="I1815">
        <v>16.087</v>
      </c>
      <c r="J1815">
        <v>22.95</v>
      </c>
      <c r="K1815">
        <v>27.47</v>
      </c>
      <c r="L1815">
        <v>19.18</v>
      </c>
      <c r="M1815">
        <v>8.66</v>
      </c>
      <c r="N1815">
        <v>8.819</v>
      </c>
      <c r="O1815">
        <v>22.66</v>
      </c>
      <c r="P1815">
        <v>26.55</v>
      </c>
      <c r="Q1815">
        <v>19.08</v>
      </c>
      <c r="R1815">
        <v>5.33</v>
      </c>
    </row>
    <row r="1816">
      <c r="A1816" s="9">
        <v>40347</v>
      </c>
      <c r="B1816" s="2" t="inlineStr">
        <is>
          <t xml:space="preserve">2010-06</t>
        </is>
      </c>
      <c r="C1816" s="2" t="inlineStr">
        <is>
          <t xml:space="preserve">2009/10</t>
        </is>
      </c>
      <c r="D1816">
        <v>0.121</v>
      </c>
      <c r="E1816">
        <v>22.19</v>
      </c>
      <c r="F1816">
        <v>27.21</v>
      </c>
      <c r="G1816">
        <v>17.75</v>
      </c>
      <c r="H1816">
        <v>0.76</v>
      </c>
      <c r="I1816">
        <v>5.863</v>
      </c>
      <c r="J1816">
        <v>22.95</v>
      </c>
      <c r="K1816">
        <v>27.08</v>
      </c>
      <c r="L1816">
        <v>19.23</v>
      </c>
      <c r="M1816">
        <v>6.38</v>
      </c>
      <c r="N1816">
        <v>0.213</v>
      </c>
      <c r="O1816">
        <v>23.08</v>
      </c>
      <c r="P1816">
        <v>26.54</v>
      </c>
      <c r="Q1816">
        <v>20.44</v>
      </c>
      <c r="R1816">
        <v>1.2</v>
      </c>
    </row>
    <row r="1817">
      <c r="A1817" s="9">
        <v>40348</v>
      </c>
      <c r="B1817" s="2" t="inlineStr">
        <is>
          <t xml:space="preserve">2010-06</t>
        </is>
      </c>
      <c r="C1817" s="2" t="inlineStr">
        <is>
          <t xml:space="preserve">2009/10</t>
        </is>
      </c>
      <c r="D1817">
        <v>1.791</v>
      </c>
      <c r="E1817">
        <v>21.36</v>
      </c>
      <c r="F1817">
        <v>26.08</v>
      </c>
      <c r="G1817">
        <v>17.46</v>
      </c>
      <c r="H1817">
        <v>5.24</v>
      </c>
      <c r="I1817">
        <v>19.953</v>
      </c>
      <c r="J1817">
        <v>22.96</v>
      </c>
      <c r="K1817">
        <v>27.53</v>
      </c>
      <c r="L1817">
        <v>19.9</v>
      </c>
      <c r="M1817">
        <v>21.58</v>
      </c>
      <c r="N1817">
        <v>1.087</v>
      </c>
      <c r="O1817">
        <v>23.15</v>
      </c>
      <c r="P1817">
        <v>27.44</v>
      </c>
      <c r="Q1817">
        <v>20.3</v>
      </c>
      <c r="R1817">
        <v>8.23</v>
      </c>
    </row>
    <row r="1818">
      <c r="A1818" s="9">
        <v>40349</v>
      </c>
      <c r="B1818" s="2" t="inlineStr">
        <is>
          <t xml:space="preserve">2010-06</t>
        </is>
      </c>
      <c r="C1818" s="2" t="inlineStr">
        <is>
          <t xml:space="preserve">2009/10</t>
        </is>
      </c>
      <c r="D1818">
        <v>11.086</v>
      </c>
      <c r="E1818">
        <v>22.13</v>
      </c>
      <c r="F1818">
        <v>27.09</v>
      </c>
      <c r="G1818">
        <v>18.6</v>
      </c>
      <c r="H1818">
        <v>8.18</v>
      </c>
      <c r="I1818">
        <v>42.924</v>
      </c>
      <c r="J1818">
        <v>22.34</v>
      </c>
      <c r="K1818">
        <v>26.02</v>
      </c>
      <c r="L1818">
        <v>19.25</v>
      </c>
      <c r="M1818">
        <v>20.29</v>
      </c>
      <c r="N1818">
        <v>12.435</v>
      </c>
      <c r="O1818">
        <v>22.49</v>
      </c>
      <c r="P1818">
        <v>25.77</v>
      </c>
      <c r="Q1818">
        <v>20.33</v>
      </c>
      <c r="R1818">
        <v>12.33</v>
      </c>
    </row>
    <row r="1819">
      <c r="A1819" s="9">
        <v>40350</v>
      </c>
      <c r="B1819" s="2" t="inlineStr">
        <is>
          <t xml:space="preserve">2010-06</t>
        </is>
      </c>
      <c r="C1819" s="2" t="inlineStr">
        <is>
          <t xml:space="preserve">2009/10</t>
        </is>
      </c>
      <c r="D1819">
        <v>0.0</v>
      </c>
      <c r="E1819">
        <v>22.42</v>
      </c>
      <c r="F1819">
        <v>27.2</v>
      </c>
      <c r="G1819">
        <v>18.51</v>
      </c>
      <c r="H1819">
        <v>2.11</v>
      </c>
      <c r="I1819">
        <v>22.607</v>
      </c>
      <c r="J1819">
        <v>22.64</v>
      </c>
      <c r="K1819">
        <v>26.72</v>
      </c>
      <c r="L1819">
        <v>19.27</v>
      </c>
      <c r="M1819">
        <v>9.3</v>
      </c>
      <c r="N1819">
        <v>1.02</v>
      </c>
      <c r="O1819">
        <v>22.89</v>
      </c>
      <c r="P1819">
        <v>27.2</v>
      </c>
      <c r="Q1819">
        <v>19.79</v>
      </c>
      <c r="R1819">
        <v>5.42</v>
      </c>
    </row>
    <row r="1820">
      <c r="A1820" s="9">
        <v>40351</v>
      </c>
      <c r="B1820" s="2" t="inlineStr">
        <is>
          <t xml:space="preserve">2010-06</t>
        </is>
      </c>
      <c r="C1820" s="2" t="inlineStr">
        <is>
          <t xml:space="preserve">2009/10</t>
        </is>
      </c>
      <c r="D1820">
        <v>10.914</v>
      </c>
      <c r="E1820">
        <v>22.23</v>
      </c>
      <c r="F1820">
        <v>26.92</v>
      </c>
      <c r="G1820">
        <v>18.26</v>
      </c>
      <c r="H1820">
        <v>9.5</v>
      </c>
      <c r="I1820">
        <v>9.621</v>
      </c>
      <c r="J1820">
        <v>22.52</v>
      </c>
      <c r="K1820">
        <v>26.62</v>
      </c>
      <c r="L1820">
        <v>18.76</v>
      </c>
      <c r="M1820">
        <v>11.48</v>
      </c>
      <c r="N1820">
        <v>17.591</v>
      </c>
      <c r="O1820">
        <v>22.96</v>
      </c>
      <c r="P1820">
        <v>27.47</v>
      </c>
      <c r="Q1820">
        <v>19.95</v>
      </c>
      <c r="R1820">
        <v>10.1</v>
      </c>
    </row>
    <row r="1821">
      <c r="A1821" s="9">
        <v>40352</v>
      </c>
      <c r="B1821" s="2" t="inlineStr">
        <is>
          <t xml:space="preserve">2010-06</t>
        </is>
      </c>
      <c r="C1821" s="2" t="inlineStr">
        <is>
          <t xml:space="preserve">2009/10</t>
        </is>
      </c>
      <c r="D1821">
        <v>3.317</v>
      </c>
      <c r="E1821">
        <v>22.56</v>
      </c>
      <c r="F1821">
        <v>27.16</v>
      </c>
      <c r="G1821">
        <v>19.13</v>
      </c>
      <c r="H1821">
        <v>3.25</v>
      </c>
      <c r="I1821">
        <v>2.239</v>
      </c>
      <c r="J1821">
        <v>23.22</v>
      </c>
      <c r="K1821">
        <v>27.3</v>
      </c>
      <c r="L1821">
        <v>19.6</v>
      </c>
      <c r="M1821">
        <v>2.69</v>
      </c>
      <c r="N1821">
        <v>8.252</v>
      </c>
      <c r="O1821">
        <v>23.29</v>
      </c>
      <c r="P1821">
        <v>27.21</v>
      </c>
      <c r="Q1821">
        <v>20.48</v>
      </c>
      <c r="R1821">
        <v>3.57</v>
      </c>
    </row>
    <row r="1822">
      <c r="A1822" s="9">
        <v>40353</v>
      </c>
      <c r="B1822" s="2" t="inlineStr">
        <is>
          <t xml:space="preserve">2010-06</t>
        </is>
      </c>
      <c r="C1822" s="2" t="inlineStr">
        <is>
          <t xml:space="preserve">2009/10</t>
        </is>
      </c>
      <c r="D1822">
        <v>1.883</v>
      </c>
      <c r="E1822">
        <v>23.0</v>
      </c>
      <c r="F1822">
        <v>27.79</v>
      </c>
      <c r="G1822">
        <v>19.5</v>
      </c>
      <c r="H1822">
        <v>1.64</v>
      </c>
      <c r="I1822">
        <v>2.634</v>
      </c>
      <c r="J1822">
        <v>22.99</v>
      </c>
      <c r="K1822">
        <v>27.32</v>
      </c>
      <c r="L1822">
        <v>19.32</v>
      </c>
      <c r="M1822">
        <v>1.55</v>
      </c>
      <c r="N1822">
        <v>0.6</v>
      </c>
      <c r="O1822">
        <v>23.38</v>
      </c>
      <c r="P1822">
        <v>27.86</v>
      </c>
      <c r="Q1822">
        <v>20.12</v>
      </c>
      <c r="R1822">
        <v>1.46</v>
      </c>
    </row>
    <row r="1823">
      <c r="A1823" s="9">
        <v>40354</v>
      </c>
      <c r="B1823" s="2" t="inlineStr">
        <is>
          <t xml:space="preserve">2010-06</t>
        </is>
      </c>
      <c r="C1823" s="2" t="inlineStr">
        <is>
          <t xml:space="preserve">2009/10</t>
        </is>
      </c>
      <c r="D1823">
        <v>2.185</v>
      </c>
      <c r="E1823">
        <v>22.38</v>
      </c>
      <c r="F1823">
        <v>26.07</v>
      </c>
      <c r="G1823">
        <v>19.61</v>
      </c>
      <c r="H1823">
        <v>7.51</v>
      </c>
      <c r="I1823">
        <v>0.0</v>
      </c>
      <c r="J1823">
        <v>22.86</v>
      </c>
      <c r="K1823">
        <v>27.05</v>
      </c>
      <c r="L1823">
        <v>19.3</v>
      </c>
      <c r="M1823">
        <v>3.46</v>
      </c>
      <c r="N1823">
        <v>0.538</v>
      </c>
      <c r="O1823">
        <v>22.99</v>
      </c>
      <c r="P1823">
        <v>26.88</v>
      </c>
      <c r="Q1823">
        <v>20.02</v>
      </c>
      <c r="R1823">
        <v>8.14</v>
      </c>
    </row>
    <row r="1824">
      <c r="A1824" s="9">
        <v>40355</v>
      </c>
      <c r="B1824" s="2" t="inlineStr">
        <is>
          <t xml:space="preserve">2010-06</t>
        </is>
      </c>
      <c r="C1824" s="2" t="inlineStr">
        <is>
          <t xml:space="preserve">2009/10</t>
        </is>
      </c>
      <c r="D1824">
        <v>14.432</v>
      </c>
      <c r="E1824">
        <v>22.12</v>
      </c>
      <c r="F1824">
        <v>25.41</v>
      </c>
      <c r="G1824">
        <v>19.64</v>
      </c>
      <c r="H1824">
        <v>23.14</v>
      </c>
      <c r="I1824">
        <v>8.16</v>
      </c>
      <c r="J1824">
        <v>22.93</v>
      </c>
      <c r="K1824">
        <v>26.8</v>
      </c>
      <c r="L1824">
        <v>19.96</v>
      </c>
      <c r="M1824">
        <v>16.46</v>
      </c>
      <c r="N1824">
        <v>12.517</v>
      </c>
      <c r="O1824">
        <v>22.73</v>
      </c>
      <c r="P1824">
        <v>25.85</v>
      </c>
      <c r="Q1824">
        <v>20.87</v>
      </c>
      <c r="R1824">
        <v>18.2</v>
      </c>
    </row>
    <row r="1825">
      <c r="A1825" s="9">
        <v>40356</v>
      </c>
      <c r="B1825" s="2" t="inlineStr">
        <is>
          <t xml:space="preserve">2010-06</t>
        </is>
      </c>
      <c r="C1825" s="2" t="inlineStr">
        <is>
          <t xml:space="preserve">2009/10</t>
        </is>
      </c>
      <c r="D1825">
        <v>14.585</v>
      </c>
      <c r="E1825">
        <v>21.59</v>
      </c>
      <c r="F1825">
        <v>26.02</v>
      </c>
      <c r="G1825">
        <v>18.74</v>
      </c>
      <c r="H1825">
        <v>4.14</v>
      </c>
      <c r="I1825">
        <v>11.726</v>
      </c>
      <c r="J1825">
        <v>21.39</v>
      </c>
      <c r="K1825">
        <v>24.39</v>
      </c>
      <c r="L1825">
        <v>19.61</v>
      </c>
      <c r="M1825">
        <v>7.68</v>
      </c>
      <c r="N1825">
        <v>2.775</v>
      </c>
      <c r="O1825">
        <v>22.58</v>
      </c>
      <c r="P1825">
        <v>27.05</v>
      </c>
      <c r="Q1825">
        <v>19.67</v>
      </c>
      <c r="R1825">
        <v>2.83</v>
      </c>
    </row>
    <row r="1826">
      <c r="A1826" s="9">
        <v>40357</v>
      </c>
      <c r="B1826" s="2" t="inlineStr">
        <is>
          <t xml:space="preserve">2010-06</t>
        </is>
      </c>
      <c r="C1826" s="2" t="inlineStr">
        <is>
          <t xml:space="preserve">2009/10</t>
        </is>
      </c>
      <c r="D1826">
        <v>3.086</v>
      </c>
      <c r="E1826">
        <v>21.15</v>
      </c>
      <c r="F1826">
        <v>24.81</v>
      </c>
      <c r="G1826">
        <v>18.57</v>
      </c>
      <c r="H1826">
        <v>1.67</v>
      </c>
      <c r="I1826">
        <v>1.267</v>
      </c>
      <c r="J1826">
        <v>21.96</v>
      </c>
      <c r="K1826">
        <v>24.71</v>
      </c>
      <c r="L1826">
        <v>20.4</v>
      </c>
      <c r="M1826">
        <v>1.56</v>
      </c>
      <c r="N1826">
        <v>0.699</v>
      </c>
      <c r="O1826">
        <v>23.07</v>
      </c>
      <c r="P1826">
        <v>26.45</v>
      </c>
      <c r="Q1826">
        <v>20.57</v>
      </c>
      <c r="R1826">
        <v>0.62</v>
      </c>
    </row>
    <row r="1827">
      <c r="A1827" s="9">
        <v>40358</v>
      </c>
      <c r="B1827" s="2" t="inlineStr">
        <is>
          <t xml:space="preserve">2010-06</t>
        </is>
      </c>
      <c r="C1827" s="2" t="inlineStr">
        <is>
          <t xml:space="preserve">2009/10</t>
        </is>
      </c>
      <c r="D1827">
        <v>0.811</v>
      </c>
      <c r="E1827">
        <v>21.62</v>
      </c>
      <c r="F1827">
        <v>25.8</v>
      </c>
      <c r="G1827">
        <v>18.41</v>
      </c>
      <c r="H1827">
        <v>0.41</v>
      </c>
      <c r="I1827">
        <v>0.029</v>
      </c>
      <c r="J1827">
        <v>21.86</v>
      </c>
      <c r="K1827">
        <v>25.63</v>
      </c>
      <c r="L1827">
        <v>19.0</v>
      </c>
      <c r="M1827">
        <v>0.58</v>
      </c>
      <c r="N1827">
        <v>0.0</v>
      </c>
      <c r="O1827">
        <v>23.12</v>
      </c>
      <c r="P1827">
        <v>27.66</v>
      </c>
      <c r="Q1827">
        <v>19.63</v>
      </c>
      <c r="R1827">
        <v>0.08</v>
      </c>
    </row>
    <row r="1828">
      <c r="A1828" s="9">
        <v>40359</v>
      </c>
      <c r="B1828" s="2" t="inlineStr">
        <is>
          <t xml:space="preserve">2010-06</t>
        </is>
      </c>
      <c r="C1828" s="2" t="inlineStr">
        <is>
          <t xml:space="preserve">2009/10</t>
        </is>
      </c>
      <c r="D1828">
        <v>1.396</v>
      </c>
      <c r="E1828">
        <v>22.16</v>
      </c>
      <c r="F1828">
        <v>26.45</v>
      </c>
      <c r="G1828">
        <v>18.9</v>
      </c>
      <c r="H1828">
        <v>1.1</v>
      </c>
      <c r="I1828">
        <v>2.155</v>
      </c>
      <c r="J1828">
        <v>21.99</v>
      </c>
      <c r="K1828">
        <v>25.76</v>
      </c>
      <c r="L1828">
        <v>19.43</v>
      </c>
      <c r="M1828">
        <v>2.73</v>
      </c>
      <c r="N1828">
        <v>0.456</v>
      </c>
      <c r="O1828">
        <v>23.26</v>
      </c>
      <c r="P1828">
        <v>27.6</v>
      </c>
      <c r="Q1828">
        <v>20.14</v>
      </c>
      <c r="R1828">
        <v>1.1</v>
      </c>
    </row>
    <row r="1829">
      <c r="A1829" s="9">
        <v>40360</v>
      </c>
      <c r="B1829" s="2" t="inlineStr">
        <is>
          <t xml:space="preserve">2010-07</t>
        </is>
      </c>
      <c r="C1829" s="2" t="inlineStr">
        <is>
          <t xml:space="preserve">2010/11</t>
        </is>
      </c>
      <c r="D1829">
        <v>0.524</v>
      </c>
      <c r="E1829">
        <v>22.77</v>
      </c>
      <c r="F1829">
        <v>27.94</v>
      </c>
      <c r="G1829">
        <v>18.5</v>
      </c>
      <c r="H1829">
        <v>5.04</v>
      </c>
      <c r="I1829">
        <v>0.131</v>
      </c>
      <c r="J1829">
        <v>22.53</v>
      </c>
      <c r="K1829">
        <v>27.17</v>
      </c>
      <c r="L1829">
        <v>18.89</v>
      </c>
      <c r="M1829">
        <v>1.22</v>
      </c>
      <c r="N1829">
        <v>1.271</v>
      </c>
      <c r="O1829">
        <v>24.41</v>
      </c>
      <c r="P1829">
        <v>29.69</v>
      </c>
      <c r="Q1829">
        <v>19.82</v>
      </c>
      <c r="R1829">
        <v>0.89</v>
      </c>
    </row>
    <row r="1830">
      <c r="A1830" s="9">
        <v>40361</v>
      </c>
      <c r="B1830" s="2" t="inlineStr">
        <is>
          <t xml:space="preserve">2010-07</t>
        </is>
      </c>
      <c r="C1830" s="2" t="inlineStr">
        <is>
          <t xml:space="preserve">2010/11</t>
        </is>
      </c>
      <c r="D1830">
        <v>36.985</v>
      </c>
      <c r="E1830">
        <v>21.62</v>
      </c>
      <c r="F1830">
        <v>26.31</v>
      </c>
      <c r="G1830">
        <v>17.55</v>
      </c>
      <c r="H1830">
        <v>12.83</v>
      </c>
      <c r="I1830">
        <v>1.761</v>
      </c>
      <c r="J1830">
        <v>22.77</v>
      </c>
      <c r="K1830">
        <v>26.88</v>
      </c>
      <c r="L1830">
        <v>19.13</v>
      </c>
      <c r="M1830">
        <v>3.27</v>
      </c>
      <c r="N1830">
        <v>2.267</v>
      </c>
      <c r="O1830">
        <v>23.38</v>
      </c>
      <c r="P1830">
        <v>27.04</v>
      </c>
      <c r="Q1830">
        <v>20.16</v>
      </c>
      <c r="R1830">
        <v>2.28</v>
      </c>
    </row>
    <row r="1831">
      <c r="A1831" s="9">
        <v>40362</v>
      </c>
      <c r="B1831" s="2" t="inlineStr">
        <is>
          <t xml:space="preserve">2010-07</t>
        </is>
      </c>
      <c r="C1831" s="2" t="inlineStr">
        <is>
          <t xml:space="preserve">2010/11</t>
        </is>
      </c>
      <c r="D1831">
        <v>6.358</v>
      </c>
      <c r="E1831">
        <v>21.84</v>
      </c>
      <c r="F1831">
        <v>27.41</v>
      </c>
      <c r="G1831">
        <v>16.59</v>
      </c>
      <c r="H1831">
        <v>5.84</v>
      </c>
      <c r="I1831">
        <v>4.155</v>
      </c>
      <c r="J1831">
        <v>22.97</v>
      </c>
      <c r="K1831">
        <v>27.44</v>
      </c>
      <c r="L1831">
        <v>19.07</v>
      </c>
      <c r="M1831">
        <v>2.04</v>
      </c>
      <c r="N1831">
        <v>0.386</v>
      </c>
      <c r="O1831">
        <v>23.52</v>
      </c>
      <c r="P1831">
        <v>28.52</v>
      </c>
      <c r="Q1831">
        <v>19.07</v>
      </c>
      <c r="R1831">
        <v>1.28</v>
      </c>
    </row>
    <row r="1832">
      <c r="A1832" s="9">
        <v>40363</v>
      </c>
      <c r="B1832" s="2" t="inlineStr">
        <is>
          <t xml:space="preserve">2010-07</t>
        </is>
      </c>
      <c r="C1832" s="2" t="inlineStr">
        <is>
          <t xml:space="preserve">2010/11</t>
        </is>
      </c>
      <c r="D1832">
        <v>14.476</v>
      </c>
      <c r="E1832">
        <v>22.49</v>
      </c>
      <c r="F1832">
        <v>26.78</v>
      </c>
      <c r="G1832">
        <v>18.9</v>
      </c>
      <c r="H1832">
        <v>6.23</v>
      </c>
      <c r="I1832">
        <v>0.146</v>
      </c>
      <c r="J1832">
        <v>22.69</v>
      </c>
      <c r="K1832">
        <v>27.22</v>
      </c>
      <c r="L1832">
        <v>19.36</v>
      </c>
      <c r="M1832">
        <v>1.93</v>
      </c>
      <c r="N1832">
        <v>1.669</v>
      </c>
      <c r="O1832">
        <v>24.01</v>
      </c>
      <c r="P1832">
        <v>28.97</v>
      </c>
      <c r="Q1832">
        <v>20.37</v>
      </c>
      <c r="R1832">
        <v>1.63</v>
      </c>
    </row>
    <row r="1833">
      <c r="A1833" s="9">
        <v>40364</v>
      </c>
      <c r="B1833" s="2" t="inlineStr">
        <is>
          <t xml:space="preserve">2010-07</t>
        </is>
      </c>
      <c r="C1833" s="2" t="inlineStr">
        <is>
          <t xml:space="preserve">2010/11</t>
        </is>
      </c>
      <c r="D1833">
        <v>12.776</v>
      </c>
      <c r="E1833">
        <v>22.15</v>
      </c>
      <c r="F1833">
        <v>26.74</v>
      </c>
      <c r="G1833">
        <v>18.44</v>
      </c>
      <c r="H1833">
        <v>8.99</v>
      </c>
      <c r="I1833">
        <v>7.387</v>
      </c>
      <c r="J1833">
        <v>22.55</v>
      </c>
      <c r="K1833">
        <v>27.01</v>
      </c>
      <c r="L1833">
        <v>18.83</v>
      </c>
      <c r="M1833">
        <v>6.98</v>
      </c>
      <c r="N1833">
        <v>2.606</v>
      </c>
      <c r="O1833">
        <v>23.18</v>
      </c>
      <c r="P1833">
        <v>28.01</v>
      </c>
      <c r="Q1833">
        <v>19.55</v>
      </c>
      <c r="R1833">
        <v>3.15</v>
      </c>
    </row>
    <row r="1834">
      <c r="A1834" s="9">
        <v>40365</v>
      </c>
      <c r="B1834" s="2" t="inlineStr">
        <is>
          <t xml:space="preserve">2010-07</t>
        </is>
      </c>
      <c r="C1834" s="2" t="inlineStr">
        <is>
          <t xml:space="preserve">2010/11</t>
        </is>
      </c>
      <c r="D1834">
        <v>5.081</v>
      </c>
      <c r="E1834">
        <v>21.9</v>
      </c>
      <c r="F1834">
        <v>25.15</v>
      </c>
      <c r="G1834">
        <v>19.81</v>
      </c>
      <c r="H1834">
        <v>4.75</v>
      </c>
      <c r="I1834">
        <v>1.956</v>
      </c>
      <c r="J1834">
        <v>22.08</v>
      </c>
      <c r="K1834">
        <v>24.75</v>
      </c>
      <c r="L1834">
        <v>20.48</v>
      </c>
      <c r="M1834">
        <v>1.55</v>
      </c>
      <c r="N1834">
        <v>0.573</v>
      </c>
      <c r="O1834">
        <v>22.72</v>
      </c>
      <c r="P1834">
        <v>25.44</v>
      </c>
      <c r="Q1834">
        <v>20.73</v>
      </c>
      <c r="R1834">
        <v>1.06</v>
      </c>
    </row>
    <row r="1835">
      <c r="A1835" s="9">
        <v>40366</v>
      </c>
      <c r="B1835" s="2" t="inlineStr">
        <is>
          <t xml:space="preserve">2010-07</t>
        </is>
      </c>
      <c r="C1835" s="2" t="inlineStr">
        <is>
          <t xml:space="preserve">2010/11</t>
        </is>
      </c>
      <c r="D1835">
        <v>1.149</v>
      </c>
      <c r="E1835">
        <v>22.25</v>
      </c>
      <c r="F1835">
        <v>26.94</v>
      </c>
      <c r="G1835">
        <v>18.87</v>
      </c>
      <c r="H1835">
        <v>1.53</v>
      </c>
      <c r="I1835">
        <v>1.269</v>
      </c>
      <c r="J1835">
        <v>21.91</v>
      </c>
      <c r="K1835">
        <v>25.44</v>
      </c>
      <c r="L1835">
        <v>19.13</v>
      </c>
      <c r="M1835">
        <v>1.39</v>
      </c>
      <c r="N1835">
        <v>0.22</v>
      </c>
      <c r="O1835">
        <v>22.9</v>
      </c>
      <c r="P1835">
        <v>26.88</v>
      </c>
      <c r="Q1835">
        <v>19.91</v>
      </c>
      <c r="R1835">
        <v>0.97</v>
      </c>
    </row>
    <row r="1836">
      <c r="A1836" s="9">
        <v>40367</v>
      </c>
      <c r="B1836" s="2" t="inlineStr">
        <is>
          <t xml:space="preserve">2010-07</t>
        </is>
      </c>
      <c r="C1836" s="2" t="inlineStr">
        <is>
          <t xml:space="preserve">2010/11</t>
        </is>
      </c>
      <c r="D1836">
        <v>1.134</v>
      </c>
      <c r="E1836">
        <v>22.08</v>
      </c>
      <c r="F1836">
        <v>26.6</v>
      </c>
      <c r="G1836">
        <v>18.42</v>
      </c>
      <c r="H1836">
        <v>1.9</v>
      </c>
      <c r="I1836">
        <v>0.041</v>
      </c>
      <c r="J1836">
        <v>21.22</v>
      </c>
      <c r="K1836">
        <v>24.79</v>
      </c>
      <c r="L1836">
        <v>18.14</v>
      </c>
      <c r="M1836">
        <v>0.39</v>
      </c>
      <c r="N1836">
        <v>0.112</v>
      </c>
      <c r="O1836">
        <v>22.12</v>
      </c>
      <c r="P1836">
        <v>26.43</v>
      </c>
      <c r="Q1836">
        <v>18.61</v>
      </c>
      <c r="R1836">
        <v>1.19</v>
      </c>
    </row>
    <row r="1837">
      <c r="A1837" s="9">
        <v>40368</v>
      </c>
      <c r="B1837" s="2" t="inlineStr">
        <is>
          <t xml:space="preserve">2010-07</t>
        </is>
      </c>
      <c r="C1837" s="2" t="inlineStr">
        <is>
          <t xml:space="preserve">2010/11</t>
        </is>
      </c>
      <c r="D1837">
        <v>1.92</v>
      </c>
      <c r="E1837">
        <v>21.47</v>
      </c>
      <c r="F1837">
        <v>26.14</v>
      </c>
      <c r="G1837">
        <v>18.35</v>
      </c>
      <c r="H1837">
        <v>2.16</v>
      </c>
      <c r="I1837">
        <v>0.196</v>
      </c>
      <c r="J1837">
        <v>22.82</v>
      </c>
      <c r="K1837">
        <v>27.05</v>
      </c>
      <c r="L1837">
        <v>19.04</v>
      </c>
      <c r="M1837">
        <v>0.73</v>
      </c>
      <c r="N1837">
        <v>0.447</v>
      </c>
      <c r="O1837">
        <v>23.1</v>
      </c>
      <c r="P1837">
        <v>26.75</v>
      </c>
      <c r="Q1837">
        <v>20.2</v>
      </c>
      <c r="R1837">
        <v>1.17</v>
      </c>
    </row>
    <row r="1838">
      <c r="A1838" s="9">
        <v>40369</v>
      </c>
      <c r="B1838" s="2" t="inlineStr">
        <is>
          <t xml:space="preserve">2010-07</t>
        </is>
      </c>
      <c r="C1838" s="2" t="inlineStr">
        <is>
          <t xml:space="preserve">2010/11</t>
        </is>
      </c>
      <c r="D1838">
        <v>1.283</v>
      </c>
      <c r="E1838">
        <v>20.97</v>
      </c>
      <c r="F1838">
        <v>24.91</v>
      </c>
      <c r="G1838">
        <v>17.37</v>
      </c>
      <c r="H1838">
        <v>1.18</v>
      </c>
      <c r="I1838">
        <v>0.69</v>
      </c>
      <c r="J1838">
        <v>22.93</v>
      </c>
      <c r="K1838">
        <v>27.2</v>
      </c>
      <c r="L1838">
        <v>20.09</v>
      </c>
      <c r="M1838">
        <v>0.93</v>
      </c>
      <c r="N1838">
        <v>0.0</v>
      </c>
      <c r="O1838">
        <v>23.14</v>
      </c>
      <c r="P1838">
        <v>27.44</v>
      </c>
      <c r="Q1838">
        <v>20.26</v>
      </c>
      <c r="R1838">
        <v>0.97</v>
      </c>
    </row>
    <row r="1839">
      <c r="A1839" s="9">
        <v>40370</v>
      </c>
      <c r="B1839" s="2" t="inlineStr">
        <is>
          <t xml:space="preserve">2010-07</t>
        </is>
      </c>
      <c r="C1839" s="2" t="inlineStr">
        <is>
          <t xml:space="preserve">2010/11</t>
        </is>
      </c>
      <c r="D1839">
        <v>18.551</v>
      </c>
      <c r="E1839">
        <v>20.91</v>
      </c>
      <c r="F1839">
        <v>24.84</v>
      </c>
      <c r="G1839">
        <v>18.13</v>
      </c>
      <c r="H1839">
        <v>15.63</v>
      </c>
      <c r="I1839">
        <v>0.946</v>
      </c>
      <c r="J1839">
        <v>22.39</v>
      </c>
      <c r="K1839">
        <v>26.18</v>
      </c>
      <c r="L1839">
        <v>19.11</v>
      </c>
      <c r="M1839">
        <v>8.18</v>
      </c>
      <c r="N1839">
        <v>3.516</v>
      </c>
      <c r="O1839">
        <v>22.74</v>
      </c>
      <c r="P1839">
        <v>27.12</v>
      </c>
      <c r="Q1839">
        <v>20.06</v>
      </c>
      <c r="R1839">
        <v>4.87</v>
      </c>
    </row>
    <row r="1840">
      <c r="A1840" s="9">
        <v>40371</v>
      </c>
      <c r="B1840" s="2" t="inlineStr">
        <is>
          <t xml:space="preserve">2010-07</t>
        </is>
      </c>
      <c r="C1840" s="2" t="inlineStr">
        <is>
          <t xml:space="preserve">2010/11</t>
        </is>
      </c>
      <c r="D1840">
        <v>14.53</v>
      </c>
      <c r="E1840">
        <v>20.51</v>
      </c>
      <c r="F1840">
        <v>25.15</v>
      </c>
      <c r="G1840">
        <v>16.62</v>
      </c>
      <c r="H1840">
        <v>15.27</v>
      </c>
      <c r="I1840">
        <v>18.511</v>
      </c>
      <c r="J1840">
        <v>22.48</v>
      </c>
      <c r="K1840">
        <v>27.17</v>
      </c>
      <c r="L1840">
        <v>18.59</v>
      </c>
      <c r="M1840">
        <v>8.95</v>
      </c>
      <c r="N1840">
        <v>5.949</v>
      </c>
      <c r="O1840">
        <v>22.92</v>
      </c>
      <c r="P1840">
        <v>27.85</v>
      </c>
      <c r="Q1840">
        <v>19.09</v>
      </c>
      <c r="R1840">
        <v>3.95</v>
      </c>
    </row>
    <row r="1841">
      <c r="A1841" s="9">
        <v>40372</v>
      </c>
      <c r="B1841" s="2" t="inlineStr">
        <is>
          <t xml:space="preserve">2010-07</t>
        </is>
      </c>
      <c r="C1841" s="2" t="inlineStr">
        <is>
          <t xml:space="preserve">2010/11</t>
        </is>
      </c>
      <c r="D1841">
        <v>16.821</v>
      </c>
      <c r="E1841">
        <v>20.78</v>
      </c>
      <c r="F1841">
        <v>25.88</v>
      </c>
      <c r="G1841">
        <v>16.85</v>
      </c>
      <c r="H1841">
        <v>7.31</v>
      </c>
      <c r="I1841">
        <v>6.814</v>
      </c>
      <c r="J1841">
        <v>22.22</v>
      </c>
      <c r="K1841">
        <v>25.8</v>
      </c>
      <c r="L1841">
        <v>19.17</v>
      </c>
      <c r="M1841">
        <v>5.18</v>
      </c>
      <c r="N1841">
        <v>0.752</v>
      </c>
      <c r="O1841">
        <v>23.11</v>
      </c>
      <c r="P1841">
        <v>28.24</v>
      </c>
      <c r="Q1841">
        <v>19.05</v>
      </c>
      <c r="R1841">
        <v>3.43</v>
      </c>
    </row>
    <row r="1842">
      <c r="A1842" s="9">
        <v>40373</v>
      </c>
      <c r="B1842" s="2" t="inlineStr">
        <is>
          <t xml:space="preserve">2010-07</t>
        </is>
      </c>
      <c r="C1842" s="2" t="inlineStr">
        <is>
          <t xml:space="preserve">2010/11</t>
        </is>
      </c>
      <c r="D1842">
        <v>7.257</v>
      </c>
      <c r="E1842">
        <v>21.47</v>
      </c>
      <c r="F1842">
        <v>26.38</v>
      </c>
      <c r="G1842">
        <v>17.01</v>
      </c>
      <c r="H1842">
        <v>3.52</v>
      </c>
      <c r="I1842">
        <v>6.486</v>
      </c>
      <c r="J1842">
        <v>23.03</v>
      </c>
      <c r="K1842">
        <v>27.89</v>
      </c>
      <c r="L1842">
        <v>18.73</v>
      </c>
      <c r="M1842">
        <v>7.07</v>
      </c>
      <c r="N1842">
        <v>7.222</v>
      </c>
      <c r="O1842">
        <v>23.4</v>
      </c>
      <c r="P1842">
        <v>28.07</v>
      </c>
      <c r="Q1842">
        <v>19.94</v>
      </c>
      <c r="R1842">
        <v>6.53</v>
      </c>
    </row>
    <row r="1843">
      <c r="A1843" s="9">
        <v>40374</v>
      </c>
      <c r="B1843" s="2" t="inlineStr">
        <is>
          <t xml:space="preserve">2010-07</t>
        </is>
      </c>
      <c r="C1843" s="2" t="inlineStr">
        <is>
          <t xml:space="preserve">2010/11</t>
        </is>
      </c>
      <c r="D1843">
        <v>0.0</v>
      </c>
      <c r="E1843">
        <v>21.43</v>
      </c>
      <c r="F1843">
        <v>25.47</v>
      </c>
      <c r="G1843">
        <v>18.25</v>
      </c>
      <c r="H1843">
        <v>1.39</v>
      </c>
      <c r="I1843">
        <v>5.077</v>
      </c>
      <c r="J1843">
        <v>22.48</v>
      </c>
      <c r="K1843">
        <v>26.76</v>
      </c>
      <c r="L1843">
        <v>19.61</v>
      </c>
      <c r="M1843">
        <v>3.31</v>
      </c>
      <c r="N1843">
        <v>1.055</v>
      </c>
      <c r="O1843">
        <v>22.69</v>
      </c>
      <c r="P1843">
        <v>26.68</v>
      </c>
      <c r="Q1843">
        <v>20.1</v>
      </c>
      <c r="R1843">
        <v>5.94</v>
      </c>
    </row>
    <row r="1844">
      <c r="A1844" s="9">
        <v>40375</v>
      </c>
      <c r="B1844" s="2" t="inlineStr">
        <is>
          <t xml:space="preserve">2010-07</t>
        </is>
      </c>
      <c r="C1844" s="2" t="inlineStr">
        <is>
          <t xml:space="preserve">2010/11</t>
        </is>
      </c>
      <c r="D1844">
        <v>1.702</v>
      </c>
      <c r="E1844">
        <v>21.48</v>
      </c>
      <c r="F1844">
        <v>25.45</v>
      </c>
      <c r="G1844">
        <v>18.65</v>
      </c>
      <c r="H1844">
        <v>10.64</v>
      </c>
      <c r="I1844">
        <v>0.54</v>
      </c>
      <c r="J1844">
        <v>22.05</v>
      </c>
      <c r="K1844">
        <v>26.41</v>
      </c>
      <c r="L1844">
        <v>18.28</v>
      </c>
      <c r="M1844">
        <v>14.43</v>
      </c>
      <c r="N1844">
        <v>0.204</v>
      </c>
      <c r="O1844">
        <v>22.47</v>
      </c>
      <c r="P1844">
        <v>26.49</v>
      </c>
      <c r="Q1844">
        <v>19.56</v>
      </c>
      <c r="R1844">
        <v>8.84</v>
      </c>
    </row>
    <row r="1845">
      <c r="A1845" s="9">
        <v>40376</v>
      </c>
      <c r="B1845" s="2" t="inlineStr">
        <is>
          <t xml:space="preserve">2010-07</t>
        </is>
      </c>
      <c r="C1845" s="2" t="inlineStr">
        <is>
          <t xml:space="preserve">2010/11</t>
        </is>
      </c>
      <c r="D1845">
        <v>16.007</v>
      </c>
      <c r="E1845">
        <v>21.24</v>
      </c>
      <c r="F1845">
        <v>25.42</v>
      </c>
      <c r="G1845">
        <v>17.51</v>
      </c>
      <c r="H1845">
        <v>22.33</v>
      </c>
      <c r="I1845">
        <v>35.799</v>
      </c>
      <c r="J1845">
        <v>21.88</v>
      </c>
      <c r="K1845">
        <v>25.1</v>
      </c>
      <c r="L1845">
        <v>19.6</v>
      </c>
      <c r="M1845">
        <v>13.33</v>
      </c>
      <c r="N1845">
        <v>4.486</v>
      </c>
      <c r="O1845">
        <v>22.39</v>
      </c>
      <c r="P1845">
        <v>25.73</v>
      </c>
      <c r="Q1845">
        <v>20.04</v>
      </c>
      <c r="R1845">
        <v>9.11</v>
      </c>
    </row>
    <row r="1846">
      <c r="A1846" s="9">
        <v>40377</v>
      </c>
      <c r="B1846" s="2" t="inlineStr">
        <is>
          <t xml:space="preserve">2010-07</t>
        </is>
      </c>
      <c r="C1846" s="2" t="inlineStr">
        <is>
          <t xml:space="preserve">2010/11</t>
        </is>
      </c>
      <c r="D1846">
        <v>13.138</v>
      </c>
      <c r="E1846">
        <v>21.43</v>
      </c>
      <c r="F1846">
        <v>25.39</v>
      </c>
      <c r="G1846">
        <v>17.81</v>
      </c>
      <c r="H1846">
        <v>7.32</v>
      </c>
      <c r="I1846">
        <v>8.008</v>
      </c>
      <c r="J1846">
        <v>21.15</v>
      </c>
      <c r="K1846">
        <v>24.73</v>
      </c>
      <c r="L1846">
        <v>18.7</v>
      </c>
      <c r="M1846">
        <v>6.12</v>
      </c>
      <c r="N1846">
        <v>8.292</v>
      </c>
      <c r="O1846">
        <v>22.38</v>
      </c>
      <c r="P1846">
        <v>27.07</v>
      </c>
      <c r="Q1846">
        <v>19.2</v>
      </c>
      <c r="R1846">
        <v>4.36</v>
      </c>
    </row>
    <row r="1847">
      <c r="A1847" s="9">
        <v>40378</v>
      </c>
      <c r="B1847" s="2" t="inlineStr">
        <is>
          <t xml:space="preserve">2010-07</t>
        </is>
      </c>
      <c r="C1847" s="2" t="inlineStr">
        <is>
          <t xml:space="preserve">2010/11</t>
        </is>
      </c>
      <c r="D1847">
        <v>0.649</v>
      </c>
      <c r="E1847">
        <v>21.8</v>
      </c>
      <c r="F1847">
        <v>25.31</v>
      </c>
      <c r="G1847">
        <v>19.36</v>
      </c>
      <c r="H1847">
        <v>3.64</v>
      </c>
      <c r="I1847">
        <v>9.202</v>
      </c>
      <c r="J1847">
        <v>21.2</v>
      </c>
      <c r="K1847">
        <v>24.28</v>
      </c>
      <c r="L1847">
        <v>19.03</v>
      </c>
      <c r="M1847">
        <v>6.0</v>
      </c>
      <c r="N1847">
        <v>4.307</v>
      </c>
      <c r="O1847">
        <v>21.91</v>
      </c>
      <c r="P1847">
        <v>25.09</v>
      </c>
      <c r="Q1847">
        <v>19.5</v>
      </c>
      <c r="R1847">
        <v>3.21</v>
      </c>
    </row>
    <row r="1848">
      <c r="A1848" s="9">
        <v>40379</v>
      </c>
      <c r="B1848" s="2" t="inlineStr">
        <is>
          <t xml:space="preserve">2010-07</t>
        </is>
      </c>
      <c r="C1848" s="2" t="inlineStr">
        <is>
          <t xml:space="preserve">2010/11</t>
        </is>
      </c>
      <c r="D1848">
        <v>1.695</v>
      </c>
      <c r="E1848">
        <v>22.08</v>
      </c>
      <c r="F1848">
        <v>26.38</v>
      </c>
      <c r="G1848">
        <v>17.92</v>
      </c>
      <c r="H1848">
        <v>2.79</v>
      </c>
      <c r="I1848">
        <v>10.253</v>
      </c>
      <c r="J1848">
        <v>21.67</v>
      </c>
      <c r="K1848">
        <v>25.81</v>
      </c>
      <c r="L1848">
        <v>18.2</v>
      </c>
      <c r="M1848">
        <v>6.27</v>
      </c>
      <c r="N1848">
        <v>0.606</v>
      </c>
      <c r="O1848">
        <v>22.81</v>
      </c>
      <c r="P1848">
        <v>28.02</v>
      </c>
      <c r="Q1848">
        <v>17.87</v>
      </c>
      <c r="R1848">
        <v>6.78</v>
      </c>
    </row>
    <row r="1849">
      <c r="A1849" s="9">
        <v>40380</v>
      </c>
      <c r="B1849" s="2" t="inlineStr">
        <is>
          <t xml:space="preserve">2010-07</t>
        </is>
      </c>
      <c r="C1849" s="2" t="inlineStr">
        <is>
          <t xml:space="preserve">2010/11</t>
        </is>
      </c>
      <c r="D1849">
        <v>4.695</v>
      </c>
      <c r="E1849">
        <v>22.54</v>
      </c>
      <c r="F1849">
        <v>26.49</v>
      </c>
      <c r="G1849">
        <v>19.03</v>
      </c>
      <c r="H1849">
        <v>3.94</v>
      </c>
      <c r="I1849">
        <v>4.145</v>
      </c>
      <c r="J1849">
        <v>21.78</v>
      </c>
      <c r="K1849">
        <v>25.51</v>
      </c>
      <c r="L1849">
        <v>18.82</v>
      </c>
      <c r="M1849">
        <v>5.03</v>
      </c>
      <c r="N1849">
        <v>2.643</v>
      </c>
      <c r="O1849">
        <v>22.9</v>
      </c>
      <c r="P1849">
        <v>27.17</v>
      </c>
      <c r="Q1849">
        <v>19.88</v>
      </c>
      <c r="R1849">
        <v>7.72</v>
      </c>
    </row>
    <row r="1850">
      <c r="A1850" s="9">
        <v>40381</v>
      </c>
      <c r="B1850" s="2" t="inlineStr">
        <is>
          <t xml:space="preserve">2010-07</t>
        </is>
      </c>
      <c r="C1850" s="2" t="inlineStr">
        <is>
          <t xml:space="preserve">2010/11</t>
        </is>
      </c>
      <c r="D1850">
        <v>0.0</v>
      </c>
      <c r="E1850">
        <v>22.41</v>
      </c>
      <c r="F1850">
        <v>25.9</v>
      </c>
      <c r="G1850">
        <v>18.94</v>
      </c>
      <c r="H1850">
        <v>2.52</v>
      </c>
      <c r="I1850">
        <v>0.0</v>
      </c>
      <c r="J1850">
        <v>22.44</v>
      </c>
      <c r="K1850">
        <v>27.73</v>
      </c>
      <c r="L1850">
        <v>18.35</v>
      </c>
      <c r="M1850">
        <v>1.05</v>
      </c>
      <c r="N1850">
        <v>0.387</v>
      </c>
      <c r="O1850">
        <v>23.3</v>
      </c>
      <c r="P1850">
        <v>28.4</v>
      </c>
      <c r="Q1850">
        <v>18.36</v>
      </c>
      <c r="R1850">
        <v>1.74</v>
      </c>
    </row>
    <row r="1851">
      <c r="A1851" s="9">
        <v>40382</v>
      </c>
      <c r="B1851" s="2" t="inlineStr">
        <is>
          <t xml:space="preserve">2010-07</t>
        </is>
      </c>
      <c r="C1851" s="2" t="inlineStr">
        <is>
          <t xml:space="preserve">2010/11</t>
        </is>
      </c>
      <c r="D1851">
        <v>0.0</v>
      </c>
      <c r="E1851">
        <v>23.45</v>
      </c>
      <c r="F1851">
        <v>27.65</v>
      </c>
      <c r="G1851">
        <v>19.41</v>
      </c>
      <c r="H1851">
        <v>1.99</v>
      </c>
      <c r="I1851">
        <v>0.0</v>
      </c>
      <c r="J1851">
        <v>23.6</v>
      </c>
      <c r="K1851">
        <v>28.34</v>
      </c>
      <c r="L1851">
        <v>19.46</v>
      </c>
      <c r="M1851">
        <v>1.72</v>
      </c>
      <c r="N1851">
        <v>0.068</v>
      </c>
      <c r="O1851">
        <v>24.68</v>
      </c>
      <c r="P1851">
        <v>28.9</v>
      </c>
      <c r="Q1851">
        <v>21.79</v>
      </c>
      <c r="R1851">
        <v>3.03</v>
      </c>
    </row>
    <row r="1852">
      <c r="A1852" s="9">
        <v>40383</v>
      </c>
      <c r="B1852" s="2" t="inlineStr">
        <is>
          <t xml:space="preserve">2010-07</t>
        </is>
      </c>
      <c r="C1852" s="2" t="inlineStr">
        <is>
          <t xml:space="preserve">2010/11</t>
        </is>
      </c>
      <c r="D1852">
        <v>0.419</v>
      </c>
      <c r="E1852">
        <v>22.72</v>
      </c>
      <c r="F1852">
        <v>26.71</v>
      </c>
      <c r="G1852">
        <v>19.22</v>
      </c>
      <c r="H1852">
        <v>2.37</v>
      </c>
      <c r="I1852">
        <v>4.568</v>
      </c>
      <c r="J1852">
        <v>23.55</v>
      </c>
      <c r="K1852">
        <v>27.35</v>
      </c>
      <c r="L1852">
        <v>19.92</v>
      </c>
      <c r="M1852">
        <v>6.51</v>
      </c>
      <c r="N1852">
        <v>16.772</v>
      </c>
      <c r="O1852">
        <v>23.91</v>
      </c>
      <c r="P1852">
        <v>27.4</v>
      </c>
      <c r="Q1852">
        <v>21.17</v>
      </c>
      <c r="R1852">
        <v>7.86</v>
      </c>
    </row>
    <row r="1853">
      <c r="A1853" s="9">
        <v>40384</v>
      </c>
      <c r="B1853" s="2" t="inlineStr">
        <is>
          <t xml:space="preserve">2010-07</t>
        </is>
      </c>
      <c r="C1853" s="2" t="inlineStr">
        <is>
          <t xml:space="preserve">2010/11</t>
        </is>
      </c>
      <c r="D1853">
        <v>26.236</v>
      </c>
      <c r="E1853">
        <v>21.95</v>
      </c>
      <c r="F1853">
        <v>25.35</v>
      </c>
      <c r="G1853">
        <v>19.03</v>
      </c>
      <c r="H1853">
        <v>31.8</v>
      </c>
      <c r="I1853">
        <v>11.639</v>
      </c>
      <c r="J1853">
        <v>22.85</v>
      </c>
      <c r="K1853">
        <v>25.59</v>
      </c>
      <c r="L1853">
        <v>21.14</v>
      </c>
      <c r="M1853">
        <v>14.88</v>
      </c>
      <c r="N1853">
        <v>5.399</v>
      </c>
      <c r="O1853">
        <v>23.14</v>
      </c>
      <c r="P1853">
        <v>25.68</v>
      </c>
      <c r="Q1853">
        <v>21.26</v>
      </c>
      <c r="R1853">
        <v>12.43</v>
      </c>
    </row>
    <row r="1854">
      <c r="A1854" s="9">
        <v>40385</v>
      </c>
      <c r="B1854" s="2" t="inlineStr">
        <is>
          <t xml:space="preserve">2010-07</t>
        </is>
      </c>
      <c r="C1854" s="2" t="inlineStr">
        <is>
          <t xml:space="preserve">2010/11</t>
        </is>
      </c>
      <c r="D1854">
        <v>27.429</v>
      </c>
      <c r="E1854">
        <v>20.76</v>
      </c>
      <c r="F1854">
        <v>25.23</v>
      </c>
      <c r="G1854">
        <v>17.57</v>
      </c>
      <c r="H1854">
        <v>17.65</v>
      </c>
      <c r="I1854">
        <v>18.896</v>
      </c>
      <c r="J1854">
        <v>21.66</v>
      </c>
      <c r="K1854">
        <v>23.62</v>
      </c>
      <c r="L1854">
        <v>20.43</v>
      </c>
      <c r="M1854">
        <v>14.2</v>
      </c>
      <c r="N1854">
        <v>16.751</v>
      </c>
      <c r="O1854">
        <v>22.43</v>
      </c>
      <c r="P1854">
        <v>25.32</v>
      </c>
      <c r="Q1854">
        <v>20.56</v>
      </c>
      <c r="R1854">
        <v>13.92</v>
      </c>
    </row>
    <row r="1855">
      <c r="A1855" s="9">
        <v>40386</v>
      </c>
      <c r="B1855" s="2" t="inlineStr">
        <is>
          <t xml:space="preserve">2010-07</t>
        </is>
      </c>
      <c r="C1855" s="2" t="inlineStr">
        <is>
          <t xml:space="preserve">2010/11</t>
        </is>
      </c>
      <c r="D1855">
        <v>13.224</v>
      </c>
      <c r="E1855">
        <v>21.24</v>
      </c>
      <c r="F1855">
        <v>25.26</v>
      </c>
      <c r="G1855">
        <v>17.22</v>
      </c>
      <c r="H1855">
        <v>11.65</v>
      </c>
      <c r="I1855">
        <v>3.353</v>
      </c>
      <c r="J1855">
        <v>23.21</v>
      </c>
      <c r="K1855">
        <v>27.75</v>
      </c>
      <c r="L1855">
        <v>19.48</v>
      </c>
      <c r="M1855">
        <v>6.48</v>
      </c>
      <c r="N1855">
        <v>6.745</v>
      </c>
      <c r="O1855">
        <v>22.99</v>
      </c>
      <c r="P1855">
        <v>27.42</v>
      </c>
      <c r="Q1855">
        <v>19.49</v>
      </c>
      <c r="R1855">
        <v>4.86</v>
      </c>
    </row>
    <row r="1856">
      <c r="A1856" s="9">
        <v>40387</v>
      </c>
      <c r="B1856" s="2" t="inlineStr">
        <is>
          <t xml:space="preserve">2010-07</t>
        </is>
      </c>
      <c r="C1856" s="2" t="inlineStr">
        <is>
          <t xml:space="preserve">2010/11</t>
        </is>
      </c>
      <c r="D1856">
        <v>7.866</v>
      </c>
      <c r="E1856">
        <v>21.82</v>
      </c>
      <c r="F1856">
        <v>26.88</v>
      </c>
      <c r="G1856">
        <v>17.65</v>
      </c>
      <c r="H1856">
        <v>5.71</v>
      </c>
      <c r="I1856">
        <v>10.501</v>
      </c>
      <c r="J1856">
        <v>23.83</v>
      </c>
      <c r="K1856">
        <v>28.54</v>
      </c>
      <c r="L1856">
        <v>20.51</v>
      </c>
      <c r="M1856">
        <v>4.55</v>
      </c>
      <c r="N1856">
        <v>3.109</v>
      </c>
      <c r="O1856">
        <v>23.46</v>
      </c>
      <c r="P1856">
        <v>28.29</v>
      </c>
      <c r="Q1856">
        <v>20.23</v>
      </c>
      <c r="R1856">
        <v>3.04</v>
      </c>
    </row>
    <row r="1857">
      <c r="A1857" s="9">
        <v>40388</v>
      </c>
      <c r="B1857" s="2" t="inlineStr">
        <is>
          <t xml:space="preserve">2010-07</t>
        </is>
      </c>
      <c r="C1857" s="2" t="inlineStr">
        <is>
          <t xml:space="preserve">2010/11</t>
        </is>
      </c>
      <c r="D1857">
        <v>5.099</v>
      </c>
      <c r="E1857">
        <v>21.62</v>
      </c>
      <c r="F1857">
        <v>25.98</v>
      </c>
      <c r="G1857">
        <v>18.2</v>
      </c>
      <c r="H1857">
        <v>7.99</v>
      </c>
      <c r="I1857">
        <v>7.652</v>
      </c>
      <c r="J1857">
        <v>22.68</v>
      </c>
      <c r="K1857">
        <v>26.65</v>
      </c>
      <c r="L1857">
        <v>19.82</v>
      </c>
      <c r="M1857">
        <v>6.46</v>
      </c>
      <c r="N1857">
        <v>8.34</v>
      </c>
      <c r="O1857">
        <v>22.92</v>
      </c>
      <c r="P1857">
        <v>26.4</v>
      </c>
      <c r="Q1857">
        <v>20.64</v>
      </c>
      <c r="R1857">
        <v>5.96</v>
      </c>
    </row>
    <row r="1858">
      <c r="A1858" s="9">
        <v>40389</v>
      </c>
      <c r="B1858" s="2" t="inlineStr">
        <is>
          <t xml:space="preserve">2010-07</t>
        </is>
      </c>
      <c r="C1858" s="2" t="inlineStr">
        <is>
          <t xml:space="preserve">2010/11</t>
        </is>
      </c>
      <c r="D1858">
        <v>1.733</v>
      </c>
      <c r="E1858">
        <v>21.14</v>
      </c>
      <c r="F1858">
        <v>25.43</v>
      </c>
      <c r="G1858">
        <v>16.99</v>
      </c>
      <c r="H1858">
        <v>13.87</v>
      </c>
      <c r="I1858">
        <v>8.993</v>
      </c>
      <c r="J1858">
        <v>22.24</v>
      </c>
      <c r="K1858">
        <v>26.06</v>
      </c>
      <c r="L1858">
        <v>19.63</v>
      </c>
      <c r="M1858">
        <v>8.36</v>
      </c>
      <c r="N1858">
        <v>1.875</v>
      </c>
      <c r="O1858">
        <v>22.31</v>
      </c>
      <c r="P1858">
        <v>26.18</v>
      </c>
      <c r="Q1858">
        <v>19.94</v>
      </c>
      <c r="R1858">
        <v>11.36</v>
      </c>
    </row>
    <row r="1859">
      <c r="A1859" s="9">
        <v>40390</v>
      </c>
      <c r="B1859" s="2" t="inlineStr">
        <is>
          <t xml:space="preserve">2010-07</t>
        </is>
      </c>
      <c r="C1859" s="2" t="inlineStr">
        <is>
          <t xml:space="preserve">2010/11</t>
        </is>
      </c>
      <c r="D1859">
        <v>21.512</v>
      </c>
      <c r="E1859">
        <v>21.09</v>
      </c>
      <c r="F1859">
        <v>24.82</v>
      </c>
      <c r="G1859">
        <v>18.43</v>
      </c>
      <c r="H1859">
        <v>13.39</v>
      </c>
      <c r="I1859">
        <v>4.569</v>
      </c>
      <c r="J1859">
        <v>22.05</v>
      </c>
      <c r="K1859">
        <v>26.53</v>
      </c>
      <c r="L1859">
        <v>18.68</v>
      </c>
      <c r="M1859">
        <v>13.22</v>
      </c>
      <c r="N1859">
        <v>15.125</v>
      </c>
      <c r="O1859">
        <v>22.43</v>
      </c>
      <c r="P1859">
        <v>26.31</v>
      </c>
      <c r="Q1859">
        <v>19.85</v>
      </c>
      <c r="R1859">
        <v>22.33</v>
      </c>
    </row>
    <row r="1860">
      <c r="A1860" s="9">
        <v>40391</v>
      </c>
      <c r="B1860" s="2" t="inlineStr">
        <is>
          <t xml:space="preserve">2010-08</t>
        </is>
      </c>
      <c r="C1860" s="2" t="inlineStr">
        <is>
          <t xml:space="preserve">2010/11</t>
        </is>
      </c>
      <c r="D1860">
        <v>7.305</v>
      </c>
      <c r="E1860">
        <v>21.32</v>
      </c>
      <c r="F1860">
        <v>26.06</v>
      </c>
      <c r="G1860">
        <v>16.99</v>
      </c>
      <c r="H1860">
        <v>9.89</v>
      </c>
      <c r="I1860">
        <v>11.423</v>
      </c>
      <c r="J1860">
        <v>22.58</v>
      </c>
      <c r="K1860">
        <v>26.65</v>
      </c>
      <c r="L1860">
        <v>19.33</v>
      </c>
      <c r="M1860">
        <v>10.24</v>
      </c>
      <c r="N1860">
        <v>7.014</v>
      </c>
      <c r="O1860">
        <v>22.57</v>
      </c>
      <c r="P1860">
        <v>25.38</v>
      </c>
      <c r="Q1860">
        <v>20.63</v>
      </c>
      <c r="R1860">
        <v>22.06</v>
      </c>
    </row>
    <row r="1861">
      <c r="A1861" s="9">
        <v>40392</v>
      </c>
      <c r="B1861" s="2" t="inlineStr">
        <is>
          <t xml:space="preserve">2010-08</t>
        </is>
      </c>
      <c r="C1861" s="2" t="inlineStr">
        <is>
          <t xml:space="preserve">2010/11</t>
        </is>
      </c>
      <c r="D1861">
        <v>1.664</v>
      </c>
      <c r="E1861">
        <v>21.19</v>
      </c>
      <c r="F1861">
        <v>25.32</v>
      </c>
      <c r="G1861">
        <v>17.69</v>
      </c>
      <c r="H1861">
        <v>4.11</v>
      </c>
      <c r="I1861">
        <v>2.35</v>
      </c>
      <c r="J1861">
        <v>22.19</v>
      </c>
      <c r="K1861">
        <v>26.15</v>
      </c>
      <c r="L1861">
        <v>19.68</v>
      </c>
      <c r="M1861">
        <v>4.04</v>
      </c>
      <c r="N1861">
        <v>1.313</v>
      </c>
      <c r="O1861">
        <v>22.78</v>
      </c>
      <c r="P1861">
        <v>26.23</v>
      </c>
      <c r="Q1861">
        <v>20.4</v>
      </c>
      <c r="R1861">
        <v>2.69</v>
      </c>
    </row>
    <row r="1862">
      <c r="A1862" s="9">
        <v>40393</v>
      </c>
      <c r="B1862" s="2" t="inlineStr">
        <is>
          <t xml:space="preserve">2010-08</t>
        </is>
      </c>
      <c r="C1862" s="2" t="inlineStr">
        <is>
          <t xml:space="preserve">2010/11</t>
        </is>
      </c>
      <c r="D1862">
        <v>3.704</v>
      </c>
      <c r="E1862">
        <v>20.77</v>
      </c>
      <c r="F1862">
        <v>23.41</v>
      </c>
      <c r="G1862">
        <v>18.3</v>
      </c>
      <c r="H1862">
        <v>6.85</v>
      </c>
      <c r="I1862">
        <v>7.889</v>
      </c>
      <c r="J1862">
        <v>21.4</v>
      </c>
      <c r="K1862">
        <v>24.55</v>
      </c>
      <c r="L1862">
        <v>19.35</v>
      </c>
      <c r="M1862">
        <v>10.82</v>
      </c>
      <c r="N1862">
        <v>2.495</v>
      </c>
      <c r="O1862">
        <v>21.82</v>
      </c>
      <c r="P1862">
        <v>23.85</v>
      </c>
      <c r="Q1862">
        <v>20.39</v>
      </c>
      <c r="R1862">
        <v>13.34</v>
      </c>
    </row>
    <row r="1863">
      <c r="A1863" s="9">
        <v>40394</v>
      </c>
      <c r="B1863" s="2" t="inlineStr">
        <is>
          <t xml:space="preserve">2010-08</t>
        </is>
      </c>
      <c r="C1863" s="2" t="inlineStr">
        <is>
          <t xml:space="preserve">2010/11</t>
        </is>
      </c>
      <c r="D1863">
        <v>14.06</v>
      </c>
      <c r="E1863">
        <v>21.52</v>
      </c>
      <c r="F1863">
        <v>26.09</v>
      </c>
      <c r="G1863">
        <v>17.5</v>
      </c>
      <c r="H1863">
        <v>5.31</v>
      </c>
      <c r="I1863">
        <v>10.186</v>
      </c>
      <c r="J1863">
        <v>23.31</v>
      </c>
      <c r="K1863">
        <v>28.31</v>
      </c>
      <c r="L1863">
        <v>19.47</v>
      </c>
      <c r="M1863">
        <v>10.26</v>
      </c>
      <c r="N1863">
        <v>20.86</v>
      </c>
      <c r="O1863">
        <v>22.84</v>
      </c>
      <c r="P1863">
        <v>27.11</v>
      </c>
      <c r="Q1863">
        <v>19.53</v>
      </c>
      <c r="R1863">
        <v>12.14</v>
      </c>
    </row>
    <row r="1864">
      <c r="A1864" s="9">
        <v>40395</v>
      </c>
      <c r="B1864" s="2" t="inlineStr">
        <is>
          <t xml:space="preserve">2010-08</t>
        </is>
      </c>
      <c r="C1864" s="2" t="inlineStr">
        <is>
          <t xml:space="preserve">2010/11</t>
        </is>
      </c>
      <c r="D1864">
        <v>4.733</v>
      </c>
      <c r="E1864">
        <v>22.24</v>
      </c>
      <c r="F1864">
        <v>26.92</v>
      </c>
      <c r="G1864">
        <v>18.58</v>
      </c>
      <c r="H1864">
        <v>7.47</v>
      </c>
      <c r="I1864">
        <v>8.756</v>
      </c>
      <c r="J1864">
        <v>23.16</v>
      </c>
      <c r="K1864">
        <v>27.4</v>
      </c>
      <c r="L1864">
        <v>20.21</v>
      </c>
      <c r="M1864">
        <v>9.82</v>
      </c>
      <c r="N1864">
        <v>2.143</v>
      </c>
      <c r="O1864">
        <v>23.38</v>
      </c>
      <c r="P1864">
        <v>27.94</v>
      </c>
      <c r="Q1864">
        <v>20.14</v>
      </c>
      <c r="R1864">
        <v>9.1</v>
      </c>
    </row>
    <row r="1865">
      <c r="A1865" s="9">
        <v>40396</v>
      </c>
      <c r="B1865" s="2" t="inlineStr">
        <is>
          <t xml:space="preserve">2010-08</t>
        </is>
      </c>
      <c r="C1865" s="2" t="inlineStr">
        <is>
          <t xml:space="preserve">2010/11</t>
        </is>
      </c>
      <c r="D1865">
        <v>24.452</v>
      </c>
      <c r="E1865">
        <v>22.12</v>
      </c>
      <c r="F1865">
        <v>26.66</v>
      </c>
      <c r="G1865">
        <v>17.92</v>
      </c>
      <c r="H1865">
        <v>12.55</v>
      </c>
      <c r="I1865">
        <v>8.653</v>
      </c>
      <c r="J1865">
        <v>22.89</v>
      </c>
      <c r="K1865">
        <v>26.55</v>
      </c>
      <c r="L1865">
        <v>20.43</v>
      </c>
      <c r="M1865">
        <v>11.34</v>
      </c>
      <c r="N1865">
        <v>9.695</v>
      </c>
      <c r="O1865">
        <v>23.46</v>
      </c>
      <c r="P1865">
        <v>27.35</v>
      </c>
      <c r="Q1865">
        <v>20.78</v>
      </c>
      <c r="R1865">
        <v>9.8</v>
      </c>
    </row>
    <row r="1866">
      <c r="A1866" s="9">
        <v>40397</v>
      </c>
      <c r="B1866" s="2" t="inlineStr">
        <is>
          <t xml:space="preserve">2010-08</t>
        </is>
      </c>
      <c r="C1866" s="2" t="inlineStr">
        <is>
          <t xml:space="preserve">2010/11</t>
        </is>
      </c>
      <c r="D1866">
        <v>12.891</v>
      </c>
      <c r="E1866">
        <v>22.2</v>
      </c>
      <c r="F1866">
        <v>26.12</v>
      </c>
      <c r="G1866">
        <v>19.48</v>
      </c>
      <c r="H1866">
        <v>10.0</v>
      </c>
      <c r="I1866">
        <v>18.15</v>
      </c>
      <c r="J1866">
        <v>22.48</v>
      </c>
      <c r="K1866">
        <v>26.7</v>
      </c>
      <c r="L1866">
        <v>19.46</v>
      </c>
      <c r="M1866">
        <v>9.69</v>
      </c>
      <c r="N1866">
        <v>16.828</v>
      </c>
      <c r="O1866">
        <v>22.23</v>
      </c>
      <c r="P1866">
        <v>24.73</v>
      </c>
      <c r="Q1866">
        <v>20.35</v>
      </c>
      <c r="R1866">
        <v>12.06</v>
      </c>
    </row>
    <row r="1867">
      <c r="A1867" s="9">
        <v>40398</v>
      </c>
      <c r="B1867" s="2" t="inlineStr">
        <is>
          <t xml:space="preserve">2010-08</t>
        </is>
      </c>
      <c r="C1867" s="2" t="inlineStr">
        <is>
          <t xml:space="preserve">2010/11</t>
        </is>
      </c>
      <c r="D1867">
        <v>1.45</v>
      </c>
      <c r="E1867">
        <v>22.43</v>
      </c>
      <c r="F1867">
        <v>26.65</v>
      </c>
      <c r="G1867">
        <v>19.18</v>
      </c>
      <c r="H1867">
        <v>2.67</v>
      </c>
      <c r="I1867">
        <v>0.087</v>
      </c>
      <c r="J1867">
        <v>23.41</v>
      </c>
      <c r="K1867">
        <v>27.26</v>
      </c>
      <c r="L1867">
        <v>20.26</v>
      </c>
      <c r="M1867">
        <v>2.23</v>
      </c>
      <c r="N1867">
        <v>0.296</v>
      </c>
      <c r="O1867">
        <v>23.88</v>
      </c>
      <c r="P1867">
        <v>28.44</v>
      </c>
      <c r="Q1867">
        <v>20.46</v>
      </c>
      <c r="R1867">
        <v>2.39</v>
      </c>
    </row>
    <row r="1868">
      <c r="A1868" s="9">
        <v>40399</v>
      </c>
      <c r="B1868" s="2" t="inlineStr">
        <is>
          <t xml:space="preserve">2010-08</t>
        </is>
      </c>
      <c r="C1868" s="2" t="inlineStr">
        <is>
          <t xml:space="preserve">2010/11</t>
        </is>
      </c>
      <c r="D1868">
        <v>7.463</v>
      </c>
      <c r="E1868">
        <v>22.03</v>
      </c>
      <c r="F1868">
        <v>26.38</v>
      </c>
      <c r="G1868">
        <v>17.92</v>
      </c>
      <c r="H1868">
        <v>3.4</v>
      </c>
      <c r="I1868">
        <v>4.929</v>
      </c>
      <c r="J1868">
        <v>23.77</v>
      </c>
      <c r="K1868">
        <v>27.86</v>
      </c>
      <c r="L1868">
        <v>20.72</v>
      </c>
      <c r="M1868">
        <v>6.12</v>
      </c>
      <c r="N1868">
        <v>6.945</v>
      </c>
      <c r="O1868">
        <v>24.46</v>
      </c>
      <c r="P1868">
        <v>28.72</v>
      </c>
      <c r="Q1868">
        <v>21.41</v>
      </c>
      <c r="R1868">
        <v>6.19</v>
      </c>
    </row>
    <row r="1869">
      <c r="A1869" s="9">
        <v>40400</v>
      </c>
      <c r="B1869" s="2" t="inlineStr">
        <is>
          <t xml:space="preserve">2010-08</t>
        </is>
      </c>
      <c r="C1869" s="2" t="inlineStr">
        <is>
          <t xml:space="preserve">2010/11</t>
        </is>
      </c>
      <c r="D1869">
        <v>6.272</v>
      </c>
      <c r="E1869">
        <v>22.38</v>
      </c>
      <c r="F1869">
        <v>27.21</v>
      </c>
      <c r="G1869">
        <v>17.6</v>
      </c>
      <c r="H1869">
        <v>5.9</v>
      </c>
      <c r="I1869">
        <v>6.068</v>
      </c>
      <c r="J1869">
        <v>22.71</v>
      </c>
      <c r="K1869">
        <v>25.49</v>
      </c>
      <c r="L1869">
        <v>20.38</v>
      </c>
      <c r="M1869">
        <v>12.9</v>
      </c>
      <c r="N1869">
        <v>19.372</v>
      </c>
      <c r="O1869">
        <v>23.5</v>
      </c>
      <c r="P1869">
        <v>27.77</v>
      </c>
      <c r="Q1869">
        <v>20.04</v>
      </c>
      <c r="R1869">
        <v>15.64</v>
      </c>
    </row>
    <row r="1870">
      <c r="A1870" s="9">
        <v>40401</v>
      </c>
      <c r="B1870" s="2" t="inlineStr">
        <is>
          <t xml:space="preserve">2010-08</t>
        </is>
      </c>
      <c r="C1870" s="2" t="inlineStr">
        <is>
          <t xml:space="preserve">2010/11</t>
        </is>
      </c>
      <c r="D1870">
        <v>5.408</v>
      </c>
      <c r="E1870">
        <v>22.72</v>
      </c>
      <c r="F1870">
        <v>27.14</v>
      </c>
      <c r="G1870">
        <v>19.65</v>
      </c>
      <c r="H1870">
        <v>3.4</v>
      </c>
      <c r="I1870">
        <v>9.212</v>
      </c>
      <c r="J1870">
        <v>22.05</v>
      </c>
      <c r="K1870">
        <v>24.68</v>
      </c>
      <c r="L1870">
        <v>20.32</v>
      </c>
      <c r="M1870">
        <v>9.44</v>
      </c>
      <c r="N1870">
        <v>25.656</v>
      </c>
      <c r="O1870">
        <v>23.04</v>
      </c>
      <c r="P1870">
        <v>25.46</v>
      </c>
      <c r="Q1870">
        <v>21.45</v>
      </c>
      <c r="R1870">
        <v>10.92</v>
      </c>
    </row>
    <row r="1871">
      <c r="A1871" s="9">
        <v>40402</v>
      </c>
      <c r="B1871" s="2" t="inlineStr">
        <is>
          <t xml:space="preserve">2010-08</t>
        </is>
      </c>
      <c r="C1871" s="2" t="inlineStr">
        <is>
          <t xml:space="preserve">2010/11</t>
        </is>
      </c>
      <c r="D1871">
        <v>4.392</v>
      </c>
      <c r="E1871">
        <v>23.33</v>
      </c>
      <c r="F1871">
        <v>28.15</v>
      </c>
      <c r="G1871">
        <v>19.71</v>
      </c>
      <c r="H1871">
        <v>3.85</v>
      </c>
      <c r="I1871">
        <v>0.318</v>
      </c>
      <c r="J1871">
        <v>22.41</v>
      </c>
      <c r="K1871">
        <v>26.16</v>
      </c>
      <c r="L1871">
        <v>19.52</v>
      </c>
      <c r="M1871">
        <v>1.51</v>
      </c>
      <c r="N1871">
        <v>1.377</v>
      </c>
      <c r="O1871">
        <v>23.97</v>
      </c>
      <c r="P1871">
        <v>28.61</v>
      </c>
      <c r="Q1871">
        <v>20.83</v>
      </c>
      <c r="R1871">
        <v>1.54</v>
      </c>
    </row>
    <row r="1872">
      <c r="A1872" s="9">
        <v>40403</v>
      </c>
      <c r="B1872" s="2" t="inlineStr">
        <is>
          <t xml:space="preserve">2010-08</t>
        </is>
      </c>
      <c r="C1872" s="2" t="inlineStr">
        <is>
          <t xml:space="preserve">2010/11</t>
        </is>
      </c>
      <c r="D1872">
        <v>3.489</v>
      </c>
      <c r="E1872">
        <v>22.57</v>
      </c>
      <c r="F1872">
        <v>27.03</v>
      </c>
      <c r="G1872">
        <v>19.31</v>
      </c>
      <c r="H1872">
        <v>3.25</v>
      </c>
      <c r="I1872">
        <v>0.356</v>
      </c>
      <c r="J1872">
        <v>22.95</v>
      </c>
      <c r="K1872">
        <v>27.31</v>
      </c>
      <c r="L1872">
        <v>19.46</v>
      </c>
      <c r="M1872">
        <v>4.64</v>
      </c>
      <c r="N1872">
        <v>0.823</v>
      </c>
      <c r="O1872">
        <v>24.16</v>
      </c>
      <c r="P1872">
        <v>27.81</v>
      </c>
      <c r="Q1872">
        <v>21.18</v>
      </c>
      <c r="R1872">
        <v>3.8</v>
      </c>
    </row>
    <row r="1873">
      <c r="A1873" s="9">
        <v>40404</v>
      </c>
      <c r="B1873" s="2" t="inlineStr">
        <is>
          <t xml:space="preserve">2010-08</t>
        </is>
      </c>
      <c r="C1873" s="2" t="inlineStr">
        <is>
          <t xml:space="preserve">2010/11</t>
        </is>
      </c>
      <c r="D1873">
        <v>3.18</v>
      </c>
      <c r="E1873">
        <v>22.02</v>
      </c>
      <c r="F1873">
        <v>26.47</v>
      </c>
      <c r="G1873">
        <v>18.25</v>
      </c>
      <c r="H1873">
        <v>4.8</v>
      </c>
      <c r="I1873">
        <v>20.78</v>
      </c>
      <c r="J1873">
        <v>22.45</v>
      </c>
      <c r="K1873">
        <v>26.9</v>
      </c>
      <c r="L1873">
        <v>19.0</v>
      </c>
      <c r="M1873">
        <v>16.25</v>
      </c>
      <c r="N1873">
        <v>22.701</v>
      </c>
      <c r="O1873">
        <v>23.58</v>
      </c>
      <c r="P1873">
        <v>26.93</v>
      </c>
      <c r="Q1873">
        <v>20.72</v>
      </c>
      <c r="R1873">
        <v>18.83</v>
      </c>
    </row>
    <row r="1874">
      <c r="A1874" s="9">
        <v>40405</v>
      </c>
      <c r="B1874" s="2" t="inlineStr">
        <is>
          <t xml:space="preserve">2010-08</t>
        </is>
      </c>
      <c r="C1874" s="2" t="inlineStr">
        <is>
          <t xml:space="preserve">2010/11</t>
        </is>
      </c>
      <c r="D1874">
        <v>2.284</v>
      </c>
      <c r="E1874">
        <v>22.0</v>
      </c>
      <c r="F1874">
        <v>25.3</v>
      </c>
      <c r="G1874">
        <v>19.09</v>
      </c>
      <c r="H1874">
        <v>5.13</v>
      </c>
      <c r="I1874">
        <v>1.88</v>
      </c>
      <c r="J1874">
        <v>22.01</v>
      </c>
      <c r="K1874">
        <v>25.38</v>
      </c>
      <c r="L1874">
        <v>19.35</v>
      </c>
      <c r="M1874">
        <v>3.27</v>
      </c>
      <c r="N1874">
        <v>2.486</v>
      </c>
      <c r="O1874">
        <v>22.9</v>
      </c>
      <c r="P1874">
        <v>25.88</v>
      </c>
      <c r="Q1874">
        <v>20.34</v>
      </c>
      <c r="R1874">
        <v>6.34</v>
      </c>
    </row>
    <row r="1875">
      <c r="A1875" s="9">
        <v>40406</v>
      </c>
      <c r="B1875" s="2" t="inlineStr">
        <is>
          <t xml:space="preserve">2010-08</t>
        </is>
      </c>
      <c r="C1875" s="2" t="inlineStr">
        <is>
          <t xml:space="preserve">2010/11</t>
        </is>
      </c>
      <c r="D1875">
        <v>24.328</v>
      </c>
      <c r="E1875">
        <v>21.83</v>
      </c>
      <c r="F1875">
        <v>25.8</v>
      </c>
      <c r="G1875">
        <v>18.43</v>
      </c>
      <c r="H1875">
        <v>17.63</v>
      </c>
      <c r="I1875">
        <v>3.032</v>
      </c>
      <c r="J1875">
        <v>22.16</v>
      </c>
      <c r="K1875">
        <v>25.9</v>
      </c>
      <c r="L1875">
        <v>19.17</v>
      </c>
      <c r="M1875">
        <v>9.68</v>
      </c>
      <c r="N1875">
        <v>8.303</v>
      </c>
      <c r="O1875">
        <v>22.52</v>
      </c>
      <c r="P1875">
        <v>25.19</v>
      </c>
      <c r="Q1875">
        <v>20.42</v>
      </c>
      <c r="R1875">
        <v>9.02</v>
      </c>
    </row>
    <row r="1876">
      <c r="A1876" s="9">
        <v>40407</v>
      </c>
      <c r="B1876" s="2" t="inlineStr">
        <is>
          <t xml:space="preserve">2010-08</t>
        </is>
      </c>
      <c r="C1876" s="2" t="inlineStr">
        <is>
          <t xml:space="preserve">2010/11</t>
        </is>
      </c>
      <c r="D1876">
        <v>15.063</v>
      </c>
      <c r="E1876">
        <v>21.03</v>
      </c>
      <c r="F1876">
        <v>25.74</v>
      </c>
      <c r="G1876">
        <v>17.15</v>
      </c>
      <c r="H1876">
        <v>8.11</v>
      </c>
      <c r="I1876">
        <v>5.503</v>
      </c>
      <c r="J1876">
        <v>21.72</v>
      </c>
      <c r="K1876">
        <v>25.23</v>
      </c>
      <c r="L1876">
        <v>19.82</v>
      </c>
      <c r="M1876">
        <v>8.26</v>
      </c>
      <c r="N1876">
        <v>11.375</v>
      </c>
      <c r="O1876">
        <v>22.79</v>
      </c>
      <c r="P1876">
        <v>26.03</v>
      </c>
      <c r="Q1876">
        <v>20.73</v>
      </c>
      <c r="R1876">
        <v>6.98</v>
      </c>
    </row>
    <row r="1877">
      <c r="A1877" s="9">
        <v>40408</v>
      </c>
      <c r="B1877" s="2" t="inlineStr">
        <is>
          <t xml:space="preserve">2010-08</t>
        </is>
      </c>
      <c r="C1877" s="2" t="inlineStr">
        <is>
          <t xml:space="preserve">2010/11</t>
        </is>
      </c>
      <c r="D1877">
        <v>18.73</v>
      </c>
      <c r="E1877">
        <v>20.81</v>
      </c>
      <c r="F1877">
        <v>25.17</v>
      </c>
      <c r="G1877">
        <v>17.06</v>
      </c>
      <c r="H1877">
        <v>14.21</v>
      </c>
      <c r="I1877">
        <v>22.867</v>
      </c>
      <c r="J1877">
        <v>21.75</v>
      </c>
      <c r="K1877">
        <v>25.37</v>
      </c>
      <c r="L1877">
        <v>19.39</v>
      </c>
      <c r="M1877">
        <v>18.61</v>
      </c>
      <c r="N1877">
        <v>15.778</v>
      </c>
      <c r="O1877">
        <v>22.57</v>
      </c>
      <c r="P1877">
        <v>26.14</v>
      </c>
      <c r="Q1877">
        <v>20.14</v>
      </c>
      <c r="R1877">
        <v>15.37</v>
      </c>
    </row>
    <row r="1878">
      <c r="A1878" s="9">
        <v>40409</v>
      </c>
      <c r="B1878" s="2" t="inlineStr">
        <is>
          <t xml:space="preserve">2010-08</t>
        </is>
      </c>
      <c r="C1878" s="2" t="inlineStr">
        <is>
          <t xml:space="preserve">2010/11</t>
        </is>
      </c>
      <c r="D1878">
        <v>14.403</v>
      </c>
      <c r="E1878">
        <v>21.81</v>
      </c>
      <c r="F1878">
        <v>26.77</v>
      </c>
      <c r="G1878">
        <v>17.54</v>
      </c>
      <c r="H1878">
        <v>10.71</v>
      </c>
      <c r="I1878">
        <v>6.651</v>
      </c>
      <c r="J1878">
        <v>21.92</v>
      </c>
      <c r="K1878">
        <v>26.07</v>
      </c>
      <c r="L1878">
        <v>19.28</v>
      </c>
      <c r="M1878">
        <v>11.44</v>
      </c>
      <c r="N1878">
        <v>20.09</v>
      </c>
      <c r="O1878">
        <v>22.97</v>
      </c>
      <c r="P1878">
        <v>26.96</v>
      </c>
      <c r="Q1878">
        <v>20.55</v>
      </c>
      <c r="R1878">
        <v>12.23</v>
      </c>
    </row>
    <row r="1879">
      <c r="A1879" s="9">
        <v>40410</v>
      </c>
      <c r="B1879" s="2" t="inlineStr">
        <is>
          <t xml:space="preserve">2010-08</t>
        </is>
      </c>
      <c r="C1879" s="2" t="inlineStr">
        <is>
          <t xml:space="preserve">2010/11</t>
        </is>
      </c>
      <c r="D1879">
        <v>1.328</v>
      </c>
      <c r="E1879">
        <v>21.59</v>
      </c>
      <c r="F1879">
        <v>25.76</v>
      </c>
      <c r="G1879">
        <v>18.37</v>
      </c>
      <c r="H1879">
        <v>5.19</v>
      </c>
      <c r="I1879">
        <v>4.805</v>
      </c>
      <c r="J1879">
        <v>21.52</v>
      </c>
      <c r="K1879">
        <v>25.19</v>
      </c>
      <c r="L1879">
        <v>18.23</v>
      </c>
      <c r="M1879">
        <v>7.96</v>
      </c>
      <c r="N1879">
        <v>17.672</v>
      </c>
      <c r="O1879">
        <v>22.1</v>
      </c>
      <c r="P1879">
        <v>25.26</v>
      </c>
      <c r="Q1879">
        <v>19.22</v>
      </c>
      <c r="R1879">
        <v>9.23</v>
      </c>
    </row>
    <row r="1880">
      <c r="A1880" s="9">
        <v>40411</v>
      </c>
      <c r="B1880" s="2" t="inlineStr">
        <is>
          <t xml:space="preserve">2010-08</t>
        </is>
      </c>
      <c r="C1880" s="2" t="inlineStr">
        <is>
          <t xml:space="preserve">2010/11</t>
        </is>
      </c>
      <c r="D1880">
        <v>13.421</v>
      </c>
      <c r="E1880">
        <v>20.74</v>
      </c>
      <c r="F1880">
        <v>23.38</v>
      </c>
      <c r="G1880">
        <v>17.51</v>
      </c>
      <c r="H1880">
        <v>14.11</v>
      </c>
      <c r="I1880">
        <v>10.015</v>
      </c>
      <c r="J1880">
        <v>21.74</v>
      </c>
      <c r="K1880">
        <v>24.26</v>
      </c>
      <c r="L1880">
        <v>19.88</v>
      </c>
      <c r="M1880">
        <v>13.29</v>
      </c>
      <c r="N1880">
        <v>14.533</v>
      </c>
      <c r="O1880">
        <v>22.46</v>
      </c>
      <c r="P1880">
        <v>25.98</v>
      </c>
      <c r="Q1880">
        <v>20.39</v>
      </c>
      <c r="R1880">
        <v>10.79</v>
      </c>
    </row>
    <row r="1881">
      <c r="A1881" s="9">
        <v>40412</v>
      </c>
      <c r="B1881" s="2" t="inlineStr">
        <is>
          <t xml:space="preserve">2010-08</t>
        </is>
      </c>
      <c r="C1881" s="2" t="inlineStr">
        <is>
          <t xml:space="preserve">2010/11</t>
        </is>
      </c>
      <c r="D1881">
        <v>13.243</v>
      </c>
      <c r="E1881">
        <v>20.86</v>
      </c>
      <c r="F1881">
        <v>25.59</v>
      </c>
      <c r="G1881">
        <v>17.11</v>
      </c>
      <c r="H1881">
        <v>9.73</v>
      </c>
      <c r="I1881">
        <v>4.74</v>
      </c>
      <c r="J1881">
        <v>21.87</v>
      </c>
      <c r="K1881">
        <v>26.15</v>
      </c>
      <c r="L1881">
        <v>18.75</v>
      </c>
      <c r="M1881">
        <v>4.9</v>
      </c>
      <c r="N1881">
        <v>5.672</v>
      </c>
      <c r="O1881">
        <v>22.71</v>
      </c>
      <c r="P1881">
        <v>27.81</v>
      </c>
      <c r="Q1881">
        <v>19.55</v>
      </c>
      <c r="R1881">
        <v>5.43</v>
      </c>
    </row>
    <row r="1882">
      <c r="A1882" s="9">
        <v>40413</v>
      </c>
      <c r="B1882" s="2" t="inlineStr">
        <is>
          <t xml:space="preserve">2010-08</t>
        </is>
      </c>
      <c r="C1882" s="2" t="inlineStr">
        <is>
          <t xml:space="preserve">2010/11</t>
        </is>
      </c>
      <c r="D1882">
        <v>2.8</v>
      </c>
      <c r="E1882">
        <v>20.58</v>
      </c>
      <c r="F1882">
        <v>24.24</v>
      </c>
      <c r="G1882">
        <v>17.56</v>
      </c>
      <c r="H1882">
        <v>3.44</v>
      </c>
      <c r="I1882">
        <v>2.457</v>
      </c>
      <c r="J1882">
        <v>21.23</v>
      </c>
      <c r="K1882">
        <v>24.53</v>
      </c>
      <c r="L1882">
        <v>18.3</v>
      </c>
      <c r="M1882">
        <v>1.63</v>
      </c>
      <c r="N1882">
        <v>6.883</v>
      </c>
      <c r="O1882">
        <v>22.04</v>
      </c>
      <c r="P1882">
        <v>25.62</v>
      </c>
      <c r="Q1882">
        <v>19.72</v>
      </c>
      <c r="R1882">
        <v>1.73</v>
      </c>
    </row>
    <row r="1883">
      <c r="A1883" s="9">
        <v>40414</v>
      </c>
      <c r="B1883" s="2" t="inlineStr">
        <is>
          <t xml:space="preserve">2010-08</t>
        </is>
      </c>
      <c r="C1883" s="2" t="inlineStr">
        <is>
          <t xml:space="preserve">2010/11</t>
        </is>
      </c>
      <c r="D1883">
        <v>0.0</v>
      </c>
      <c r="E1883">
        <v>21.7</v>
      </c>
      <c r="F1883">
        <v>26.47</v>
      </c>
      <c r="G1883">
        <v>17.7</v>
      </c>
      <c r="H1883">
        <v>3.77</v>
      </c>
      <c r="I1883">
        <v>0.0</v>
      </c>
      <c r="J1883">
        <v>21.42</v>
      </c>
      <c r="K1883">
        <v>26.76</v>
      </c>
      <c r="L1883">
        <v>16.63</v>
      </c>
      <c r="M1883">
        <v>5.5</v>
      </c>
      <c r="N1883">
        <v>0.0</v>
      </c>
      <c r="O1883">
        <v>22.75</v>
      </c>
      <c r="P1883">
        <v>27.98</v>
      </c>
      <c r="Q1883">
        <v>18.34</v>
      </c>
      <c r="R1883">
        <v>7.22</v>
      </c>
    </row>
    <row r="1884">
      <c r="A1884" s="9">
        <v>40415</v>
      </c>
      <c r="B1884" s="2" t="inlineStr">
        <is>
          <t xml:space="preserve">2010-08</t>
        </is>
      </c>
      <c r="C1884" s="2" t="inlineStr">
        <is>
          <t xml:space="preserve">2010/11</t>
        </is>
      </c>
      <c r="D1884">
        <v>6.125</v>
      </c>
      <c r="E1884">
        <v>22.31</v>
      </c>
      <c r="F1884">
        <v>27.22</v>
      </c>
      <c r="G1884">
        <v>18.66</v>
      </c>
      <c r="H1884">
        <v>5.5</v>
      </c>
      <c r="I1884">
        <v>18.014</v>
      </c>
      <c r="J1884">
        <v>22.07</v>
      </c>
      <c r="K1884">
        <v>26.25</v>
      </c>
      <c r="L1884">
        <v>18.69</v>
      </c>
      <c r="M1884">
        <v>12.3</v>
      </c>
      <c r="N1884">
        <v>16.328</v>
      </c>
      <c r="O1884">
        <v>23.0</v>
      </c>
      <c r="P1884">
        <v>27.8</v>
      </c>
      <c r="Q1884">
        <v>19.27</v>
      </c>
      <c r="R1884">
        <v>9.17</v>
      </c>
    </row>
    <row r="1885">
      <c r="A1885" s="9">
        <v>40416</v>
      </c>
      <c r="B1885" s="2" t="inlineStr">
        <is>
          <t xml:space="preserve">2010-08</t>
        </is>
      </c>
      <c r="C1885" s="2" t="inlineStr">
        <is>
          <t xml:space="preserve">2010/11</t>
        </is>
      </c>
      <c r="D1885">
        <v>4.18</v>
      </c>
      <c r="E1885">
        <v>22.1</v>
      </c>
      <c r="F1885">
        <v>27.0</v>
      </c>
      <c r="G1885">
        <v>17.81</v>
      </c>
      <c r="H1885">
        <v>9.72</v>
      </c>
      <c r="I1885">
        <v>0.411</v>
      </c>
      <c r="J1885">
        <v>22.91</v>
      </c>
      <c r="K1885">
        <v>27.06</v>
      </c>
      <c r="L1885">
        <v>19.68</v>
      </c>
      <c r="M1885">
        <v>10.65</v>
      </c>
      <c r="N1885">
        <v>2.1</v>
      </c>
      <c r="O1885">
        <v>24.08</v>
      </c>
      <c r="P1885">
        <v>28.74</v>
      </c>
      <c r="Q1885">
        <v>21.02</v>
      </c>
      <c r="R1885">
        <v>8.39</v>
      </c>
    </row>
    <row r="1886">
      <c r="A1886" s="9">
        <v>40417</v>
      </c>
      <c r="B1886" s="2" t="inlineStr">
        <is>
          <t xml:space="preserve">2010-08</t>
        </is>
      </c>
      <c r="C1886" s="2" t="inlineStr">
        <is>
          <t xml:space="preserve">2010/11</t>
        </is>
      </c>
      <c r="D1886">
        <v>11.444</v>
      </c>
      <c r="E1886">
        <v>21.87</v>
      </c>
      <c r="F1886">
        <v>26.08</v>
      </c>
      <c r="G1886">
        <v>18.77</v>
      </c>
      <c r="H1886">
        <v>8.38</v>
      </c>
      <c r="I1886">
        <v>44.422</v>
      </c>
      <c r="J1886">
        <v>21.47</v>
      </c>
      <c r="K1886">
        <v>23.41</v>
      </c>
      <c r="L1886">
        <v>19.84</v>
      </c>
      <c r="M1886">
        <v>23.55</v>
      </c>
      <c r="N1886">
        <v>17.874</v>
      </c>
      <c r="O1886">
        <v>22.78</v>
      </c>
      <c r="P1886">
        <v>25.61</v>
      </c>
      <c r="Q1886">
        <v>21.06</v>
      </c>
      <c r="R1886">
        <v>16.54</v>
      </c>
    </row>
    <row r="1887">
      <c r="A1887" s="9">
        <v>40418</v>
      </c>
      <c r="B1887" s="2" t="inlineStr">
        <is>
          <t xml:space="preserve">2010-08</t>
        </is>
      </c>
      <c r="C1887" s="2" t="inlineStr">
        <is>
          <t xml:space="preserve">2010/11</t>
        </is>
      </c>
      <c r="D1887">
        <v>2.098</v>
      </c>
      <c r="E1887">
        <v>22.11</v>
      </c>
      <c r="F1887">
        <v>25.85</v>
      </c>
      <c r="G1887">
        <v>19.43</v>
      </c>
      <c r="H1887">
        <v>4.95</v>
      </c>
      <c r="I1887">
        <v>13.918</v>
      </c>
      <c r="J1887">
        <v>21.81</v>
      </c>
      <c r="K1887">
        <v>26.05</v>
      </c>
      <c r="L1887">
        <v>19.07</v>
      </c>
      <c r="M1887">
        <v>11.04</v>
      </c>
      <c r="N1887">
        <v>1.209</v>
      </c>
      <c r="O1887">
        <v>23.21</v>
      </c>
      <c r="P1887">
        <v>28.55</v>
      </c>
      <c r="Q1887">
        <v>19.71</v>
      </c>
      <c r="R1887">
        <v>13.71</v>
      </c>
    </row>
    <row r="1888">
      <c r="A1888" s="9">
        <v>40419</v>
      </c>
      <c r="B1888" s="2" t="inlineStr">
        <is>
          <t xml:space="preserve">2010-08</t>
        </is>
      </c>
      <c r="C1888" s="2" t="inlineStr">
        <is>
          <t xml:space="preserve">2010/11</t>
        </is>
      </c>
      <c r="D1888">
        <v>21.508</v>
      </c>
      <c r="E1888">
        <v>21.59</v>
      </c>
      <c r="F1888">
        <v>25.28</v>
      </c>
      <c r="G1888">
        <v>18.6</v>
      </c>
      <c r="H1888">
        <v>23.01</v>
      </c>
      <c r="I1888">
        <v>20.079</v>
      </c>
      <c r="J1888">
        <v>21.27</v>
      </c>
      <c r="K1888">
        <v>24.53</v>
      </c>
      <c r="L1888">
        <v>18.92</v>
      </c>
      <c r="M1888">
        <v>26.71</v>
      </c>
      <c r="N1888">
        <v>37.738</v>
      </c>
      <c r="O1888">
        <v>22.84</v>
      </c>
      <c r="P1888">
        <v>26.84</v>
      </c>
      <c r="Q1888">
        <v>19.77</v>
      </c>
      <c r="R1888">
        <v>33.85</v>
      </c>
    </row>
    <row r="1889">
      <c r="A1889" s="9">
        <v>40420</v>
      </c>
      <c r="B1889" s="2" t="inlineStr">
        <is>
          <t xml:space="preserve">2010-08</t>
        </is>
      </c>
      <c r="C1889" s="2" t="inlineStr">
        <is>
          <t xml:space="preserve">2010/11</t>
        </is>
      </c>
      <c r="D1889">
        <v>20.307</v>
      </c>
      <c r="E1889">
        <v>22.04</v>
      </c>
      <c r="F1889">
        <v>25.82</v>
      </c>
      <c r="G1889">
        <v>19.03</v>
      </c>
      <c r="H1889">
        <v>10.16</v>
      </c>
      <c r="I1889">
        <v>4.849</v>
      </c>
      <c r="J1889">
        <v>21.83</v>
      </c>
      <c r="K1889">
        <v>26.03</v>
      </c>
      <c r="L1889">
        <v>19.07</v>
      </c>
      <c r="M1889">
        <v>6.0</v>
      </c>
      <c r="N1889">
        <v>7.891</v>
      </c>
      <c r="O1889">
        <v>23.39</v>
      </c>
      <c r="P1889">
        <v>27.42</v>
      </c>
      <c r="Q1889">
        <v>20.07</v>
      </c>
      <c r="R1889">
        <v>6.28</v>
      </c>
    </row>
    <row r="1890">
      <c r="A1890" s="9">
        <v>40421</v>
      </c>
      <c r="B1890" s="2" t="inlineStr">
        <is>
          <t xml:space="preserve">2010-08</t>
        </is>
      </c>
      <c r="C1890" s="2" t="inlineStr">
        <is>
          <t xml:space="preserve">2010/11</t>
        </is>
      </c>
      <c r="D1890">
        <v>2.835</v>
      </c>
      <c r="E1890">
        <v>22.83</v>
      </c>
      <c r="F1890">
        <v>27.95</v>
      </c>
      <c r="G1890">
        <v>18.48</v>
      </c>
      <c r="H1890">
        <v>4.74</v>
      </c>
      <c r="I1890">
        <v>2.11</v>
      </c>
      <c r="J1890">
        <v>22.52</v>
      </c>
      <c r="K1890">
        <v>27.71</v>
      </c>
      <c r="L1890">
        <v>17.64</v>
      </c>
      <c r="M1890">
        <v>3.68</v>
      </c>
      <c r="N1890">
        <v>7.556</v>
      </c>
      <c r="O1890">
        <v>24.02</v>
      </c>
      <c r="P1890">
        <v>28.73</v>
      </c>
      <c r="Q1890">
        <v>20.66</v>
      </c>
      <c r="R1890">
        <v>4.39</v>
      </c>
    </row>
    <row r="1891">
      <c r="A1891" s="9">
        <v>40422</v>
      </c>
      <c r="B1891" s="2" t="inlineStr">
        <is>
          <t xml:space="preserve">2010-09</t>
        </is>
      </c>
      <c r="C1891" s="2" t="inlineStr">
        <is>
          <t xml:space="preserve">2010/11</t>
        </is>
      </c>
      <c r="D1891">
        <v>2.101</v>
      </c>
      <c r="E1891">
        <v>22.26</v>
      </c>
      <c r="F1891">
        <v>26.77</v>
      </c>
      <c r="G1891">
        <v>18.92</v>
      </c>
      <c r="H1891">
        <v>3.09</v>
      </c>
      <c r="I1891">
        <v>1.731</v>
      </c>
      <c r="J1891">
        <v>22.36</v>
      </c>
      <c r="K1891">
        <v>26.12</v>
      </c>
      <c r="L1891">
        <v>19.69</v>
      </c>
      <c r="M1891">
        <v>1.69</v>
      </c>
      <c r="N1891">
        <v>0.526</v>
      </c>
      <c r="O1891">
        <v>23.1</v>
      </c>
      <c r="P1891">
        <v>26.21</v>
      </c>
      <c r="Q1891">
        <v>21.28</v>
      </c>
      <c r="R1891">
        <v>1.77</v>
      </c>
    </row>
    <row r="1892">
      <c r="A1892" s="9">
        <v>40423</v>
      </c>
      <c r="B1892" s="2" t="inlineStr">
        <is>
          <t xml:space="preserve">2010-09</t>
        </is>
      </c>
      <c r="C1892" s="2" t="inlineStr">
        <is>
          <t xml:space="preserve">2010/11</t>
        </is>
      </c>
      <c r="D1892">
        <v>3.53</v>
      </c>
      <c r="E1892">
        <v>21.3</v>
      </c>
      <c r="F1892">
        <v>24.86</v>
      </c>
      <c r="G1892">
        <v>18.39</v>
      </c>
      <c r="H1892">
        <v>5.94</v>
      </c>
      <c r="I1892">
        <v>1.403</v>
      </c>
      <c r="J1892">
        <v>21.49</v>
      </c>
      <c r="K1892">
        <v>24.5</v>
      </c>
      <c r="L1892">
        <v>19.31</v>
      </c>
      <c r="M1892">
        <v>4.27</v>
      </c>
      <c r="N1892">
        <v>2.836</v>
      </c>
      <c r="O1892">
        <v>22.66</v>
      </c>
      <c r="P1892">
        <v>26.59</v>
      </c>
      <c r="Q1892">
        <v>20.3</v>
      </c>
      <c r="R1892">
        <v>6.53</v>
      </c>
    </row>
    <row r="1893">
      <c r="A1893" s="9">
        <v>40424</v>
      </c>
      <c r="B1893" s="2" t="inlineStr">
        <is>
          <t xml:space="preserve">2010-09</t>
        </is>
      </c>
      <c r="C1893" s="2" t="inlineStr">
        <is>
          <t xml:space="preserve">2010/11</t>
        </is>
      </c>
      <c r="D1893">
        <v>2.433</v>
      </c>
      <c r="E1893">
        <v>21.35</v>
      </c>
      <c r="F1893">
        <v>25.69</v>
      </c>
      <c r="G1893">
        <v>17.95</v>
      </c>
      <c r="H1893">
        <v>4.47</v>
      </c>
      <c r="I1893">
        <v>4.689</v>
      </c>
      <c r="J1893">
        <v>21.42</v>
      </c>
      <c r="K1893">
        <v>25.12</v>
      </c>
      <c r="L1893">
        <v>18.92</v>
      </c>
      <c r="M1893">
        <v>6.15</v>
      </c>
      <c r="N1893">
        <v>1.918</v>
      </c>
      <c r="O1893">
        <v>22.44</v>
      </c>
      <c r="P1893">
        <v>27.01</v>
      </c>
      <c r="Q1893">
        <v>19.19</v>
      </c>
      <c r="R1893">
        <v>2.54</v>
      </c>
    </row>
    <row r="1894">
      <c r="A1894" s="9">
        <v>40425</v>
      </c>
      <c r="B1894" s="2" t="inlineStr">
        <is>
          <t xml:space="preserve">2010-09</t>
        </is>
      </c>
      <c r="C1894" s="2" t="inlineStr">
        <is>
          <t xml:space="preserve">2010/11</t>
        </is>
      </c>
      <c r="D1894">
        <v>2.615</v>
      </c>
      <c r="E1894">
        <v>21.5</v>
      </c>
      <c r="F1894">
        <v>25.78</v>
      </c>
      <c r="G1894">
        <v>18.09</v>
      </c>
      <c r="H1894">
        <v>3.38</v>
      </c>
      <c r="I1894">
        <v>2.289</v>
      </c>
      <c r="J1894">
        <v>21.32</v>
      </c>
      <c r="K1894">
        <v>24.57</v>
      </c>
      <c r="L1894">
        <v>18.95</v>
      </c>
      <c r="M1894">
        <v>4.45</v>
      </c>
      <c r="N1894">
        <v>0.357</v>
      </c>
      <c r="O1894">
        <v>22.4</v>
      </c>
      <c r="P1894">
        <v>26.75</v>
      </c>
      <c r="Q1894">
        <v>18.9</v>
      </c>
      <c r="R1894">
        <v>2.76</v>
      </c>
    </row>
    <row r="1895">
      <c r="A1895" s="9">
        <v>40426</v>
      </c>
      <c r="B1895" s="2" t="inlineStr">
        <is>
          <t xml:space="preserve">2010-09</t>
        </is>
      </c>
      <c r="C1895" s="2" t="inlineStr">
        <is>
          <t xml:space="preserve">2010/11</t>
        </is>
      </c>
      <c r="D1895">
        <v>6.863</v>
      </c>
      <c r="E1895">
        <v>22.0</v>
      </c>
      <c r="F1895">
        <v>25.98</v>
      </c>
      <c r="G1895">
        <v>19.05</v>
      </c>
      <c r="H1895">
        <v>5.37</v>
      </c>
      <c r="I1895">
        <v>2.619</v>
      </c>
      <c r="J1895">
        <v>21.25</v>
      </c>
      <c r="K1895">
        <v>24.4</v>
      </c>
      <c r="L1895">
        <v>19.21</v>
      </c>
      <c r="M1895">
        <v>6.23</v>
      </c>
      <c r="N1895">
        <v>8.684</v>
      </c>
      <c r="O1895">
        <v>22.19</v>
      </c>
      <c r="P1895">
        <v>25.17</v>
      </c>
      <c r="Q1895">
        <v>19.84</v>
      </c>
      <c r="R1895">
        <v>5.67</v>
      </c>
    </row>
    <row r="1896">
      <c r="A1896" s="9">
        <v>40427</v>
      </c>
      <c r="B1896" s="2" t="inlineStr">
        <is>
          <t xml:space="preserve">2010-09</t>
        </is>
      </c>
      <c r="C1896" s="2" t="inlineStr">
        <is>
          <t xml:space="preserve">2010/11</t>
        </is>
      </c>
      <c r="D1896">
        <v>8.58</v>
      </c>
      <c r="E1896">
        <v>21.24</v>
      </c>
      <c r="F1896">
        <v>26.56</v>
      </c>
      <c r="G1896">
        <v>16.91</v>
      </c>
      <c r="H1896">
        <v>5.33</v>
      </c>
      <c r="I1896">
        <v>9.782</v>
      </c>
      <c r="J1896">
        <v>21.27</v>
      </c>
      <c r="K1896">
        <v>24.52</v>
      </c>
      <c r="L1896">
        <v>18.87</v>
      </c>
      <c r="M1896">
        <v>8.49</v>
      </c>
      <c r="N1896">
        <v>4.76</v>
      </c>
      <c r="O1896">
        <v>23.16</v>
      </c>
      <c r="P1896">
        <v>27.22</v>
      </c>
      <c r="Q1896">
        <v>20.14</v>
      </c>
      <c r="R1896">
        <v>6.0</v>
      </c>
    </row>
    <row r="1897">
      <c r="A1897" s="9">
        <v>40428</v>
      </c>
      <c r="B1897" s="2" t="inlineStr">
        <is>
          <t xml:space="preserve">2010-09</t>
        </is>
      </c>
      <c r="C1897" s="2" t="inlineStr">
        <is>
          <t xml:space="preserve">2010/11</t>
        </is>
      </c>
      <c r="D1897">
        <v>6.248</v>
      </c>
      <c r="E1897">
        <v>21.22</v>
      </c>
      <c r="F1897">
        <v>25.5</v>
      </c>
      <c r="G1897">
        <v>17.51</v>
      </c>
      <c r="H1897">
        <v>3.53</v>
      </c>
      <c r="I1897">
        <v>8.571</v>
      </c>
      <c r="J1897">
        <v>22.18</v>
      </c>
      <c r="K1897">
        <v>26.48</v>
      </c>
      <c r="L1897">
        <v>18.67</v>
      </c>
      <c r="M1897">
        <v>6.04</v>
      </c>
      <c r="N1897">
        <v>8.703</v>
      </c>
      <c r="O1897">
        <v>23.47</v>
      </c>
      <c r="P1897">
        <v>28.53</v>
      </c>
      <c r="Q1897">
        <v>19.15</v>
      </c>
      <c r="R1897">
        <v>3.87</v>
      </c>
    </row>
    <row r="1898">
      <c r="A1898" s="9">
        <v>40429</v>
      </c>
      <c r="B1898" s="2" t="inlineStr">
        <is>
          <t xml:space="preserve">2010-09</t>
        </is>
      </c>
      <c r="C1898" s="2" t="inlineStr">
        <is>
          <t xml:space="preserve">2010/11</t>
        </is>
      </c>
      <c r="D1898">
        <v>0.82</v>
      </c>
      <c r="E1898">
        <v>21.96</v>
      </c>
      <c r="F1898">
        <v>25.87</v>
      </c>
      <c r="G1898">
        <v>19.18</v>
      </c>
      <c r="H1898">
        <v>0.42</v>
      </c>
      <c r="I1898">
        <v>4.832</v>
      </c>
      <c r="J1898">
        <v>21.86</v>
      </c>
      <c r="K1898">
        <v>25.57</v>
      </c>
      <c r="L1898">
        <v>19.51</v>
      </c>
      <c r="M1898">
        <v>2.52</v>
      </c>
      <c r="N1898">
        <v>0.021</v>
      </c>
      <c r="O1898">
        <v>23.25</v>
      </c>
      <c r="P1898">
        <v>27.12</v>
      </c>
      <c r="Q1898">
        <v>20.3</v>
      </c>
      <c r="R1898">
        <v>1.84</v>
      </c>
    </row>
    <row r="1899">
      <c r="A1899" s="9">
        <v>40430</v>
      </c>
      <c r="B1899" s="2" t="inlineStr">
        <is>
          <t xml:space="preserve">2010-09</t>
        </is>
      </c>
      <c r="C1899" s="2" t="inlineStr">
        <is>
          <t xml:space="preserve">2010/11</t>
        </is>
      </c>
      <c r="D1899">
        <v>0.025</v>
      </c>
      <c r="E1899">
        <v>22.04</v>
      </c>
      <c r="F1899">
        <v>24.85</v>
      </c>
      <c r="G1899">
        <v>19.35</v>
      </c>
      <c r="H1899">
        <v>3.8</v>
      </c>
      <c r="I1899">
        <v>0.555</v>
      </c>
      <c r="J1899">
        <v>22.06</v>
      </c>
      <c r="K1899">
        <v>25.93</v>
      </c>
      <c r="L1899">
        <v>18.88</v>
      </c>
      <c r="M1899">
        <v>1.62</v>
      </c>
      <c r="N1899">
        <v>0.326</v>
      </c>
      <c r="O1899">
        <v>23.08</v>
      </c>
      <c r="P1899">
        <v>26.88</v>
      </c>
      <c r="Q1899">
        <v>19.73</v>
      </c>
      <c r="R1899">
        <v>2.66</v>
      </c>
    </row>
    <row r="1900">
      <c r="A1900" s="9">
        <v>40431</v>
      </c>
      <c r="B1900" s="2" t="inlineStr">
        <is>
          <t xml:space="preserve">2010-09</t>
        </is>
      </c>
      <c r="C1900" s="2" t="inlineStr">
        <is>
          <t xml:space="preserve">2010/11</t>
        </is>
      </c>
      <c r="D1900">
        <v>4.951</v>
      </c>
      <c r="E1900">
        <v>22.45</v>
      </c>
      <c r="F1900">
        <v>26.85</v>
      </c>
      <c r="G1900">
        <v>18.65</v>
      </c>
      <c r="H1900">
        <v>11.44</v>
      </c>
      <c r="I1900">
        <v>0.148</v>
      </c>
      <c r="J1900">
        <v>22.7</v>
      </c>
      <c r="K1900">
        <v>27.34</v>
      </c>
      <c r="L1900">
        <v>19.06</v>
      </c>
      <c r="M1900">
        <v>0.9</v>
      </c>
      <c r="N1900">
        <v>0.592</v>
      </c>
      <c r="O1900">
        <v>23.44</v>
      </c>
      <c r="P1900">
        <v>28.25</v>
      </c>
      <c r="Q1900">
        <v>19.72</v>
      </c>
      <c r="R1900">
        <v>1.18</v>
      </c>
    </row>
    <row r="1901">
      <c r="A1901" s="9">
        <v>40432</v>
      </c>
      <c r="B1901" s="2" t="inlineStr">
        <is>
          <t xml:space="preserve">2010-09</t>
        </is>
      </c>
      <c r="C1901" s="2" t="inlineStr">
        <is>
          <t xml:space="preserve">2010/11</t>
        </is>
      </c>
      <c r="D1901">
        <v>23.764</v>
      </c>
      <c r="E1901">
        <v>21.87</v>
      </c>
      <c r="F1901">
        <v>26.47</v>
      </c>
      <c r="G1901">
        <v>18.58</v>
      </c>
      <c r="H1901">
        <v>16.11</v>
      </c>
      <c r="I1901">
        <v>1.19</v>
      </c>
      <c r="J1901">
        <v>22.61</v>
      </c>
      <c r="K1901">
        <v>26.09</v>
      </c>
      <c r="L1901">
        <v>20.14</v>
      </c>
      <c r="M1901">
        <v>4.31</v>
      </c>
      <c r="N1901">
        <v>1.563</v>
      </c>
      <c r="O1901">
        <v>23.03</v>
      </c>
      <c r="P1901">
        <v>26.14</v>
      </c>
      <c r="Q1901">
        <v>20.7</v>
      </c>
      <c r="R1901">
        <v>2.81</v>
      </c>
    </row>
    <row r="1902">
      <c r="A1902" s="9">
        <v>40433</v>
      </c>
      <c r="B1902" s="2" t="inlineStr">
        <is>
          <t xml:space="preserve">2010-09</t>
        </is>
      </c>
      <c r="C1902" s="2" t="inlineStr">
        <is>
          <t xml:space="preserve">2010/11</t>
        </is>
      </c>
      <c r="D1902">
        <v>10.968</v>
      </c>
      <c r="E1902">
        <v>21.85</v>
      </c>
      <c r="F1902">
        <v>25.72</v>
      </c>
      <c r="G1902">
        <v>18.68</v>
      </c>
      <c r="H1902">
        <v>9.4</v>
      </c>
      <c r="I1902">
        <v>22.268</v>
      </c>
      <c r="J1902">
        <v>22.36</v>
      </c>
      <c r="K1902">
        <v>26.17</v>
      </c>
      <c r="L1902">
        <v>19.58</v>
      </c>
      <c r="M1902">
        <v>12.23</v>
      </c>
      <c r="N1902">
        <v>5.412</v>
      </c>
      <c r="O1902">
        <v>22.8</v>
      </c>
      <c r="P1902">
        <v>26.53</v>
      </c>
      <c r="Q1902">
        <v>20.13</v>
      </c>
      <c r="R1902">
        <v>9.15</v>
      </c>
    </row>
    <row r="1903">
      <c r="A1903" s="9">
        <v>40434</v>
      </c>
      <c r="B1903" s="2" t="inlineStr">
        <is>
          <t xml:space="preserve">2010-09</t>
        </is>
      </c>
      <c r="C1903" s="2" t="inlineStr">
        <is>
          <t xml:space="preserve">2010/11</t>
        </is>
      </c>
      <c r="D1903">
        <v>3.311</v>
      </c>
      <c r="E1903">
        <v>22.12</v>
      </c>
      <c r="F1903">
        <v>26.54</v>
      </c>
      <c r="G1903">
        <v>19.11</v>
      </c>
      <c r="H1903">
        <v>3.8</v>
      </c>
      <c r="I1903">
        <v>2.245</v>
      </c>
      <c r="J1903">
        <v>21.87</v>
      </c>
      <c r="K1903">
        <v>25.67</v>
      </c>
      <c r="L1903">
        <v>19.36</v>
      </c>
      <c r="M1903">
        <v>4.62</v>
      </c>
      <c r="N1903">
        <v>7.814</v>
      </c>
      <c r="O1903">
        <v>22.4</v>
      </c>
      <c r="P1903">
        <v>25.73</v>
      </c>
      <c r="Q1903">
        <v>20.24</v>
      </c>
      <c r="R1903">
        <v>8.61</v>
      </c>
    </row>
    <row r="1904">
      <c r="A1904" s="9">
        <v>40435</v>
      </c>
      <c r="B1904" s="2" t="inlineStr">
        <is>
          <t xml:space="preserve">2010-09</t>
        </is>
      </c>
      <c r="C1904" s="2" t="inlineStr">
        <is>
          <t xml:space="preserve">2010/11</t>
        </is>
      </c>
      <c r="D1904">
        <v>0.963</v>
      </c>
      <c r="E1904">
        <v>21.69</v>
      </c>
      <c r="F1904">
        <v>25.14</v>
      </c>
      <c r="G1904">
        <v>19.44</v>
      </c>
      <c r="H1904">
        <v>1.52</v>
      </c>
      <c r="I1904">
        <v>2.388</v>
      </c>
      <c r="J1904">
        <v>21.81</v>
      </c>
      <c r="K1904">
        <v>25.83</v>
      </c>
      <c r="L1904">
        <v>19.17</v>
      </c>
      <c r="M1904">
        <v>0.73</v>
      </c>
      <c r="N1904">
        <v>0.332</v>
      </c>
      <c r="O1904">
        <v>22.3</v>
      </c>
      <c r="P1904">
        <v>26.46</v>
      </c>
      <c r="Q1904">
        <v>19.64</v>
      </c>
      <c r="R1904">
        <v>0.91</v>
      </c>
    </row>
    <row r="1905">
      <c r="A1905" s="9">
        <v>40436</v>
      </c>
      <c r="B1905" s="2" t="inlineStr">
        <is>
          <t xml:space="preserve">2010-09</t>
        </is>
      </c>
      <c r="C1905" s="2" t="inlineStr">
        <is>
          <t xml:space="preserve">2010/11</t>
        </is>
      </c>
      <c r="D1905">
        <v>0.0</v>
      </c>
      <c r="E1905">
        <v>21.99</v>
      </c>
      <c r="F1905">
        <v>26.13</v>
      </c>
      <c r="G1905">
        <v>19.24</v>
      </c>
      <c r="H1905">
        <v>2.84</v>
      </c>
      <c r="I1905">
        <v>2.39</v>
      </c>
      <c r="J1905">
        <v>22.0</v>
      </c>
      <c r="K1905">
        <v>26.29</v>
      </c>
      <c r="L1905">
        <v>18.71</v>
      </c>
      <c r="M1905">
        <v>5.43</v>
      </c>
      <c r="N1905">
        <v>0.114</v>
      </c>
      <c r="O1905">
        <v>22.64</v>
      </c>
      <c r="P1905">
        <v>27.99</v>
      </c>
      <c r="Q1905">
        <v>18.16</v>
      </c>
      <c r="R1905">
        <v>6.28</v>
      </c>
    </row>
    <row r="1906">
      <c r="A1906" s="9">
        <v>40437</v>
      </c>
      <c r="B1906" s="2" t="inlineStr">
        <is>
          <t xml:space="preserve">2010-09</t>
        </is>
      </c>
      <c r="C1906" s="2" t="inlineStr">
        <is>
          <t xml:space="preserve">2010/11</t>
        </is>
      </c>
      <c r="D1906">
        <v>0.179</v>
      </c>
      <c r="E1906">
        <v>22.04</v>
      </c>
      <c r="F1906">
        <v>26.26</v>
      </c>
      <c r="G1906">
        <v>18.81</v>
      </c>
      <c r="H1906">
        <v>5.51</v>
      </c>
      <c r="I1906">
        <v>4.807</v>
      </c>
      <c r="J1906">
        <v>22.5</v>
      </c>
      <c r="K1906">
        <v>26.76</v>
      </c>
      <c r="L1906">
        <v>19.08</v>
      </c>
      <c r="M1906">
        <v>6.14</v>
      </c>
      <c r="N1906">
        <v>17.185</v>
      </c>
      <c r="O1906">
        <v>23.11</v>
      </c>
      <c r="P1906">
        <v>27.02</v>
      </c>
      <c r="Q1906">
        <v>19.61</v>
      </c>
      <c r="R1906">
        <v>7.37</v>
      </c>
    </row>
    <row r="1907">
      <c r="A1907" s="9">
        <v>40438</v>
      </c>
      <c r="B1907" s="2" t="inlineStr">
        <is>
          <t xml:space="preserve">2010-09</t>
        </is>
      </c>
      <c r="C1907" s="2" t="inlineStr">
        <is>
          <t xml:space="preserve">2010/11</t>
        </is>
      </c>
      <c r="D1907">
        <v>13.224</v>
      </c>
      <c r="E1907">
        <v>22.12</v>
      </c>
      <c r="F1907">
        <v>26.35</v>
      </c>
      <c r="G1907">
        <v>18.85</v>
      </c>
      <c r="H1907">
        <v>8.01</v>
      </c>
      <c r="I1907">
        <v>3.27</v>
      </c>
      <c r="J1907">
        <v>21.98</v>
      </c>
      <c r="K1907">
        <v>25.52</v>
      </c>
      <c r="L1907">
        <v>19.09</v>
      </c>
      <c r="M1907">
        <v>5.35</v>
      </c>
      <c r="N1907">
        <v>8.69</v>
      </c>
      <c r="O1907">
        <v>23.21</v>
      </c>
      <c r="P1907">
        <v>26.75</v>
      </c>
      <c r="Q1907">
        <v>20.07</v>
      </c>
      <c r="R1907">
        <v>5.61</v>
      </c>
    </row>
    <row r="1908">
      <c r="A1908" s="9">
        <v>40439</v>
      </c>
      <c r="B1908" s="2" t="inlineStr">
        <is>
          <t xml:space="preserve">2010-09</t>
        </is>
      </c>
      <c r="C1908" s="2" t="inlineStr">
        <is>
          <t xml:space="preserve">2010/11</t>
        </is>
      </c>
      <c r="D1908">
        <v>9.158</v>
      </c>
      <c r="E1908">
        <v>22.42</v>
      </c>
      <c r="F1908">
        <v>27.32</v>
      </c>
      <c r="G1908">
        <v>18.13</v>
      </c>
      <c r="H1908">
        <v>5.82</v>
      </c>
      <c r="I1908">
        <v>0.696</v>
      </c>
      <c r="J1908">
        <v>22.82</v>
      </c>
      <c r="K1908">
        <v>27.07</v>
      </c>
      <c r="L1908">
        <v>19.4</v>
      </c>
      <c r="M1908">
        <v>2.37</v>
      </c>
      <c r="N1908">
        <v>1.15</v>
      </c>
      <c r="O1908">
        <v>23.95</v>
      </c>
      <c r="P1908">
        <v>27.97</v>
      </c>
      <c r="Q1908">
        <v>21.15</v>
      </c>
      <c r="R1908">
        <v>2.98</v>
      </c>
    </row>
    <row r="1909">
      <c r="A1909" s="9">
        <v>40440</v>
      </c>
      <c r="B1909" s="2" t="inlineStr">
        <is>
          <t xml:space="preserve">2010-09</t>
        </is>
      </c>
      <c r="C1909" s="2" t="inlineStr">
        <is>
          <t xml:space="preserve">2010/11</t>
        </is>
      </c>
      <c r="D1909">
        <v>4.723</v>
      </c>
      <c r="E1909">
        <v>20.99</v>
      </c>
      <c r="F1909">
        <v>24.13</v>
      </c>
      <c r="G1909">
        <v>18.42</v>
      </c>
      <c r="H1909">
        <v>8.63</v>
      </c>
      <c r="I1909">
        <v>5.13</v>
      </c>
      <c r="J1909">
        <v>22.18</v>
      </c>
      <c r="K1909">
        <v>25.4</v>
      </c>
      <c r="L1909">
        <v>19.93</v>
      </c>
      <c r="M1909">
        <v>9.23</v>
      </c>
      <c r="N1909">
        <v>11.764</v>
      </c>
      <c r="O1909">
        <v>22.82</v>
      </c>
      <c r="P1909">
        <v>25.77</v>
      </c>
      <c r="Q1909">
        <v>20.76</v>
      </c>
      <c r="R1909">
        <v>9.66</v>
      </c>
    </row>
    <row r="1910">
      <c r="A1910" s="9">
        <v>40441</v>
      </c>
      <c r="B1910" s="2" t="inlineStr">
        <is>
          <t xml:space="preserve">2010-09</t>
        </is>
      </c>
      <c r="C1910" s="2" t="inlineStr">
        <is>
          <t xml:space="preserve">2010/11</t>
        </is>
      </c>
      <c r="D1910">
        <v>14.408</v>
      </c>
      <c r="E1910">
        <v>21.96</v>
      </c>
      <c r="F1910">
        <v>26.62</v>
      </c>
      <c r="G1910">
        <v>17.75</v>
      </c>
      <c r="H1910">
        <v>19.97</v>
      </c>
      <c r="I1910">
        <v>3.603</v>
      </c>
      <c r="J1910">
        <v>22.76</v>
      </c>
      <c r="K1910">
        <v>27.42</v>
      </c>
      <c r="L1910">
        <v>19.04</v>
      </c>
      <c r="M1910">
        <v>8.4</v>
      </c>
      <c r="N1910">
        <v>9.797</v>
      </c>
      <c r="O1910">
        <v>23.38</v>
      </c>
      <c r="P1910">
        <v>27.41</v>
      </c>
      <c r="Q1910">
        <v>19.7</v>
      </c>
      <c r="R1910">
        <v>7.88</v>
      </c>
    </row>
    <row r="1911">
      <c r="A1911" s="9">
        <v>40442</v>
      </c>
      <c r="B1911" s="2" t="inlineStr">
        <is>
          <t xml:space="preserve">2010-09</t>
        </is>
      </c>
      <c r="C1911" s="2" t="inlineStr">
        <is>
          <t xml:space="preserve">2010/11</t>
        </is>
      </c>
      <c r="D1911">
        <v>4.15</v>
      </c>
      <c r="E1911">
        <v>22.14</v>
      </c>
      <c r="F1911">
        <v>26.57</v>
      </c>
      <c r="G1911">
        <v>18.8</v>
      </c>
      <c r="H1911">
        <v>7.08</v>
      </c>
      <c r="I1911">
        <v>1.959</v>
      </c>
      <c r="J1911">
        <v>22.19</v>
      </c>
      <c r="K1911">
        <v>25.38</v>
      </c>
      <c r="L1911">
        <v>19.91</v>
      </c>
      <c r="M1911">
        <v>4.63</v>
      </c>
      <c r="N1911">
        <v>1.226</v>
      </c>
      <c r="O1911">
        <v>23.35</v>
      </c>
      <c r="P1911">
        <v>27.09</v>
      </c>
      <c r="Q1911">
        <v>20.76</v>
      </c>
      <c r="R1911">
        <v>3.15</v>
      </c>
    </row>
    <row r="1912">
      <c r="A1912" s="9">
        <v>40443</v>
      </c>
      <c r="B1912" s="2" t="inlineStr">
        <is>
          <t xml:space="preserve">2010-09</t>
        </is>
      </c>
      <c r="C1912" s="2" t="inlineStr">
        <is>
          <t xml:space="preserve">2010/11</t>
        </is>
      </c>
      <c r="D1912">
        <v>19.691</v>
      </c>
      <c r="E1912">
        <v>21.9</v>
      </c>
      <c r="F1912">
        <v>25.95</v>
      </c>
      <c r="G1912">
        <v>18.88</v>
      </c>
      <c r="H1912">
        <v>11.78</v>
      </c>
      <c r="I1912">
        <v>5.739</v>
      </c>
      <c r="J1912">
        <v>22.6</v>
      </c>
      <c r="K1912">
        <v>27.01</v>
      </c>
      <c r="L1912">
        <v>19.61</v>
      </c>
      <c r="M1912">
        <v>7.72</v>
      </c>
      <c r="N1912">
        <v>10.986</v>
      </c>
      <c r="O1912">
        <v>23.24</v>
      </c>
      <c r="P1912">
        <v>26.96</v>
      </c>
      <c r="Q1912">
        <v>20.66</v>
      </c>
      <c r="R1912">
        <v>9.0</v>
      </c>
    </row>
    <row r="1913">
      <c r="A1913" s="9">
        <v>40444</v>
      </c>
      <c r="B1913" s="2" t="inlineStr">
        <is>
          <t xml:space="preserve">2010-09</t>
        </is>
      </c>
      <c r="C1913" s="2" t="inlineStr">
        <is>
          <t xml:space="preserve">2010/11</t>
        </is>
      </c>
      <c r="D1913">
        <v>5.986</v>
      </c>
      <c r="E1913">
        <v>21.61</v>
      </c>
      <c r="F1913">
        <v>26.15</v>
      </c>
      <c r="G1913">
        <v>18.07</v>
      </c>
      <c r="H1913">
        <v>8.08</v>
      </c>
      <c r="I1913">
        <v>4.907</v>
      </c>
      <c r="J1913">
        <v>22.44</v>
      </c>
      <c r="K1913">
        <v>26.38</v>
      </c>
      <c r="L1913">
        <v>19.51</v>
      </c>
      <c r="M1913">
        <v>9.72</v>
      </c>
      <c r="N1913">
        <v>17.593</v>
      </c>
      <c r="O1913">
        <v>23.37</v>
      </c>
      <c r="P1913">
        <v>27.31</v>
      </c>
      <c r="Q1913">
        <v>20.11</v>
      </c>
      <c r="R1913">
        <v>12.97</v>
      </c>
    </row>
    <row r="1914">
      <c r="A1914" s="9">
        <v>40445</v>
      </c>
      <c r="B1914" s="2" t="inlineStr">
        <is>
          <t xml:space="preserve">2010-09</t>
        </is>
      </c>
      <c r="C1914" s="2" t="inlineStr">
        <is>
          <t xml:space="preserve">2010/11</t>
        </is>
      </c>
      <c r="D1914">
        <v>5.25</v>
      </c>
      <c r="E1914">
        <v>20.81</v>
      </c>
      <c r="F1914">
        <v>23.61</v>
      </c>
      <c r="G1914">
        <v>18.94</v>
      </c>
      <c r="H1914">
        <v>7.71</v>
      </c>
      <c r="I1914">
        <v>3.776</v>
      </c>
      <c r="J1914">
        <v>21.9</v>
      </c>
      <c r="K1914">
        <v>24.98</v>
      </c>
      <c r="L1914">
        <v>19.94</v>
      </c>
      <c r="M1914">
        <v>10.88</v>
      </c>
      <c r="N1914">
        <v>13.629</v>
      </c>
      <c r="O1914">
        <v>22.54</v>
      </c>
      <c r="P1914">
        <v>25.39</v>
      </c>
      <c r="Q1914">
        <v>20.52</v>
      </c>
      <c r="R1914">
        <v>16.23</v>
      </c>
    </row>
    <row r="1915">
      <c r="A1915" s="9">
        <v>40446</v>
      </c>
      <c r="B1915" s="2" t="inlineStr">
        <is>
          <t xml:space="preserve">2010-09</t>
        </is>
      </c>
      <c r="C1915" s="2" t="inlineStr">
        <is>
          <t xml:space="preserve">2010/11</t>
        </is>
      </c>
      <c r="D1915">
        <v>13.156</v>
      </c>
      <c r="E1915">
        <v>21.28</v>
      </c>
      <c r="F1915">
        <v>25.52</v>
      </c>
      <c r="G1915">
        <v>18.47</v>
      </c>
      <c r="H1915">
        <v>22.73</v>
      </c>
      <c r="I1915">
        <v>9.181</v>
      </c>
      <c r="J1915">
        <v>20.76</v>
      </c>
      <c r="K1915">
        <v>23.63</v>
      </c>
      <c r="L1915">
        <v>18.9</v>
      </c>
      <c r="M1915">
        <v>25.29</v>
      </c>
      <c r="N1915">
        <v>32.735</v>
      </c>
      <c r="O1915">
        <v>21.29</v>
      </c>
      <c r="P1915">
        <v>24.06</v>
      </c>
      <c r="Q1915">
        <v>19.66</v>
      </c>
      <c r="R1915">
        <v>52.75</v>
      </c>
    </row>
    <row r="1916">
      <c r="A1916" s="9">
        <v>40447</v>
      </c>
      <c r="B1916" s="2" t="inlineStr">
        <is>
          <t xml:space="preserve">2010-09</t>
        </is>
      </c>
      <c r="C1916" s="2" t="inlineStr">
        <is>
          <t xml:space="preserve">2010/11</t>
        </is>
      </c>
      <c r="D1916">
        <v>11.36</v>
      </c>
      <c r="E1916">
        <v>20.94</v>
      </c>
      <c r="F1916">
        <v>25.07</v>
      </c>
      <c r="G1916">
        <v>18.15</v>
      </c>
      <c r="H1916">
        <v>12.38</v>
      </c>
      <c r="I1916">
        <v>21.038</v>
      </c>
      <c r="J1916">
        <v>21.23</v>
      </c>
      <c r="K1916">
        <v>24.82</v>
      </c>
      <c r="L1916">
        <v>19.53</v>
      </c>
      <c r="M1916">
        <v>10.18</v>
      </c>
      <c r="N1916">
        <v>2.72</v>
      </c>
      <c r="O1916">
        <v>21.66</v>
      </c>
      <c r="P1916">
        <v>24.6</v>
      </c>
      <c r="Q1916">
        <v>19.23</v>
      </c>
      <c r="R1916">
        <v>3.18</v>
      </c>
    </row>
    <row r="1917">
      <c r="A1917" s="9">
        <v>40448</v>
      </c>
      <c r="B1917" s="2" t="inlineStr">
        <is>
          <t xml:space="preserve">2010-09</t>
        </is>
      </c>
      <c r="C1917" s="2" t="inlineStr">
        <is>
          <t xml:space="preserve">2010/11</t>
        </is>
      </c>
      <c r="D1917">
        <v>12.284</v>
      </c>
      <c r="E1917">
        <v>21.54</v>
      </c>
      <c r="F1917">
        <v>25.55</v>
      </c>
      <c r="G1917">
        <v>18.48</v>
      </c>
      <c r="H1917">
        <v>7.54</v>
      </c>
      <c r="I1917">
        <v>9.112</v>
      </c>
      <c r="J1917">
        <v>21.75</v>
      </c>
      <c r="K1917">
        <v>25.12</v>
      </c>
      <c r="L1917">
        <v>18.96</v>
      </c>
      <c r="M1917">
        <v>5.96</v>
      </c>
      <c r="N1917">
        <v>2.344</v>
      </c>
      <c r="O1917">
        <v>22.71</v>
      </c>
      <c r="P1917">
        <v>26.59</v>
      </c>
      <c r="Q1917">
        <v>19.97</v>
      </c>
      <c r="R1917">
        <v>4.0</v>
      </c>
    </row>
    <row r="1918">
      <c r="A1918" s="9">
        <v>40449</v>
      </c>
      <c r="B1918" s="2" t="inlineStr">
        <is>
          <t xml:space="preserve">2010-09</t>
        </is>
      </c>
      <c r="C1918" s="2" t="inlineStr">
        <is>
          <t xml:space="preserve">2010/11</t>
        </is>
      </c>
      <c r="D1918">
        <v>2.432</v>
      </c>
      <c r="E1918">
        <v>21.04</v>
      </c>
      <c r="F1918">
        <v>23.86</v>
      </c>
      <c r="G1918">
        <v>18.89</v>
      </c>
      <c r="H1918">
        <v>3.72</v>
      </c>
      <c r="I1918">
        <v>5.234</v>
      </c>
      <c r="J1918">
        <v>20.96</v>
      </c>
      <c r="K1918">
        <v>24.0</v>
      </c>
      <c r="L1918">
        <v>19.29</v>
      </c>
      <c r="M1918">
        <v>7.02</v>
      </c>
      <c r="N1918">
        <v>1.398</v>
      </c>
      <c r="O1918">
        <v>21.54</v>
      </c>
      <c r="P1918">
        <v>25.03</v>
      </c>
      <c r="Q1918">
        <v>19.41</v>
      </c>
      <c r="R1918">
        <v>5.86</v>
      </c>
    </row>
    <row r="1919">
      <c r="A1919" s="9">
        <v>40450</v>
      </c>
      <c r="B1919" s="2" t="inlineStr">
        <is>
          <t xml:space="preserve">2010-09</t>
        </is>
      </c>
      <c r="C1919" s="2" t="inlineStr">
        <is>
          <t xml:space="preserve">2010/11</t>
        </is>
      </c>
      <c r="D1919">
        <v>11.58</v>
      </c>
      <c r="E1919">
        <v>20.68</v>
      </c>
      <c r="F1919">
        <v>24.42</v>
      </c>
      <c r="G1919">
        <v>18.06</v>
      </c>
      <c r="H1919">
        <v>9.5</v>
      </c>
      <c r="I1919">
        <v>17.278</v>
      </c>
      <c r="J1919">
        <v>20.42</v>
      </c>
      <c r="K1919">
        <v>22.95</v>
      </c>
      <c r="L1919">
        <v>18.4</v>
      </c>
      <c r="M1919">
        <v>17.86</v>
      </c>
      <c r="N1919">
        <v>4.924</v>
      </c>
      <c r="O1919">
        <v>21.06</v>
      </c>
      <c r="P1919">
        <v>23.78</v>
      </c>
      <c r="Q1919">
        <v>18.94</v>
      </c>
      <c r="R1919">
        <v>10.5</v>
      </c>
    </row>
    <row r="1920">
      <c r="A1920" s="9">
        <v>40451</v>
      </c>
      <c r="B1920" s="2" t="inlineStr">
        <is>
          <t xml:space="preserve">2010-09</t>
        </is>
      </c>
      <c r="C1920" s="2" t="inlineStr">
        <is>
          <t xml:space="preserve">2010/11</t>
        </is>
      </c>
      <c r="D1920">
        <v>28.018</v>
      </c>
      <c r="E1920">
        <v>21.04</v>
      </c>
      <c r="F1920">
        <v>25.34</v>
      </c>
      <c r="G1920">
        <v>17.53</v>
      </c>
      <c r="H1920">
        <v>23.42</v>
      </c>
      <c r="I1920">
        <v>24.112</v>
      </c>
      <c r="J1920">
        <v>19.78</v>
      </c>
      <c r="K1920">
        <v>22.26</v>
      </c>
      <c r="L1920">
        <v>17.61</v>
      </c>
      <c r="M1920">
        <v>18.6</v>
      </c>
      <c r="N1920">
        <v>10.34</v>
      </c>
      <c r="O1920">
        <v>20.45</v>
      </c>
      <c r="P1920">
        <v>22.85</v>
      </c>
      <c r="Q1920">
        <v>17.79</v>
      </c>
      <c r="R1920">
        <v>15.27</v>
      </c>
    </row>
    <row r="1921">
      <c r="A1921" s="9">
        <v>40452</v>
      </c>
      <c r="B1921" s="2" t="inlineStr">
        <is>
          <t xml:space="preserve">2010-10</t>
        </is>
      </c>
      <c r="C1921" s="2" t="inlineStr">
        <is>
          <t xml:space="preserve">2010/11</t>
        </is>
      </c>
      <c r="D1921">
        <v>17.106</v>
      </c>
      <c r="E1921">
        <v>20.35</v>
      </c>
      <c r="F1921">
        <v>23.95</v>
      </c>
      <c r="G1921">
        <v>18.05</v>
      </c>
      <c r="H1921">
        <v>11.04</v>
      </c>
      <c r="I1921">
        <v>6.841</v>
      </c>
      <c r="J1921">
        <v>20.18</v>
      </c>
      <c r="K1921">
        <v>22.81</v>
      </c>
      <c r="L1921">
        <v>18.58</v>
      </c>
      <c r="M1921">
        <v>3.96</v>
      </c>
      <c r="N1921">
        <v>9.96</v>
      </c>
      <c r="O1921">
        <v>20.39</v>
      </c>
      <c r="P1921">
        <v>23.4</v>
      </c>
      <c r="Q1921">
        <v>18.31</v>
      </c>
      <c r="R1921">
        <v>3.96</v>
      </c>
    </row>
    <row r="1922">
      <c r="A1922" s="9">
        <v>40453</v>
      </c>
      <c r="B1922" s="2" t="inlineStr">
        <is>
          <t xml:space="preserve">2010-10</t>
        </is>
      </c>
      <c r="C1922" s="2" t="inlineStr">
        <is>
          <t xml:space="preserve">2010/11</t>
        </is>
      </c>
      <c r="D1922">
        <v>0.168</v>
      </c>
      <c r="E1922">
        <v>19.52</v>
      </c>
      <c r="F1922">
        <v>23.09</v>
      </c>
      <c r="G1922">
        <v>16.99</v>
      </c>
      <c r="H1922">
        <v>1.04</v>
      </c>
      <c r="I1922">
        <v>0.056</v>
      </c>
      <c r="J1922">
        <v>19.97</v>
      </c>
      <c r="K1922">
        <v>23.87</v>
      </c>
      <c r="L1922">
        <v>16.86</v>
      </c>
      <c r="M1922">
        <v>0.16</v>
      </c>
      <c r="N1922">
        <v>0.313</v>
      </c>
      <c r="O1922">
        <v>20.62</v>
      </c>
      <c r="P1922">
        <v>24.42</v>
      </c>
      <c r="Q1922">
        <v>17.74</v>
      </c>
      <c r="R1922">
        <v>0.24</v>
      </c>
    </row>
    <row r="1923">
      <c r="A1923" s="9">
        <v>40454</v>
      </c>
      <c r="B1923" s="2" t="inlineStr">
        <is>
          <t xml:space="preserve">2010-10</t>
        </is>
      </c>
      <c r="C1923" s="2" t="inlineStr">
        <is>
          <t xml:space="preserve">2010/11</t>
        </is>
      </c>
      <c r="D1923">
        <v>0.0</v>
      </c>
      <c r="E1923">
        <v>19.0</v>
      </c>
      <c r="F1923">
        <v>22.58</v>
      </c>
      <c r="G1923">
        <v>16.67</v>
      </c>
      <c r="H1923">
        <v>0.23</v>
      </c>
      <c r="I1923">
        <v>0.026</v>
      </c>
      <c r="J1923">
        <v>19.56</v>
      </c>
      <c r="K1923">
        <v>23.0</v>
      </c>
      <c r="L1923">
        <v>17.06</v>
      </c>
      <c r="M1923">
        <v>0.11</v>
      </c>
      <c r="N1923">
        <v>0.248</v>
      </c>
      <c r="O1923">
        <v>20.14</v>
      </c>
      <c r="P1923">
        <v>23.59</v>
      </c>
      <c r="Q1923">
        <v>17.53</v>
      </c>
      <c r="R1923">
        <v>0.14</v>
      </c>
    </row>
    <row r="1924">
      <c r="A1924" s="9">
        <v>40455</v>
      </c>
      <c r="B1924" s="2" t="inlineStr">
        <is>
          <t xml:space="preserve">2010-10</t>
        </is>
      </c>
      <c r="C1924" s="2" t="inlineStr">
        <is>
          <t xml:space="preserve">2010/11</t>
        </is>
      </c>
      <c r="D1924">
        <v>0.0</v>
      </c>
      <c r="E1924">
        <v>18.66</v>
      </c>
      <c r="F1924">
        <v>23.42</v>
      </c>
      <c r="G1924">
        <v>15.44</v>
      </c>
      <c r="H1924">
        <v>0.56</v>
      </c>
      <c r="I1924">
        <v>0.034</v>
      </c>
      <c r="J1924">
        <v>19.22</v>
      </c>
      <c r="K1924">
        <v>23.61</v>
      </c>
      <c r="L1924">
        <v>15.7</v>
      </c>
      <c r="M1924">
        <v>0.88</v>
      </c>
      <c r="N1924">
        <v>0.332</v>
      </c>
      <c r="O1924">
        <v>19.78</v>
      </c>
      <c r="P1924">
        <v>23.97</v>
      </c>
      <c r="Q1924">
        <v>16.44</v>
      </c>
      <c r="R1924">
        <v>1.2</v>
      </c>
    </row>
    <row r="1925">
      <c r="A1925" s="9">
        <v>40456</v>
      </c>
      <c r="B1925" s="2" t="inlineStr">
        <is>
          <t xml:space="preserve">2010-10</t>
        </is>
      </c>
      <c r="C1925" s="2" t="inlineStr">
        <is>
          <t xml:space="preserve">2010/11</t>
        </is>
      </c>
      <c r="D1925">
        <v>0.0</v>
      </c>
      <c r="E1925">
        <v>19.15</v>
      </c>
      <c r="F1925">
        <v>24.06</v>
      </c>
      <c r="G1925">
        <v>15.38</v>
      </c>
      <c r="H1925">
        <v>1.89</v>
      </c>
      <c r="I1925">
        <v>1.133</v>
      </c>
      <c r="J1925">
        <v>19.38</v>
      </c>
      <c r="K1925">
        <v>23.67</v>
      </c>
      <c r="L1925">
        <v>16.0</v>
      </c>
      <c r="M1925">
        <v>2.37</v>
      </c>
      <c r="N1925">
        <v>4.28</v>
      </c>
      <c r="O1925">
        <v>20.07</v>
      </c>
      <c r="P1925">
        <v>23.89</v>
      </c>
      <c r="Q1925">
        <v>16.81</v>
      </c>
      <c r="R1925">
        <v>3.37</v>
      </c>
    </row>
    <row r="1926">
      <c r="A1926" s="9">
        <v>40457</v>
      </c>
      <c r="B1926" s="2" t="inlineStr">
        <is>
          <t xml:space="preserve">2010-10</t>
        </is>
      </c>
      <c r="C1926" s="2" t="inlineStr">
        <is>
          <t xml:space="preserve">2010/11</t>
        </is>
      </c>
      <c r="D1926">
        <v>0.022</v>
      </c>
      <c r="E1926">
        <v>19.04</v>
      </c>
      <c r="F1926">
        <v>23.83</v>
      </c>
      <c r="G1926">
        <v>15.46</v>
      </c>
      <c r="H1926">
        <v>2.06</v>
      </c>
      <c r="I1926">
        <v>1.813</v>
      </c>
      <c r="J1926">
        <v>19.11</v>
      </c>
      <c r="K1926">
        <v>23.32</v>
      </c>
      <c r="L1926">
        <v>15.45</v>
      </c>
      <c r="M1926">
        <v>1.85</v>
      </c>
      <c r="N1926">
        <v>6.831</v>
      </c>
      <c r="O1926">
        <v>19.73</v>
      </c>
      <c r="P1926">
        <v>23.3</v>
      </c>
      <c r="Q1926">
        <v>16.78</v>
      </c>
      <c r="R1926">
        <v>2.54</v>
      </c>
    </row>
    <row r="1927">
      <c r="A1927" s="9">
        <v>40458</v>
      </c>
      <c r="B1927" s="2" t="inlineStr">
        <is>
          <t xml:space="preserve">2010-10</t>
        </is>
      </c>
      <c r="C1927" s="2" t="inlineStr">
        <is>
          <t xml:space="preserve">2010/11</t>
        </is>
      </c>
      <c r="D1927">
        <v>0.0</v>
      </c>
      <c r="E1927">
        <v>17.75</v>
      </c>
      <c r="F1927">
        <v>22.67</v>
      </c>
      <c r="G1927">
        <v>14.61</v>
      </c>
      <c r="H1927">
        <v>0.02</v>
      </c>
      <c r="I1927">
        <v>0.0</v>
      </c>
      <c r="J1927">
        <v>18.08</v>
      </c>
      <c r="K1927">
        <v>23.09</v>
      </c>
      <c r="L1927">
        <v>14.63</v>
      </c>
      <c r="M1927">
        <v>0.0</v>
      </c>
      <c r="N1927">
        <v>0.0</v>
      </c>
      <c r="O1927">
        <v>18.6</v>
      </c>
      <c r="P1927">
        <v>23.08</v>
      </c>
      <c r="Q1927">
        <v>14.94</v>
      </c>
      <c r="R1927">
        <v>0.0</v>
      </c>
    </row>
    <row r="1928">
      <c r="A1928" s="9">
        <v>40459</v>
      </c>
      <c r="B1928" s="2" t="inlineStr">
        <is>
          <t xml:space="preserve">2010-10</t>
        </is>
      </c>
      <c r="C1928" s="2" t="inlineStr">
        <is>
          <t xml:space="preserve">2010/11</t>
        </is>
      </c>
      <c r="D1928">
        <v>0.0</v>
      </c>
      <c r="E1928">
        <v>18.37</v>
      </c>
      <c r="F1928">
        <v>23.65</v>
      </c>
      <c r="G1928">
        <v>14.9</v>
      </c>
      <c r="H1928">
        <v>0.31</v>
      </c>
      <c r="I1928">
        <v>0.0</v>
      </c>
      <c r="J1928">
        <v>18.21</v>
      </c>
      <c r="K1928">
        <v>23.42</v>
      </c>
      <c r="L1928">
        <v>13.86</v>
      </c>
      <c r="M1928">
        <v>0.01</v>
      </c>
      <c r="N1928">
        <v>0.0</v>
      </c>
      <c r="O1928">
        <v>18.92</v>
      </c>
      <c r="P1928">
        <v>23.48</v>
      </c>
      <c r="Q1928">
        <v>15.12</v>
      </c>
      <c r="R1928">
        <v>0.07</v>
      </c>
    </row>
    <row r="1929">
      <c r="A1929" s="9">
        <v>40460</v>
      </c>
      <c r="B1929" s="2" t="inlineStr">
        <is>
          <t xml:space="preserve">2010-10</t>
        </is>
      </c>
      <c r="C1929" s="2" t="inlineStr">
        <is>
          <t xml:space="preserve">2010/11</t>
        </is>
      </c>
      <c r="D1929">
        <v>0.0</v>
      </c>
      <c r="E1929">
        <v>18.63</v>
      </c>
      <c r="F1929">
        <v>23.88</v>
      </c>
      <c r="G1929">
        <v>15.08</v>
      </c>
      <c r="H1929">
        <v>0.2</v>
      </c>
      <c r="I1929">
        <v>0.0</v>
      </c>
      <c r="J1929">
        <v>18.77</v>
      </c>
      <c r="K1929">
        <v>23.5</v>
      </c>
      <c r="L1929">
        <v>15.62</v>
      </c>
      <c r="M1929">
        <v>0.05</v>
      </c>
      <c r="N1929">
        <v>0.0</v>
      </c>
      <c r="O1929">
        <v>19.33</v>
      </c>
      <c r="P1929">
        <v>23.83</v>
      </c>
      <c r="Q1929">
        <v>15.98</v>
      </c>
      <c r="R1929">
        <v>0.17</v>
      </c>
    </row>
    <row r="1930">
      <c r="A1930" s="9">
        <v>40461</v>
      </c>
      <c r="B1930" s="2" t="inlineStr">
        <is>
          <t xml:space="preserve">2010-10</t>
        </is>
      </c>
      <c r="C1930" s="2" t="inlineStr">
        <is>
          <t xml:space="preserve">2010/11</t>
        </is>
      </c>
      <c r="D1930">
        <v>0.0</v>
      </c>
      <c r="E1930">
        <v>19.33</v>
      </c>
      <c r="F1930">
        <v>24.78</v>
      </c>
      <c r="G1930">
        <v>14.93</v>
      </c>
      <c r="H1930">
        <v>0.08</v>
      </c>
      <c r="I1930">
        <v>0.0</v>
      </c>
      <c r="J1930">
        <v>19.34</v>
      </c>
      <c r="K1930">
        <v>24.62</v>
      </c>
      <c r="L1930">
        <v>15.26</v>
      </c>
      <c r="M1930">
        <v>0.06</v>
      </c>
      <c r="N1930">
        <v>0.0</v>
      </c>
      <c r="O1930">
        <v>19.54</v>
      </c>
      <c r="P1930">
        <v>24.23</v>
      </c>
      <c r="Q1930">
        <v>15.7</v>
      </c>
      <c r="R1930">
        <v>0.21</v>
      </c>
    </row>
    <row r="1931">
      <c r="A1931" s="9">
        <v>40462</v>
      </c>
      <c r="B1931" s="2" t="inlineStr">
        <is>
          <t xml:space="preserve">2010-10</t>
        </is>
      </c>
      <c r="C1931" s="2" t="inlineStr">
        <is>
          <t xml:space="preserve">2010/11</t>
        </is>
      </c>
      <c r="D1931">
        <v>0.0</v>
      </c>
      <c r="E1931">
        <v>20.0</v>
      </c>
      <c r="F1931">
        <v>24.79</v>
      </c>
      <c r="G1931">
        <v>16.32</v>
      </c>
      <c r="H1931">
        <v>0.26</v>
      </c>
      <c r="I1931">
        <v>0.0</v>
      </c>
      <c r="J1931">
        <v>20.81</v>
      </c>
      <c r="K1931">
        <v>26.07</v>
      </c>
      <c r="L1931">
        <v>16.54</v>
      </c>
      <c r="M1931">
        <v>0.22</v>
      </c>
      <c r="N1931">
        <v>0.127</v>
      </c>
      <c r="O1931">
        <v>20.85</v>
      </c>
      <c r="P1931">
        <v>25.86</v>
      </c>
      <c r="Q1931">
        <v>17.07</v>
      </c>
      <c r="R1931">
        <v>0.86</v>
      </c>
    </row>
    <row r="1932">
      <c r="A1932" s="9">
        <v>40463</v>
      </c>
      <c r="B1932" s="2" t="inlineStr">
        <is>
          <t xml:space="preserve">2010-10</t>
        </is>
      </c>
      <c r="C1932" s="2" t="inlineStr">
        <is>
          <t xml:space="preserve">2010/11</t>
        </is>
      </c>
      <c r="D1932">
        <v>0.0</v>
      </c>
      <c r="E1932">
        <v>20.69</v>
      </c>
      <c r="F1932">
        <v>25.71</v>
      </c>
      <c r="G1932">
        <v>16.59</v>
      </c>
      <c r="H1932">
        <v>0.05</v>
      </c>
      <c r="I1932">
        <v>0.0</v>
      </c>
      <c r="J1932">
        <v>21.14</v>
      </c>
      <c r="K1932">
        <v>26.53</v>
      </c>
      <c r="L1932">
        <v>16.71</v>
      </c>
      <c r="M1932">
        <v>0.16</v>
      </c>
      <c r="N1932">
        <v>0.0</v>
      </c>
      <c r="O1932">
        <v>21.27</v>
      </c>
      <c r="P1932">
        <v>26.14</v>
      </c>
      <c r="Q1932">
        <v>17.73</v>
      </c>
      <c r="R1932">
        <v>0.11</v>
      </c>
    </row>
    <row r="1933">
      <c r="A1933" s="9">
        <v>40464</v>
      </c>
      <c r="B1933" s="2" t="inlineStr">
        <is>
          <t xml:space="preserve">2010-10</t>
        </is>
      </c>
      <c r="C1933" s="2" t="inlineStr">
        <is>
          <t xml:space="preserve">2010/11</t>
        </is>
      </c>
      <c r="D1933">
        <v>0.0</v>
      </c>
      <c r="E1933">
        <v>19.9</v>
      </c>
      <c r="F1933">
        <v>23.3</v>
      </c>
      <c r="G1933">
        <v>17.41</v>
      </c>
      <c r="H1933">
        <v>0.31</v>
      </c>
      <c r="I1933">
        <v>0.137</v>
      </c>
      <c r="J1933">
        <v>20.25</v>
      </c>
      <c r="K1933">
        <v>23.81</v>
      </c>
      <c r="L1933">
        <v>17.48</v>
      </c>
      <c r="M1933">
        <v>0.28</v>
      </c>
      <c r="N1933">
        <v>1.32</v>
      </c>
      <c r="O1933">
        <v>20.53</v>
      </c>
      <c r="P1933">
        <v>24.19</v>
      </c>
      <c r="Q1933">
        <v>18.35</v>
      </c>
      <c r="R1933">
        <v>0.44</v>
      </c>
    </row>
    <row r="1934">
      <c r="A1934" s="9">
        <v>40465</v>
      </c>
      <c r="B1934" s="2" t="inlineStr">
        <is>
          <t xml:space="preserve">2010-10</t>
        </is>
      </c>
      <c r="C1934" s="2" t="inlineStr">
        <is>
          <t xml:space="preserve">2010/11</t>
        </is>
      </c>
      <c r="D1934">
        <v>0.0</v>
      </c>
      <c r="E1934">
        <v>19.38</v>
      </c>
      <c r="F1934">
        <v>23.44</v>
      </c>
      <c r="G1934">
        <v>16.42</v>
      </c>
      <c r="H1934">
        <v>1.2</v>
      </c>
      <c r="I1934">
        <v>0.0</v>
      </c>
      <c r="J1934">
        <v>19.4</v>
      </c>
      <c r="K1934">
        <v>22.91</v>
      </c>
      <c r="L1934">
        <v>16.82</v>
      </c>
      <c r="M1934">
        <v>0.2</v>
      </c>
      <c r="N1934">
        <v>0.0</v>
      </c>
      <c r="O1934">
        <v>20.25</v>
      </c>
      <c r="P1934">
        <v>23.9</v>
      </c>
      <c r="Q1934">
        <v>17.47</v>
      </c>
      <c r="R1934">
        <v>0.42</v>
      </c>
    </row>
    <row r="1935">
      <c r="A1935" s="9">
        <v>40466</v>
      </c>
      <c r="B1935" s="2" t="inlineStr">
        <is>
          <t xml:space="preserve">2010-10</t>
        </is>
      </c>
      <c r="C1935" s="2" t="inlineStr">
        <is>
          <t xml:space="preserve">2010/11</t>
        </is>
      </c>
      <c r="D1935">
        <v>0.0</v>
      </c>
      <c r="E1935">
        <v>19.3</v>
      </c>
      <c r="F1935">
        <v>23.57</v>
      </c>
      <c r="G1935">
        <v>17.1</v>
      </c>
      <c r="H1935">
        <v>2.7</v>
      </c>
      <c r="I1935">
        <v>0.137</v>
      </c>
      <c r="J1935">
        <v>19.05</v>
      </c>
      <c r="K1935">
        <v>23.14</v>
      </c>
      <c r="L1935">
        <v>16.34</v>
      </c>
      <c r="M1935">
        <v>0.35</v>
      </c>
      <c r="N1935">
        <v>1.307</v>
      </c>
      <c r="O1935">
        <v>19.88</v>
      </c>
      <c r="P1935">
        <v>23.7</v>
      </c>
      <c r="Q1935">
        <v>17.41</v>
      </c>
      <c r="R1935">
        <v>0.52</v>
      </c>
    </row>
    <row r="1936">
      <c r="A1936" s="9">
        <v>40467</v>
      </c>
      <c r="B1936" s="2" t="inlineStr">
        <is>
          <t xml:space="preserve">2010-10</t>
        </is>
      </c>
      <c r="C1936" s="2" t="inlineStr">
        <is>
          <t xml:space="preserve">2010/11</t>
        </is>
      </c>
      <c r="D1936">
        <v>0.022</v>
      </c>
      <c r="E1936">
        <v>19.29</v>
      </c>
      <c r="F1936">
        <v>22.92</v>
      </c>
      <c r="G1936">
        <v>16.7</v>
      </c>
      <c r="H1936">
        <v>2.29</v>
      </c>
      <c r="I1936">
        <v>0.111</v>
      </c>
      <c r="J1936">
        <v>19.71</v>
      </c>
      <c r="K1936">
        <v>24.25</v>
      </c>
      <c r="L1936">
        <v>16.87</v>
      </c>
      <c r="M1936">
        <v>0.37</v>
      </c>
      <c r="N1936">
        <v>1.07</v>
      </c>
      <c r="O1936">
        <v>20.18</v>
      </c>
      <c r="P1936">
        <v>24.37</v>
      </c>
      <c r="Q1936">
        <v>17.45</v>
      </c>
      <c r="R1936">
        <v>0.4</v>
      </c>
    </row>
    <row r="1937">
      <c r="A1937" s="9">
        <v>40468</v>
      </c>
      <c r="B1937" s="2" t="inlineStr">
        <is>
          <t xml:space="preserve">2010-10</t>
        </is>
      </c>
      <c r="C1937" s="2" t="inlineStr">
        <is>
          <t xml:space="preserve">2010/11</t>
        </is>
      </c>
      <c r="D1937">
        <v>0.0</v>
      </c>
      <c r="E1937">
        <v>19.83</v>
      </c>
      <c r="F1937">
        <v>24.16</v>
      </c>
      <c r="G1937">
        <v>16.95</v>
      </c>
      <c r="H1937">
        <v>0.99</v>
      </c>
      <c r="I1937">
        <v>0.906</v>
      </c>
      <c r="J1937">
        <v>20.08</v>
      </c>
      <c r="K1937">
        <v>24.62</v>
      </c>
      <c r="L1937">
        <v>16.98</v>
      </c>
      <c r="M1937">
        <v>1.43</v>
      </c>
      <c r="N1937">
        <v>3.41</v>
      </c>
      <c r="O1937">
        <v>20.06</v>
      </c>
      <c r="P1937">
        <v>23.82</v>
      </c>
      <c r="Q1937">
        <v>17.19</v>
      </c>
      <c r="R1937">
        <v>1.91</v>
      </c>
    </row>
    <row r="1938">
      <c r="A1938" s="9">
        <v>40469</v>
      </c>
      <c r="B1938" s="2" t="inlineStr">
        <is>
          <t xml:space="preserve">2010-10</t>
        </is>
      </c>
      <c r="C1938" s="2" t="inlineStr">
        <is>
          <t xml:space="preserve">2010/11</t>
        </is>
      </c>
      <c r="D1938">
        <v>0.0</v>
      </c>
      <c r="E1938">
        <v>19.44</v>
      </c>
      <c r="F1938">
        <v>24.1</v>
      </c>
      <c r="G1938">
        <v>15.78</v>
      </c>
      <c r="H1938">
        <v>0.31</v>
      </c>
      <c r="I1938">
        <v>0.0</v>
      </c>
      <c r="J1938">
        <v>20.39</v>
      </c>
      <c r="K1938">
        <v>25.29</v>
      </c>
      <c r="L1938">
        <v>16.87</v>
      </c>
      <c r="M1938">
        <v>1.53</v>
      </c>
      <c r="N1938">
        <v>0.0</v>
      </c>
      <c r="O1938">
        <v>20.68</v>
      </c>
      <c r="P1938">
        <v>25.05</v>
      </c>
      <c r="Q1938">
        <v>17.97</v>
      </c>
      <c r="R1938">
        <v>0.41</v>
      </c>
    </row>
    <row r="1939">
      <c r="A1939" s="9">
        <v>40470</v>
      </c>
      <c r="B1939" s="2" t="inlineStr">
        <is>
          <t xml:space="preserve">2010-10</t>
        </is>
      </c>
      <c r="C1939" s="2" t="inlineStr">
        <is>
          <t xml:space="preserve">2010/11</t>
        </is>
      </c>
      <c r="D1939">
        <v>0.0</v>
      </c>
      <c r="E1939">
        <v>19.87</v>
      </c>
      <c r="F1939">
        <v>25.07</v>
      </c>
      <c r="G1939">
        <v>15.69</v>
      </c>
      <c r="H1939">
        <v>2.46</v>
      </c>
      <c r="I1939">
        <v>5.362</v>
      </c>
      <c r="J1939">
        <v>20.86</v>
      </c>
      <c r="K1939">
        <v>26.2</v>
      </c>
      <c r="L1939">
        <v>16.19</v>
      </c>
      <c r="M1939">
        <v>1.52</v>
      </c>
      <c r="N1939">
        <v>0.233</v>
      </c>
      <c r="O1939">
        <v>20.86</v>
      </c>
      <c r="P1939">
        <v>25.72</v>
      </c>
      <c r="Q1939">
        <v>17.31</v>
      </c>
      <c r="R1939">
        <v>0.63</v>
      </c>
    </row>
    <row r="1940">
      <c r="A1940" s="9">
        <v>40471</v>
      </c>
      <c r="B1940" s="2" t="inlineStr">
        <is>
          <t xml:space="preserve">2010-10</t>
        </is>
      </c>
      <c r="C1940" s="2" t="inlineStr">
        <is>
          <t xml:space="preserve">2010/11</t>
        </is>
      </c>
      <c r="D1940">
        <v>0.973</v>
      </c>
      <c r="E1940">
        <v>20.01</v>
      </c>
      <c r="F1940">
        <v>25.33</v>
      </c>
      <c r="G1940">
        <v>15.85</v>
      </c>
      <c r="H1940">
        <v>1.14</v>
      </c>
      <c r="I1940">
        <v>0.0</v>
      </c>
      <c r="J1940">
        <v>20.66</v>
      </c>
      <c r="K1940">
        <v>25.94</v>
      </c>
      <c r="L1940">
        <v>16.25</v>
      </c>
      <c r="M1940">
        <v>0.15</v>
      </c>
      <c r="N1940">
        <v>0.0</v>
      </c>
      <c r="O1940">
        <v>20.93</v>
      </c>
      <c r="P1940">
        <v>25.77</v>
      </c>
      <c r="Q1940">
        <v>17.4</v>
      </c>
      <c r="R1940">
        <v>0.66</v>
      </c>
    </row>
    <row r="1941">
      <c r="A1941" s="9">
        <v>40472</v>
      </c>
      <c r="B1941" s="2" t="inlineStr">
        <is>
          <t xml:space="preserve">2010-10</t>
        </is>
      </c>
      <c r="C1941" s="2" t="inlineStr">
        <is>
          <t xml:space="preserve">2010/11</t>
        </is>
      </c>
      <c r="D1941">
        <v>0.0</v>
      </c>
      <c r="E1941">
        <v>19.99</v>
      </c>
      <c r="F1941">
        <v>24.81</v>
      </c>
      <c r="G1941">
        <v>16.23</v>
      </c>
      <c r="H1941">
        <v>0.33</v>
      </c>
      <c r="I1941">
        <v>0.0</v>
      </c>
      <c r="J1941">
        <v>20.55</v>
      </c>
      <c r="K1941">
        <v>25.53</v>
      </c>
      <c r="L1941">
        <v>16.27</v>
      </c>
      <c r="M1941">
        <v>0.62</v>
      </c>
      <c r="N1941">
        <v>0.272</v>
      </c>
      <c r="O1941">
        <v>20.54</v>
      </c>
      <c r="P1941">
        <v>25.18</v>
      </c>
      <c r="Q1941">
        <v>17.46</v>
      </c>
      <c r="R1941">
        <v>1.99</v>
      </c>
    </row>
    <row r="1942">
      <c r="A1942" s="9">
        <v>40473</v>
      </c>
      <c r="B1942" s="2" t="inlineStr">
        <is>
          <t xml:space="preserve">2010-10</t>
        </is>
      </c>
      <c r="C1942" s="2" t="inlineStr">
        <is>
          <t xml:space="preserve">2010/11</t>
        </is>
      </c>
      <c r="D1942">
        <v>0.087</v>
      </c>
      <c r="E1942">
        <v>19.42</v>
      </c>
      <c r="F1942">
        <v>24.04</v>
      </c>
      <c r="G1942">
        <v>16.12</v>
      </c>
      <c r="H1942">
        <v>0.17</v>
      </c>
      <c r="I1942">
        <v>0.057</v>
      </c>
      <c r="J1942">
        <v>19.93</v>
      </c>
      <c r="K1942">
        <v>24.55</v>
      </c>
      <c r="L1942">
        <v>16.44</v>
      </c>
      <c r="M1942">
        <v>0.1</v>
      </c>
      <c r="N1942">
        <v>0.584</v>
      </c>
      <c r="O1942">
        <v>19.95</v>
      </c>
      <c r="P1942">
        <v>24.65</v>
      </c>
      <c r="Q1942">
        <v>16.73</v>
      </c>
      <c r="R1942">
        <v>0.15</v>
      </c>
    </row>
    <row r="1943">
      <c r="A1943" s="9">
        <v>40474</v>
      </c>
      <c r="B1943" s="2" t="inlineStr">
        <is>
          <t xml:space="preserve">2010-10</t>
        </is>
      </c>
      <c r="C1943" s="2" t="inlineStr">
        <is>
          <t xml:space="preserve">2010/11</t>
        </is>
      </c>
      <c r="D1943">
        <v>0.0</v>
      </c>
      <c r="E1943">
        <v>20.14</v>
      </c>
      <c r="F1943">
        <v>24.86</v>
      </c>
      <c r="G1943">
        <v>15.98</v>
      </c>
      <c r="H1943">
        <v>1.13</v>
      </c>
      <c r="I1943">
        <v>0.0</v>
      </c>
      <c r="J1943">
        <v>20.36</v>
      </c>
      <c r="K1943">
        <v>25.99</v>
      </c>
      <c r="L1943">
        <v>15.53</v>
      </c>
      <c r="M1943">
        <v>0.01</v>
      </c>
      <c r="N1943">
        <v>0.0</v>
      </c>
      <c r="O1943">
        <v>20.71</v>
      </c>
      <c r="P1943">
        <v>25.5</v>
      </c>
      <c r="Q1943">
        <v>16.94</v>
      </c>
      <c r="R1943">
        <v>0.06</v>
      </c>
    </row>
    <row r="1944">
      <c r="A1944" s="9">
        <v>40475</v>
      </c>
      <c r="B1944" s="2" t="inlineStr">
        <is>
          <t xml:space="preserve">2010-10</t>
        </is>
      </c>
      <c r="C1944" s="2" t="inlineStr">
        <is>
          <t xml:space="preserve">2010/11</t>
        </is>
      </c>
      <c r="D1944">
        <v>0.0</v>
      </c>
      <c r="E1944">
        <v>20.93</v>
      </c>
      <c r="F1944">
        <v>25.52</v>
      </c>
      <c r="G1944">
        <v>16.91</v>
      </c>
      <c r="H1944">
        <v>0.1</v>
      </c>
      <c r="I1944">
        <v>0.0</v>
      </c>
      <c r="J1944">
        <v>21.21</v>
      </c>
      <c r="K1944">
        <v>25.55</v>
      </c>
      <c r="L1944">
        <v>17.59</v>
      </c>
      <c r="M1944">
        <v>0.0</v>
      </c>
      <c r="N1944">
        <v>0.0</v>
      </c>
      <c r="O1944">
        <v>21.33</v>
      </c>
      <c r="P1944">
        <v>25.33</v>
      </c>
      <c r="Q1944">
        <v>18.13</v>
      </c>
      <c r="R1944">
        <v>0.22</v>
      </c>
    </row>
    <row r="1945">
      <c r="A1945" s="9">
        <v>40476</v>
      </c>
      <c r="B1945" s="2" t="inlineStr">
        <is>
          <t xml:space="preserve">2010-10</t>
        </is>
      </c>
      <c r="C1945" s="2" t="inlineStr">
        <is>
          <t xml:space="preserve">2010/11</t>
        </is>
      </c>
      <c r="D1945">
        <v>0.0</v>
      </c>
      <c r="E1945">
        <v>21.37</v>
      </c>
      <c r="F1945">
        <v>26.17</v>
      </c>
      <c r="G1945">
        <v>17.89</v>
      </c>
      <c r="H1945">
        <v>0.12</v>
      </c>
      <c r="I1945">
        <v>0.0</v>
      </c>
      <c r="J1945">
        <v>21.16</v>
      </c>
      <c r="K1945">
        <v>24.82</v>
      </c>
      <c r="L1945">
        <v>18.82</v>
      </c>
      <c r="M1945">
        <v>0.0</v>
      </c>
      <c r="N1945">
        <v>0.0</v>
      </c>
      <c r="O1945">
        <v>22.39</v>
      </c>
      <c r="P1945">
        <v>26.61</v>
      </c>
      <c r="Q1945">
        <v>19.57</v>
      </c>
      <c r="R1945">
        <v>0.36</v>
      </c>
    </row>
    <row r="1946">
      <c r="A1946" s="9">
        <v>40477</v>
      </c>
      <c r="B1946" s="2" t="inlineStr">
        <is>
          <t xml:space="preserve">2010-10</t>
        </is>
      </c>
      <c r="C1946" s="2" t="inlineStr">
        <is>
          <t xml:space="preserve">2010/11</t>
        </is>
      </c>
      <c r="D1946">
        <v>0.024</v>
      </c>
      <c r="E1946">
        <v>21.71</v>
      </c>
      <c r="F1946">
        <v>27.37</v>
      </c>
      <c r="G1946">
        <v>17.17</v>
      </c>
      <c r="H1946">
        <v>0.36</v>
      </c>
      <c r="I1946">
        <v>0.0</v>
      </c>
      <c r="J1946">
        <v>21.73</v>
      </c>
      <c r="K1946">
        <v>26.83</v>
      </c>
      <c r="L1946">
        <v>18.08</v>
      </c>
      <c r="M1946">
        <v>0.0</v>
      </c>
      <c r="N1946">
        <v>0.0</v>
      </c>
      <c r="O1946">
        <v>23.41</v>
      </c>
      <c r="P1946">
        <v>28.63</v>
      </c>
      <c r="Q1946">
        <v>19.15</v>
      </c>
      <c r="R1946">
        <v>0.13</v>
      </c>
    </row>
    <row r="1947">
      <c r="A1947" s="9">
        <v>40478</v>
      </c>
      <c r="B1947" s="2" t="inlineStr">
        <is>
          <t xml:space="preserve">2010-10</t>
        </is>
      </c>
      <c r="C1947" s="2" t="inlineStr">
        <is>
          <t xml:space="preserve">2010/11</t>
        </is>
      </c>
      <c r="D1947">
        <v>0.041</v>
      </c>
      <c r="E1947">
        <v>21.87</v>
      </c>
      <c r="F1947">
        <v>26.23</v>
      </c>
      <c r="G1947">
        <v>18.49</v>
      </c>
      <c r="H1947">
        <v>0.6</v>
      </c>
      <c r="I1947">
        <v>0.0</v>
      </c>
      <c r="J1947">
        <v>22.45</v>
      </c>
      <c r="K1947">
        <v>26.76</v>
      </c>
      <c r="L1947">
        <v>18.47</v>
      </c>
      <c r="M1947">
        <v>0.18</v>
      </c>
      <c r="N1947">
        <v>0.0</v>
      </c>
      <c r="O1947">
        <v>23.17</v>
      </c>
      <c r="P1947">
        <v>27.65</v>
      </c>
      <c r="Q1947">
        <v>19.77</v>
      </c>
      <c r="R1947">
        <v>0.69</v>
      </c>
    </row>
    <row r="1948">
      <c r="A1948" s="9">
        <v>40479</v>
      </c>
      <c r="B1948" s="2" t="inlineStr">
        <is>
          <t xml:space="preserve">2010-10</t>
        </is>
      </c>
      <c r="C1948" s="2" t="inlineStr">
        <is>
          <t xml:space="preserve">2010/11</t>
        </is>
      </c>
      <c r="D1948">
        <v>0.0</v>
      </c>
      <c r="E1948">
        <v>20.97</v>
      </c>
      <c r="F1948">
        <v>26.03</v>
      </c>
      <c r="G1948">
        <v>17.1</v>
      </c>
      <c r="H1948">
        <v>1.2</v>
      </c>
      <c r="I1948">
        <v>0.02</v>
      </c>
      <c r="J1948">
        <v>21.89</v>
      </c>
      <c r="K1948">
        <v>25.43</v>
      </c>
      <c r="L1948">
        <v>19.26</v>
      </c>
      <c r="M1948">
        <v>1.37</v>
      </c>
      <c r="N1948">
        <v>0.152</v>
      </c>
      <c r="O1948">
        <v>22.24</v>
      </c>
      <c r="P1948">
        <v>25.53</v>
      </c>
      <c r="Q1948">
        <v>20.35</v>
      </c>
      <c r="R1948">
        <v>3.59</v>
      </c>
    </row>
    <row r="1949">
      <c r="A1949" s="9">
        <v>40480</v>
      </c>
      <c r="B1949" s="2" t="inlineStr">
        <is>
          <t xml:space="preserve">2010-10</t>
        </is>
      </c>
      <c r="C1949" s="2" t="inlineStr">
        <is>
          <t xml:space="preserve">2010/11</t>
        </is>
      </c>
      <c r="D1949">
        <v>0.734</v>
      </c>
      <c r="E1949">
        <v>19.74</v>
      </c>
      <c r="F1949">
        <v>23.18</v>
      </c>
      <c r="G1949">
        <v>17.22</v>
      </c>
      <c r="H1949">
        <v>1.46</v>
      </c>
      <c r="I1949">
        <v>3.779</v>
      </c>
      <c r="J1949">
        <v>20.15</v>
      </c>
      <c r="K1949">
        <v>23.84</v>
      </c>
      <c r="L1949">
        <v>17.99</v>
      </c>
      <c r="M1949">
        <v>2.99</v>
      </c>
      <c r="N1949">
        <v>1.102</v>
      </c>
      <c r="O1949">
        <v>20.29</v>
      </c>
      <c r="P1949">
        <v>22.74</v>
      </c>
      <c r="Q1949">
        <v>18.64</v>
      </c>
      <c r="R1949">
        <v>5.56</v>
      </c>
    </row>
    <row r="1950">
      <c r="A1950" s="9">
        <v>40481</v>
      </c>
      <c r="B1950" s="2" t="inlineStr">
        <is>
          <t xml:space="preserve">2010-10</t>
        </is>
      </c>
      <c r="C1950" s="2" t="inlineStr">
        <is>
          <t xml:space="preserve">2010/11</t>
        </is>
      </c>
      <c r="D1950">
        <v>0.127</v>
      </c>
      <c r="E1950">
        <v>19.3</v>
      </c>
      <c r="F1950">
        <v>24.31</v>
      </c>
      <c r="G1950">
        <v>16.09</v>
      </c>
      <c r="H1950">
        <v>0.24</v>
      </c>
      <c r="I1950">
        <v>0.475</v>
      </c>
      <c r="J1950">
        <v>19.64</v>
      </c>
      <c r="K1950">
        <v>24.24</v>
      </c>
      <c r="L1950">
        <v>16.42</v>
      </c>
      <c r="M1950">
        <v>1.14</v>
      </c>
      <c r="N1950">
        <v>2.024</v>
      </c>
      <c r="O1950">
        <v>19.95</v>
      </c>
      <c r="P1950">
        <v>24.04</v>
      </c>
      <c r="Q1950">
        <v>17.36</v>
      </c>
      <c r="R1950">
        <v>2.9</v>
      </c>
    </row>
    <row r="1951">
      <c r="A1951" s="9">
        <v>40482</v>
      </c>
      <c r="B1951" s="2" t="inlineStr">
        <is>
          <t xml:space="preserve">2010-10</t>
        </is>
      </c>
      <c r="C1951" s="2" t="inlineStr">
        <is>
          <t xml:space="preserve">2010/11</t>
        </is>
      </c>
      <c r="D1951">
        <v>0.0</v>
      </c>
      <c r="E1951">
        <v>19.72</v>
      </c>
      <c r="F1951">
        <v>24.92</v>
      </c>
      <c r="G1951">
        <v>15.34</v>
      </c>
      <c r="H1951">
        <v>0.05</v>
      </c>
      <c r="I1951">
        <v>0.0</v>
      </c>
      <c r="J1951">
        <v>19.75</v>
      </c>
      <c r="K1951">
        <v>25.06</v>
      </c>
      <c r="L1951">
        <v>15.56</v>
      </c>
      <c r="M1951">
        <v>0.32</v>
      </c>
      <c r="N1951">
        <v>0.166</v>
      </c>
      <c r="O1951">
        <v>20.11</v>
      </c>
      <c r="P1951">
        <v>24.85</v>
      </c>
      <c r="Q1951">
        <v>16.42</v>
      </c>
      <c r="R1951">
        <v>1.27</v>
      </c>
    </row>
    <row r="1952">
      <c r="A1952" s="9">
        <v>40483</v>
      </c>
      <c r="B1952" s="2" t="inlineStr">
        <is>
          <t xml:space="preserve">2010-11</t>
        </is>
      </c>
      <c r="C1952" s="2" t="inlineStr">
        <is>
          <t xml:space="preserve">2010/11</t>
        </is>
      </c>
      <c r="D1952">
        <v>0.0</v>
      </c>
      <c r="E1952">
        <v>20.75</v>
      </c>
      <c r="F1952">
        <v>25.62</v>
      </c>
      <c r="G1952">
        <v>17.15</v>
      </c>
      <c r="H1952">
        <v>0.2</v>
      </c>
      <c r="I1952">
        <v>0.0</v>
      </c>
      <c r="J1952">
        <v>20.87</v>
      </c>
      <c r="K1952">
        <v>25.99</v>
      </c>
      <c r="L1952">
        <v>16.63</v>
      </c>
      <c r="M1952">
        <v>0.08</v>
      </c>
      <c r="N1952">
        <v>0.0</v>
      </c>
      <c r="O1952">
        <v>21.29</v>
      </c>
      <c r="P1952">
        <v>26.02</v>
      </c>
      <c r="Q1952">
        <v>17.52</v>
      </c>
      <c r="R1952">
        <v>0.33</v>
      </c>
    </row>
    <row r="1953">
      <c r="A1953" s="9">
        <v>40484</v>
      </c>
      <c r="B1953" s="2" t="inlineStr">
        <is>
          <t xml:space="preserve">2010-11</t>
        </is>
      </c>
      <c r="C1953" s="2" t="inlineStr">
        <is>
          <t xml:space="preserve">2010/11</t>
        </is>
      </c>
      <c r="D1953">
        <v>0.0</v>
      </c>
      <c r="E1953">
        <v>21.17</v>
      </c>
      <c r="F1953">
        <v>25.69</v>
      </c>
      <c r="G1953">
        <v>17.73</v>
      </c>
      <c r="H1953">
        <v>0.83</v>
      </c>
      <c r="I1953">
        <v>0.0</v>
      </c>
      <c r="J1953">
        <v>21.55</v>
      </c>
      <c r="K1953">
        <v>26.23</v>
      </c>
      <c r="L1953">
        <v>17.56</v>
      </c>
      <c r="M1953">
        <v>0.23</v>
      </c>
      <c r="N1953">
        <v>0.121</v>
      </c>
      <c r="O1953">
        <v>21.38</v>
      </c>
      <c r="P1953">
        <v>25.33</v>
      </c>
      <c r="Q1953">
        <v>18.78</v>
      </c>
      <c r="R1953">
        <v>0.65</v>
      </c>
    </row>
    <row r="1954">
      <c r="A1954" s="9">
        <v>40485</v>
      </c>
      <c r="B1954" s="2" t="inlineStr">
        <is>
          <t xml:space="preserve">2010-11</t>
        </is>
      </c>
      <c r="C1954" s="2" t="inlineStr">
        <is>
          <t xml:space="preserve">2010/11</t>
        </is>
      </c>
      <c r="D1954">
        <v>1.291</v>
      </c>
      <c r="E1954">
        <v>20.85</v>
      </c>
      <c r="F1954">
        <v>24.22</v>
      </c>
      <c r="G1954">
        <v>18.52</v>
      </c>
      <c r="H1954">
        <v>2.11</v>
      </c>
      <c r="I1954">
        <v>0.0</v>
      </c>
      <c r="J1954">
        <v>21.51</v>
      </c>
      <c r="K1954">
        <v>26.11</v>
      </c>
      <c r="L1954">
        <v>17.63</v>
      </c>
      <c r="M1954">
        <v>0.66</v>
      </c>
      <c r="N1954">
        <v>0.0</v>
      </c>
      <c r="O1954">
        <v>21.73</v>
      </c>
      <c r="P1954">
        <v>26.3</v>
      </c>
      <c r="Q1954">
        <v>18.81</v>
      </c>
      <c r="R1954">
        <v>0.5</v>
      </c>
    </row>
    <row r="1955">
      <c r="A1955" s="9">
        <v>40486</v>
      </c>
      <c r="B1955" s="2" t="inlineStr">
        <is>
          <t xml:space="preserve">2010-11</t>
        </is>
      </c>
      <c r="C1955" s="2" t="inlineStr">
        <is>
          <t xml:space="preserve">2010/11</t>
        </is>
      </c>
      <c r="D1955">
        <v>0.682</v>
      </c>
      <c r="E1955">
        <v>17.99</v>
      </c>
      <c r="F1955">
        <v>20.59</v>
      </c>
      <c r="G1955">
        <v>14.48</v>
      </c>
      <c r="H1955">
        <v>1.79</v>
      </c>
      <c r="I1955">
        <v>1.575</v>
      </c>
      <c r="J1955">
        <v>18.07</v>
      </c>
      <c r="K1955">
        <v>21.42</v>
      </c>
      <c r="L1955">
        <v>14.35</v>
      </c>
      <c r="M1955">
        <v>0.29</v>
      </c>
      <c r="N1955">
        <v>0.79</v>
      </c>
      <c r="O1955">
        <v>18.51</v>
      </c>
      <c r="P1955">
        <v>21.21</v>
      </c>
      <c r="Q1955">
        <v>14.72</v>
      </c>
      <c r="R1955">
        <v>0.36</v>
      </c>
    </row>
    <row r="1956">
      <c r="A1956" s="9">
        <v>40487</v>
      </c>
      <c r="B1956" s="2" t="inlineStr">
        <is>
          <t xml:space="preserve">2010-11</t>
        </is>
      </c>
      <c r="C1956" s="2" t="inlineStr">
        <is>
          <t xml:space="preserve">2010/11</t>
        </is>
      </c>
      <c r="D1956">
        <v>0.0</v>
      </c>
      <c r="E1956">
        <v>16.49</v>
      </c>
      <c r="F1956">
        <v>21.35</v>
      </c>
      <c r="G1956">
        <v>12.75</v>
      </c>
      <c r="H1956">
        <v>0.5</v>
      </c>
      <c r="I1956">
        <v>0.086</v>
      </c>
      <c r="J1956">
        <v>17.06</v>
      </c>
      <c r="K1956">
        <v>21.8</v>
      </c>
      <c r="L1956">
        <v>13.53</v>
      </c>
      <c r="M1956">
        <v>0.94</v>
      </c>
      <c r="N1956">
        <v>0.837</v>
      </c>
      <c r="O1956">
        <v>17.57</v>
      </c>
      <c r="P1956">
        <v>21.94</v>
      </c>
      <c r="Q1956">
        <v>14.07</v>
      </c>
      <c r="R1956">
        <v>1.63</v>
      </c>
    </row>
    <row r="1957">
      <c r="A1957" s="9">
        <v>40488</v>
      </c>
      <c r="B1957" s="2" t="inlineStr">
        <is>
          <t xml:space="preserve">2010-11</t>
        </is>
      </c>
      <c r="C1957" s="2" t="inlineStr">
        <is>
          <t xml:space="preserve">2010/11</t>
        </is>
      </c>
      <c r="D1957">
        <v>0.0</v>
      </c>
      <c r="E1957">
        <v>15.0</v>
      </c>
      <c r="F1957">
        <v>19.26</v>
      </c>
      <c r="G1957">
        <v>11.03</v>
      </c>
      <c r="H1957">
        <v>1.02</v>
      </c>
      <c r="I1957">
        <v>0.951</v>
      </c>
      <c r="J1957">
        <v>15.09</v>
      </c>
      <c r="K1957">
        <v>19.21</v>
      </c>
      <c r="L1957">
        <v>12.66</v>
      </c>
      <c r="M1957">
        <v>0.83</v>
      </c>
      <c r="N1957">
        <v>3.485</v>
      </c>
      <c r="O1957">
        <v>15.36</v>
      </c>
      <c r="P1957">
        <v>19.23</v>
      </c>
      <c r="Q1957">
        <v>13.22</v>
      </c>
      <c r="R1957">
        <v>0.9</v>
      </c>
    </row>
    <row r="1958">
      <c r="A1958" s="9">
        <v>40489</v>
      </c>
      <c r="B1958" s="2" t="inlineStr">
        <is>
          <t xml:space="preserve">2010-11</t>
        </is>
      </c>
      <c r="C1958" s="2" t="inlineStr">
        <is>
          <t xml:space="preserve">2010/11</t>
        </is>
      </c>
      <c r="D1958">
        <v>0.0</v>
      </c>
      <c r="E1958">
        <v>14.65</v>
      </c>
      <c r="F1958">
        <v>19.45</v>
      </c>
      <c r="G1958">
        <v>11.21</v>
      </c>
      <c r="H1958">
        <v>0.12</v>
      </c>
      <c r="I1958">
        <v>0.0</v>
      </c>
      <c r="J1958">
        <v>14.95</v>
      </c>
      <c r="K1958">
        <v>19.1</v>
      </c>
      <c r="L1958">
        <v>12.06</v>
      </c>
      <c r="M1958">
        <v>0.0</v>
      </c>
      <c r="N1958">
        <v>0.0</v>
      </c>
      <c r="O1958">
        <v>14.97</v>
      </c>
      <c r="P1958">
        <v>18.33</v>
      </c>
      <c r="Q1958">
        <v>12.25</v>
      </c>
      <c r="R1958">
        <v>0.0</v>
      </c>
    </row>
    <row r="1959">
      <c r="A1959" s="9">
        <v>40490</v>
      </c>
      <c r="B1959" s="2" t="inlineStr">
        <is>
          <t xml:space="preserve">2010-11</t>
        </is>
      </c>
      <c r="C1959" s="2" t="inlineStr">
        <is>
          <t xml:space="preserve">2010/11</t>
        </is>
      </c>
      <c r="D1959">
        <v>0.0</v>
      </c>
      <c r="E1959">
        <v>15.13</v>
      </c>
      <c r="F1959">
        <v>20.0</v>
      </c>
      <c r="G1959">
        <v>10.96</v>
      </c>
      <c r="H1959">
        <v>0.15</v>
      </c>
      <c r="I1959">
        <v>0.0</v>
      </c>
      <c r="J1959">
        <v>14.87</v>
      </c>
      <c r="K1959">
        <v>19.73</v>
      </c>
      <c r="L1959">
        <v>10.63</v>
      </c>
      <c r="M1959">
        <v>0.0</v>
      </c>
      <c r="N1959">
        <v>0.0</v>
      </c>
      <c r="O1959">
        <v>15.07</v>
      </c>
      <c r="P1959">
        <v>18.48</v>
      </c>
      <c r="Q1959">
        <v>11.99</v>
      </c>
      <c r="R1959">
        <v>0.0</v>
      </c>
    </row>
    <row r="1960">
      <c r="A1960" s="9">
        <v>40491</v>
      </c>
      <c r="B1960" s="2" t="inlineStr">
        <is>
          <t xml:space="preserve">2010-11</t>
        </is>
      </c>
      <c r="C1960" s="2" t="inlineStr">
        <is>
          <t xml:space="preserve">2010/11</t>
        </is>
      </c>
      <c r="D1960">
        <v>0.0</v>
      </c>
      <c r="E1960">
        <v>15.48</v>
      </c>
      <c r="F1960">
        <v>19.72</v>
      </c>
      <c r="G1960">
        <v>12.78</v>
      </c>
      <c r="H1960">
        <v>0.44</v>
      </c>
      <c r="I1960">
        <v>0.0</v>
      </c>
      <c r="J1960">
        <v>17.24</v>
      </c>
      <c r="K1960">
        <v>22.83</v>
      </c>
      <c r="L1960">
        <v>13.0</v>
      </c>
      <c r="M1960">
        <v>0.0</v>
      </c>
      <c r="N1960">
        <v>0.0</v>
      </c>
      <c r="O1960">
        <v>17.19</v>
      </c>
      <c r="P1960">
        <v>22.15</v>
      </c>
      <c r="Q1960">
        <v>13.6</v>
      </c>
      <c r="R1960">
        <v>0.0</v>
      </c>
    </row>
    <row r="1961">
      <c r="A1961" s="9">
        <v>40492</v>
      </c>
      <c r="B1961" s="2" t="inlineStr">
        <is>
          <t xml:space="preserve">2010-11</t>
        </is>
      </c>
      <c r="C1961" s="2" t="inlineStr">
        <is>
          <t xml:space="preserve">2010/11</t>
        </is>
      </c>
      <c r="D1961">
        <v>0.0</v>
      </c>
      <c r="E1961">
        <v>17.23</v>
      </c>
      <c r="F1961">
        <v>23.73</v>
      </c>
      <c r="G1961">
        <v>11.89</v>
      </c>
      <c r="H1961">
        <v>0.0</v>
      </c>
      <c r="I1961">
        <v>0.0</v>
      </c>
      <c r="J1961">
        <v>18.23</v>
      </c>
      <c r="K1961">
        <v>23.9</v>
      </c>
      <c r="L1961">
        <v>13.75</v>
      </c>
      <c r="M1961">
        <v>0.0</v>
      </c>
      <c r="N1961">
        <v>0.0</v>
      </c>
      <c r="O1961">
        <v>17.98</v>
      </c>
      <c r="P1961">
        <v>23.51</v>
      </c>
      <c r="Q1961">
        <v>13.91</v>
      </c>
      <c r="R1961">
        <v>0.01</v>
      </c>
    </row>
    <row r="1962">
      <c r="A1962" s="9">
        <v>40493</v>
      </c>
      <c r="B1962" s="2" t="inlineStr">
        <is>
          <t xml:space="preserve">2010-11</t>
        </is>
      </c>
      <c r="C1962" s="2" t="inlineStr">
        <is>
          <t xml:space="preserve">2010/11</t>
        </is>
      </c>
      <c r="D1962">
        <v>0.0</v>
      </c>
      <c r="E1962">
        <v>18.78</v>
      </c>
      <c r="F1962">
        <v>24.07</v>
      </c>
      <c r="G1962">
        <v>14.42</v>
      </c>
      <c r="H1962">
        <v>0.25</v>
      </c>
      <c r="I1962">
        <v>0.0</v>
      </c>
      <c r="J1962">
        <v>18.83</v>
      </c>
      <c r="K1962">
        <v>24.46</v>
      </c>
      <c r="L1962">
        <v>14.08</v>
      </c>
      <c r="M1962">
        <v>0.17</v>
      </c>
      <c r="N1962">
        <v>0.0</v>
      </c>
      <c r="O1962">
        <v>19.38</v>
      </c>
      <c r="P1962">
        <v>24.28</v>
      </c>
      <c r="Q1962">
        <v>15.3</v>
      </c>
      <c r="R1962">
        <v>0.49</v>
      </c>
    </row>
    <row r="1963">
      <c r="A1963" s="9">
        <v>40494</v>
      </c>
      <c r="B1963" s="2" t="inlineStr">
        <is>
          <t xml:space="preserve">2010-11</t>
        </is>
      </c>
      <c r="C1963" s="2" t="inlineStr">
        <is>
          <t xml:space="preserve">2010/11</t>
        </is>
      </c>
      <c r="D1963">
        <v>0.0</v>
      </c>
      <c r="E1963">
        <v>18.7</v>
      </c>
      <c r="F1963">
        <v>23.86</v>
      </c>
      <c r="G1963">
        <v>15.31</v>
      </c>
      <c r="H1963">
        <v>1.32</v>
      </c>
      <c r="I1963">
        <v>0.044</v>
      </c>
      <c r="J1963">
        <v>19.27</v>
      </c>
      <c r="K1963">
        <v>24.58</v>
      </c>
      <c r="L1963">
        <v>15.98</v>
      </c>
      <c r="M1963">
        <v>0.62</v>
      </c>
      <c r="N1963">
        <v>0.635</v>
      </c>
      <c r="O1963">
        <v>19.26</v>
      </c>
      <c r="P1963">
        <v>24.03</v>
      </c>
      <c r="Q1963">
        <v>16.26</v>
      </c>
      <c r="R1963">
        <v>1.47</v>
      </c>
    </row>
    <row r="1964">
      <c r="A1964" s="9">
        <v>40495</v>
      </c>
      <c r="B1964" s="2" t="inlineStr">
        <is>
          <t xml:space="preserve">2010-11</t>
        </is>
      </c>
      <c r="C1964" s="2" t="inlineStr">
        <is>
          <t xml:space="preserve">2010/11</t>
        </is>
      </c>
      <c r="D1964">
        <v>0.992</v>
      </c>
      <c r="E1964">
        <v>16.95</v>
      </c>
      <c r="F1964">
        <v>22.14</v>
      </c>
      <c r="G1964">
        <v>14.05</v>
      </c>
      <c r="H1964">
        <v>1.84</v>
      </c>
      <c r="I1964">
        <v>0.134</v>
      </c>
      <c r="J1964">
        <v>18.06</v>
      </c>
      <c r="K1964">
        <v>22.45</v>
      </c>
      <c r="L1964">
        <v>14.98</v>
      </c>
      <c r="M1964">
        <v>0.58</v>
      </c>
      <c r="N1964">
        <v>1.112</v>
      </c>
      <c r="O1964">
        <v>18.07</v>
      </c>
      <c r="P1964">
        <v>22.4</v>
      </c>
      <c r="Q1964">
        <v>15.55</v>
      </c>
      <c r="R1964">
        <v>0.88</v>
      </c>
    </row>
    <row r="1965">
      <c r="A1965" s="9">
        <v>40496</v>
      </c>
      <c r="B1965" s="2" t="inlineStr">
        <is>
          <t xml:space="preserve">2010-11</t>
        </is>
      </c>
      <c r="C1965" s="2" t="inlineStr">
        <is>
          <t xml:space="preserve">2010/11</t>
        </is>
      </c>
      <c r="D1965">
        <v>0.0</v>
      </c>
      <c r="E1965">
        <v>17.35</v>
      </c>
      <c r="F1965">
        <v>22.96</v>
      </c>
      <c r="G1965">
        <v>13.2</v>
      </c>
      <c r="H1965">
        <v>0.0</v>
      </c>
      <c r="I1965">
        <v>0.0</v>
      </c>
      <c r="J1965">
        <v>17.8</v>
      </c>
      <c r="K1965">
        <v>23.6</v>
      </c>
      <c r="L1965">
        <v>13.6</v>
      </c>
      <c r="M1965">
        <v>0.0</v>
      </c>
      <c r="N1965">
        <v>0.0</v>
      </c>
      <c r="O1965">
        <v>18.25</v>
      </c>
      <c r="P1965">
        <v>23.15</v>
      </c>
      <c r="Q1965">
        <v>14.95</v>
      </c>
      <c r="R1965">
        <v>0.0</v>
      </c>
    </row>
    <row r="1966">
      <c r="A1966" s="9">
        <v>40497</v>
      </c>
      <c r="B1966" s="2" t="inlineStr">
        <is>
          <t xml:space="preserve">2010-11</t>
        </is>
      </c>
      <c r="C1966" s="2" t="inlineStr">
        <is>
          <t xml:space="preserve">2010/11</t>
        </is>
      </c>
      <c r="D1966">
        <v>0.0</v>
      </c>
      <c r="E1966">
        <v>19.11</v>
      </c>
      <c r="F1966">
        <v>25.03</v>
      </c>
      <c r="G1966">
        <v>13.97</v>
      </c>
      <c r="H1966">
        <v>0.09</v>
      </c>
      <c r="I1966">
        <v>0.0</v>
      </c>
      <c r="J1966">
        <v>19.02</v>
      </c>
      <c r="K1966">
        <v>25.0</v>
      </c>
      <c r="L1966">
        <v>13.89</v>
      </c>
      <c r="M1966">
        <v>0.02</v>
      </c>
      <c r="N1966">
        <v>0.0</v>
      </c>
      <c r="O1966">
        <v>19.36</v>
      </c>
      <c r="P1966">
        <v>25.29</v>
      </c>
      <c r="Q1966">
        <v>13.85</v>
      </c>
      <c r="R1966">
        <v>0.01</v>
      </c>
    </row>
    <row r="1967">
      <c r="A1967" s="9">
        <v>40498</v>
      </c>
      <c r="B1967" s="2" t="inlineStr">
        <is>
          <t xml:space="preserve">2010-11</t>
        </is>
      </c>
      <c r="C1967" s="2" t="inlineStr">
        <is>
          <t xml:space="preserve">2010/11</t>
        </is>
      </c>
      <c r="D1967">
        <v>0.201</v>
      </c>
      <c r="E1967">
        <v>20.43</v>
      </c>
      <c r="F1967">
        <v>25.83</v>
      </c>
      <c r="G1967">
        <v>14.98</v>
      </c>
      <c r="H1967">
        <v>0.25</v>
      </c>
      <c r="I1967">
        <v>0.0</v>
      </c>
      <c r="J1967">
        <v>20.3</v>
      </c>
      <c r="K1967">
        <v>25.77</v>
      </c>
      <c r="L1967">
        <v>15.91</v>
      </c>
      <c r="M1967">
        <v>0.05</v>
      </c>
      <c r="N1967">
        <v>0.0</v>
      </c>
      <c r="O1967">
        <v>21.24</v>
      </c>
      <c r="P1967">
        <v>26.97</v>
      </c>
      <c r="Q1967">
        <v>15.96</v>
      </c>
      <c r="R1967">
        <v>0.01</v>
      </c>
    </row>
    <row r="1968">
      <c r="A1968" s="9">
        <v>40499</v>
      </c>
      <c r="B1968" s="2" t="inlineStr">
        <is>
          <t xml:space="preserve">2010-11</t>
        </is>
      </c>
      <c r="C1968" s="2" t="inlineStr">
        <is>
          <t xml:space="preserve">2010/11</t>
        </is>
      </c>
      <c r="D1968">
        <v>0.0</v>
      </c>
      <c r="E1968">
        <v>20.85</v>
      </c>
      <c r="F1968">
        <v>25.62</v>
      </c>
      <c r="G1968">
        <v>17.15</v>
      </c>
      <c r="H1968">
        <v>1.24</v>
      </c>
      <c r="I1968">
        <v>0.0</v>
      </c>
      <c r="J1968">
        <v>20.79</v>
      </c>
      <c r="K1968">
        <v>25.73</v>
      </c>
      <c r="L1968">
        <v>16.16</v>
      </c>
      <c r="M1968">
        <v>1.01</v>
      </c>
      <c r="N1968">
        <v>0.0</v>
      </c>
      <c r="O1968">
        <v>20.93</v>
      </c>
      <c r="P1968">
        <v>25.54</v>
      </c>
      <c r="Q1968">
        <v>17.08</v>
      </c>
      <c r="R1968">
        <v>1.66</v>
      </c>
    </row>
    <row r="1969">
      <c r="A1969" s="9">
        <v>40500</v>
      </c>
      <c r="B1969" s="2" t="inlineStr">
        <is>
          <t xml:space="preserve">2010-11</t>
        </is>
      </c>
      <c r="C1969" s="2" t="inlineStr">
        <is>
          <t xml:space="preserve">2010/11</t>
        </is>
      </c>
      <c r="D1969">
        <v>0.0</v>
      </c>
      <c r="E1969">
        <v>20.02</v>
      </c>
      <c r="F1969">
        <v>23.88</v>
      </c>
      <c r="G1969">
        <v>17.8</v>
      </c>
      <c r="H1969">
        <v>2.38</v>
      </c>
      <c r="I1969">
        <v>2.7</v>
      </c>
      <c r="J1969">
        <v>19.99</v>
      </c>
      <c r="K1969">
        <v>22.77</v>
      </c>
      <c r="L1969">
        <v>18.16</v>
      </c>
      <c r="M1969">
        <v>4.6</v>
      </c>
      <c r="N1969">
        <v>2.338</v>
      </c>
      <c r="O1969">
        <v>20.6</v>
      </c>
      <c r="P1969">
        <v>23.87</v>
      </c>
      <c r="Q1969">
        <v>18.55</v>
      </c>
      <c r="R1969">
        <v>13.74</v>
      </c>
    </row>
    <row r="1970">
      <c r="A1970" s="9">
        <v>40501</v>
      </c>
      <c r="B1970" s="2" t="inlineStr">
        <is>
          <t xml:space="preserve">2010-11</t>
        </is>
      </c>
      <c r="C1970" s="2" t="inlineStr">
        <is>
          <t xml:space="preserve">2010/11</t>
        </is>
      </c>
      <c r="D1970">
        <v>0.027</v>
      </c>
      <c r="E1970">
        <v>19.17</v>
      </c>
      <c r="F1970">
        <v>23.04</v>
      </c>
      <c r="G1970">
        <v>16.99</v>
      </c>
      <c r="H1970">
        <v>4.86</v>
      </c>
      <c r="I1970">
        <v>2.055</v>
      </c>
      <c r="J1970">
        <v>20.54</v>
      </c>
      <c r="K1970">
        <v>24.58</v>
      </c>
      <c r="L1970">
        <v>18.23</v>
      </c>
      <c r="M1970">
        <v>5.98</v>
      </c>
      <c r="N1970">
        <v>9.045</v>
      </c>
      <c r="O1970">
        <v>20.28</v>
      </c>
      <c r="P1970">
        <v>22.87</v>
      </c>
      <c r="Q1970">
        <v>18.68</v>
      </c>
      <c r="R1970">
        <v>12.53</v>
      </c>
    </row>
    <row r="1971">
      <c r="A1971" s="9">
        <v>40502</v>
      </c>
      <c r="B1971" s="2" t="inlineStr">
        <is>
          <t xml:space="preserve">2010-11</t>
        </is>
      </c>
      <c r="C1971" s="2" t="inlineStr">
        <is>
          <t xml:space="preserve">2010/11</t>
        </is>
      </c>
      <c r="D1971">
        <v>2.816</v>
      </c>
      <c r="E1971">
        <v>19.44</v>
      </c>
      <c r="F1971">
        <v>24.43</v>
      </c>
      <c r="G1971">
        <v>16.26</v>
      </c>
      <c r="H1971">
        <v>1.87</v>
      </c>
      <c r="I1971">
        <v>0.401</v>
      </c>
      <c r="J1971">
        <v>20.05</v>
      </c>
      <c r="K1971">
        <v>24.9</v>
      </c>
      <c r="L1971">
        <v>16.71</v>
      </c>
      <c r="M1971">
        <v>1.84</v>
      </c>
      <c r="N1971">
        <v>2.218</v>
      </c>
      <c r="O1971">
        <v>19.93</v>
      </c>
      <c r="P1971">
        <v>24.17</v>
      </c>
      <c r="Q1971">
        <v>17.19</v>
      </c>
      <c r="R1971">
        <v>4.41</v>
      </c>
    </row>
    <row r="1972">
      <c r="A1972" s="9">
        <v>40503</v>
      </c>
      <c r="B1972" s="2" t="inlineStr">
        <is>
          <t xml:space="preserve">2010-11</t>
        </is>
      </c>
      <c r="C1972" s="2" t="inlineStr">
        <is>
          <t xml:space="preserve">2010/11</t>
        </is>
      </c>
      <c r="D1972">
        <v>0.0</v>
      </c>
      <c r="E1972">
        <v>18.5</v>
      </c>
      <c r="F1972">
        <v>23.82</v>
      </c>
      <c r="G1972">
        <v>14.44</v>
      </c>
      <c r="H1972">
        <v>0.02</v>
      </c>
      <c r="I1972">
        <v>0.0</v>
      </c>
      <c r="J1972">
        <v>19.27</v>
      </c>
      <c r="K1972">
        <v>24.49</v>
      </c>
      <c r="L1972">
        <v>15.25</v>
      </c>
      <c r="M1972">
        <v>0.18</v>
      </c>
      <c r="N1972">
        <v>0.242</v>
      </c>
      <c r="O1972">
        <v>19.59</v>
      </c>
      <c r="P1972">
        <v>23.98</v>
      </c>
      <c r="Q1972">
        <v>15.91</v>
      </c>
      <c r="R1972">
        <v>0.62</v>
      </c>
    </row>
    <row r="1973">
      <c r="A1973" s="9">
        <v>40504</v>
      </c>
      <c r="B1973" s="2" t="inlineStr">
        <is>
          <t xml:space="preserve">2010-11</t>
        </is>
      </c>
      <c r="C1973" s="2" t="inlineStr">
        <is>
          <t xml:space="preserve">2010/11</t>
        </is>
      </c>
      <c r="D1973">
        <v>0.0</v>
      </c>
      <c r="E1973">
        <v>19.24</v>
      </c>
      <c r="F1973">
        <v>24.66</v>
      </c>
      <c r="G1973">
        <v>15.79</v>
      </c>
      <c r="H1973">
        <v>0.02</v>
      </c>
      <c r="I1973">
        <v>0.0</v>
      </c>
      <c r="J1973">
        <v>19.63</v>
      </c>
      <c r="K1973">
        <v>24.94</v>
      </c>
      <c r="L1973">
        <v>16.26</v>
      </c>
      <c r="M1973">
        <v>0.02</v>
      </c>
      <c r="N1973">
        <v>0.0</v>
      </c>
      <c r="O1973">
        <v>19.98</v>
      </c>
      <c r="P1973">
        <v>24.56</v>
      </c>
      <c r="Q1973">
        <v>16.97</v>
      </c>
      <c r="R1973">
        <v>0.12</v>
      </c>
    </row>
    <row r="1974">
      <c r="A1974" s="9">
        <v>40505</v>
      </c>
      <c r="B1974" s="2" t="inlineStr">
        <is>
          <t xml:space="preserve">2010-11</t>
        </is>
      </c>
      <c r="C1974" s="2" t="inlineStr">
        <is>
          <t xml:space="preserve">2010/11</t>
        </is>
      </c>
      <c r="D1974">
        <v>0.0</v>
      </c>
      <c r="E1974">
        <v>19.13</v>
      </c>
      <c r="F1974">
        <v>24.31</v>
      </c>
      <c r="G1974">
        <v>15.48</v>
      </c>
      <c r="H1974">
        <v>0.37</v>
      </c>
      <c r="I1974">
        <v>0.0</v>
      </c>
      <c r="J1974">
        <v>19.89</v>
      </c>
      <c r="K1974">
        <v>25.45</v>
      </c>
      <c r="L1974">
        <v>15.27</v>
      </c>
      <c r="M1974">
        <v>0.73</v>
      </c>
      <c r="N1974">
        <v>0.0</v>
      </c>
      <c r="O1974">
        <v>20.16</v>
      </c>
      <c r="P1974">
        <v>25.12</v>
      </c>
      <c r="Q1974">
        <v>16.28</v>
      </c>
      <c r="R1974">
        <v>2.65</v>
      </c>
    </row>
    <row r="1975">
      <c r="A1975" s="9">
        <v>40506</v>
      </c>
      <c r="B1975" s="2" t="inlineStr">
        <is>
          <t xml:space="preserve">2010-11</t>
        </is>
      </c>
      <c r="C1975" s="2" t="inlineStr">
        <is>
          <t xml:space="preserve">2010/11</t>
        </is>
      </c>
      <c r="D1975">
        <v>0.0</v>
      </c>
      <c r="E1975">
        <v>18.23</v>
      </c>
      <c r="F1975">
        <v>23.65</v>
      </c>
      <c r="G1975">
        <v>14.16</v>
      </c>
      <c r="H1975">
        <v>0.29</v>
      </c>
      <c r="I1975">
        <v>0.057</v>
      </c>
      <c r="J1975">
        <v>18.8</v>
      </c>
      <c r="K1975">
        <v>23.75</v>
      </c>
      <c r="L1975">
        <v>15.76</v>
      </c>
      <c r="M1975">
        <v>0.8</v>
      </c>
      <c r="N1975">
        <v>1.157</v>
      </c>
      <c r="O1975">
        <v>18.96</v>
      </c>
      <c r="P1975">
        <v>23.11</v>
      </c>
      <c r="Q1975">
        <v>16.15</v>
      </c>
      <c r="R1975">
        <v>3.07</v>
      </c>
    </row>
    <row r="1976">
      <c r="A1976" s="9">
        <v>40507</v>
      </c>
      <c r="B1976" s="2" t="inlineStr">
        <is>
          <t xml:space="preserve">2010-11</t>
        </is>
      </c>
      <c r="C1976" s="2" t="inlineStr">
        <is>
          <t xml:space="preserve">2010/11</t>
        </is>
      </c>
      <c r="D1976">
        <v>0.0</v>
      </c>
      <c r="E1976">
        <v>19.72</v>
      </c>
      <c r="F1976">
        <v>25.07</v>
      </c>
      <c r="G1976">
        <v>15.78</v>
      </c>
      <c r="H1976">
        <v>0.03</v>
      </c>
      <c r="I1976">
        <v>0.0</v>
      </c>
      <c r="J1976">
        <v>20.62</v>
      </c>
      <c r="K1976">
        <v>26.01</v>
      </c>
      <c r="L1976">
        <v>15.36</v>
      </c>
      <c r="M1976">
        <v>0.3</v>
      </c>
      <c r="N1976">
        <v>0.0</v>
      </c>
      <c r="O1976">
        <v>20.51</v>
      </c>
      <c r="P1976">
        <v>25.72</v>
      </c>
      <c r="Q1976">
        <v>16.65</v>
      </c>
      <c r="R1976">
        <v>0.34</v>
      </c>
    </row>
    <row r="1977">
      <c r="A1977" s="9">
        <v>40508</v>
      </c>
      <c r="B1977" s="2" t="inlineStr">
        <is>
          <t xml:space="preserve">2010-11</t>
        </is>
      </c>
      <c r="C1977" s="2" t="inlineStr">
        <is>
          <t xml:space="preserve">2010/11</t>
        </is>
      </c>
      <c r="D1977">
        <v>0.0</v>
      </c>
      <c r="E1977">
        <v>20.56</v>
      </c>
      <c r="F1977">
        <v>26.17</v>
      </c>
      <c r="G1977">
        <v>15.32</v>
      </c>
      <c r="H1977">
        <v>1.38</v>
      </c>
      <c r="I1977">
        <v>0.566</v>
      </c>
      <c r="J1977">
        <v>22.2</v>
      </c>
      <c r="K1977">
        <v>27.51</v>
      </c>
      <c r="L1977">
        <v>17.62</v>
      </c>
      <c r="M1977">
        <v>0.95</v>
      </c>
      <c r="N1977">
        <v>2.085</v>
      </c>
      <c r="O1977">
        <v>21.51</v>
      </c>
      <c r="P1977">
        <v>27.09</v>
      </c>
      <c r="Q1977">
        <v>17.13</v>
      </c>
      <c r="R1977">
        <v>1.38</v>
      </c>
    </row>
    <row r="1978">
      <c r="A1978" s="9">
        <v>40509</v>
      </c>
      <c r="B1978" s="2" t="inlineStr">
        <is>
          <t xml:space="preserve">2010-11</t>
        </is>
      </c>
      <c r="C1978" s="2" t="inlineStr">
        <is>
          <t xml:space="preserve">2010/11</t>
        </is>
      </c>
      <c r="D1978">
        <v>0.646</v>
      </c>
      <c r="E1978">
        <v>19.96</v>
      </c>
      <c r="F1978">
        <v>24.56</v>
      </c>
      <c r="G1978">
        <v>16.78</v>
      </c>
      <c r="H1978">
        <v>7.43</v>
      </c>
      <c r="I1978">
        <v>0.567</v>
      </c>
      <c r="J1978">
        <v>20.64</v>
      </c>
      <c r="K1978">
        <v>25.27</v>
      </c>
      <c r="L1978">
        <v>16.73</v>
      </c>
      <c r="M1978">
        <v>3.0</v>
      </c>
      <c r="N1978">
        <v>2.653</v>
      </c>
      <c r="O1978">
        <v>20.85</v>
      </c>
      <c r="P1978">
        <v>25.29</v>
      </c>
      <c r="Q1978">
        <v>17.88</v>
      </c>
      <c r="R1978">
        <v>4.49</v>
      </c>
    </row>
    <row r="1979">
      <c r="A1979" s="9">
        <v>40510</v>
      </c>
      <c r="B1979" s="2" t="inlineStr">
        <is>
          <t xml:space="preserve">2010-11</t>
        </is>
      </c>
      <c r="C1979" s="2" t="inlineStr">
        <is>
          <t xml:space="preserve">2010/11</t>
        </is>
      </c>
      <c r="D1979">
        <v>0.599</v>
      </c>
      <c r="E1979">
        <v>19.57</v>
      </c>
      <c r="F1979">
        <v>24.27</v>
      </c>
      <c r="G1979">
        <v>16.5</v>
      </c>
      <c r="H1979">
        <v>1.97</v>
      </c>
      <c r="I1979">
        <v>2.092</v>
      </c>
      <c r="J1979">
        <v>20.28</v>
      </c>
      <c r="K1979">
        <v>24.96</v>
      </c>
      <c r="L1979">
        <v>17.05</v>
      </c>
      <c r="M1979">
        <v>1.91</v>
      </c>
      <c r="N1979">
        <v>7.681</v>
      </c>
      <c r="O1979">
        <v>20.24</v>
      </c>
      <c r="P1979">
        <v>24.46</v>
      </c>
      <c r="Q1979">
        <v>17.54</v>
      </c>
      <c r="R1979">
        <v>2.43</v>
      </c>
    </row>
    <row r="1980">
      <c r="A1980" s="9">
        <v>40511</v>
      </c>
      <c r="B1980" s="2" t="inlineStr">
        <is>
          <t xml:space="preserve">2010-11</t>
        </is>
      </c>
      <c r="C1980" s="2" t="inlineStr">
        <is>
          <t xml:space="preserve">2010/11</t>
        </is>
      </c>
      <c r="D1980">
        <v>0.0</v>
      </c>
      <c r="E1980">
        <v>19.26</v>
      </c>
      <c r="F1980">
        <v>24.74</v>
      </c>
      <c r="G1980">
        <v>14.8</v>
      </c>
      <c r="H1980">
        <v>0.0</v>
      </c>
      <c r="I1980">
        <v>0.0</v>
      </c>
      <c r="J1980">
        <v>20.92</v>
      </c>
      <c r="K1980">
        <v>26.46</v>
      </c>
      <c r="L1980">
        <v>16.7</v>
      </c>
      <c r="M1980">
        <v>0.0</v>
      </c>
      <c r="N1980">
        <v>0.0</v>
      </c>
      <c r="O1980">
        <v>20.6</v>
      </c>
      <c r="P1980">
        <v>25.48</v>
      </c>
      <c r="Q1980">
        <v>17.49</v>
      </c>
      <c r="R1980">
        <v>0.0</v>
      </c>
    </row>
    <row r="1981">
      <c r="A1981" s="9">
        <v>40512</v>
      </c>
      <c r="B1981" s="2" t="inlineStr">
        <is>
          <t xml:space="preserve">2010-11</t>
        </is>
      </c>
      <c r="C1981" s="2" t="inlineStr">
        <is>
          <t xml:space="preserve">2010/11</t>
        </is>
      </c>
      <c r="D1981">
        <v>0.0</v>
      </c>
      <c r="E1981">
        <v>19.12</v>
      </c>
      <c r="F1981">
        <v>25.46</v>
      </c>
      <c r="G1981">
        <v>12.68</v>
      </c>
      <c r="H1981">
        <v>0.28</v>
      </c>
      <c r="I1981">
        <v>0.0</v>
      </c>
      <c r="J1981">
        <v>21.15</v>
      </c>
      <c r="K1981">
        <v>27.03</v>
      </c>
      <c r="L1981">
        <v>16.47</v>
      </c>
      <c r="M1981">
        <v>0.31</v>
      </c>
      <c r="N1981">
        <v>0.0</v>
      </c>
      <c r="O1981">
        <v>20.86</v>
      </c>
      <c r="P1981">
        <v>26.26</v>
      </c>
      <c r="Q1981">
        <v>16.72</v>
      </c>
      <c r="R1981">
        <v>0.25</v>
      </c>
    </row>
    <row r="1982">
      <c r="A1982" s="9">
        <v>40513</v>
      </c>
      <c r="B1982" s="2" t="inlineStr">
        <is>
          <t xml:space="preserve">2010-12</t>
        </is>
      </c>
      <c r="C1982" s="2" t="inlineStr">
        <is>
          <t xml:space="preserve">2010/11</t>
        </is>
      </c>
      <c r="D1982">
        <v>0.0</v>
      </c>
      <c r="E1982">
        <v>18.95</v>
      </c>
      <c r="F1982">
        <v>23.35</v>
      </c>
      <c r="G1982">
        <v>15.85</v>
      </c>
      <c r="H1982">
        <v>1.2</v>
      </c>
      <c r="I1982">
        <v>0.673</v>
      </c>
      <c r="J1982">
        <v>20.3</v>
      </c>
      <c r="K1982">
        <v>24.11</v>
      </c>
      <c r="L1982">
        <v>17.62</v>
      </c>
      <c r="M1982">
        <v>2.26</v>
      </c>
      <c r="N1982">
        <v>2.878</v>
      </c>
      <c r="O1982">
        <v>20.42</v>
      </c>
      <c r="P1982">
        <v>23.92</v>
      </c>
      <c r="Q1982">
        <v>18.19</v>
      </c>
      <c r="R1982">
        <v>5.96</v>
      </c>
    </row>
    <row r="1983">
      <c r="A1983" s="9">
        <v>40514</v>
      </c>
      <c r="B1983" s="2" t="inlineStr">
        <is>
          <t xml:space="preserve">2010-12</t>
        </is>
      </c>
      <c r="C1983" s="2" t="inlineStr">
        <is>
          <t xml:space="preserve">2010/11</t>
        </is>
      </c>
      <c r="D1983">
        <v>0.053</v>
      </c>
      <c r="E1983">
        <v>17.52</v>
      </c>
      <c r="F1983">
        <v>22.51</v>
      </c>
      <c r="G1983">
        <v>14.41</v>
      </c>
      <c r="H1983">
        <v>3.48</v>
      </c>
      <c r="I1983">
        <v>2.682</v>
      </c>
      <c r="J1983">
        <v>19.24</v>
      </c>
      <c r="K1983">
        <v>23.43</v>
      </c>
      <c r="L1983">
        <v>16.77</v>
      </c>
      <c r="M1983">
        <v>5.86</v>
      </c>
      <c r="N1983">
        <v>7.89</v>
      </c>
      <c r="O1983">
        <v>19.16</v>
      </c>
      <c r="P1983">
        <v>22.96</v>
      </c>
      <c r="Q1983">
        <v>16.26</v>
      </c>
      <c r="R1983">
        <v>12.97</v>
      </c>
    </row>
    <row r="1984">
      <c r="A1984" s="9">
        <v>40515</v>
      </c>
      <c r="B1984" s="2" t="inlineStr">
        <is>
          <t xml:space="preserve">2010-12</t>
        </is>
      </c>
      <c r="C1984" s="2" t="inlineStr">
        <is>
          <t xml:space="preserve">2010/11</t>
        </is>
      </c>
      <c r="D1984">
        <v>0.027</v>
      </c>
      <c r="E1984">
        <v>17.58</v>
      </c>
      <c r="F1984">
        <v>22.83</v>
      </c>
      <c r="G1984">
        <v>14.28</v>
      </c>
      <c r="H1984">
        <v>3.69</v>
      </c>
      <c r="I1984">
        <v>0.621</v>
      </c>
      <c r="J1984">
        <v>18.12</v>
      </c>
      <c r="K1984">
        <v>21.95</v>
      </c>
      <c r="L1984">
        <v>15.61</v>
      </c>
      <c r="M1984">
        <v>2.23</v>
      </c>
      <c r="N1984">
        <v>2.292</v>
      </c>
      <c r="O1984">
        <v>17.79</v>
      </c>
      <c r="P1984">
        <v>20.72</v>
      </c>
      <c r="Q1984">
        <v>15.9</v>
      </c>
      <c r="R1984">
        <v>6.1</v>
      </c>
    </row>
    <row r="1985">
      <c r="A1985" s="9">
        <v>40516</v>
      </c>
      <c r="B1985" s="2" t="inlineStr">
        <is>
          <t xml:space="preserve">2010-12</t>
        </is>
      </c>
      <c r="C1985" s="2" t="inlineStr">
        <is>
          <t xml:space="preserve">2010/11</t>
        </is>
      </c>
      <c r="D1985">
        <v>0.0</v>
      </c>
      <c r="E1985">
        <v>17.29</v>
      </c>
      <c r="F1985">
        <v>21.9</v>
      </c>
      <c r="G1985">
        <v>14.06</v>
      </c>
      <c r="H1985">
        <v>1.09</v>
      </c>
      <c r="I1985">
        <v>0.548</v>
      </c>
      <c r="J1985">
        <v>17.22</v>
      </c>
      <c r="K1985">
        <v>21.9</v>
      </c>
      <c r="L1985">
        <v>14.35</v>
      </c>
      <c r="M1985">
        <v>1.44</v>
      </c>
      <c r="N1985">
        <v>2.538</v>
      </c>
      <c r="O1985">
        <v>17.23</v>
      </c>
      <c r="P1985">
        <v>21.32</v>
      </c>
      <c r="Q1985">
        <v>14.71</v>
      </c>
      <c r="R1985">
        <v>2.92</v>
      </c>
    </row>
    <row r="1986">
      <c r="A1986" s="9">
        <v>40517</v>
      </c>
      <c r="B1986" s="2" t="inlineStr">
        <is>
          <t xml:space="preserve">2010-12</t>
        </is>
      </c>
      <c r="C1986" s="2" t="inlineStr">
        <is>
          <t xml:space="preserve">2010/11</t>
        </is>
      </c>
      <c r="D1986">
        <v>0.0</v>
      </c>
      <c r="E1986">
        <v>18.01</v>
      </c>
      <c r="F1986">
        <v>22.98</v>
      </c>
      <c r="G1986">
        <v>14.79</v>
      </c>
      <c r="H1986">
        <v>2.22</v>
      </c>
      <c r="I1986">
        <v>0.315</v>
      </c>
      <c r="J1986">
        <v>17.98</v>
      </c>
      <c r="K1986">
        <v>22.67</v>
      </c>
      <c r="L1986">
        <v>14.57</v>
      </c>
      <c r="M1986">
        <v>1.67</v>
      </c>
      <c r="N1986">
        <v>1.45</v>
      </c>
      <c r="O1986">
        <v>18.59</v>
      </c>
      <c r="P1986">
        <v>22.98</v>
      </c>
      <c r="Q1986">
        <v>15.38</v>
      </c>
      <c r="R1986">
        <v>2.59</v>
      </c>
    </row>
    <row r="1987">
      <c r="A1987" s="9">
        <v>40518</v>
      </c>
      <c r="B1987" s="2" t="inlineStr">
        <is>
          <t xml:space="preserve">2010-12</t>
        </is>
      </c>
      <c r="C1987" s="2" t="inlineStr">
        <is>
          <t xml:space="preserve">2010/11</t>
        </is>
      </c>
      <c r="D1987">
        <v>0.178</v>
      </c>
      <c r="E1987">
        <v>16.65</v>
      </c>
      <c r="F1987">
        <v>21.08</v>
      </c>
      <c r="G1987">
        <v>13.97</v>
      </c>
      <c r="H1987">
        <v>4.76</v>
      </c>
      <c r="I1987">
        <v>2.075</v>
      </c>
      <c r="J1987">
        <v>17.85</v>
      </c>
      <c r="K1987">
        <v>21.81</v>
      </c>
      <c r="L1987">
        <v>15.43</v>
      </c>
      <c r="M1987">
        <v>2.09</v>
      </c>
      <c r="N1987">
        <v>5.509</v>
      </c>
      <c r="O1987">
        <v>18.09</v>
      </c>
      <c r="P1987">
        <v>21.44</v>
      </c>
      <c r="Q1987">
        <v>16.29</v>
      </c>
      <c r="R1987">
        <v>2.4</v>
      </c>
    </row>
    <row r="1988">
      <c r="A1988" s="9">
        <v>40519</v>
      </c>
      <c r="B1988" s="2" t="inlineStr">
        <is>
          <t xml:space="preserve">2010-12</t>
        </is>
      </c>
      <c r="C1988" s="2" t="inlineStr">
        <is>
          <t xml:space="preserve">2010/11</t>
        </is>
      </c>
      <c r="D1988">
        <v>0.0</v>
      </c>
      <c r="E1988">
        <v>16.48</v>
      </c>
      <c r="F1988">
        <v>21.18</v>
      </c>
      <c r="G1988">
        <v>13.17</v>
      </c>
      <c r="H1988">
        <v>1.84</v>
      </c>
      <c r="I1988">
        <v>0.077</v>
      </c>
      <c r="J1988">
        <v>16.45</v>
      </c>
      <c r="K1988">
        <v>20.63</v>
      </c>
      <c r="L1988">
        <v>13.5</v>
      </c>
      <c r="M1988">
        <v>0.26</v>
      </c>
      <c r="N1988">
        <v>0.761</v>
      </c>
      <c r="O1988">
        <v>16.87</v>
      </c>
      <c r="P1988">
        <v>20.64</v>
      </c>
      <c r="Q1988">
        <v>14.3</v>
      </c>
      <c r="R1988">
        <v>0.48</v>
      </c>
    </row>
    <row r="1989">
      <c r="A1989" s="9">
        <v>40520</v>
      </c>
      <c r="B1989" s="2" t="inlineStr">
        <is>
          <t xml:space="preserve">2010-12</t>
        </is>
      </c>
      <c r="C1989" s="2" t="inlineStr">
        <is>
          <t xml:space="preserve">2010/11</t>
        </is>
      </c>
      <c r="D1989">
        <v>0.0</v>
      </c>
      <c r="E1989">
        <v>17.77</v>
      </c>
      <c r="F1989">
        <v>23.34</v>
      </c>
      <c r="G1989">
        <v>13.66</v>
      </c>
      <c r="H1989">
        <v>0.27</v>
      </c>
      <c r="I1989">
        <v>0.0</v>
      </c>
      <c r="J1989">
        <v>17.68</v>
      </c>
      <c r="K1989">
        <v>23.8</v>
      </c>
      <c r="L1989">
        <v>13.49</v>
      </c>
      <c r="M1989">
        <v>0.27</v>
      </c>
      <c r="N1989">
        <v>0.167</v>
      </c>
      <c r="O1989">
        <v>17.74</v>
      </c>
      <c r="P1989">
        <v>23.12</v>
      </c>
      <c r="Q1989">
        <v>13.79</v>
      </c>
      <c r="R1989">
        <v>0.65</v>
      </c>
    </row>
    <row r="1990">
      <c r="A1990" s="9">
        <v>40521</v>
      </c>
      <c r="B1990" s="2" t="inlineStr">
        <is>
          <t xml:space="preserve">2010-12</t>
        </is>
      </c>
      <c r="C1990" s="2" t="inlineStr">
        <is>
          <t xml:space="preserve">2010/11</t>
        </is>
      </c>
      <c r="D1990">
        <v>0.101</v>
      </c>
      <c r="E1990">
        <v>16.5</v>
      </c>
      <c r="F1990">
        <v>20.85</v>
      </c>
      <c r="G1990">
        <v>13.35</v>
      </c>
      <c r="H1990">
        <v>0.27</v>
      </c>
      <c r="I1990">
        <v>0.343</v>
      </c>
      <c r="J1990">
        <v>16.88</v>
      </c>
      <c r="K1990">
        <v>20.79</v>
      </c>
      <c r="L1990">
        <v>13.36</v>
      </c>
      <c r="M1990">
        <v>0.91</v>
      </c>
      <c r="N1990">
        <v>1.442</v>
      </c>
      <c r="O1990">
        <v>17.08</v>
      </c>
      <c r="P1990">
        <v>20.62</v>
      </c>
      <c r="Q1990">
        <v>14.29</v>
      </c>
      <c r="R1990">
        <v>2.07</v>
      </c>
    </row>
    <row r="1991">
      <c r="A1991" s="9">
        <v>40522</v>
      </c>
      <c r="B1991" s="2" t="inlineStr">
        <is>
          <t xml:space="preserve">2010-12</t>
        </is>
      </c>
      <c r="C1991" s="2" t="inlineStr">
        <is>
          <t xml:space="preserve">2010/11</t>
        </is>
      </c>
      <c r="D1991">
        <v>0.0</v>
      </c>
      <c r="E1991">
        <v>15.42</v>
      </c>
      <c r="F1991">
        <v>20.59</v>
      </c>
      <c r="G1991">
        <v>12.19</v>
      </c>
      <c r="H1991">
        <v>0.32</v>
      </c>
      <c r="I1991">
        <v>0.43</v>
      </c>
      <c r="J1991">
        <v>15.26</v>
      </c>
      <c r="K1991">
        <v>20.16</v>
      </c>
      <c r="L1991">
        <v>12.22</v>
      </c>
      <c r="M1991">
        <v>0.41</v>
      </c>
      <c r="N1991">
        <v>1.188</v>
      </c>
      <c r="O1991">
        <v>15.57</v>
      </c>
      <c r="P1991">
        <v>19.71</v>
      </c>
      <c r="Q1991">
        <v>13.4</v>
      </c>
      <c r="R1991">
        <v>0.6</v>
      </c>
    </row>
    <row r="1992">
      <c r="A1992" s="9">
        <v>40523</v>
      </c>
      <c r="B1992" s="2" t="inlineStr">
        <is>
          <t xml:space="preserve">2010-12</t>
        </is>
      </c>
      <c r="C1992" s="2" t="inlineStr">
        <is>
          <t xml:space="preserve">2010/11</t>
        </is>
      </c>
      <c r="D1992">
        <v>0.0</v>
      </c>
      <c r="E1992">
        <v>15.98</v>
      </c>
      <c r="F1992">
        <v>22.47</v>
      </c>
      <c r="G1992">
        <v>11.4</v>
      </c>
      <c r="H1992">
        <v>0.03</v>
      </c>
      <c r="I1992">
        <v>0.0</v>
      </c>
      <c r="J1992">
        <v>16.53</v>
      </c>
      <c r="K1992">
        <v>23.27</v>
      </c>
      <c r="L1992">
        <v>12.06</v>
      </c>
      <c r="M1992">
        <v>0.0</v>
      </c>
      <c r="N1992">
        <v>0.0</v>
      </c>
      <c r="O1992">
        <v>16.75</v>
      </c>
      <c r="P1992">
        <v>22.43</v>
      </c>
      <c r="Q1992">
        <v>12.72</v>
      </c>
      <c r="R1992">
        <v>0.0</v>
      </c>
    </row>
    <row r="1993">
      <c r="A1993" s="9">
        <v>40524</v>
      </c>
      <c r="B1993" s="2" t="inlineStr">
        <is>
          <t xml:space="preserve">2010-12</t>
        </is>
      </c>
      <c r="C1993" s="2" t="inlineStr">
        <is>
          <t xml:space="preserve">2010/11</t>
        </is>
      </c>
      <c r="D1993">
        <v>0.0</v>
      </c>
      <c r="E1993">
        <v>17.47</v>
      </c>
      <c r="F1993">
        <v>24.05</v>
      </c>
      <c r="G1993">
        <v>13.0</v>
      </c>
      <c r="H1993">
        <v>0.11</v>
      </c>
      <c r="I1993">
        <v>0.0</v>
      </c>
      <c r="J1993">
        <v>17.73</v>
      </c>
      <c r="K1993">
        <v>24.76</v>
      </c>
      <c r="L1993">
        <v>12.8</v>
      </c>
      <c r="M1993">
        <v>0.0</v>
      </c>
      <c r="N1993">
        <v>0.0</v>
      </c>
      <c r="O1993">
        <v>18.07</v>
      </c>
      <c r="P1993">
        <v>23.61</v>
      </c>
      <c r="Q1993">
        <v>14.18</v>
      </c>
      <c r="R1993">
        <v>0.01</v>
      </c>
    </row>
    <row r="1994">
      <c r="A1994" s="9">
        <v>40525</v>
      </c>
      <c r="B1994" s="2" t="inlineStr">
        <is>
          <t xml:space="preserve">2010-12</t>
        </is>
      </c>
      <c r="C1994" s="2" t="inlineStr">
        <is>
          <t xml:space="preserve">2010/11</t>
        </is>
      </c>
      <c r="D1994">
        <v>0.0</v>
      </c>
      <c r="E1994">
        <v>15.41</v>
      </c>
      <c r="F1994">
        <v>20.04</v>
      </c>
      <c r="G1994">
        <v>12.13</v>
      </c>
      <c r="H1994">
        <v>0.62</v>
      </c>
      <c r="I1994">
        <v>0.0</v>
      </c>
      <c r="J1994">
        <v>15.88</v>
      </c>
      <c r="K1994">
        <v>19.83</v>
      </c>
      <c r="L1994">
        <v>13.19</v>
      </c>
      <c r="M1994">
        <v>0.05</v>
      </c>
      <c r="N1994">
        <v>0.0</v>
      </c>
      <c r="O1994">
        <v>16.12</v>
      </c>
      <c r="P1994">
        <v>19.16</v>
      </c>
      <c r="Q1994">
        <v>14.29</v>
      </c>
      <c r="R1994">
        <v>0.24</v>
      </c>
    </row>
    <row r="1995">
      <c r="A1995" s="9">
        <v>40526</v>
      </c>
      <c r="B1995" s="2" t="inlineStr">
        <is>
          <t xml:space="preserve">2010-12</t>
        </is>
      </c>
      <c r="C1995" s="2" t="inlineStr">
        <is>
          <t xml:space="preserve">2010/11</t>
        </is>
      </c>
      <c r="D1995">
        <v>0.0</v>
      </c>
      <c r="E1995">
        <v>13.46</v>
      </c>
      <c r="F1995">
        <v>17.45</v>
      </c>
      <c r="G1995">
        <v>10.23</v>
      </c>
      <c r="H1995">
        <v>0.62</v>
      </c>
      <c r="I1995">
        <v>0.0</v>
      </c>
      <c r="J1995">
        <v>13.39</v>
      </c>
      <c r="K1995">
        <v>17.59</v>
      </c>
      <c r="L1995">
        <v>11.01</v>
      </c>
      <c r="M1995">
        <v>0.16</v>
      </c>
      <c r="N1995">
        <v>0.072</v>
      </c>
      <c r="O1995">
        <v>13.63</v>
      </c>
      <c r="P1995">
        <v>16.83</v>
      </c>
      <c r="Q1995">
        <v>11.65</v>
      </c>
      <c r="R1995">
        <v>0.34</v>
      </c>
    </row>
    <row r="1996">
      <c r="A1996" s="9">
        <v>40527</v>
      </c>
      <c r="B1996" s="2" t="inlineStr">
        <is>
          <t xml:space="preserve">2010-12</t>
        </is>
      </c>
      <c r="C1996" s="2" t="inlineStr">
        <is>
          <t xml:space="preserve">2010/11</t>
        </is>
      </c>
      <c r="D1996">
        <v>0.0</v>
      </c>
      <c r="E1996">
        <v>14.38</v>
      </c>
      <c r="F1996">
        <v>21.39</v>
      </c>
      <c r="G1996">
        <v>9.12</v>
      </c>
      <c r="H1996">
        <v>0.01</v>
      </c>
      <c r="I1996">
        <v>0.068</v>
      </c>
      <c r="J1996">
        <v>14.32</v>
      </c>
      <c r="K1996">
        <v>21.46</v>
      </c>
      <c r="L1996">
        <v>9.76</v>
      </c>
      <c r="M1996">
        <v>0.15</v>
      </c>
      <c r="N1996">
        <v>0.661</v>
      </c>
      <c r="O1996">
        <v>14.86</v>
      </c>
      <c r="P1996">
        <v>20.43</v>
      </c>
      <c r="Q1996">
        <v>11.18</v>
      </c>
      <c r="R1996">
        <v>0.15</v>
      </c>
    </row>
    <row r="1997">
      <c r="A1997" s="9">
        <v>40528</v>
      </c>
      <c r="B1997" s="2" t="inlineStr">
        <is>
          <t xml:space="preserve">2010-12</t>
        </is>
      </c>
      <c r="C1997" s="2" t="inlineStr">
        <is>
          <t xml:space="preserve">2010/11</t>
        </is>
      </c>
      <c r="D1997">
        <v>0.0</v>
      </c>
      <c r="E1997">
        <v>17.39</v>
      </c>
      <c r="F1997">
        <v>24.63</v>
      </c>
      <c r="G1997">
        <v>11.22</v>
      </c>
      <c r="H1997">
        <v>0.0</v>
      </c>
      <c r="I1997">
        <v>0.0</v>
      </c>
      <c r="J1997">
        <v>16.73</v>
      </c>
      <c r="K1997">
        <v>24.31</v>
      </c>
      <c r="L1997">
        <v>10.91</v>
      </c>
      <c r="M1997">
        <v>0.0</v>
      </c>
      <c r="N1997">
        <v>0.0</v>
      </c>
      <c r="O1997">
        <v>17.47</v>
      </c>
      <c r="P1997">
        <v>23.98</v>
      </c>
      <c r="Q1997">
        <v>11.44</v>
      </c>
      <c r="R1997">
        <v>0.0</v>
      </c>
    </row>
    <row r="1998">
      <c r="A1998" s="9">
        <v>40529</v>
      </c>
      <c r="B1998" s="2" t="inlineStr">
        <is>
          <t xml:space="preserve">2010-12</t>
        </is>
      </c>
      <c r="C1998" s="2" t="inlineStr">
        <is>
          <t xml:space="preserve">2010/11</t>
        </is>
      </c>
      <c r="D1998">
        <v>0.0</v>
      </c>
      <c r="E1998">
        <v>18.55</v>
      </c>
      <c r="F1998">
        <v>25.8</v>
      </c>
      <c r="G1998">
        <v>11.63</v>
      </c>
      <c r="H1998">
        <v>0.0</v>
      </c>
      <c r="I1998">
        <v>0.0</v>
      </c>
      <c r="J1998">
        <v>17.58</v>
      </c>
      <c r="K1998">
        <v>25.18</v>
      </c>
      <c r="L1998">
        <v>11.76</v>
      </c>
      <c r="M1998">
        <v>0.0</v>
      </c>
      <c r="N1998">
        <v>0.0</v>
      </c>
      <c r="O1998">
        <v>18.23</v>
      </c>
      <c r="P1998">
        <v>24.92</v>
      </c>
      <c r="Q1998">
        <v>11.32</v>
      </c>
      <c r="R1998">
        <v>0.0</v>
      </c>
    </row>
    <row r="1999">
      <c r="A1999" s="9">
        <v>40530</v>
      </c>
      <c r="B1999" s="2" t="inlineStr">
        <is>
          <t xml:space="preserve">2010-12</t>
        </is>
      </c>
      <c r="C1999" s="2" t="inlineStr">
        <is>
          <t xml:space="preserve">2010/11</t>
        </is>
      </c>
      <c r="D1999">
        <v>0.0</v>
      </c>
      <c r="E1999">
        <v>18.8</v>
      </c>
      <c r="F1999">
        <v>25.37</v>
      </c>
      <c r="G1999">
        <v>13.12</v>
      </c>
      <c r="H1999">
        <v>0.0</v>
      </c>
      <c r="I1999">
        <v>0.0</v>
      </c>
      <c r="J1999">
        <v>17.52</v>
      </c>
      <c r="K1999">
        <v>24.95</v>
      </c>
      <c r="L1999">
        <v>11.35</v>
      </c>
      <c r="M1999">
        <v>0.0</v>
      </c>
      <c r="N1999">
        <v>0.0</v>
      </c>
      <c r="O1999">
        <v>18.59</v>
      </c>
      <c r="P1999">
        <v>24.12</v>
      </c>
      <c r="Q1999">
        <v>14.86</v>
      </c>
      <c r="R1999">
        <v>0.0</v>
      </c>
    </row>
    <row r="2000">
      <c r="A2000" s="9">
        <v>40531</v>
      </c>
      <c r="B2000" s="2" t="inlineStr">
        <is>
          <t xml:space="preserve">2010-12</t>
        </is>
      </c>
      <c r="C2000" s="2" t="inlineStr">
        <is>
          <t xml:space="preserve">2010/11</t>
        </is>
      </c>
      <c r="D2000">
        <v>0.0</v>
      </c>
      <c r="E2000">
        <v>17.5</v>
      </c>
      <c r="F2000">
        <v>22.99</v>
      </c>
      <c r="G2000">
        <v>12.96</v>
      </c>
      <c r="H2000">
        <v>0.0</v>
      </c>
      <c r="I2000">
        <v>0.0</v>
      </c>
      <c r="J2000">
        <v>17.6</v>
      </c>
      <c r="K2000">
        <v>23.48</v>
      </c>
      <c r="L2000">
        <v>13.96</v>
      </c>
      <c r="M2000">
        <v>0.0</v>
      </c>
      <c r="N2000">
        <v>0.0</v>
      </c>
      <c r="O2000">
        <v>17.22</v>
      </c>
      <c r="P2000">
        <v>22.23</v>
      </c>
      <c r="Q2000">
        <v>13.93</v>
      </c>
      <c r="R2000">
        <v>0.0</v>
      </c>
    </row>
    <row r="2001">
      <c r="A2001" s="9">
        <v>40532</v>
      </c>
      <c r="B2001" s="2" t="inlineStr">
        <is>
          <t xml:space="preserve">2010-12</t>
        </is>
      </c>
      <c r="C2001" s="2" t="inlineStr">
        <is>
          <t xml:space="preserve">2010/11</t>
        </is>
      </c>
      <c r="D2001">
        <v>0.0</v>
      </c>
      <c r="E2001">
        <v>17.36</v>
      </c>
      <c r="F2001">
        <v>23.71</v>
      </c>
      <c r="G2001">
        <v>13.08</v>
      </c>
      <c r="H2001">
        <v>0.0</v>
      </c>
      <c r="I2001">
        <v>0.0</v>
      </c>
      <c r="J2001">
        <v>17.33</v>
      </c>
      <c r="K2001">
        <v>24.09</v>
      </c>
      <c r="L2001">
        <v>12.9</v>
      </c>
      <c r="M2001">
        <v>0.01</v>
      </c>
      <c r="N2001">
        <v>0.0</v>
      </c>
      <c r="O2001">
        <v>17.08</v>
      </c>
      <c r="P2001">
        <v>22.86</v>
      </c>
      <c r="Q2001">
        <v>12.6</v>
      </c>
      <c r="R2001">
        <v>0.04</v>
      </c>
    </row>
    <row r="2002">
      <c r="A2002" s="9">
        <v>40533</v>
      </c>
      <c r="B2002" s="2" t="inlineStr">
        <is>
          <t xml:space="preserve">2010-12</t>
        </is>
      </c>
      <c r="C2002" s="2" t="inlineStr">
        <is>
          <t xml:space="preserve">2010/11</t>
        </is>
      </c>
      <c r="D2002">
        <v>0.0</v>
      </c>
      <c r="E2002">
        <v>17.02</v>
      </c>
      <c r="F2002">
        <v>23.36</v>
      </c>
      <c r="G2002">
        <v>12.63</v>
      </c>
      <c r="H2002">
        <v>0.04</v>
      </c>
      <c r="I2002">
        <v>0.0</v>
      </c>
      <c r="J2002">
        <v>17.53</v>
      </c>
      <c r="K2002">
        <v>23.52</v>
      </c>
      <c r="L2002">
        <v>13.19</v>
      </c>
      <c r="M2002">
        <v>0.04</v>
      </c>
      <c r="N2002">
        <v>0.0</v>
      </c>
      <c r="O2002">
        <v>17.56</v>
      </c>
      <c r="P2002">
        <v>22.68</v>
      </c>
      <c r="Q2002">
        <v>14.17</v>
      </c>
      <c r="R2002">
        <v>0.25</v>
      </c>
    </row>
    <row r="2003">
      <c r="A2003" s="9">
        <v>40534</v>
      </c>
      <c r="B2003" s="2" t="inlineStr">
        <is>
          <t xml:space="preserve">2010-12</t>
        </is>
      </c>
      <c r="C2003" s="2" t="inlineStr">
        <is>
          <t xml:space="preserve">2010/11</t>
        </is>
      </c>
      <c r="D2003">
        <v>0.0</v>
      </c>
      <c r="E2003">
        <v>16.41</v>
      </c>
      <c r="F2003">
        <v>22.7</v>
      </c>
      <c r="G2003">
        <v>12.71</v>
      </c>
      <c r="H2003">
        <v>0.1</v>
      </c>
      <c r="I2003">
        <v>0.0</v>
      </c>
      <c r="J2003">
        <v>16.83</v>
      </c>
      <c r="K2003">
        <v>22.99</v>
      </c>
      <c r="L2003">
        <v>12.29</v>
      </c>
      <c r="M2003">
        <v>0.06</v>
      </c>
      <c r="N2003">
        <v>0.0</v>
      </c>
      <c r="O2003">
        <v>16.9</v>
      </c>
      <c r="P2003">
        <v>21.82</v>
      </c>
      <c r="Q2003">
        <v>13.67</v>
      </c>
      <c r="R2003">
        <v>0.18</v>
      </c>
    </row>
    <row r="2004">
      <c r="A2004" s="9">
        <v>40535</v>
      </c>
      <c r="B2004" s="2" t="inlineStr">
        <is>
          <t xml:space="preserve">2010-12</t>
        </is>
      </c>
      <c r="C2004" s="2" t="inlineStr">
        <is>
          <t xml:space="preserve">2010/11</t>
        </is>
      </c>
      <c r="D2004">
        <v>0.0</v>
      </c>
      <c r="E2004">
        <v>16.49</v>
      </c>
      <c r="F2004">
        <v>22.52</v>
      </c>
      <c r="G2004">
        <v>11.75</v>
      </c>
      <c r="H2004">
        <v>0.52</v>
      </c>
      <c r="I2004">
        <v>0.0</v>
      </c>
      <c r="J2004">
        <v>16.3</v>
      </c>
      <c r="K2004">
        <v>21.89</v>
      </c>
      <c r="L2004">
        <v>12.23</v>
      </c>
      <c r="M2004">
        <v>0.34</v>
      </c>
      <c r="N2004">
        <v>0.232</v>
      </c>
      <c r="O2004">
        <v>16.48</v>
      </c>
      <c r="P2004">
        <v>20.58</v>
      </c>
      <c r="Q2004">
        <v>12.76</v>
      </c>
      <c r="R2004">
        <v>0.94</v>
      </c>
    </row>
    <row r="2005">
      <c r="A2005" s="9">
        <v>40536</v>
      </c>
      <c r="B2005" s="2" t="inlineStr">
        <is>
          <t xml:space="preserve">2010-12</t>
        </is>
      </c>
      <c r="C2005" s="2" t="inlineStr">
        <is>
          <t xml:space="preserve">2010/11</t>
        </is>
      </c>
      <c r="D2005">
        <v>0.0</v>
      </c>
      <c r="E2005">
        <v>17.19</v>
      </c>
      <c r="F2005">
        <v>23.63</v>
      </c>
      <c r="G2005">
        <v>12.55</v>
      </c>
      <c r="H2005">
        <v>0.36</v>
      </c>
      <c r="I2005">
        <v>0.0</v>
      </c>
      <c r="J2005">
        <v>17.66</v>
      </c>
      <c r="K2005">
        <v>23.31</v>
      </c>
      <c r="L2005">
        <v>13.47</v>
      </c>
      <c r="M2005">
        <v>0.12</v>
      </c>
      <c r="N2005">
        <v>0.223</v>
      </c>
      <c r="O2005">
        <v>17.36</v>
      </c>
      <c r="P2005">
        <v>21.96</v>
      </c>
      <c r="Q2005">
        <v>14.04</v>
      </c>
      <c r="R2005">
        <v>0.19</v>
      </c>
    </row>
    <row r="2006">
      <c r="A2006" s="9">
        <v>40537</v>
      </c>
      <c r="B2006" s="2" t="inlineStr">
        <is>
          <t xml:space="preserve">2010-12</t>
        </is>
      </c>
      <c r="C2006" s="2" t="inlineStr">
        <is>
          <t xml:space="preserve">2010/11</t>
        </is>
      </c>
      <c r="D2006">
        <v>0.0</v>
      </c>
      <c r="E2006">
        <v>17.42</v>
      </c>
      <c r="F2006">
        <v>22.54</v>
      </c>
      <c r="G2006">
        <v>13.49</v>
      </c>
      <c r="H2006">
        <v>0.04</v>
      </c>
      <c r="I2006">
        <v>0.0</v>
      </c>
      <c r="J2006">
        <v>17.37</v>
      </c>
      <c r="K2006">
        <v>22.06</v>
      </c>
      <c r="L2006">
        <v>14.14</v>
      </c>
      <c r="M2006">
        <v>0.06</v>
      </c>
      <c r="N2006">
        <v>0.0</v>
      </c>
      <c r="O2006">
        <v>17.32</v>
      </c>
      <c r="P2006">
        <v>21.32</v>
      </c>
      <c r="Q2006">
        <v>14.42</v>
      </c>
      <c r="R2006">
        <v>0.11</v>
      </c>
    </row>
    <row r="2007">
      <c r="A2007" s="9">
        <v>40538</v>
      </c>
      <c r="B2007" s="2" t="inlineStr">
        <is>
          <t xml:space="preserve">2010-12</t>
        </is>
      </c>
      <c r="C2007" s="2" t="inlineStr">
        <is>
          <t xml:space="preserve">2010/11</t>
        </is>
      </c>
      <c r="D2007">
        <v>0.247</v>
      </c>
      <c r="E2007">
        <v>16.45</v>
      </c>
      <c r="F2007">
        <v>21.11</v>
      </c>
      <c r="G2007">
        <v>13.02</v>
      </c>
      <c r="H2007">
        <v>0.66</v>
      </c>
      <c r="I2007">
        <v>0.272</v>
      </c>
      <c r="J2007">
        <v>16.84</v>
      </c>
      <c r="K2007">
        <v>20.32</v>
      </c>
      <c r="L2007">
        <v>14.65</v>
      </c>
      <c r="M2007">
        <v>0.41</v>
      </c>
      <c r="N2007">
        <v>1.001</v>
      </c>
      <c r="O2007">
        <v>16.67</v>
      </c>
      <c r="P2007">
        <v>19.47</v>
      </c>
      <c r="Q2007">
        <v>14.66</v>
      </c>
      <c r="R2007">
        <v>0.64</v>
      </c>
    </row>
    <row r="2008">
      <c r="A2008" s="9">
        <v>40539</v>
      </c>
      <c r="B2008" s="2" t="inlineStr">
        <is>
          <t xml:space="preserve">2010-12</t>
        </is>
      </c>
      <c r="C2008" s="2" t="inlineStr">
        <is>
          <t xml:space="preserve">2010/11</t>
        </is>
      </c>
      <c r="D2008">
        <v>0.02</v>
      </c>
      <c r="E2008">
        <v>14.63</v>
      </c>
      <c r="F2008">
        <v>18.07</v>
      </c>
      <c r="G2008">
        <v>12.21</v>
      </c>
      <c r="H2008">
        <v>0.92</v>
      </c>
      <c r="I2008">
        <v>0.062</v>
      </c>
      <c r="J2008">
        <v>14.3</v>
      </c>
      <c r="K2008">
        <v>18.27</v>
      </c>
      <c r="L2008">
        <v>11.36</v>
      </c>
      <c r="M2008">
        <v>0.38</v>
      </c>
      <c r="N2008">
        <v>0.671</v>
      </c>
      <c r="O2008">
        <v>14.02</v>
      </c>
      <c r="P2008">
        <v>17.18</v>
      </c>
      <c r="Q2008">
        <v>11.81</v>
      </c>
      <c r="R2008">
        <v>0.75</v>
      </c>
    </row>
    <row r="2009">
      <c r="A2009" s="9">
        <v>40540</v>
      </c>
      <c r="B2009" s="2" t="inlineStr">
        <is>
          <t xml:space="preserve">2010-12</t>
        </is>
      </c>
      <c r="C2009" s="2" t="inlineStr">
        <is>
          <t xml:space="preserve">2010/11</t>
        </is>
      </c>
      <c r="D2009">
        <v>0.0</v>
      </c>
      <c r="E2009">
        <v>15.58</v>
      </c>
      <c r="F2009">
        <v>21.44</v>
      </c>
      <c r="G2009">
        <v>12.14</v>
      </c>
      <c r="H2009">
        <v>0.54</v>
      </c>
      <c r="I2009">
        <v>0.052</v>
      </c>
      <c r="J2009">
        <v>15.28</v>
      </c>
      <c r="K2009">
        <v>21.01</v>
      </c>
      <c r="L2009">
        <v>11.15</v>
      </c>
      <c r="M2009">
        <v>0.35</v>
      </c>
      <c r="N2009">
        <v>0.602</v>
      </c>
      <c r="O2009">
        <v>15.31</v>
      </c>
      <c r="P2009">
        <v>19.9</v>
      </c>
      <c r="Q2009">
        <v>11.9</v>
      </c>
      <c r="R2009">
        <v>0.79</v>
      </c>
    </row>
    <row r="2010">
      <c r="A2010" s="9">
        <v>40541</v>
      </c>
      <c r="B2010" s="2" t="inlineStr">
        <is>
          <t xml:space="preserve">2010-12</t>
        </is>
      </c>
      <c r="C2010" s="2" t="inlineStr">
        <is>
          <t xml:space="preserve">2010/11</t>
        </is>
      </c>
      <c r="D2010">
        <v>0.0</v>
      </c>
      <c r="E2010">
        <v>17.83</v>
      </c>
      <c r="F2010">
        <v>24.64</v>
      </c>
      <c r="G2010">
        <v>12.36</v>
      </c>
      <c r="H2010">
        <v>0.01</v>
      </c>
      <c r="I2010">
        <v>0.0</v>
      </c>
      <c r="J2010">
        <v>17.86</v>
      </c>
      <c r="K2010">
        <v>24.64</v>
      </c>
      <c r="L2010">
        <v>12.48</v>
      </c>
      <c r="M2010">
        <v>0.02</v>
      </c>
      <c r="N2010">
        <v>0.082</v>
      </c>
      <c r="O2010">
        <v>17.27</v>
      </c>
      <c r="P2010">
        <v>22.81</v>
      </c>
      <c r="Q2010">
        <v>13.11</v>
      </c>
      <c r="R2010">
        <v>0.02</v>
      </c>
    </row>
    <row r="2011">
      <c r="A2011" s="9">
        <v>40542</v>
      </c>
      <c r="B2011" s="2" t="inlineStr">
        <is>
          <t xml:space="preserve">2010-12</t>
        </is>
      </c>
      <c r="C2011" s="2" t="inlineStr">
        <is>
          <t xml:space="preserve">2010/11</t>
        </is>
      </c>
      <c r="D2011">
        <v>0.0</v>
      </c>
      <c r="E2011">
        <v>20.28</v>
      </c>
      <c r="F2011">
        <v>27.02</v>
      </c>
      <c r="G2011">
        <v>14.76</v>
      </c>
      <c r="H2011">
        <v>0.0</v>
      </c>
      <c r="I2011">
        <v>0.0</v>
      </c>
      <c r="J2011">
        <v>21.05</v>
      </c>
      <c r="K2011">
        <v>27.92</v>
      </c>
      <c r="L2011">
        <v>14.7</v>
      </c>
      <c r="M2011">
        <v>0.0</v>
      </c>
      <c r="N2011">
        <v>0.0</v>
      </c>
      <c r="O2011">
        <v>20.46</v>
      </c>
      <c r="P2011">
        <v>26.93</v>
      </c>
      <c r="Q2011">
        <v>14.64</v>
      </c>
      <c r="R2011">
        <v>0.0</v>
      </c>
    </row>
    <row r="2012">
      <c r="A2012" s="9">
        <v>40543</v>
      </c>
      <c r="B2012" s="2" t="inlineStr">
        <is>
          <t xml:space="preserve">2010-12</t>
        </is>
      </c>
      <c r="C2012" s="2" t="inlineStr">
        <is>
          <t xml:space="preserve">2010/11</t>
        </is>
      </c>
      <c r="D2012">
        <v>0.0</v>
      </c>
      <c r="E2012">
        <v>20.38</v>
      </c>
      <c r="F2012">
        <v>26.94</v>
      </c>
      <c r="G2012">
        <v>14.86</v>
      </c>
      <c r="H2012">
        <v>0.0</v>
      </c>
      <c r="I2012">
        <v>0.0</v>
      </c>
      <c r="J2012">
        <v>22.01</v>
      </c>
      <c r="K2012">
        <v>27.91</v>
      </c>
      <c r="L2012">
        <v>17.06</v>
      </c>
      <c r="M2012">
        <v>0.0</v>
      </c>
      <c r="N2012">
        <v>0.0</v>
      </c>
      <c r="O2012">
        <v>21.27</v>
      </c>
      <c r="P2012">
        <v>27.21</v>
      </c>
      <c r="Q2012">
        <v>16.8</v>
      </c>
      <c r="R2012">
        <v>0.0</v>
      </c>
    </row>
    <row r="2013">
      <c r="A2013" s="9">
        <v>40544</v>
      </c>
      <c r="B2013" s="2" t="inlineStr">
        <is>
          <t xml:space="preserve">2011-01</t>
        </is>
      </c>
      <c r="C2013" s="2" t="inlineStr">
        <is>
          <t xml:space="preserve">2010/11</t>
        </is>
      </c>
      <c r="D2013">
        <v>0.0</v>
      </c>
      <c r="E2013">
        <v>19.92</v>
      </c>
      <c r="F2013">
        <v>26.84</v>
      </c>
      <c r="G2013">
        <v>13.89</v>
      </c>
      <c r="H2013">
        <v>0.05</v>
      </c>
      <c r="I2013">
        <v>0.0</v>
      </c>
      <c r="J2013">
        <v>21.2</v>
      </c>
      <c r="K2013">
        <v>27.98</v>
      </c>
      <c r="L2013">
        <v>15.97</v>
      </c>
      <c r="M2013">
        <v>0.0</v>
      </c>
      <c r="N2013">
        <v>0.0</v>
      </c>
      <c r="O2013">
        <v>20.82</v>
      </c>
      <c r="P2013">
        <v>26.29</v>
      </c>
      <c r="Q2013">
        <v>17.32</v>
      </c>
      <c r="R2013">
        <v>0.0</v>
      </c>
    </row>
    <row r="2014">
      <c r="A2014" s="9">
        <v>40545</v>
      </c>
      <c r="B2014" s="2" t="inlineStr">
        <is>
          <t xml:space="preserve">2011-01</t>
        </is>
      </c>
      <c r="C2014" s="2" t="inlineStr">
        <is>
          <t xml:space="preserve">2010/11</t>
        </is>
      </c>
      <c r="D2014">
        <v>0.0</v>
      </c>
      <c r="E2014">
        <v>19.87</v>
      </c>
      <c r="F2014">
        <v>26.11</v>
      </c>
      <c r="G2014">
        <v>15.93</v>
      </c>
      <c r="H2014">
        <v>0.03</v>
      </c>
      <c r="I2014">
        <v>0.0</v>
      </c>
      <c r="J2014">
        <v>20.54</v>
      </c>
      <c r="K2014">
        <v>26.37</v>
      </c>
      <c r="L2014">
        <v>16.71</v>
      </c>
      <c r="M2014">
        <v>0.0</v>
      </c>
      <c r="N2014">
        <v>0.0</v>
      </c>
      <c r="O2014">
        <v>20.31</v>
      </c>
      <c r="P2014">
        <v>25.05</v>
      </c>
      <c r="Q2014">
        <v>17.31</v>
      </c>
      <c r="R2014">
        <v>0.03</v>
      </c>
    </row>
    <row r="2015">
      <c r="A2015" s="9">
        <v>40546</v>
      </c>
      <c r="B2015" s="2" t="inlineStr">
        <is>
          <t xml:space="preserve">2011-01</t>
        </is>
      </c>
      <c r="C2015" s="2" t="inlineStr">
        <is>
          <t xml:space="preserve">2010/11</t>
        </is>
      </c>
      <c r="D2015">
        <v>0.0</v>
      </c>
      <c r="E2015">
        <v>17.65</v>
      </c>
      <c r="F2015">
        <v>23.89</v>
      </c>
      <c r="G2015">
        <v>13.87</v>
      </c>
      <c r="H2015">
        <v>0.03</v>
      </c>
      <c r="I2015">
        <v>0.0</v>
      </c>
      <c r="J2015">
        <v>18.55</v>
      </c>
      <c r="K2015">
        <v>23.48</v>
      </c>
      <c r="L2015">
        <v>14.98</v>
      </c>
      <c r="M2015">
        <v>0.04</v>
      </c>
      <c r="N2015">
        <v>0.0</v>
      </c>
      <c r="O2015">
        <v>18.34</v>
      </c>
      <c r="P2015">
        <v>22.94</v>
      </c>
      <c r="Q2015">
        <v>15.14</v>
      </c>
      <c r="R2015">
        <v>0.2</v>
      </c>
    </row>
    <row r="2016">
      <c r="A2016" s="9">
        <v>40547</v>
      </c>
      <c r="B2016" s="2" t="inlineStr">
        <is>
          <t xml:space="preserve">2011-01</t>
        </is>
      </c>
      <c r="C2016" s="2" t="inlineStr">
        <is>
          <t xml:space="preserve">2010/11</t>
        </is>
      </c>
      <c r="D2016">
        <v>0.0</v>
      </c>
      <c r="E2016">
        <v>17.94</v>
      </c>
      <c r="F2016">
        <v>24.51</v>
      </c>
      <c r="G2016">
        <v>13.02</v>
      </c>
      <c r="H2016">
        <v>0.06</v>
      </c>
      <c r="I2016">
        <v>0.0</v>
      </c>
      <c r="J2016">
        <v>18.18</v>
      </c>
      <c r="K2016">
        <v>24.3</v>
      </c>
      <c r="L2016">
        <v>13.59</v>
      </c>
      <c r="M2016">
        <v>0.08</v>
      </c>
      <c r="N2016">
        <v>0.047</v>
      </c>
      <c r="O2016">
        <v>17.62</v>
      </c>
      <c r="P2016">
        <v>22.51</v>
      </c>
      <c r="Q2016">
        <v>14.23</v>
      </c>
      <c r="R2016">
        <v>0.27</v>
      </c>
    </row>
    <row r="2017">
      <c r="A2017" s="9">
        <v>40548</v>
      </c>
      <c r="B2017" s="2" t="inlineStr">
        <is>
          <t xml:space="preserve">2011-01</t>
        </is>
      </c>
      <c r="C2017" s="2" t="inlineStr">
        <is>
          <t xml:space="preserve">2010/11</t>
        </is>
      </c>
      <c r="D2017">
        <v>0.0</v>
      </c>
      <c r="E2017">
        <v>18.72</v>
      </c>
      <c r="F2017">
        <v>25.98</v>
      </c>
      <c r="G2017">
        <v>14.19</v>
      </c>
      <c r="H2017">
        <v>0.0</v>
      </c>
      <c r="I2017">
        <v>0.0</v>
      </c>
      <c r="J2017">
        <v>19.62</v>
      </c>
      <c r="K2017">
        <v>26.49</v>
      </c>
      <c r="L2017">
        <v>14.63</v>
      </c>
      <c r="M2017">
        <v>0.0</v>
      </c>
      <c r="N2017">
        <v>0.0</v>
      </c>
      <c r="O2017">
        <v>18.81</v>
      </c>
      <c r="P2017">
        <v>24.57</v>
      </c>
      <c r="Q2017">
        <v>15.18</v>
      </c>
      <c r="R2017">
        <v>0.0</v>
      </c>
    </row>
    <row r="2018">
      <c r="A2018" s="9">
        <v>40549</v>
      </c>
      <c r="B2018" s="2" t="inlineStr">
        <is>
          <t xml:space="preserve">2011-01</t>
        </is>
      </c>
      <c r="C2018" s="2" t="inlineStr">
        <is>
          <t xml:space="preserve">2010/11</t>
        </is>
      </c>
      <c r="D2018">
        <v>0.0</v>
      </c>
      <c r="E2018">
        <v>17.78</v>
      </c>
      <c r="F2018">
        <v>25.16</v>
      </c>
      <c r="G2018">
        <v>13.39</v>
      </c>
      <c r="H2018">
        <v>0.0</v>
      </c>
      <c r="I2018">
        <v>0.0</v>
      </c>
      <c r="J2018">
        <v>18.62</v>
      </c>
      <c r="K2018">
        <v>25.61</v>
      </c>
      <c r="L2018">
        <v>13.97</v>
      </c>
      <c r="M2018">
        <v>0.0</v>
      </c>
      <c r="N2018">
        <v>0.0</v>
      </c>
      <c r="O2018">
        <v>18.14</v>
      </c>
      <c r="P2018">
        <v>23.57</v>
      </c>
      <c r="Q2018">
        <v>14.73</v>
      </c>
      <c r="R2018">
        <v>0.0</v>
      </c>
    </row>
    <row r="2019">
      <c r="A2019" s="9">
        <v>40550</v>
      </c>
      <c r="B2019" s="2" t="inlineStr">
        <is>
          <t xml:space="preserve">2011-01</t>
        </is>
      </c>
      <c r="C2019" s="2" t="inlineStr">
        <is>
          <t xml:space="preserve">2010/11</t>
        </is>
      </c>
      <c r="D2019">
        <v>0.0</v>
      </c>
      <c r="E2019">
        <v>17.71</v>
      </c>
      <c r="F2019">
        <v>25.18</v>
      </c>
      <c r="G2019">
        <v>11.71</v>
      </c>
      <c r="H2019">
        <v>0.07</v>
      </c>
      <c r="I2019">
        <v>0.0</v>
      </c>
      <c r="J2019">
        <v>18.18</v>
      </c>
      <c r="K2019">
        <v>24.76</v>
      </c>
      <c r="L2019">
        <v>13.86</v>
      </c>
      <c r="M2019">
        <v>0.0</v>
      </c>
      <c r="N2019">
        <v>0.0</v>
      </c>
      <c r="O2019">
        <v>17.43</v>
      </c>
      <c r="P2019">
        <v>22.64</v>
      </c>
      <c r="Q2019">
        <v>13.97</v>
      </c>
      <c r="R2019">
        <v>0.0</v>
      </c>
    </row>
    <row r="2020">
      <c r="A2020" s="9">
        <v>40551</v>
      </c>
      <c r="B2020" s="2" t="inlineStr">
        <is>
          <t xml:space="preserve">2011-01</t>
        </is>
      </c>
      <c r="C2020" s="2" t="inlineStr">
        <is>
          <t xml:space="preserve">2010/11</t>
        </is>
      </c>
      <c r="D2020">
        <v>0.0</v>
      </c>
      <c r="E2020">
        <v>20.15</v>
      </c>
      <c r="F2020">
        <v>28.08</v>
      </c>
      <c r="G2020">
        <v>13.71</v>
      </c>
      <c r="H2020">
        <v>0.0</v>
      </c>
      <c r="I2020">
        <v>0.0</v>
      </c>
      <c r="J2020">
        <v>19.77</v>
      </c>
      <c r="K2020">
        <v>28.0</v>
      </c>
      <c r="L2020">
        <v>12.82</v>
      </c>
      <c r="M2020">
        <v>0.0</v>
      </c>
      <c r="N2020">
        <v>0.0</v>
      </c>
      <c r="O2020">
        <v>19.7</v>
      </c>
      <c r="P2020">
        <v>26.56</v>
      </c>
      <c r="Q2020">
        <v>12.93</v>
      </c>
      <c r="R2020">
        <v>0.0</v>
      </c>
    </row>
    <row r="2021">
      <c r="A2021" s="9">
        <v>40552</v>
      </c>
      <c r="B2021" s="2" t="inlineStr">
        <is>
          <t xml:space="preserve">2011-01</t>
        </is>
      </c>
      <c r="C2021" s="2" t="inlineStr">
        <is>
          <t xml:space="preserve">2010/11</t>
        </is>
      </c>
      <c r="D2021">
        <v>0.0</v>
      </c>
      <c r="E2021">
        <v>20.15</v>
      </c>
      <c r="F2021">
        <v>27.36</v>
      </c>
      <c r="G2021">
        <v>13.18</v>
      </c>
      <c r="H2021">
        <v>0.0</v>
      </c>
      <c r="I2021">
        <v>0.0</v>
      </c>
      <c r="J2021">
        <v>20.61</v>
      </c>
      <c r="K2021">
        <v>27.9</v>
      </c>
      <c r="L2021">
        <v>14.6</v>
      </c>
      <c r="M2021">
        <v>0.0</v>
      </c>
      <c r="N2021">
        <v>0.0</v>
      </c>
      <c r="O2021">
        <v>20.47</v>
      </c>
      <c r="P2021">
        <v>26.95</v>
      </c>
      <c r="Q2021">
        <v>13.9</v>
      </c>
      <c r="R2021">
        <v>0.0</v>
      </c>
    </row>
    <row r="2022">
      <c r="A2022" s="9">
        <v>40553</v>
      </c>
      <c r="B2022" s="2" t="inlineStr">
        <is>
          <t xml:space="preserve">2011-01</t>
        </is>
      </c>
      <c r="C2022" s="2" t="inlineStr">
        <is>
          <t xml:space="preserve">2010/11</t>
        </is>
      </c>
      <c r="D2022">
        <v>0.0</v>
      </c>
      <c r="E2022">
        <v>21.07</v>
      </c>
      <c r="F2022">
        <v>28.45</v>
      </c>
      <c r="G2022">
        <v>15.2</v>
      </c>
      <c r="H2022">
        <v>0.0</v>
      </c>
      <c r="I2022">
        <v>0.0</v>
      </c>
      <c r="J2022">
        <v>21.57</v>
      </c>
      <c r="K2022">
        <v>28.79</v>
      </c>
      <c r="L2022">
        <v>16.16</v>
      </c>
      <c r="M2022">
        <v>0.0</v>
      </c>
      <c r="N2022">
        <v>0.0</v>
      </c>
      <c r="O2022">
        <v>20.51</v>
      </c>
      <c r="P2022">
        <v>26.59</v>
      </c>
      <c r="Q2022">
        <v>16.1</v>
      </c>
      <c r="R2022">
        <v>0.01</v>
      </c>
    </row>
    <row r="2023">
      <c r="A2023" s="9">
        <v>40554</v>
      </c>
      <c r="B2023" s="2" t="inlineStr">
        <is>
          <t xml:space="preserve">2011-01</t>
        </is>
      </c>
      <c r="C2023" s="2" t="inlineStr">
        <is>
          <t xml:space="preserve">2010/11</t>
        </is>
      </c>
      <c r="D2023">
        <v>0.0</v>
      </c>
      <c r="E2023">
        <v>20.75</v>
      </c>
      <c r="F2023">
        <v>27.36</v>
      </c>
      <c r="G2023">
        <v>16.21</v>
      </c>
      <c r="H2023">
        <v>0.12</v>
      </c>
      <c r="I2023">
        <v>0.0</v>
      </c>
      <c r="J2023">
        <v>21.21</v>
      </c>
      <c r="K2023">
        <v>27.73</v>
      </c>
      <c r="L2023">
        <v>16.74</v>
      </c>
      <c r="M2023">
        <v>0.09</v>
      </c>
      <c r="N2023">
        <v>0.0</v>
      </c>
      <c r="O2023">
        <v>20.55</v>
      </c>
      <c r="P2023">
        <v>25.38</v>
      </c>
      <c r="Q2023">
        <v>17.19</v>
      </c>
      <c r="R2023">
        <v>0.3</v>
      </c>
    </row>
    <row r="2024">
      <c r="A2024" s="9">
        <v>40555</v>
      </c>
      <c r="B2024" s="2" t="inlineStr">
        <is>
          <t xml:space="preserve">2011-01</t>
        </is>
      </c>
      <c r="C2024" s="2" t="inlineStr">
        <is>
          <t xml:space="preserve">2010/11</t>
        </is>
      </c>
      <c r="D2024">
        <v>0.0</v>
      </c>
      <c r="E2024">
        <v>19.11</v>
      </c>
      <c r="F2024">
        <v>24.78</v>
      </c>
      <c r="G2024">
        <v>15.62</v>
      </c>
      <c r="H2024">
        <v>1.62</v>
      </c>
      <c r="I2024">
        <v>0.035</v>
      </c>
      <c r="J2024">
        <v>19.83</v>
      </c>
      <c r="K2024">
        <v>24.82</v>
      </c>
      <c r="L2024">
        <v>16.41</v>
      </c>
      <c r="M2024">
        <v>0.51</v>
      </c>
      <c r="N2024">
        <v>0.406</v>
      </c>
      <c r="O2024">
        <v>19.63</v>
      </c>
      <c r="P2024">
        <v>23.71</v>
      </c>
      <c r="Q2024">
        <v>17.05</v>
      </c>
      <c r="R2024">
        <v>1.14</v>
      </c>
    </row>
    <row r="2025">
      <c r="A2025" s="9">
        <v>40556</v>
      </c>
      <c r="B2025" s="2" t="inlineStr">
        <is>
          <t xml:space="preserve">2011-01</t>
        </is>
      </c>
      <c r="C2025" s="2" t="inlineStr">
        <is>
          <t xml:space="preserve">2010/11</t>
        </is>
      </c>
      <c r="D2025">
        <v>0.061</v>
      </c>
      <c r="E2025">
        <v>18.45</v>
      </c>
      <c r="F2025">
        <v>23.85</v>
      </c>
      <c r="G2025">
        <v>15.8</v>
      </c>
      <c r="H2025">
        <v>11.84</v>
      </c>
      <c r="I2025">
        <v>1.337</v>
      </c>
      <c r="J2025">
        <v>18.59</v>
      </c>
      <c r="K2025">
        <v>23.64</v>
      </c>
      <c r="L2025">
        <v>15.42</v>
      </c>
      <c r="M2025">
        <v>4.62</v>
      </c>
      <c r="N2025">
        <v>5.744</v>
      </c>
      <c r="O2025">
        <v>18.2</v>
      </c>
      <c r="P2025">
        <v>22.13</v>
      </c>
      <c r="Q2025">
        <v>15.92</v>
      </c>
      <c r="R2025">
        <v>7.94</v>
      </c>
    </row>
    <row r="2026">
      <c r="A2026" s="9">
        <v>40557</v>
      </c>
      <c r="B2026" s="2" t="inlineStr">
        <is>
          <t xml:space="preserve">2011-01</t>
        </is>
      </c>
      <c r="C2026" s="2" t="inlineStr">
        <is>
          <t xml:space="preserve">2010/11</t>
        </is>
      </c>
      <c r="D2026">
        <v>0.145</v>
      </c>
      <c r="E2026">
        <v>17.35</v>
      </c>
      <c r="F2026">
        <v>21.93</v>
      </c>
      <c r="G2026">
        <v>14.45</v>
      </c>
      <c r="H2026">
        <v>11.18</v>
      </c>
      <c r="I2026">
        <v>1.292</v>
      </c>
      <c r="J2026">
        <v>16.73</v>
      </c>
      <c r="K2026">
        <v>21.4</v>
      </c>
      <c r="L2026">
        <v>14.14</v>
      </c>
      <c r="M2026">
        <v>3.18</v>
      </c>
      <c r="N2026">
        <v>6.046</v>
      </c>
      <c r="O2026">
        <v>16.69</v>
      </c>
      <c r="P2026">
        <v>20.45</v>
      </c>
      <c r="Q2026">
        <v>14.55</v>
      </c>
      <c r="R2026">
        <v>4.1</v>
      </c>
    </row>
    <row r="2027">
      <c r="A2027" s="9">
        <v>40558</v>
      </c>
      <c r="B2027" s="2" t="inlineStr">
        <is>
          <t xml:space="preserve">2011-01</t>
        </is>
      </c>
      <c r="C2027" s="2" t="inlineStr">
        <is>
          <t xml:space="preserve">2010/11</t>
        </is>
      </c>
      <c r="D2027">
        <v>0.066</v>
      </c>
      <c r="E2027">
        <v>17.77</v>
      </c>
      <c r="F2027">
        <v>23.24</v>
      </c>
      <c r="G2027">
        <v>14.4</v>
      </c>
      <c r="H2027">
        <v>4.08</v>
      </c>
      <c r="I2027">
        <v>0.658</v>
      </c>
      <c r="J2027">
        <v>16.83</v>
      </c>
      <c r="K2027">
        <v>22.3</v>
      </c>
      <c r="L2027">
        <v>13.04</v>
      </c>
      <c r="M2027">
        <v>1.17</v>
      </c>
      <c r="N2027">
        <v>2.51</v>
      </c>
      <c r="O2027">
        <v>16.4</v>
      </c>
      <c r="P2027">
        <v>20.59</v>
      </c>
      <c r="Q2027">
        <v>13.56</v>
      </c>
      <c r="R2027">
        <v>1.69</v>
      </c>
    </row>
    <row r="2028">
      <c r="A2028" s="9">
        <v>40559</v>
      </c>
      <c r="B2028" s="2" t="inlineStr">
        <is>
          <t xml:space="preserve">2011-01</t>
        </is>
      </c>
      <c r="C2028" s="2" t="inlineStr">
        <is>
          <t xml:space="preserve">2010/11</t>
        </is>
      </c>
      <c r="D2028">
        <v>0.0</v>
      </c>
      <c r="E2028">
        <v>19.17</v>
      </c>
      <c r="F2028">
        <v>25.84</v>
      </c>
      <c r="G2028">
        <v>14.04</v>
      </c>
      <c r="H2028">
        <v>0.22</v>
      </c>
      <c r="I2028">
        <v>0.249</v>
      </c>
      <c r="J2028">
        <v>19.61</v>
      </c>
      <c r="K2028">
        <v>26.87</v>
      </c>
      <c r="L2028">
        <v>14.29</v>
      </c>
      <c r="M2028">
        <v>0.29</v>
      </c>
      <c r="N2028">
        <v>0.917</v>
      </c>
      <c r="O2028">
        <v>18.8</v>
      </c>
      <c r="P2028">
        <v>24.55</v>
      </c>
      <c r="Q2028">
        <v>14.47</v>
      </c>
      <c r="R2028">
        <v>0.36</v>
      </c>
    </row>
    <row r="2029">
      <c r="A2029" s="9">
        <v>40560</v>
      </c>
      <c r="B2029" s="2" t="inlineStr">
        <is>
          <t xml:space="preserve">2011-01</t>
        </is>
      </c>
      <c r="C2029" s="2" t="inlineStr">
        <is>
          <t xml:space="preserve">2010/11</t>
        </is>
      </c>
      <c r="D2029">
        <v>2.041</v>
      </c>
      <c r="E2029">
        <v>20.8</v>
      </c>
      <c r="F2029">
        <v>27.83</v>
      </c>
      <c r="G2029">
        <v>15.93</v>
      </c>
      <c r="H2029">
        <v>1.29</v>
      </c>
      <c r="I2029">
        <v>0.082</v>
      </c>
      <c r="J2029">
        <v>21.31</v>
      </c>
      <c r="K2029">
        <v>28.95</v>
      </c>
      <c r="L2029">
        <v>15.47</v>
      </c>
      <c r="M2029">
        <v>0.35</v>
      </c>
      <c r="N2029">
        <v>0.34</v>
      </c>
      <c r="O2029">
        <v>20.56</v>
      </c>
      <c r="P2029">
        <v>26.67</v>
      </c>
      <c r="Q2029">
        <v>16.38</v>
      </c>
      <c r="R2029">
        <v>0.31</v>
      </c>
    </row>
    <row r="2030">
      <c r="A2030" s="9">
        <v>40561</v>
      </c>
      <c r="B2030" s="2" t="inlineStr">
        <is>
          <t xml:space="preserve">2011-01</t>
        </is>
      </c>
      <c r="C2030" s="2" t="inlineStr">
        <is>
          <t xml:space="preserve">2010/11</t>
        </is>
      </c>
      <c r="D2030">
        <v>1.664</v>
      </c>
      <c r="E2030">
        <v>21.34</v>
      </c>
      <c r="F2030">
        <v>28.65</v>
      </c>
      <c r="G2030">
        <v>16.02</v>
      </c>
      <c r="H2030">
        <v>0.21</v>
      </c>
      <c r="I2030">
        <v>0.0</v>
      </c>
      <c r="J2030">
        <v>22.48</v>
      </c>
      <c r="K2030">
        <v>29.98</v>
      </c>
      <c r="L2030">
        <v>16.21</v>
      </c>
      <c r="M2030">
        <v>0.01</v>
      </c>
      <c r="N2030">
        <v>0.0</v>
      </c>
      <c r="O2030">
        <v>21.53</v>
      </c>
      <c r="P2030">
        <v>28.07</v>
      </c>
      <c r="Q2030">
        <v>16.86</v>
      </c>
      <c r="R2030">
        <v>0.01</v>
      </c>
    </row>
    <row r="2031">
      <c r="A2031" s="9">
        <v>40562</v>
      </c>
      <c r="B2031" s="2" t="inlineStr">
        <is>
          <t xml:space="preserve">2011-01</t>
        </is>
      </c>
      <c r="C2031" s="2" t="inlineStr">
        <is>
          <t xml:space="preserve">2010/11</t>
        </is>
      </c>
      <c r="D2031">
        <v>0.0</v>
      </c>
      <c r="E2031">
        <v>21.16</v>
      </c>
      <c r="F2031">
        <v>28.43</v>
      </c>
      <c r="G2031">
        <v>15.55</v>
      </c>
      <c r="H2031">
        <v>0.0</v>
      </c>
      <c r="I2031">
        <v>0.0</v>
      </c>
      <c r="J2031">
        <v>22.42</v>
      </c>
      <c r="K2031">
        <v>29.28</v>
      </c>
      <c r="L2031">
        <v>17.19</v>
      </c>
      <c r="M2031">
        <v>0.01</v>
      </c>
      <c r="N2031">
        <v>0.0</v>
      </c>
      <c r="O2031">
        <v>21.67</v>
      </c>
      <c r="P2031">
        <v>26.76</v>
      </c>
      <c r="Q2031">
        <v>18.54</v>
      </c>
      <c r="R2031">
        <v>0.0</v>
      </c>
    </row>
    <row r="2032">
      <c r="A2032" s="9">
        <v>40563</v>
      </c>
      <c r="B2032" s="2" t="inlineStr">
        <is>
          <t xml:space="preserve">2011-01</t>
        </is>
      </c>
      <c r="C2032" s="2" t="inlineStr">
        <is>
          <t xml:space="preserve">2010/11</t>
        </is>
      </c>
      <c r="D2032">
        <v>0.0</v>
      </c>
      <c r="E2032">
        <v>21.4</v>
      </c>
      <c r="F2032">
        <v>28.35</v>
      </c>
      <c r="G2032">
        <v>16.28</v>
      </c>
      <c r="H2032">
        <v>0.0</v>
      </c>
      <c r="I2032">
        <v>0.037</v>
      </c>
      <c r="J2032">
        <v>22.55</v>
      </c>
      <c r="K2032">
        <v>29.6</v>
      </c>
      <c r="L2032">
        <v>16.92</v>
      </c>
      <c r="M2032">
        <v>0.03</v>
      </c>
      <c r="N2032">
        <v>0.0</v>
      </c>
      <c r="O2032">
        <v>21.94</v>
      </c>
      <c r="P2032">
        <v>27.79</v>
      </c>
      <c r="Q2032">
        <v>18.09</v>
      </c>
      <c r="R2032">
        <v>0.0</v>
      </c>
    </row>
    <row r="2033">
      <c r="A2033" s="9">
        <v>40564</v>
      </c>
      <c r="B2033" s="2" t="inlineStr">
        <is>
          <t xml:space="preserve">2011-01</t>
        </is>
      </c>
      <c r="C2033" s="2" t="inlineStr">
        <is>
          <t xml:space="preserve">2010/11</t>
        </is>
      </c>
      <c r="D2033">
        <v>0.0</v>
      </c>
      <c r="E2033">
        <v>21.46</v>
      </c>
      <c r="F2033">
        <v>28.83</v>
      </c>
      <c r="G2033">
        <v>15.65</v>
      </c>
      <c r="H2033">
        <v>0.33</v>
      </c>
      <c r="I2033">
        <v>0.0</v>
      </c>
      <c r="J2033">
        <v>22.53</v>
      </c>
      <c r="K2033">
        <v>29.65</v>
      </c>
      <c r="L2033">
        <v>17.39</v>
      </c>
      <c r="M2033">
        <v>0.01</v>
      </c>
      <c r="N2033">
        <v>0.0</v>
      </c>
      <c r="O2033">
        <v>21.36</v>
      </c>
      <c r="P2033">
        <v>27.38</v>
      </c>
      <c r="Q2033">
        <v>16.25</v>
      </c>
      <c r="R2033">
        <v>0.01</v>
      </c>
    </row>
    <row r="2034">
      <c r="A2034" s="9">
        <v>40565</v>
      </c>
      <c r="B2034" s="2" t="inlineStr">
        <is>
          <t xml:space="preserve">2011-01</t>
        </is>
      </c>
      <c r="C2034" s="2" t="inlineStr">
        <is>
          <t xml:space="preserve">2010/11</t>
        </is>
      </c>
      <c r="D2034">
        <v>0.0</v>
      </c>
      <c r="E2034">
        <v>20.14</v>
      </c>
      <c r="F2034">
        <v>25.87</v>
      </c>
      <c r="G2034">
        <v>16.44</v>
      </c>
      <c r="H2034">
        <v>2.72</v>
      </c>
      <c r="I2034">
        <v>0.0</v>
      </c>
      <c r="J2034">
        <v>21.19</v>
      </c>
      <c r="K2034">
        <v>27.32</v>
      </c>
      <c r="L2034">
        <v>16.75</v>
      </c>
      <c r="M2034">
        <v>0.45</v>
      </c>
      <c r="N2034">
        <v>0.0</v>
      </c>
      <c r="O2034">
        <v>20.52</v>
      </c>
      <c r="P2034">
        <v>25.09</v>
      </c>
      <c r="Q2034">
        <v>17.31</v>
      </c>
      <c r="R2034">
        <v>1.55</v>
      </c>
    </row>
    <row r="2035">
      <c r="A2035" s="9">
        <v>40566</v>
      </c>
      <c r="B2035" s="2" t="inlineStr">
        <is>
          <t xml:space="preserve">2011-01</t>
        </is>
      </c>
      <c r="C2035" s="2" t="inlineStr">
        <is>
          <t xml:space="preserve">2010/11</t>
        </is>
      </c>
      <c r="D2035">
        <v>0.101</v>
      </c>
      <c r="E2035">
        <v>19.68</v>
      </c>
      <c r="F2035">
        <v>26.08</v>
      </c>
      <c r="G2035">
        <v>15.17</v>
      </c>
      <c r="H2035">
        <v>2.21</v>
      </c>
      <c r="I2035">
        <v>0.0</v>
      </c>
      <c r="J2035">
        <v>21.13</v>
      </c>
      <c r="K2035">
        <v>27.69</v>
      </c>
      <c r="L2035">
        <v>16.14</v>
      </c>
      <c r="M2035">
        <v>1.45</v>
      </c>
      <c r="N2035">
        <v>0.883</v>
      </c>
      <c r="O2035">
        <v>19.6</v>
      </c>
      <c r="P2035">
        <v>24.81</v>
      </c>
      <c r="Q2035">
        <v>16.33</v>
      </c>
      <c r="R2035">
        <v>5.59</v>
      </c>
    </row>
    <row r="2036">
      <c r="A2036" s="9">
        <v>40567</v>
      </c>
      <c r="B2036" s="2" t="inlineStr">
        <is>
          <t xml:space="preserve">2011-01</t>
        </is>
      </c>
      <c r="C2036" s="2" t="inlineStr">
        <is>
          <t xml:space="preserve">2010/11</t>
        </is>
      </c>
      <c r="D2036">
        <v>0.0</v>
      </c>
      <c r="E2036">
        <v>20.67</v>
      </c>
      <c r="F2036">
        <v>28.02</v>
      </c>
      <c r="G2036">
        <v>15.49</v>
      </c>
      <c r="H2036">
        <v>0.0</v>
      </c>
      <c r="I2036">
        <v>0.0</v>
      </c>
      <c r="J2036">
        <v>22.03</v>
      </c>
      <c r="K2036">
        <v>28.84</v>
      </c>
      <c r="L2036">
        <v>16.83</v>
      </c>
      <c r="M2036">
        <v>0.0</v>
      </c>
      <c r="N2036">
        <v>0.0</v>
      </c>
      <c r="O2036">
        <v>20.64</v>
      </c>
      <c r="P2036">
        <v>26.34</v>
      </c>
      <c r="Q2036">
        <v>17.0</v>
      </c>
      <c r="R2036">
        <v>0.0</v>
      </c>
    </row>
    <row r="2037">
      <c r="A2037" s="9">
        <v>40568</v>
      </c>
      <c r="B2037" s="2" t="inlineStr">
        <is>
          <t xml:space="preserve">2011-01</t>
        </is>
      </c>
      <c r="C2037" s="2" t="inlineStr">
        <is>
          <t xml:space="preserve">2010/11</t>
        </is>
      </c>
      <c r="D2037">
        <v>0.0</v>
      </c>
      <c r="E2037">
        <v>21.21</v>
      </c>
      <c r="F2037">
        <v>28.9</v>
      </c>
      <c r="G2037">
        <v>14.67</v>
      </c>
      <c r="H2037">
        <v>0.0</v>
      </c>
      <c r="I2037">
        <v>0.0</v>
      </c>
      <c r="J2037">
        <v>22.68</v>
      </c>
      <c r="K2037">
        <v>30.09</v>
      </c>
      <c r="L2037">
        <v>17.01</v>
      </c>
      <c r="M2037">
        <v>0.0</v>
      </c>
      <c r="N2037">
        <v>0.0</v>
      </c>
      <c r="O2037">
        <v>21.54</v>
      </c>
      <c r="P2037">
        <v>28.27</v>
      </c>
      <c r="Q2037">
        <v>16.27</v>
      </c>
      <c r="R2037">
        <v>0.0</v>
      </c>
    </row>
    <row r="2038">
      <c r="A2038" s="9">
        <v>40569</v>
      </c>
      <c r="B2038" s="2" t="inlineStr">
        <is>
          <t xml:space="preserve">2011-01</t>
        </is>
      </c>
      <c r="C2038" s="2" t="inlineStr">
        <is>
          <t xml:space="preserve">2010/11</t>
        </is>
      </c>
      <c r="D2038">
        <v>0.0</v>
      </c>
      <c r="E2038">
        <v>20.28</v>
      </c>
      <c r="F2038">
        <v>26.68</v>
      </c>
      <c r="G2038">
        <v>15.4</v>
      </c>
      <c r="H2038">
        <v>0.0</v>
      </c>
      <c r="I2038">
        <v>0.0</v>
      </c>
      <c r="J2038">
        <v>21.28</v>
      </c>
      <c r="K2038">
        <v>27.07</v>
      </c>
      <c r="L2038">
        <v>17.2</v>
      </c>
      <c r="M2038">
        <v>0.0</v>
      </c>
      <c r="N2038">
        <v>0.0</v>
      </c>
      <c r="O2038">
        <v>20.34</v>
      </c>
      <c r="P2038">
        <v>24.82</v>
      </c>
      <c r="Q2038">
        <v>17.34</v>
      </c>
      <c r="R2038">
        <v>0.05</v>
      </c>
    </row>
    <row r="2039">
      <c r="A2039" s="9">
        <v>40570</v>
      </c>
      <c r="B2039" s="2" t="inlineStr">
        <is>
          <t xml:space="preserve">2011-01</t>
        </is>
      </c>
      <c r="C2039" s="2" t="inlineStr">
        <is>
          <t xml:space="preserve">2010/11</t>
        </is>
      </c>
      <c r="D2039">
        <v>0.0</v>
      </c>
      <c r="E2039">
        <v>20.12</v>
      </c>
      <c r="F2039">
        <v>25.76</v>
      </c>
      <c r="G2039">
        <v>15.76</v>
      </c>
      <c r="H2039">
        <v>1.88</v>
      </c>
      <c r="I2039">
        <v>0.0</v>
      </c>
      <c r="J2039">
        <v>20.66</v>
      </c>
      <c r="K2039">
        <v>27.17</v>
      </c>
      <c r="L2039">
        <v>15.95</v>
      </c>
      <c r="M2039">
        <v>1.42</v>
      </c>
      <c r="N2039">
        <v>0.0</v>
      </c>
      <c r="O2039">
        <v>19.73</v>
      </c>
      <c r="P2039">
        <v>25.08</v>
      </c>
      <c r="Q2039">
        <v>15.89</v>
      </c>
      <c r="R2039">
        <v>2.44</v>
      </c>
    </row>
    <row r="2040">
      <c r="A2040" s="9">
        <v>40571</v>
      </c>
      <c r="B2040" s="2" t="inlineStr">
        <is>
          <t xml:space="preserve">2011-01</t>
        </is>
      </c>
      <c r="C2040" s="2" t="inlineStr">
        <is>
          <t xml:space="preserve">2010/11</t>
        </is>
      </c>
      <c r="D2040">
        <v>3.349</v>
      </c>
      <c r="E2040">
        <v>19.28</v>
      </c>
      <c r="F2040">
        <v>25.04</v>
      </c>
      <c r="G2040">
        <v>15.88</v>
      </c>
      <c r="H2040">
        <v>7.38</v>
      </c>
      <c r="I2040">
        <v>3.303</v>
      </c>
      <c r="J2040">
        <v>20.12</v>
      </c>
      <c r="K2040">
        <v>25.96</v>
      </c>
      <c r="L2040">
        <v>16.68</v>
      </c>
      <c r="M2040">
        <v>5.55</v>
      </c>
      <c r="N2040">
        <v>7.706</v>
      </c>
      <c r="O2040">
        <v>19.24</v>
      </c>
      <c r="P2040">
        <v>23.66</v>
      </c>
      <c r="Q2040">
        <v>16.69</v>
      </c>
      <c r="R2040">
        <v>8.88</v>
      </c>
    </row>
    <row r="2041">
      <c r="A2041" s="9">
        <v>40572</v>
      </c>
      <c r="B2041" s="2" t="inlineStr">
        <is>
          <t xml:space="preserve">2011-01</t>
        </is>
      </c>
      <c r="C2041" s="2" t="inlineStr">
        <is>
          <t xml:space="preserve">2010/11</t>
        </is>
      </c>
      <c r="D2041">
        <v>0.064</v>
      </c>
      <c r="E2041">
        <v>19.06</v>
      </c>
      <c r="F2041">
        <v>25.33</v>
      </c>
      <c r="G2041">
        <v>15.13</v>
      </c>
      <c r="H2041">
        <v>3.42</v>
      </c>
      <c r="I2041">
        <v>1.269</v>
      </c>
      <c r="J2041">
        <v>20.14</v>
      </c>
      <c r="K2041">
        <v>26.6</v>
      </c>
      <c r="L2041">
        <v>16.5</v>
      </c>
      <c r="M2041">
        <v>2.17</v>
      </c>
      <c r="N2041">
        <v>5.029</v>
      </c>
      <c r="O2041">
        <v>19.06</v>
      </c>
      <c r="P2041">
        <v>23.86</v>
      </c>
      <c r="Q2041">
        <v>16.16</v>
      </c>
      <c r="R2041">
        <v>3.49</v>
      </c>
    </row>
    <row r="2042">
      <c r="A2042" s="9">
        <v>40573</v>
      </c>
      <c r="B2042" s="2" t="inlineStr">
        <is>
          <t xml:space="preserve">2011-01</t>
        </is>
      </c>
      <c r="C2042" s="2" t="inlineStr">
        <is>
          <t xml:space="preserve">2010/11</t>
        </is>
      </c>
      <c r="D2042">
        <v>0.0</v>
      </c>
      <c r="E2042">
        <v>19.74</v>
      </c>
      <c r="F2042">
        <v>27.12</v>
      </c>
      <c r="G2042">
        <v>14.1</v>
      </c>
      <c r="H2042">
        <v>0.0</v>
      </c>
      <c r="I2042">
        <v>0.0</v>
      </c>
      <c r="J2042">
        <v>20.89</v>
      </c>
      <c r="K2042">
        <v>29.3</v>
      </c>
      <c r="L2042">
        <v>14.78</v>
      </c>
      <c r="M2042">
        <v>0.0</v>
      </c>
      <c r="N2042">
        <v>0.0</v>
      </c>
      <c r="O2042">
        <v>19.41</v>
      </c>
      <c r="P2042">
        <v>25.91</v>
      </c>
      <c r="Q2042">
        <v>15.14</v>
      </c>
      <c r="R2042">
        <v>0.0</v>
      </c>
    </row>
    <row r="2043">
      <c r="A2043" s="9">
        <v>40574</v>
      </c>
      <c r="B2043" s="2" t="inlineStr">
        <is>
          <t xml:space="preserve">2011-01</t>
        </is>
      </c>
      <c r="C2043" s="2" t="inlineStr">
        <is>
          <t xml:space="preserve">2010/11</t>
        </is>
      </c>
      <c r="D2043">
        <v>0.0</v>
      </c>
      <c r="E2043">
        <v>20.94</v>
      </c>
      <c r="F2043">
        <v>28.14</v>
      </c>
      <c r="G2043">
        <v>15.58</v>
      </c>
      <c r="H2043">
        <v>0.0</v>
      </c>
      <c r="I2043">
        <v>0.0</v>
      </c>
      <c r="J2043">
        <v>22.36</v>
      </c>
      <c r="K2043">
        <v>29.81</v>
      </c>
      <c r="L2043">
        <v>15.83</v>
      </c>
      <c r="M2043">
        <v>0.0</v>
      </c>
      <c r="N2043">
        <v>0.0</v>
      </c>
      <c r="O2043">
        <v>20.79</v>
      </c>
      <c r="P2043">
        <v>27.3</v>
      </c>
      <c r="Q2043">
        <v>16.06</v>
      </c>
      <c r="R2043">
        <v>0.0</v>
      </c>
    </row>
    <row r="2044">
      <c r="A2044" s="9">
        <v>40575</v>
      </c>
      <c r="B2044" s="2" t="inlineStr">
        <is>
          <t xml:space="preserve">2011-02</t>
        </is>
      </c>
      <c r="C2044" s="2" t="inlineStr">
        <is>
          <t xml:space="preserve">2010/11</t>
        </is>
      </c>
      <c r="D2044">
        <v>0.0</v>
      </c>
      <c r="E2044">
        <v>21.25</v>
      </c>
      <c r="F2044">
        <v>29.49</v>
      </c>
      <c r="G2044">
        <v>15.39</v>
      </c>
      <c r="H2044">
        <v>0.0</v>
      </c>
      <c r="I2044">
        <v>0.0</v>
      </c>
      <c r="J2044">
        <v>23.27</v>
      </c>
      <c r="K2044">
        <v>30.77</v>
      </c>
      <c r="L2044">
        <v>17.77</v>
      </c>
      <c r="M2044">
        <v>0.0</v>
      </c>
      <c r="N2044">
        <v>0.0</v>
      </c>
      <c r="O2044">
        <v>21.89</v>
      </c>
      <c r="P2044">
        <v>28.99</v>
      </c>
      <c r="Q2044">
        <v>16.2</v>
      </c>
      <c r="R2044">
        <v>0.0</v>
      </c>
    </row>
    <row r="2045">
      <c r="A2045" s="9">
        <v>40576</v>
      </c>
      <c r="B2045" s="2" t="inlineStr">
        <is>
          <t xml:space="preserve">2011-02</t>
        </is>
      </c>
      <c r="C2045" s="2" t="inlineStr">
        <is>
          <t xml:space="preserve">2010/11</t>
        </is>
      </c>
      <c r="D2045">
        <v>0.0</v>
      </c>
      <c r="E2045">
        <v>20.58</v>
      </c>
      <c r="F2045">
        <v>29.82</v>
      </c>
      <c r="G2045">
        <v>13.21</v>
      </c>
      <c r="H2045">
        <v>0.0</v>
      </c>
      <c r="I2045">
        <v>0.0</v>
      </c>
      <c r="J2045">
        <v>22.23</v>
      </c>
      <c r="K2045">
        <v>30.04</v>
      </c>
      <c r="L2045">
        <v>16.44</v>
      </c>
      <c r="M2045">
        <v>0.0</v>
      </c>
      <c r="N2045">
        <v>0.0</v>
      </c>
      <c r="O2045">
        <v>20.73</v>
      </c>
      <c r="P2045">
        <v>27.29</v>
      </c>
      <c r="Q2045">
        <v>16.7</v>
      </c>
      <c r="R2045">
        <v>0.0</v>
      </c>
    </row>
    <row r="2046">
      <c r="A2046" s="9">
        <v>40577</v>
      </c>
      <c r="B2046" s="2" t="inlineStr">
        <is>
          <t xml:space="preserve">2011-02</t>
        </is>
      </c>
      <c r="C2046" s="2" t="inlineStr">
        <is>
          <t xml:space="preserve">2010/11</t>
        </is>
      </c>
      <c r="D2046">
        <v>0.0</v>
      </c>
      <c r="E2046">
        <v>20.29</v>
      </c>
      <c r="F2046">
        <v>27.91</v>
      </c>
      <c r="G2046">
        <v>15.45</v>
      </c>
      <c r="H2046">
        <v>0.0</v>
      </c>
      <c r="I2046">
        <v>0.0</v>
      </c>
      <c r="J2046">
        <v>20.74</v>
      </c>
      <c r="K2046">
        <v>27.97</v>
      </c>
      <c r="L2046">
        <v>15.9</v>
      </c>
      <c r="M2046">
        <v>0.02</v>
      </c>
      <c r="N2046">
        <v>0.0</v>
      </c>
      <c r="O2046">
        <v>19.76</v>
      </c>
      <c r="P2046">
        <v>25.23</v>
      </c>
      <c r="Q2046">
        <v>15.9</v>
      </c>
      <c r="R2046">
        <v>0.13</v>
      </c>
    </row>
    <row r="2047">
      <c r="A2047" s="9">
        <v>40578</v>
      </c>
      <c r="B2047" s="2" t="inlineStr">
        <is>
          <t xml:space="preserve">2011-02</t>
        </is>
      </c>
      <c r="C2047" s="2" t="inlineStr">
        <is>
          <t xml:space="preserve">2010/11</t>
        </is>
      </c>
      <c r="D2047">
        <v>0.0</v>
      </c>
      <c r="E2047">
        <v>20.63</v>
      </c>
      <c r="F2047">
        <v>28.9</v>
      </c>
      <c r="G2047">
        <v>14.76</v>
      </c>
      <c r="H2047">
        <v>0.34</v>
      </c>
      <c r="I2047">
        <v>0.0</v>
      </c>
      <c r="J2047">
        <v>21.3</v>
      </c>
      <c r="K2047">
        <v>29.21</v>
      </c>
      <c r="L2047">
        <v>15.93</v>
      </c>
      <c r="M2047">
        <v>0.18</v>
      </c>
      <c r="N2047">
        <v>0.0</v>
      </c>
      <c r="O2047">
        <v>20.25</v>
      </c>
      <c r="P2047">
        <v>26.4</v>
      </c>
      <c r="Q2047">
        <v>16.14</v>
      </c>
      <c r="R2047">
        <v>0.3</v>
      </c>
    </row>
    <row r="2048">
      <c r="A2048" s="9">
        <v>40579</v>
      </c>
      <c r="B2048" s="2" t="inlineStr">
        <is>
          <t xml:space="preserve">2011-02</t>
        </is>
      </c>
      <c r="C2048" s="2" t="inlineStr">
        <is>
          <t xml:space="preserve">2010/11</t>
        </is>
      </c>
      <c r="D2048">
        <v>0.0</v>
      </c>
      <c r="E2048">
        <v>19.62</v>
      </c>
      <c r="F2048">
        <v>26.96</v>
      </c>
      <c r="G2048">
        <v>15.17</v>
      </c>
      <c r="H2048">
        <v>1.36</v>
      </c>
      <c r="I2048">
        <v>0.405</v>
      </c>
      <c r="J2048">
        <v>20.23</v>
      </c>
      <c r="K2048">
        <v>27.32</v>
      </c>
      <c r="L2048">
        <v>15.54</v>
      </c>
      <c r="M2048">
        <v>1.31</v>
      </c>
      <c r="N2048">
        <v>1.909</v>
      </c>
      <c r="O2048">
        <v>19.35</v>
      </c>
      <c r="P2048">
        <v>24.45</v>
      </c>
      <c r="Q2048">
        <v>15.71</v>
      </c>
      <c r="R2048">
        <v>2.71</v>
      </c>
    </row>
    <row r="2049">
      <c r="A2049" s="9">
        <v>40580</v>
      </c>
      <c r="B2049" s="2" t="inlineStr">
        <is>
          <t xml:space="preserve">2011-02</t>
        </is>
      </c>
      <c r="C2049" s="2" t="inlineStr">
        <is>
          <t xml:space="preserve">2010/11</t>
        </is>
      </c>
      <c r="D2049">
        <v>0.0</v>
      </c>
      <c r="E2049">
        <v>19.92</v>
      </c>
      <c r="F2049">
        <v>28.36</v>
      </c>
      <c r="G2049">
        <v>14.06</v>
      </c>
      <c r="H2049">
        <v>0.18</v>
      </c>
      <c r="I2049">
        <v>0.0</v>
      </c>
      <c r="J2049">
        <v>20.93</v>
      </c>
      <c r="K2049">
        <v>29.57</v>
      </c>
      <c r="L2049">
        <v>13.72</v>
      </c>
      <c r="M2049">
        <v>0.01</v>
      </c>
      <c r="N2049">
        <v>0.0</v>
      </c>
      <c r="O2049">
        <v>19.65</v>
      </c>
      <c r="P2049">
        <v>26.66</v>
      </c>
      <c r="Q2049">
        <v>13.98</v>
      </c>
      <c r="R2049">
        <v>0.02</v>
      </c>
    </row>
    <row r="2050">
      <c r="A2050" s="9">
        <v>40581</v>
      </c>
      <c r="B2050" s="2" t="inlineStr">
        <is>
          <t xml:space="preserve">2011-02</t>
        </is>
      </c>
      <c r="C2050" s="2" t="inlineStr">
        <is>
          <t xml:space="preserve">2010/11</t>
        </is>
      </c>
      <c r="D2050">
        <v>0.0</v>
      </c>
      <c r="E2050">
        <v>20.83</v>
      </c>
      <c r="F2050">
        <v>29.51</v>
      </c>
      <c r="G2050">
        <v>13.73</v>
      </c>
      <c r="H2050">
        <v>0.0</v>
      </c>
      <c r="I2050">
        <v>0.0</v>
      </c>
      <c r="J2050">
        <v>22.29</v>
      </c>
      <c r="K2050">
        <v>30.96</v>
      </c>
      <c r="L2050">
        <v>15.64</v>
      </c>
      <c r="M2050">
        <v>0.01</v>
      </c>
      <c r="N2050">
        <v>0.0</v>
      </c>
      <c r="O2050">
        <v>21.26</v>
      </c>
      <c r="P2050">
        <v>28.78</v>
      </c>
      <c r="Q2050">
        <v>16.19</v>
      </c>
      <c r="R2050">
        <v>0.01</v>
      </c>
    </row>
    <row r="2051">
      <c r="A2051" s="9">
        <v>40582</v>
      </c>
      <c r="B2051" s="2" t="inlineStr">
        <is>
          <t xml:space="preserve">2011-02</t>
        </is>
      </c>
      <c r="C2051" s="2" t="inlineStr">
        <is>
          <t xml:space="preserve">2010/11</t>
        </is>
      </c>
      <c r="D2051">
        <v>0.0</v>
      </c>
      <c r="E2051">
        <v>20.47</v>
      </c>
      <c r="F2051">
        <v>27.35</v>
      </c>
      <c r="G2051">
        <v>15.84</v>
      </c>
      <c r="H2051">
        <v>0.05</v>
      </c>
      <c r="I2051">
        <v>0.0</v>
      </c>
      <c r="J2051">
        <v>20.75</v>
      </c>
      <c r="K2051">
        <v>28.0</v>
      </c>
      <c r="L2051">
        <v>15.78</v>
      </c>
      <c r="M2051">
        <v>0.31</v>
      </c>
      <c r="N2051">
        <v>0.0</v>
      </c>
      <c r="O2051">
        <v>19.75</v>
      </c>
      <c r="P2051">
        <v>25.5</v>
      </c>
      <c r="Q2051">
        <v>15.9</v>
      </c>
      <c r="R2051">
        <v>1.33</v>
      </c>
    </row>
    <row r="2052">
      <c r="A2052" s="9">
        <v>40583</v>
      </c>
      <c r="B2052" s="2" t="inlineStr">
        <is>
          <t xml:space="preserve">2011-02</t>
        </is>
      </c>
      <c r="C2052" s="2" t="inlineStr">
        <is>
          <t xml:space="preserve">2010/11</t>
        </is>
      </c>
      <c r="D2052">
        <v>0.0</v>
      </c>
      <c r="E2052">
        <v>21.55</v>
      </c>
      <c r="F2052">
        <v>29.9</v>
      </c>
      <c r="G2052">
        <v>14.95</v>
      </c>
      <c r="H2052">
        <v>0.08</v>
      </c>
      <c r="I2052">
        <v>0.0</v>
      </c>
      <c r="J2052">
        <v>21.8</v>
      </c>
      <c r="K2052">
        <v>30.07</v>
      </c>
      <c r="L2052">
        <v>15.3</v>
      </c>
      <c r="M2052">
        <v>0.51</v>
      </c>
      <c r="N2052">
        <v>0.356</v>
      </c>
      <c r="O2052">
        <v>20.38</v>
      </c>
      <c r="P2052">
        <v>27.64</v>
      </c>
      <c r="Q2052">
        <v>15.74</v>
      </c>
      <c r="R2052">
        <v>2.01</v>
      </c>
    </row>
    <row r="2053">
      <c r="A2053" s="9">
        <v>40584</v>
      </c>
      <c r="B2053" s="2" t="inlineStr">
        <is>
          <t xml:space="preserve">2011-02</t>
        </is>
      </c>
      <c r="C2053" s="2" t="inlineStr">
        <is>
          <t xml:space="preserve">2010/11</t>
        </is>
      </c>
      <c r="D2053">
        <v>0.0</v>
      </c>
      <c r="E2053">
        <v>21.93</v>
      </c>
      <c r="F2053">
        <v>28.38</v>
      </c>
      <c r="G2053">
        <v>17.28</v>
      </c>
      <c r="H2053">
        <v>2.65</v>
      </c>
      <c r="I2053">
        <v>0.0</v>
      </c>
      <c r="J2053">
        <v>22.25</v>
      </c>
      <c r="K2053">
        <v>29.32</v>
      </c>
      <c r="L2053">
        <v>16.58</v>
      </c>
      <c r="M2053">
        <v>0.56</v>
      </c>
      <c r="N2053">
        <v>0.0</v>
      </c>
      <c r="O2053">
        <v>21.2</v>
      </c>
      <c r="P2053">
        <v>26.72</v>
      </c>
      <c r="Q2053">
        <v>17.07</v>
      </c>
      <c r="R2053">
        <v>0.81</v>
      </c>
    </row>
    <row r="2054">
      <c r="A2054" s="9">
        <v>40585</v>
      </c>
      <c r="B2054" s="2" t="inlineStr">
        <is>
          <t xml:space="preserve">2011-02</t>
        </is>
      </c>
      <c r="C2054" s="2" t="inlineStr">
        <is>
          <t xml:space="preserve">2010/11</t>
        </is>
      </c>
      <c r="D2054">
        <v>2.25</v>
      </c>
      <c r="E2054">
        <v>21.24</v>
      </c>
      <c r="F2054">
        <v>27.67</v>
      </c>
      <c r="G2054">
        <v>17.58</v>
      </c>
      <c r="H2054">
        <v>4.07</v>
      </c>
      <c r="I2054">
        <v>0.75</v>
      </c>
      <c r="J2054">
        <v>21.1</v>
      </c>
      <c r="K2054">
        <v>26.93</v>
      </c>
      <c r="L2054">
        <v>18.18</v>
      </c>
      <c r="M2054">
        <v>1.71</v>
      </c>
      <c r="N2054">
        <v>2.549</v>
      </c>
      <c r="O2054">
        <v>20.02</v>
      </c>
      <c r="P2054">
        <v>24.09</v>
      </c>
      <c r="Q2054">
        <v>17.88</v>
      </c>
      <c r="R2054">
        <v>3.19</v>
      </c>
    </row>
    <row r="2055">
      <c r="A2055" s="9">
        <v>40586</v>
      </c>
      <c r="B2055" s="2" t="inlineStr">
        <is>
          <t xml:space="preserve">2011-02</t>
        </is>
      </c>
      <c r="C2055" s="2" t="inlineStr">
        <is>
          <t xml:space="preserve">2010/11</t>
        </is>
      </c>
      <c r="D2055">
        <v>0.038</v>
      </c>
      <c r="E2055">
        <v>19.65</v>
      </c>
      <c r="F2055">
        <v>25.61</v>
      </c>
      <c r="G2055">
        <v>15.97</v>
      </c>
      <c r="H2055">
        <v>1.87</v>
      </c>
      <c r="I2055">
        <v>0.287</v>
      </c>
      <c r="J2055">
        <v>19.61</v>
      </c>
      <c r="K2055">
        <v>25.55</v>
      </c>
      <c r="L2055">
        <v>15.27</v>
      </c>
      <c r="M2055">
        <v>1.88</v>
      </c>
      <c r="N2055">
        <v>1.598</v>
      </c>
      <c r="O2055">
        <v>19.61</v>
      </c>
      <c r="P2055">
        <v>24.5</v>
      </c>
      <c r="Q2055">
        <v>17.18</v>
      </c>
      <c r="R2055">
        <v>4.41</v>
      </c>
    </row>
    <row r="2056">
      <c r="A2056" s="9">
        <v>40587</v>
      </c>
      <c r="B2056" s="2" t="inlineStr">
        <is>
          <t xml:space="preserve">2011-02</t>
        </is>
      </c>
      <c r="C2056" s="2" t="inlineStr">
        <is>
          <t xml:space="preserve">2010/11</t>
        </is>
      </c>
      <c r="D2056">
        <v>0.249</v>
      </c>
      <c r="E2056">
        <v>18.85</v>
      </c>
      <c r="F2056">
        <v>25.1</v>
      </c>
      <c r="G2056">
        <v>15.11</v>
      </c>
      <c r="H2056">
        <v>2.38</v>
      </c>
      <c r="I2056">
        <v>2.083</v>
      </c>
      <c r="J2056">
        <v>18.31</v>
      </c>
      <c r="K2056">
        <v>23.96</v>
      </c>
      <c r="L2056">
        <v>14.64</v>
      </c>
      <c r="M2056">
        <v>3.05</v>
      </c>
      <c r="N2056">
        <v>7.738</v>
      </c>
      <c r="O2056">
        <v>18.24</v>
      </c>
      <c r="P2056">
        <v>23.0</v>
      </c>
      <c r="Q2056">
        <v>15.43</v>
      </c>
      <c r="R2056">
        <v>4.21</v>
      </c>
    </row>
    <row r="2057">
      <c r="A2057" s="9">
        <v>40588</v>
      </c>
      <c r="B2057" s="2" t="inlineStr">
        <is>
          <t xml:space="preserve">2011-02</t>
        </is>
      </c>
      <c r="C2057" s="2" t="inlineStr">
        <is>
          <t xml:space="preserve">2010/11</t>
        </is>
      </c>
      <c r="D2057">
        <v>0.0</v>
      </c>
      <c r="E2057">
        <v>19.52</v>
      </c>
      <c r="F2057">
        <v>26.31</v>
      </c>
      <c r="G2057">
        <v>16.09</v>
      </c>
      <c r="H2057">
        <v>0.91</v>
      </c>
      <c r="I2057">
        <v>0.68</v>
      </c>
      <c r="J2057">
        <v>18.56</v>
      </c>
      <c r="K2057">
        <v>24.83</v>
      </c>
      <c r="L2057">
        <v>14.43</v>
      </c>
      <c r="M2057">
        <v>0.97</v>
      </c>
      <c r="N2057">
        <v>2.636</v>
      </c>
      <c r="O2057">
        <v>17.94</v>
      </c>
      <c r="P2057">
        <v>22.51</v>
      </c>
      <c r="Q2057">
        <v>14.95</v>
      </c>
      <c r="R2057">
        <v>1.18</v>
      </c>
    </row>
    <row r="2058">
      <c r="A2058" s="9">
        <v>40589</v>
      </c>
      <c r="B2058" s="2" t="inlineStr">
        <is>
          <t xml:space="preserve">2011-02</t>
        </is>
      </c>
      <c r="C2058" s="2" t="inlineStr">
        <is>
          <t xml:space="preserve">2010/11</t>
        </is>
      </c>
      <c r="D2058">
        <v>0.0</v>
      </c>
      <c r="E2058">
        <v>19.81</v>
      </c>
      <c r="F2058">
        <v>26.73</v>
      </c>
      <c r="G2058">
        <v>15.07</v>
      </c>
      <c r="H2058">
        <v>0.22</v>
      </c>
      <c r="I2058">
        <v>0.0</v>
      </c>
      <c r="J2058">
        <v>20.02</v>
      </c>
      <c r="K2058">
        <v>26.91</v>
      </c>
      <c r="L2058">
        <v>15.76</v>
      </c>
      <c r="M2058">
        <v>0.27</v>
      </c>
      <c r="N2058">
        <v>0.105</v>
      </c>
      <c r="O2058">
        <v>19.19</v>
      </c>
      <c r="P2058">
        <v>24.71</v>
      </c>
      <c r="Q2058">
        <v>16.11</v>
      </c>
      <c r="R2058">
        <v>1.12</v>
      </c>
    </row>
    <row r="2059">
      <c r="A2059" s="9">
        <v>40590</v>
      </c>
      <c r="B2059" s="2" t="inlineStr">
        <is>
          <t xml:space="preserve">2011-02</t>
        </is>
      </c>
      <c r="C2059" s="2" t="inlineStr">
        <is>
          <t xml:space="preserve">2010/11</t>
        </is>
      </c>
      <c r="D2059">
        <v>0.0</v>
      </c>
      <c r="E2059">
        <v>20.16</v>
      </c>
      <c r="F2059">
        <v>27.0</v>
      </c>
      <c r="G2059">
        <v>15.3</v>
      </c>
      <c r="H2059">
        <v>1.76</v>
      </c>
      <c r="I2059">
        <v>0.027</v>
      </c>
      <c r="J2059">
        <v>20.47</v>
      </c>
      <c r="K2059">
        <v>28.13</v>
      </c>
      <c r="L2059">
        <v>14.87</v>
      </c>
      <c r="M2059">
        <v>0.32</v>
      </c>
      <c r="N2059">
        <v>0.393</v>
      </c>
      <c r="O2059">
        <v>19.54</v>
      </c>
      <c r="P2059">
        <v>25.66</v>
      </c>
      <c r="Q2059">
        <v>15.22</v>
      </c>
      <c r="R2059">
        <v>0.94</v>
      </c>
    </row>
    <row r="2060">
      <c r="A2060" s="9">
        <v>40591</v>
      </c>
      <c r="B2060" s="2" t="inlineStr">
        <is>
          <t xml:space="preserve">2011-02</t>
        </is>
      </c>
      <c r="C2060" s="2" t="inlineStr">
        <is>
          <t xml:space="preserve">2010/11</t>
        </is>
      </c>
      <c r="D2060">
        <v>16.365</v>
      </c>
      <c r="E2060">
        <v>20.73</v>
      </c>
      <c r="F2060">
        <v>27.24</v>
      </c>
      <c r="G2060">
        <v>15.84</v>
      </c>
      <c r="H2060">
        <v>5.6</v>
      </c>
      <c r="I2060">
        <v>0.0</v>
      </c>
      <c r="J2060">
        <v>22.11</v>
      </c>
      <c r="K2060">
        <v>29.75</v>
      </c>
      <c r="L2060">
        <v>16.05</v>
      </c>
      <c r="M2060">
        <v>0.2</v>
      </c>
      <c r="N2060">
        <v>0.072</v>
      </c>
      <c r="O2060">
        <v>20.86</v>
      </c>
      <c r="P2060">
        <v>27.03</v>
      </c>
      <c r="Q2060">
        <v>16.07</v>
      </c>
      <c r="R2060">
        <v>0.18</v>
      </c>
    </row>
    <row r="2061">
      <c r="A2061" s="9">
        <v>40592</v>
      </c>
      <c r="B2061" s="2" t="inlineStr">
        <is>
          <t xml:space="preserve">2011-02</t>
        </is>
      </c>
      <c r="C2061" s="2" t="inlineStr">
        <is>
          <t xml:space="preserve">2010/11</t>
        </is>
      </c>
      <c r="D2061">
        <v>0.0</v>
      </c>
      <c r="E2061">
        <v>21.77</v>
      </c>
      <c r="F2061">
        <v>29.09</v>
      </c>
      <c r="G2061">
        <v>16.89</v>
      </c>
      <c r="H2061">
        <v>0.14</v>
      </c>
      <c r="I2061">
        <v>0.0</v>
      </c>
      <c r="J2061">
        <v>22.34</v>
      </c>
      <c r="K2061">
        <v>29.86</v>
      </c>
      <c r="L2061">
        <v>17.31</v>
      </c>
      <c r="M2061">
        <v>0.15</v>
      </c>
      <c r="N2061">
        <v>0.0</v>
      </c>
      <c r="O2061">
        <v>21.49</v>
      </c>
      <c r="P2061">
        <v>27.64</v>
      </c>
      <c r="Q2061">
        <v>17.93</v>
      </c>
      <c r="R2061">
        <v>0.53</v>
      </c>
    </row>
    <row r="2062">
      <c r="A2062" s="9">
        <v>40593</v>
      </c>
      <c r="B2062" s="2" t="inlineStr">
        <is>
          <t xml:space="preserve">2011-02</t>
        </is>
      </c>
      <c r="C2062" s="2" t="inlineStr">
        <is>
          <t xml:space="preserve">2010/11</t>
        </is>
      </c>
      <c r="D2062">
        <v>0.0</v>
      </c>
      <c r="E2062">
        <v>20.53</v>
      </c>
      <c r="F2062">
        <v>27.67</v>
      </c>
      <c r="G2062">
        <v>16.22</v>
      </c>
      <c r="H2062">
        <v>0.64</v>
      </c>
      <c r="I2062">
        <v>0.11</v>
      </c>
      <c r="J2062">
        <v>21.22</v>
      </c>
      <c r="K2062">
        <v>28.08</v>
      </c>
      <c r="L2062">
        <v>16.46</v>
      </c>
      <c r="M2062">
        <v>1.39</v>
      </c>
      <c r="N2062">
        <v>0.682</v>
      </c>
      <c r="O2062">
        <v>19.98</v>
      </c>
      <c r="P2062">
        <v>25.79</v>
      </c>
      <c r="Q2062">
        <v>16.2</v>
      </c>
      <c r="R2062">
        <v>3.61</v>
      </c>
    </row>
    <row r="2063">
      <c r="A2063" s="9">
        <v>40594</v>
      </c>
      <c r="B2063" s="2" t="inlineStr">
        <is>
          <t xml:space="preserve">2011-02</t>
        </is>
      </c>
      <c r="C2063" s="2" t="inlineStr">
        <is>
          <t xml:space="preserve">2010/11</t>
        </is>
      </c>
      <c r="D2063">
        <v>0.0</v>
      </c>
      <c r="E2063">
        <v>19.75</v>
      </c>
      <c r="F2063">
        <v>27.58</v>
      </c>
      <c r="G2063">
        <v>14.54</v>
      </c>
      <c r="H2063">
        <v>0.15</v>
      </c>
      <c r="I2063">
        <v>1.274</v>
      </c>
      <c r="J2063">
        <v>19.67</v>
      </c>
      <c r="K2063">
        <v>27.06</v>
      </c>
      <c r="L2063">
        <v>15.04</v>
      </c>
      <c r="M2063">
        <v>1.66</v>
      </c>
      <c r="N2063">
        <v>5.119</v>
      </c>
      <c r="O2063">
        <v>18.71</v>
      </c>
      <c r="P2063">
        <v>24.8</v>
      </c>
      <c r="Q2063">
        <v>14.81</v>
      </c>
      <c r="R2063">
        <v>2.12</v>
      </c>
    </row>
    <row r="2064">
      <c r="A2064" s="9">
        <v>40595</v>
      </c>
      <c r="B2064" s="2" t="inlineStr">
        <is>
          <t xml:space="preserve">2011-02</t>
        </is>
      </c>
      <c r="C2064" s="2" t="inlineStr">
        <is>
          <t xml:space="preserve">2010/11</t>
        </is>
      </c>
      <c r="D2064">
        <v>0.0</v>
      </c>
      <c r="E2064">
        <v>21.22</v>
      </c>
      <c r="F2064">
        <v>29.78</v>
      </c>
      <c r="G2064">
        <v>14.43</v>
      </c>
      <c r="H2064">
        <v>0.0</v>
      </c>
      <c r="I2064">
        <v>0.0</v>
      </c>
      <c r="J2064">
        <v>22.39</v>
      </c>
      <c r="K2064">
        <v>31.27</v>
      </c>
      <c r="L2064">
        <v>15.01</v>
      </c>
      <c r="M2064">
        <v>0.0</v>
      </c>
      <c r="N2064">
        <v>0.0</v>
      </c>
      <c r="O2064">
        <v>21.35</v>
      </c>
      <c r="P2064">
        <v>29.37</v>
      </c>
      <c r="Q2064">
        <v>15.59</v>
      </c>
      <c r="R2064">
        <v>0.0</v>
      </c>
    </row>
    <row r="2065">
      <c r="A2065" s="9">
        <v>40596</v>
      </c>
      <c r="B2065" s="2" t="inlineStr">
        <is>
          <t xml:space="preserve">2011-02</t>
        </is>
      </c>
      <c r="C2065" s="2" t="inlineStr">
        <is>
          <t xml:space="preserve">2010/11</t>
        </is>
      </c>
      <c r="D2065">
        <v>0.0</v>
      </c>
      <c r="E2065">
        <v>21.77</v>
      </c>
      <c r="F2065">
        <v>30.89</v>
      </c>
      <c r="G2065">
        <v>14.83</v>
      </c>
      <c r="H2065">
        <v>0.0</v>
      </c>
      <c r="I2065">
        <v>0.0</v>
      </c>
      <c r="J2065">
        <v>23.95</v>
      </c>
      <c r="K2065">
        <v>32.11</v>
      </c>
      <c r="L2065">
        <v>17.3</v>
      </c>
      <c r="M2065">
        <v>0.0</v>
      </c>
      <c r="N2065">
        <v>0.0</v>
      </c>
      <c r="O2065">
        <v>22.93</v>
      </c>
      <c r="P2065">
        <v>31.54</v>
      </c>
      <c r="Q2065">
        <v>15.82</v>
      </c>
      <c r="R2065">
        <v>0.0</v>
      </c>
    </row>
    <row r="2066">
      <c r="A2066" s="9">
        <v>40597</v>
      </c>
      <c r="B2066" s="2" t="inlineStr">
        <is>
          <t xml:space="preserve">2011-02</t>
        </is>
      </c>
      <c r="C2066" s="2" t="inlineStr">
        <is>
          <t xml:space="preserve">2010/11</t>
        </is>
      </c>
      <c r="D2066">
        <v>0.0</v>
      </c>
      <c r="E2066">
        <v>21.89</v>
      </c>
      <c r="F2066">
        <v>30.26</v>
      </c>
      <c r="G2066">
        <v>14.91</v>
      </c>
      <c r="H2066">
        <v>0.27</v>
      </c>
      <c r="I2066">
        <v>0.0</v>
      </c>
      <c r="J2066">
        <v>23.77</v>
      </c>
      <c r="K2066">
        <v>31.75</v>
      </c>
      <c r="L2066">
        <v>17.65</v>
      </c>
      <c r="M2066">
        <v>0.61</v>
      </c>
      <c r="N2066">
        <v>0.0</v>
      </c>
      <c r="O2066">
        <v>22.56</v>
      </c>
      <c r="P2066">
        <v>29.6</v>
      </c>
      <c r="Q2066">
        <v>17.93</v>
      </c>
      <c r="R2066">
        <v>0.24</v>
      </c>
    </row>
    <row r="2067">
      <c r="A2067" s="9">
        <v>40598</v>
      </c>
      <c r="B2067" s="2" t="inlineStr">
        <is>
          <t xml:space="preserve">2011-02</t>
        </is>
      </c>
      <c r="C2067" s="2" t="inlineStr">
        <is>
          <t xml:space="preserve">2010/11</t>
        </is>
      </c>
      <c r="D2067">
        <v>0.934</v>
      </c>
      <c r="E2067">
        <v>22.17</v>
      </c>
      <c r="F2067">
        <v>29.56</v>
      </c>
      <c r="G2067">
        <v>16.78</v>
      </c>
      <c r="H2067">
        <v>0.73</v>
      </c>
      <c r="I2067">
        <v>6.425</v>
      </c>
      <c r="J2067">
        <v>22.17</v>
      </c>
      <c r="K2067">
        <v>27.1</v>
      </c>
      <c r="L2067">
        <v>18.06</v>
      </c>
      <c r="M2067">
        <v>2.41</v>
      </c>
      <c r="N2067">
        <v>0.242</v>
      </c>
      <c r="O2067">
        <v>22.07</v>
      </c>
      <c r="P2067">
        <v>28.62</v>
      </c>
      <c r="Q2067">
        <v>18.51</v>
      </c>
      <c r="R2067">
        <v>1.07</v>
      </c>
    </row>
    <row r="2068">
      <c r="A2068" s="9">
        <v>40599</v>
      </c>
      <c r="B2068" s="2" t="inlineStr">
        <is>
          <t xml:space="preserve">2011-02</t>
        </is>
      </c>
      <c r="C2068" s="2" t="inlineStr">
        <is>
          <t xml:space="preserve">2010/11</t>
        </is>
      </c>
      <c r="D2068">
        <v>3.534</v>
      </c>
      <c r="E2068">
        <v>21.84</v>
      </c>
      <c r="F2068">
        <v>28.62</v>
      </c>
      <c r="G2068">
        <v>16.08</v>
      </c>
      <c r="H2068">
        <v>2.2</v>
      </c>
      <c r="I2068">
        <v>0.553</v>
      </c>
      <c r="J2068">
        <v>23.23</v>
      </c>
      <c r="K2068">
        <v>30.12</v>
      </c>
      <c r="L2068">
        <v>17.49</v>
      </c>
      <c r="M2068">
        <v>1.31</v>
      </c>
      <c r="N2068">
        <v>1.67</v>
      </c>
      <c r="O2068">
        <v>22.66</v>
      </c>
      <c r="P2068">
        <v>29.93</v>
      </c>
      <c r="Q2068">
        <v>16.57</v>
      </c>
      <c r="R2068">
        <v>1.18</v>
      </c>
    </row>
    <row r="2069">
      <c r="A2069" s="9">
        <v>40600</v>
      </c>
      <c r="B2069" s="2" t="inlineStr">
        <is>
          <t xml:space="preserve">2011-02</t>
        </is>
      </c>
      <c r="C2069" s="2" t="inlineStr">
        <is>
          <t xml:space="preserve">2010/11</t>
        </is>
      </c>
      <c r="D2069">
        <v>1.763</v>
      </c>
      <c r="E2069">
        <v>22.08</v>
      </c>
      <c r="F2069">
        <v>28.87</v>
      </c>
      <c r="G2069">
        <v>18.07</v>
      </c>
      <c r="H2069">
        <v>0.92</v>
      </c>
      <c r="I2069">
        <v>3.381</v>
      </c>
      <c r="J2069">
        <v>22.19</v>
      </c>
      <c r="K2069">
        <v>28.47</v>
      </c>
      <c r="L2069">
        <v>17.59</v>
      </c>
      <c r="M2069">
        <v>1.64</v>
      </c>
      <c r="N2069">
        <v>0.514</v>
      </c>
      <c r="O2069">
        <v>21.76</v>
      </c>
      <c r="P2069">
        <v>26.92</v>
      </c>
      <c r="Q2069">
        <v>18.17</v>
      </c>
      <c r="R2069">
        <v>0.88</v>
      </c>
    </row>
    <row r="2070">
      <c r="A2070" s="9">
        <v>40601</v>
      </c>
      <c r="B2070" s="2" t="inlineStr">
        <is>
          <t xml:space="preserve">2011-02</t>
        </is>
      </c>
      <c r="C2070" s="2" t="inlineStr">
        <is>
          <t xml:space="preserve">2010/11</t>
        </is>
      </c>
      <c r="D2070">
        <v>0.622</v>
      </c>
      <c r="E2070">
        <v>22.73</v>
      </c>
      <c r="F2070">
        <v>29.98</v>
      </c>
      <c r="G2070">
        <v>17.91</v>
      </c>
      <c r="H2070">
        <v>2.18</v>
      </c>
      <c r="I2070">
        <v>0.087</v>
      </c>
      <c r="J2070">
        <v>23.27</v>
      </c>
      <c r="K2070">
        <v>29.56</v>
      </c>
      <c r="L2070">
        <v>17.65</v>
      </c>
      <c r="M2070">
        <v>0.28</v>
      </c>
      <c r="N2070">
        <v>0.092</v>
      </c>
      <c r="O2070">
        <v>22.63</v>
      </c>
      <c r="P2070">
        <v>28.73</v>
      </c>
      <c r="Q2070">
        <v>18.61</v>
      </c>
      <c r="R2070">
        <v>0.24</v>
      </c>
    </row>
    <row r="2071">
      <c r="A2071" s="9">
        <v>40602</v>
      </c>
      <c r="B2071" s="2" t="inlineStr">
        <is>
          <t xml:space="preserve">2011-02</t>
        </is>
      </c>
      <c r="C2071" s="2" t="inlineStr">
        <is>
          <t xml:space="preserve">2010/11</t>
        </is>
      </c>
      <c r="D2071">
        <v>6.061</v>
      </c>
      <c r="E2071">
        <v>22.73</v>
      </c>
      <c r="F2071">
        <v>31.36</v>
      </c>
      <c r="G2071">
        <v>16.24</v>
      </c>
      <c r="H2071">
        <v>1.4</v>
      </c>
      <c r="I2071">
        <v>0.437</v>
      </c>
      <c r="J2071">
        <v>24.71</v>
      </c>
      <c r="K2071">
        <v>31.83</v>
      </c>
      <c r="L2071">
        <v>19.78</v>
      </c>
      <c r="M2071">
        <v>1.93</v>
      </c>
      <c r="N2071">
        <v>1.334</v>
      </c>
      <c r="O2071">
        <v>24.02</v>
      </c>
      <c r="P2071">
        <v>31.36</v>
      </c>
      <c r="Q2071">
        <v>18.92</v>
      </c>
      <c r="R2071">
        <v>1.26</v>
      </c>
    </row>
    <row r="2072">
      <c r="A2072" s="9">
        <v>40603</v>
      </c>
      <c r="B2072" s="2" t="inlineStr">
        <is>
          <t xml:space="preserve">2011-03</t>
        </is>
      </c>
      <c r="C2072" s="2" t="inlineStr">
        <is>
          <t xml:space="preserve">2010/11</t>
        </is>
      </c>
      <c r="D2072">
        <v>4.128</v>
      </c>
      <c r="E2072">
        <v>21.48</v>
      </c>
      <c r="F2072">
        <v>29.81</v>
      </c>
      <c r="G2072">
        <v>16.06</v>
      </c>
      <c r="H2072">
        <v>1.91</v>
      </c>
      <c r="I2072">
        <v>3.372</v>
      </c>
      <c r="J2072">
        <v>22.72</v>
      </c>
      <c r="K2072">
        <v>30.09</v>
      </c>
      <c r="L2072">
        <v>17.2</v>
      </c>
      <c r="M2072">
        <v>0.86</v>
      </c>
      <c r="N2072">
        <v>0.569</v>
      </c>
      <c r="O2072">
        <v>21.99</v>
      </c>
      <c r="P2072">
        <v>28.67</v>
      </c>
      <c r="Q2072">
        <v>17.83</v>
      </c>
      <c r="R2072">
        <v>0.58</v>
      </c>
    </row>
    <row r="2073">
      <c r="A2073" s="9">
        <v>40604</v>
      </c>
      <c r="B2073" s="2" t="inlineStr">
        <is>
          <t xml:space="preserve">2011-03</t>
        </is>
      </c>
      <c r="C2073" s="2" t="inlineStr">
        <is>
          <t xml:space="preserve">2010/11</t>
        </is>
      </c>
      <c r="D2073">
        <v>0.0</v>
      </c>
      <c r="E2073">
        <v>20.56</v>
      </c>
      <c r="F2073">
        <v>27.94</v>
      </c>
      <c r="G2073">
        <v>15.77</v>
      </c>
      <c r="H2073">
        <v>0.0</v>
      </c>
      <c r="I2073">
        <v>0.0</v>
      </c>
      <c r="J2073">
        <v>20.86</v>
      </c>
      <c r="K2073">
        <v>28.49</v>
      </c>
      <c r="L2073">
        <v>15.39</v>
      </c>
      <c r="M2073">
        <v>0.0</v>
      </c>
      <c r="N2073">
        <v>0.0</v>
      </c>
      <c r="O2073">
        <v>20.13</v>
      </c>
      <c r="P2073">
        <v>26.85</v>
      </c>
      <c r="Q2073">
        <v>15.08</v>
      </c>
      <c r="R2073">
        <v>0.0</v>
      </c>
    </row>
    <row r="2074">
      <c r="A2074" s="9">
        <v>40605</v>
      </c>
      <c r="B2074" s="2" t="inlineStr">
        <is>
          <t xml:space="preserve">2011-03</t>
        </is>
      </c>
      <c r="C2074" s="2" t="inlineStr">
        <is>
          <t xml:space="preserve">2010/11</t>
        </is>
      </c>
      <c r="D2074">
        <v>0.0</v>
      </c>
      <c r="E2074">
        <v>20.45</v>
      </c>
      <c r="F2074">
        <v>29.19</v>
      </c>
      <c r="G2074">
        <v>14.59</v>
      </c>
      <c r="H2074">
        <v>0.0</v>
      </c>
      <c r="I2074">
        <v>0.0</v>
      </c>
      <c r="J2074">
        <v>20.75</v>
      </c>
      <c r="K2074">
        <v>29.78</v>
      </c>
      <c r="L2074">
        <v>14.26</v>
      </c>
      <c r="M2074">
        <v>0.0</v>
      </c>
      <c r="N2074">
        <v>0.0</v>
      </c>
      <c r="O2074">
        <v>20.06</v>
      </c>
      <c r="P2074">
        <v>27.6</v>
      </c>
      <c r="Q2074">
        <v>14.99</v>
      </c>
      <c r="R2074">
        <v>0.0</v>
      </c>
    </row>
    <row r="2075">
      <c r="A2075" s="9">
        <v>40606</v>
      </c>
      <c r="B2075" s="2" t="inlineStr">
        <is>
          <t xml:space="preserve">2011-03</t>
        </is>
      </c>
      <c r="C2075" s="2" t="inlineStr">
        <is>
          <t xml:space="preserve">2010/11</t>
        </is>
      </c>
      <c r="D2075">
        <v>0.0</v>
      </c>
      <c r="E2075">
        <v>20.43</v>
      </c>
      <c r="F2075">
        <v>29.66</v>
      </c>
      <c r="G2075">
        <v>13.87</v>
      </c>
      <c r="H2075">
        <v>0.0</v>
      </c>
      <c r="I2075">
        <v>0.0</v>
      </c>
      <c r="J2075">
        <v>21.11</v>
      </c>
      <c r="K2075">
        <v>30.74</v>
      </c>
      <c r="L2075">
        <v>13.8</v>
      </c>
      <c r="M2075">
        <v>0.0</v>
      </c>
      <c r="N2075">
        <v>0.0</v>
      </c>
      <c r="O2075">
        <v>20.23</v>
      </c>
      <c r="P2075">
        <v>28.61</v>
      </c>
      <c r="Q2075">
        <v>14.01</v>
      </c>
      <c r="R2075">
        <v>0.0</v>
      </c>
    </row>
    <row r="2076">
      <c r="A2076" s="9">
        <v>40607</v>
      </c>
      <c r="B2076" s="2" t="inlineStr">
        <is>
          <t xml:space="preserve">2011-03</t>
        </is>
      </c>
      <c r="C2076" s="2" t="inlineStr">
        <is>
          <t xml:space="preserve">2010/11</t>
        </is>
      </c>
      <c r="D2076">
        <v>0.0</v>
      </c>
      <c r="E2076">
        <v>21.16</v>
      </c>
      <c r="F2076">
        <v>30.74</v>
      </c>
      <c r="G2076">
        <v>12.69</v>
      </c>
      <c r="H2076">
        <v>0.0</v>
      </c>
      <c r="I2076">
        <v>0.0</v>
      </c>
      <c r="J2076">
        <v>22.31</v>
      </c>
      <c r="K2076">
        <v>31.94</v>
      </c>
      <c r="L2076">
        <v>14.21</v>
      </c>
      <c r="M2076">
        <v>0.0</v>
      </c>
      <c r="N2076">
        <v>0.0</v>
      </c>
      <c r="O2076">
        <v>22.08</v>
      </c>
      <c r="P2076">
        <v>31.46</v>
      </c>
      <c r="Q2076">
        <v>14.7</v>
      </c>
      <c r="R2076">
        <v>0.0</v>
      </c>
    </row>
    <row r="2077">
      <c r="A2077" s="9">
        <v>40608</v>
      </c>
      <c r="B2077" s="2" t="inlineStr">
        <is>
          <t xml:space="preserve">2011-03</t>
        </is>
      </c>
      <c r="C2077" s="2" t="inlineStr">
        <is>
          <t xml:space="preserve">2010/11</t>
        </is>
      </c>
      <c r="D2077">
        <v>0.0</v>
      </c>
      <c r="E2077">
        <v>22.24</v>
      </c>
      <c r="F2077">
        <v>30.55</v>
      </c>
      <c r="G2077">
        <v>15.05</v>
      </c>
      <c r="H2077">
        <v>0.01</v>
      </c>
      <c r="I2077">
        <v>0.0</v>
      </c>
      <c r="J2077">
        <v>22.19</v>
      </c>
      <c r="K2077">
        <v>30.16</v>
      </c>
      <c r="L2077">
        <v>15.37</v>
      </c>
      <c r="M2077">
        <v>0.02</v>
      </c>
      <c r="N2077">
        <v>0.0</v>
      </c>
      <c r="O2077">
        <v>21.74</v>
      </c>
      <c r="P2077">
        <v>29.15</v>
      </c>
      <c r="Q2077">
        <v>16.59</v>
      </c>
      <c r="R2077">
        <v>0.02</v>
      </c>
    </row>
    <row r="2078">
      <c r="A2078" s="9">
        <v>40609</v>
      </c>
      <c r="B2078" s="2" t="inlineStr">
        <is>
          <t xml:space="preserve">2011-03</t>
        </is>
      </c>
      <c r="C2078" s="2" t="inlineStr">
        <is>
          <t xml:space="preserve">2010/11</t>
        </is>
      </c>
      <c r="D2078">
        <v>0.0</v>
      </c>
      <c r="E2078">
        <v>21.98</v>
      </c>
      <c r="F2078">
        <v>29.78</v>
      </c>
      <c r="G2078">
        <v>16.15</v>
      </c>
      <c r="H2078">
        <v>0.05</v>
      </c>
      <c r="I2078">
        <v>0.0</v>
      </c>
      <c r="J2078">
        <v>21.98</v>
      </c>
      <c r="K2078">
        <v>29.8</v>
      </c>
      <c r="L2078">
        <v>15.27</v>
      </c>
      <c r="M2078">
        <v>0.44</v>
      </c>
      <c r="N2078">
        <v>0.214</v>
      </c>
      <c r="O2078">
        <v>21.0</v>
      </c>
      <c r="P2078">
        <v>27.63</v>
      </c>
      <c r="Q2078">
        <v>16.56</v>
      </c>
      <c r="R2078">
        <v>1.86</v>
      </c>
    </row>
    <row r="2079">
      <c r="A2079" s="9">
        <v>40610</v>
      </c>
      <c r="B2079" s="2" t="inlineStr">
        <is>
          <t xml:space="preserve">2011-03</t>
        </is>
      </c>
      <c r="C2079" s="2" t="inlineStr">
        <is>
          <t xml:space="preserve">2010/11</t>
        </is>
      </c>
      <c r="D2079">
        <v>0.0</v>
      </c>
      <c r="E2079">
        <v>22.16</v>
      </c>
      <c r="F2079">
        <v>31.25</v>
      </c>
      <c r="G2079">
        <v>14.28</v>
      </c>
      <c r="H2079">
        <v>0.66</v>
      </c>
      <c r="I2079">
        <v>0.0</v>
      </c>
      <c r="J2079">
        <v>23.73</v>
      </c>
      <c r="K2079">
        <v>31.75</v>
      </c>
      <c r="L2079">
        <v>16.84</v>
      </c>
      <c r="M2079">
        <v>0.19</v>
      </c>
      <c r="N2079">
        <v>0.0</v>
      </c>
      <c r="O2079">
        <v>23.44</v>
      </c>
      <c r="P2079">
        <v>32.23</v>
      </c>
      <c r="Q2079">
        <v>16.23</v>
      </c>
      <c r="R2079">
        <v>0.17</v>
      </c>
    </row>
    <row r="2080">
      <c r="A2080" s="9">
        <v>40611</v>
      </c>
      <c r="B2080" s="2" t="inlineStr">
        <is>
          <t xml:space="preserve">2011-03</t>
        </is>
      </c>
      <c r="C2080" s="2" t="inlineStr">
        <is>
          <t xml:space="preserve">2010/11</t>
        </is>
      </c>
      <c r="D2080">
        <v>3.197</v>
      </c>
      <c r="E2080">
        <v>22.6</v>
      </c>
      <c r="F2080">
        <v>31.08</v>
      </c>
      <c r="G2080">
        <v>15.36</v>
      </c>
      <c r="H2080">
        <v>2.17</v>
      </c>
      <c r="I2080">
        <v>0.242</v>
      </c>
      <c r="J2080">
        <v>23.38</v>
      </c>
      <c r="K2080">
        <v>30.97</v>
      </c>
      <c r="L2080">
        <v>17.04</v>
      </c>
      <c r="M2080">
        <v>1.0</v>
      </c>
      <c r="N2080">
        <v>0.971</v>
      </c>
      <c r="O2080">
        <v>24.12</v>
      </c>
      <c r="P2080">
        <v>32.15</v>
      </c>
      <c r="Q2080">
        <v>16.77</v>
      </c>
      <c r="R2080">
        <v>0.89</v>
      </c>
    </row>
    <row r="2081">
      <c r="A2081" s="9">
        <v>40612</v>
      </c>
      <c r="B2081" s="2" t="inlineStr">
        <is>
          <t xml:space="preserve">2011-03</t>
        </is>
      </c>
      <c r="C2081" s="2" t="inlineStr">
        <is>
          <t xml:space="preserve">2010/11</t>
        </is>
      </c>
      <c r="D2081">
        <v>0.261</v>
      </c>
      <c r="E2081">
        <v>22.14</v>
      </c>
      <c r="F2081">
        <v>30.05</v>
      </c>
      <c r="G2081">
        <v>15.67</v>
      </c>
      <c r="H2081">
        <v>0.66</v>
      </c>
      <c r="I2081">
        <v>0.264</v>
      </c>
      <c r="J2081">
        <v>23.08</v>
      </c>
      <c r="K2081">
        <v>30.12</v>
      </c>
      <c r="L2081">
        <v>17.39</v>
      </c>
      <c r="M2081">
        <v>1.08</v>
      </c>
      <c r="N2081">
        <v>0.934</v>
      </c>
      <c r="O2081">
        <v>22.63</v>
      </c>
      <c r="P2081">
        <v>28.89</v>
      </c>
      <c r="Q2081">
        <v>17.63</v>
      </c>
      <c r="R2081">
        <v>2.38</v>
      </c>
    </row>
    <row r="2082">
      <c r="A2082" s="9">
        <v>40613</v>
      </c>
      <c r="B2082" s="2" t="inlineStr">
        <is>
          <t xml:space="preserve">2011-03</t>
        </is>
      </c>
      <c r="C2082" s="2" t="inlineStr">
        <is>
          <t xml:space="preserve">2010/11</t>
        </is>
      </c>
      <c r="D2082">
        <v>0.675</v>
      </c>
      <c r="E2082">
        <v>19.36</v>
      </c>
      <c r="F2082">
        <v>25.99</v>
      </c>
      <c r="G2082">
        <v>15.07</v>
      </c>
      <c r="H2082">
        <v>2.28</v>
      </c>
      <c r="I2082">
        <v>0.698</v>
      </c>
      <c r="J2082">
        <v>20.01</v>
      </c>
      <c r="K2082">
        <v>26.13</v>
      </c>
      <c r="L2082">
        <v>16.1</v>
      </c>
      <c r="M2082">
        <v>2.08</v>
      </c>
      <c r="N2082">
        <v>3.291</v>
      </c>
      <c r="O2082">
        <v>19.36</v>
      </c>
      <c r="P2082">
        <v>24.71</v>
      </c>
      <c r="Q2082">
        <v>16.1</v>
      </c>
      <c r="R2082">
        <v>4.93</v>
      </c>
    </row>
    <row r="2083">
      <c r="A2083" s="9">
        <v>40614</v>
      </c>
      <c r="B2083" s="2" t="inlineStr">
        <is>
          <t xml:space="preserve">2011-03</t>
        </is>
      </c>
      <c r="C2083" s="2" t="inlineStr">
        <is>
          <t xml:space="preserve">2010/11</t>
        </is>
      </c>
      <c r="D2083">
        <v>0.0</v>
      </c>
      <c r="E2083">
        <v>19.54</v>
      </c>
      <c r="F2083">
        <v>27.13</v>
      </c>
      <c r="G2083">
        <v>14.23</v>
      </c>
      <c r="H2083">
        <v>1.34</v>
      </c>
      <c r="I2083">
        <v>0.0</v>
      </c>
      <c r="J2083">
        <v>20.39</v>
      </c>
      <c r="K2083">
        <v>27.93</v>
      </c>
      <c r="L2083">
        <v>14.89</v>
      </c>
      <c r="M2083">
        <v>0.52</v>
      </c>
      <c r="N2083">
        <v>0.23</v>
      </c>
      <c r="O2083">
        <v>19.32</v>
      </c>
      <c r="P2083">
        <v>25.75</v>
      </c>
      <c r="Q2083">
        <v>15.1</v>
      </c>
      <c r="R2083">
        <v>1.32</v>
      </c>
    </row>
    <row r="2084">
      <c r="A2084" s="9">
        <v>40615</v>
      </c>
      <c r="B2084" s="2" t="inlineStr">
        <is>
          <t xml:space="preserve">2011-03</t>
        </is>
      </c>
      <c r="C2084" s="2" t="inlineStr">
        <is>
          <t xml:space="preserve">2010/11</t>
        </is>
      </c>
      <c r="D2084">
        <v>0.0</v>
      </c>
      <c r="E2084">
        <v>20.64</v>
      </c>
      <c r="F2084">
        <v>28.94</v>
      </c>
      <c r="G2084">
        <v>14.44</v>
      </c>
      <c r="H2084">
        <v>0.0</v>
      </c>
      <c r="I2084">
        <v>0.0</v>
      </c>
      <c r="J2084">
        <v>21.31</v>
      </c>
      <c r="K2084">
        <v>29.36</v>
      </c>
      <c r="L2084">
        <v>15.6</v>
      </c>
      <c r="M2084">
        <v>0.01</v>
      </c>
      <c r="N2084">
        <v>0.0</v>
      </c>
      <c r="O2084">
        <v>20.22</v>
      </c>
      <c r="P2084">
        <v>27.1</v>
      </c>
      <c r="Q2084">
        <v>15.1</v>
      </c>
      <c r="R2084">
        <v>0.04</v>
      </c>
    </row>
    <row r="2085">
      <c r="A2085" s="9">
        <v>40616</v>
      </c>
      <c r="B2085" s="2" t="inlineStr">
        <is>
          <t xml:space="preserve">2011-03</t>
        </is>
      </c>
      <c r="C2085" s="2" t="inlineStr">
        <is>
          <t xml:space="preserve">2010/11</t>
        </is>
      </c>
      <c r="D2085">
        <v>0.0</v>
      </c>
      <c r="E2085">
        <v>21.36</v>
      </c>
      <c r="F2085">
        <v>29.72</v>
      </c>
      <c r="G2085">
        <v>14.77</v>
      </c>
      <c r="H2085">
        <v>0.64</v>
      </c>
      <c r="I2085">
        <v>0.0</v>
      </c>
      <c r="J2085">
        <v>22.02</v>
      </c>
      <c r="K2085">
        <v>29.51</v>
      </c>
      <c r="L2085">
        <v>15.94</v>
      </c>
      <c r="M2085">
        <v>0.04</v>
      </c>
      <c r="N2085">
        <v>0.0</v>
      </c>
      <c r="O2085">
        <v>20.96</v>
      </c>
      <c r="P2085">
        <v>27.98</v>
      </c>
      <c r="Q2085">
        <v>15.54</v>
      </c>
      <c r="R2085">
        <v>0.09</v>
      </c>
    </row>
    <row r="2086">
      <c r="A2086" s="9">
        <v>40617</v>
      </c>
      <c r="B2086" s="2" t="inlineStr">
        <is>
          <t xml:space="preserve">2011-03</t>
        </is>
      </c>
      <c r="C2086" s="2" t="inlineStr">
        <is>
          <t xml:space="preserve">2010/11</t>
        </is>
      </c>
      <c r="D2086">
        <v>6.658</v>
      </c>
      <c r="E2086">
        <v>21.46</v>
      </c>
      <c r="F2086">
        <v>28.43</v>
      </c>
      <c r="G2086">
        <v>16.38</v>
      </c>
      <c r="H2086">
        <v>3.81</v>
      </c>
      <c r="I2086">
        <v>0.0</v>
      </c>
      <c r="J2086">
        <v>22.49</v>
      </c>
      <c r="K2086">
        <v>29.88</v>
      </c>
      <c r="L2086">
        <v>16.55</v>
      </c>
      <c r="M2086">
        <v>0.87</v>
      </c>
      <c r="N2086">
        <v>0.162</v>
      </c>
      <c r="O2086">
        <v>21.53</v>
      </c>
      <c r="P2086">
        <v>28.45</v>
      </c>
      <c r="Q2086">
        <v>16.76</v>
      </c>
      <c r="R2086">
        <v>2.3</v>
      </c>
    </row>
    <row r="2087">
      <c r="A2087" s="9">
        <v>40618</v>
      </c>
      <c r="B2087" s="2" t="inlineStr">
        <is>
          <t xml:space="preserve">2011-03</t>
        </is>
      </c>
      <c r="C2087" s="2" t="inlineStr">
        <is>
          <t xml:space="preserve">2010/11</t>
        </is>
      </c>
      <c r="D2087">
        <v>2.374</v>
      </c>
      <c r="E2087">
        <v>21.14</v>
      </c>
      <c r="F2087">
        <v>27.15</v>
      </c>
      <c r="G2087">
        <v>16.93</v>
      </c>
      <c r="H2087">
        <v>3.0</v>
      </c>
      <c r="I2087">
        <v>0.964</v>
      </c>
      <c r="J2087">
        <v>22.01</v>
      </c>
      <c r="K2087">
        <v>29.09</v>
      </c>
      <c r="L2087">
        <v>17.36</v>
      </c>
      <c r="M2087">
        <v>1.94</v>
      </c>
      <c r="N2087">
        <v>0.93</v>
      </c>
      <c r="O2087">
        <v>20.74</v>
      </c>
      <c r="P2087">
        <v>26.65</v>
      </c>
      <c r="Q2087">
        <v>16.74</v>
      </c>
      <c r="R2087">
        <v>5.8</v>
      </c>
    </row>
    <row r="2088">
      <c r="A2088" s="9">
        <v>40619</v>
      </c>
      <c r="B2088" s="2" t="inlineStr">
        <is>
          <t xml:space="preserve">2011-03</t>
        </is>
      </c>
      <c r="C2088" s="2" t="inlineStr">
        <is>
          <t xml:space="preserve">2010/11</t>
        </is>
      </c>
      <c r="D2088">
        <v>0.0</v>
      </c>
      <c r="E2088">
        <v>21.49</v>
      </c>
      <c r="F2088">
        <v>28.7</v>
      </c>
      <c r="G2088">
        <v>16.31</v>
      </c>
      <c r="H2088">
        <v>0.19</v>
      </c>
      <c r="I2088">
        <v>0.044</v>
      </c>
      <c r="J2088">
        <v>21.84</v>
      </c>
      <c r="K2088">
        <v>28.65</v>
      </c>
      <c r="L2088">
        <v>17.24</v>
      </c>
      <c r="M2088">
        <v>0.47</v>
      </c>
      <c r="N2088">
        <v>0.464</v>
      </c>
      <c r="O2088">
        <v>21.27</v>
      </c>
      <c r="P2088">
        <v>27.12</v>
      </c>
      <c r="Q2088">
        <v>17.75</v>
      </c>
      <c r="R2088">
        <v>1.34</v>
      </c>
    </row>
    <row r="2089">
      <c r="A2089" s="9">
        <v>40620</v>
      </c>
      <c r="B2089" s="2" t="inlineStr">
        <is>
          <t xml:space="preserve">2011-03</t>
        </is>
      </c>
      <c r="C2089" s="2" t="inlineStr">
        <is>
          <t xml:space="preserve">2010/11</t>
        </is>
      </c>
      <c r="D2089">
        <v>0.0</v>
      </c>
      <c r="E2089">
        <v>20.65</v>
      </c>
      <c r="F2089">
        <v>28.36</v>
      </c>
      <c r="G2089">
        <v>15.28</v>
      </c>
      <c r="H2089">
        <v>0.1</v>
      </c>
      <c r="I2089">
        <v>0.0</v>
      </c>
      <c r="J2089">
        <v>20.63</v>
      </c>
      <c r="K2089">
        <v>27.2</v>
      </c>
      <c r="L2089">
        <v>15.84</v>
      </c>
      <c r="M2089">
        <v>0.58</v>
      </c>
      <c r="N2089">
        <v>0.28</v>
      </c>
      <c r="O2089">
        <v>19.91</v>
      </c>
      <c r="P2089">
        <v>25.95</v>
      </c>
      <c r="Q2089">
        <v>16.18</v>
      </c>
      <c r="R2089">
        <v>1.92</v>
      </c>
    </row>
    <row r="2090">
      <c r="A2090" s="9">
        <v>40621</v>
      </c>
      <c r="B2090" s="2" t="inlineStr">
        <is>
          <t xml:space="preserve">2011-03</t>
        </is>
      </c>
      <c r="C2090" s="2" t="inlineStr">
        <is>
          <t xml:space="preserve">2010/11</t>
        </is>
      </c>
      <c r="D2090">
        <v>0.0</v>
      </c>
      <c r="E2090">
        <v>20.58</v>
      </c>
      <c r="F2090">
        <v>28.65</v>
      </c>
      <c r="G2090">
        <v>14.45</v>
      </c>
      <c r="H2090">
        <v>0.8</v>
      </c>
      <c r="I2090">
        <v>0.0</v>
      </c>
      <c r="J2090">
        <v>20.4</v>
      </c>
      <c r="K2090">
        <v>27.68</v>
      </c>
      <c r="L2090">
        <v>14.58</v>
      </c>
      <c r="M2090">
        <v>1.1</v>
      </c>
      <c r="N2090">
        <v>0.568</v>
      </c>
      <c r="O2090">
        <v>19.51</v>
      </c>
      <c r="P2090">
        <v>25.79</v>
      </c>
      <c r="Q2090">
        <v>14.93</v>
      </c>
      <c r="R2090">
        <v>4.3</v>
      </c>
    </row>
    <row r="2091">
      <c r="A2091" s="9">
        <v>40622</v>
      </c>
      <c r="B2091" s="2" t="inlineStr">
        <is>
          <t xml:space="preserve">2011-03</t>
        </is>
      </c>
      <c r="C2091" s="2" t="inlineStr">
        <is>
          <t xml:space="preserve">2010/11</t>
        </is>
      </c>
      <c r="D2091">
        <v>0.0</v>
      </c>
      <c r="E2091">
        <v>20.89</v>
      </c>
      <c r="F2091">
        <v>28.32</v>
      </c>
      <c r="G2091">
        <v>16.36</v>
      </c>
      <c r="H2091">
        <v>1.35</v>
      </c>
      <c r="I2091">
        <v>0.592</v>
      </c>
      <c r="J2091">
        <v>21.3</v>
      </c>
      <c r="K2091">
        <v>29.04</v>
      </c>
      <c r="L2091">
        <v>16.66</v>
      </c>
      <c r="M2091">
        <v>1.59</v>
      </c>
      <c r="N2091">
        <v>2.32</v>
      </c>
      <c r="O2091">
        <v>20.1</v>
      </c>
      <c r="P2091">
        <v>25.97</v>
      </c>
      <c r="Q2091">
        <v>16.88</v>
      </c>
      <c r="R2091">
        <v>3.3</v>
      </c>
    </row>
    <row r="2092">
      <c r="A2092" s="9">
        <v>40623</v>
      </c>
      <c r="B2092" s="2" t="inlineStr">
        <is>
          <t xml:space="preserve">2011-03</t>
        </is>
      </c>
      <c r="C2092" s="2" t="inlineStr">
        <is>
          <t xml:space="preserve">2010/11</t>
        </is>
      </c>
      <c r="D2092">
        <v>0.0</v>
      </c>
      <c r="E2092">
        <v>19.78</v>
      </c>
      <c r="F2092">
        <v>27.54</v>
      </c>
      <c r="G2092">
        <v>14.93</v>
      </c>
      <c r="H2092">
        <v>0.45</v>
      </c>
      <c r="I2092">
        <v>0.415</v>
      </c>
      <c r="J2092">
        <v>19.95</v>
      </c>
      <c r="K2092">
        <v>26.64</v>
      </c>
      <c r="L2092">
        <v>14.85</v>
      </c>
      <c r="M2092">
        <v>1.23</v>
      </c>
      <c r="N2092">
        <v>1.999</v>
      </c>
      <c r="O2092">
        <v>19.28</v>
      </c>
      <c r="P2092">
        <v>25.18</v>
      </c>
      <c r="Q2092">
        <v>15.6</v>
      </c>
      <c r="R2092">
        <v>3.86</v>
      </c>
    </row>
    <row r="2093">
      <c r="A2093" s="9">
        <v>40624</v>
      </c>
      <c r="B2093" s="2" t="inlineStr">
        <is>
          <t xml:space="preserve">2011-03</t>
        </is>
      </c>
      <c r="C2093" s="2" t="inlineStr">
        <is>
          <t xml:space="preserve">2010/11</t>
        </is>
      </c>
      <c r="D2093">
        <v>0.0</v>
      </c>
      <c r="E2093">
        <v>19.59</v>
      </c>
      <c r="F2093">
        <v>27.67</v>
      </c>
      <c r="G2093">
        <v>13.96</v>
      </c>
      <c r="H2093">
        <v>0.01</v>
      </c>
      <c r="I2093">
        <v>0.0</v>
      </c>
      <c r="J2093">
        <v>19.7</v>
      </c>
      <c r="K2093">
        <v>27.59</v>
      </c>
      <c r="L2093">
        <v>14.38</v>
      </c>
      <c r="M2093">
        <v>0.11</v>
      </c>
      <c r="N2093">
        <v>0.064</v>
      </c>
      <c r="O2093">
        <v>19.01</v>
      </c>
      <c r="P2093">
        <v>25.66</v>
      </c>
      <c r="Q2093">
        <v>14.64</v>
      </c>
      <c r="R2093">
        <v>0.51</v>
      </c>
    </row>
    <row r="2094">
      <c r="A2094" s="9">
        <v>40625</v>
      </c>
      <c r="B2094" s="2" t="inlineStr">
        <is>
          <t xml:space="preserve">2011-03</t>
        </is>
      </c>
      <c r="C2094" s="2" t="inlineStr">
        <is>
          <t xml:space="preserve">2010/11</t>
        </is>
      </c>
      <c r="D2094">
        <v>0.0</v>
      </c>
      <c r="E2094">
        <v>21.13</v>
      </c>
      <c r="F2094">
        <v>30.28</v>
      </c>
      <c r="G2094">
        <v>13.76</v>
      </c>
      <c r="H2094">
        <v>0.0</v>
      </c>
      <c r="I2094">
        <v>0.0</v>
      </c>
      <c r="J2094">
        <v>21.82</v>
      </c>
      <c r="K2094">
        <v>31.27</v>
      </c>
      <c r="L2094">
        <v>13.7</v>
      </c>
      <c r="M2094">
        <v>0.0</v>
      </c>
      <c r="N2094">
        <v>0.0</v>
      </c>
      <c r="O2094">
        <v>21.07</v>
      </c>
      <c r="P2094">
        <v>29.81</v>
      </c>
      <c r="Q2094">
        <v>14.44</v>
      </c>
      <c r="R2094">
        <v>0.0</v>
      </c>
    </row>
    <row r="2095">
      <c r="A2095" s="9">
        <v>40626</v>
      </c>
      <c r="B2095" s="2" t="inlineStr">
        <is>
          <t xml:space="preserve">2011-03</t>
        </is>
      </c>
      <c r="C2095" s="2" t="inlineStr">
        <is>
          <t xml:space="preserve">2010/11</t>
        </is>
      </c>
      <c r="D2095">
        <v>0.0</v>
      </c>
      <c r="E2095">
        <v>22.36</v>
      </c>
      <c r="F2095">
        <v>30.72</v>
      </c>
      <c r="G2095">
        <v>14.65</v>
      </c>
      <c r="H2095">
        <v>0.0</v>
      </c>
      <c r="I2095">
        <v>0.0</v>
      </c>
      <c r="J2095">
        <v>23.5</v>
      </c>
      <c r="K2095">
        <v>31.54</v>
      </c>
      <c r="L2095">
        <v>16.53</v>
      </c>
      <c r="M2095">
        <v>0.0</v>
      </c>
      <c r="N2095">
        <v>0.0</v>
      </c>
      <c r="O2095">
        <v>22.6</v>
      </c>
      <c r="P2095">
        <v>30.96</v>
      </c>
      <c r="Q2095">
        <v>15.34</v>
      </c>
      <c r="R2095">
        <v>0.0</v>
      </c>
    </row>
    <row r="2096">
      <c r="A2096" s="9">
        <v>40627</v>
      </c>
      <c r="B2096" s="2" t="inlineStr">
        <is>
          <t xml:space="preserve">2011-03</t>
        </is>
      </c>
      <c r="C2096" s="2" t="inlineStr">
        <is>
          <t xml:space="preserve">2010/11</t>
        </is>
      </c>
      <c r="D2096">
        <v>0.0</v>
      </c>
      <c r="E2096">
        <v>22.82</v>
      </c>
      <c r="F2096">
        <v>30.39</v>
      </c>
      <c r="G2096">
        <v>15.76</v>
      </c>
      <c r="H2096">
        <v>0.0</v>
      </c>
      <c r="I2096">
        <v>0.0</v>
      </c>
      <c r="J2096">
        <v>23.52</v>
      </c>
      <c r="K2096">
        <v>31.13</v>
      </c>
      <c r="L2096">
        <v>16.69</v>
      </c>
      <c r="M2096">
        <v>0.0</v>
      </c>
      <c r="N2096">
        <v>0.0</v>
      </c>
      <c r="O2096">
        <v>23.18</v>
      </c>
      <c r="P2096">
        <v>31.12</v>
      </c>
      <c r="Q2096">
        <v>17.61</v>
      </c>
      <c r="R2096">
        <v>0.0</v>
      </c>
    </row>
    <row r="2097">
      <c r="A2097" s="9">
        <v>40628</v>
      </c>
      <c r="B2097" s="2" t="inlineStr">
        <is>
          <t xml:space="preserve">2011-03</t>
        </is>
      </c>
      <c r="C2097" s="2" t="inlineStr">
        <is>
          <t xml:space="preserve">2010/11</t>
        </is>
      </c>
      <c r="D2097">
        <v>0.0</v>
      </c>
      <c r="E2097">
        <v>23.88</v>
      </c>
      <c r="F2097">
        <v>31.81</v>
      </c>
      <c r="G2097">
        <v>16.25</v>
      </c>
      <c r="H2097">
        <v>0.0</v>
      </c>
      <c r="I2097">
        <v>0.0</v>
      </c>
      <c r="J2097">
        <v>23.61</v>
      </c>
      <c r="K2097">
        <v>31.12</v>
      </c>
      <c r="L2097">
        <v>17.51</v>
      </c>
      <c r="M2097">
        <v>0.0</v>
      </c>
      <c r="N2097">
        <v>0.0</v>
      </c>
      <c r="O2097">
        <v>24.03</v>
      </c>
      <c r="P2097">
        <v>31.87</v>
      </c>
      <c r="Q2097">
        <v>16.66</v>
      </c>
      <c r="R2097">
        <v>0.0</v>
      </c>
    </row>
    <row r="2098">
      <c r="A2098" s="9">
        <v>40629</v>
      </c>
      <c r="B2098" s="2" t="inlineStr">
        <is>
          <t xml:space="preserve">2011-03</t>
        </is>
      </c>
      <c r="C2098" s="2" t="inlineStr">
        <is>
          <t xml:space="preserve">2010/11</t>
        </is>
      </c>
      <c r="D2098">
        <v>0.0</v>
      </c>
      <c r="E2098">
        <v>23.62</v>
      </c>
      <c r="F2098">
        <v>33.18</v>
      </c>
      <c r="G2098">
        <v>16.06</v>
      </c>
      <c r="H2098">
        <v>0.0</v>
      </c>
      <c r="I2098">
        <v>0.0</v>
      </c>
      <c r="J2098">
        <v>23.34</v>
      </c>
      <c r="K2098">
        <v>32.62</v>
      </c>
      <c r="L2098">
        <v>15.99</v>
      </c>
      <c r="M2098">
        <v>0.0</v>
      </c>
      <c r="N2098">
        <v>0.0</v>
      </c>
      <c r="O2098">
        <v>24.72</v>
      </c>
      <c r="P2098">
        <v>33.87</v>
      </c>
      <c r="Q2098">
        <v>16.75</v>
      </c>
      <c r="R2098">
        <v>0.0</v>
      </c>
    </row>
    <row r="2099">
      <c r="A2099" s="9">
        <v>40630</v>
      </c>
      <c r="B2099" s="2" t="inlineStr">
        <is>
          <t xml:space="preserve">2011-03</t>
        </is>
      </c>
      <c r="C2099" s="2" t="inlineStr">
        <is>
          <t xml:space="preserve">2010/11</t>
        </is>
      </c>
      <c r="D2099">
        <v>0.0</v>
      </c>
      <c r="E2099">
        <v>25.69</v>
      </c>
      <c r="F2099">
        <v>34.61</v>
      </c>
      <c r="G2099">
        <v>16.88</v>
      </c>
      <c r="H2099">
        <v>0.01</v>
      </c>
      <c r="I2099">
        <v>0.0</v>
      </c>
      <c r="J2099">
        <v>24.04</v>
      </c>
      <c r="K2099">
        <v>34.58</v>
      </c>
      <c r="L2099">
        <v>15.3</v>
      </c>
      <c r="M2099">
        <v>0.0</v>
      </c>
      <c r="N2099">
        <v>0.0</v>
      </c>
      <c r="O2099">
        <v>25.11</v>
      </c>
      <c r="P2099">
        <v>35.44</v>
      </c>
      <c r="Q2099">
        <v>15.22</v>
      </c>
      <c r="R2099">
        <v>0.0</v>
      </c>
    </row>
    <row r="2100">
      <c r="A2100" s="9">
        <v>40631</v>
      </c>
      <c r="B2100" s="2" t="inlineStr">
        <is>
          <t xml:space="preserve">2011-03</t>
        </is>
      </c>
      <c r="C2100" s="2" t="inlineStr">
        <is>
          <t xml:space="preserve">2010/11</t>
        </is>
      </c>
      <c r="D2100">
        <v>0.52</v>
      </c>
      <c r="E2100">
        <v>26.08</v>
      </c>
      <c r="F2100">
        <v>34.2</v>
      </c>
      <c r="G2100">
        <v>18.35</v>
      </c>
      <c r="H2100">
        <v>0.29</v>
      </c>
      <c r="I2100">
        <v>0.046</v>
      </c>
      <c r="J2100">
        <v>25.23</v>
      </c>
      <c r="K2100">
        <v>35.2</v>
      </c>
      <c r="L2100">
        <v>15.71</v>
      </c>
      <c r="M2100">
        <v>0.21</v>
      </c>
      <c r="N2100">
        <v>0.185</v>
      </c>
      <c r="O2100">
        <v>27.1</v>
      </c>
      <c r="P2100">
        <v>36.41</v>
      </c>
      <c r="Q2100">
        <v>17.02</v>
      </c>
      <c r="R2100">
        <v>0.18</v>
      </c>
    </row>
    <row r="2101">
      <c r="A2101" s="9">
        <v>40632</v>
      </c>
      <c r="B2101" s="2" t="inlineStr">
        <is>
          <t xml:space="preserve">2011-03</t>
        </is>
      </c>
      <c r="C2101" s="2" t="inlineStr">
        <is>
          <t xml:space="preserve">2010/11</t>
        </is>
      </c>
      <c r="D2101">
        <v>0.0</v>
      </c>
      <c r="E2101">
        <v>26.04</v>
      </c>
      <c r="F2101">
        <v>34.96</v>
      </c>
      <c r="G2101">
        <v>18.33</v>
      </c>
      <c r="H2101">
        <v>0.0</v>
      </c>
      <c r="I2101">
        <v>0.0</v>
      </c>
      <c r="J2101">
        <v>25.41</v>
      </c>
      <c r="K2101">
        <v>32.83</v>
      </c>
      <c r="L2101">
        <v>19.98</v>
      </c>
      <c r="M2101">
        <v>0.0</v>
      </c>
      <c r="N2101">
        <v>0.0</v>
      </c>
      <c r="O2101">
        <v>26.82</v>
      </c>
      <c r="P2101">
        <v>33.55</v>
      </c>
      <c r="Q2101">
        <v>21.08</v>
      </c>
      <c r="R2101">
        <v>0.0</v>
      </c>
    </row>
    <row r="2102">
      <c r="A2102" s="9">
        <v>40633</v>
      </c>
      <c r="B2102" s="2" t="inlineStr">
        <is>
          <t xml:space="preserve">2011-03</t>
        </is>
      </c>
      <c r="C2102" s="2" t="inlineStr">
        <is>
          <t xml:space="preserve">2010/11</t>
        </is>
      </c>
      <c r="D2102">
        <v>0.0</v>
      </c>
      <c r="E2102">
        <v>25.27</v>
      </c>
      <c r="F2102">
        <v>32.48</v>
      </c>
      <c r="G2102">
        <v>17.85</v>
      </c>
      <c r="H2102">
        <v>0.0</v>
      </c>
      <c r="I2102">
        <v>0.0</v>
      </c>
      <c r="J2102">
        <v>25.62</v>
      </c>
      <c r="K2102">
        <v>34.37</v>
      </c>
      <c r="L2102">
        <v>17.5</v>
      </c>
      <c r="M2102">
        <v>0.0</v>
      </c>
      <c r="N2102">
        <v>0.0</v>
      </c>
      <c r="O2102">
        <v>26.59</v>
      </c>
      <c r="P2102">
        <v>34.01</v>
      </c>
      <c r="Q2102">
        <v>19.37</v>
      </c>
      <c r="R2102">
        <v>0.0</v>
      </c>
    </row>
    <row r="2103">
      <c r="A2103" s="9">
        <v>40634</v>
      </c>
      <c r="B2103" s="2" t="inlineStr">
        <is>
          <t xml:space="preserve">2011-04</t>
        </is>
      </c>
      <c r="C2103" s="2" t="inlineStr">
        <is>
          <t xml:space="preserve">2010/11</t>
        </is>
      </c>
      <c r="D2103">
        <v>0.0</v>
      </c>
      <c r="E2103">
        <v>25.86</v>
      </c>
      <c r="F2103">
        <v>33.05</v>
      </c>
      <c r="G2103">
        <v>18.95</v>
      </c>
      <c r="H2103">
        <v>0.0</v>
      </c>
      <c r="I2103">
        <v>0.0</v>
      </c>
      <c r="J2103">
        <v>26.61</v>
      </c>
      <c r="K2103">
        <v>34.77</v>
      </c>
      <c r="L2103">
        <v>18.88</v>
      </c>
      <c r="M2103">
        <v>0.0</v>
      </c>
      <c r="N2103">
        <v>0.0</v>
      </c>
      <c r="O2103">
        <v>26.12</v>
      </c>
      <c r="P2103">
        <v>33.61</v>
      </c>
      <c r="Q2103">
        <v>19.53</v>
      </c>
      <c r="R2103">
        <v>0.0</v>
      </c>
    </row>
    <row r="2104">
      <c r="A2104" s="9">
        <v>40635</v>
      </c>
      <c r="B2104" s="2" t="inlineStr">
        <is>
          <t xml:space="preserve">2011-04</t>
        </is>
      </c>
      <c r="C2104" s="2" t="inlineStr">
        <is>
          <t xml:space="preserve">2010/11</t>
        </is>
      </c>
      <c r="D2104">
        <v>0.0</v>
      </c>
      <c r="E2104">
        <v>24.63</v>
      </c>
      <c r="F2104">
        <v>31.74</v>
      </c>
      <c r="G2104">
        <v>19.33</v>
      </c>
      <c r="H2104">
        <v>0.0</v>
      </c>
      <c r="I2104">
        <v>0.0</v>
      </c>
      <c r="J2104">
        <v>25.72</v>
      </c>
      <c r="K2104">
        <v>32.64</v>
      </c>
      <c r="L2104">
        <v>20.08</v>
      </c>
      <c r="M2104">
        <v>0.0</v>
      </c>
      <c r="N2104">
        <v>0.0</v>
      </c>
      <c r="O2104">
        <v>24.3</v>
      </c>
      <c r="P2104">
        <v>31.37</v>
      </c>
      <c r="Q2104">
        <v>19.36</v>
      </c>
      <c r="R2104">
        <v>0.0</v>
      </c>
    </row>
    <row r="2105">
      <c r="A2105" s="9">
        <v>40636</v>
      </c>
      <c r="B2105" s="2" t="inlineStr">
        <is>
          <t xml:space="preserve">2011-04</t>
        </is>
      </c>
      <c r="C2105" s="2" t="inlineStr">
        <is>
          <t xml:space="preserve">2010/11</t>
        </is>
      </c>
      <c r="D2105">
        <v>0.0</v>
      </c>
      <c r="E2105">
        <v>23.96</v>
      </c>
      <c r="F2105">
        <v>32.17</v>
      </c>
      <c r="G2105">
        <v>17.45</v>
      </c>
      <c r="H2105">
        <v>0.41</v>
      </c>
      <c r="I2105">
        <v>0.0</v>
      </c>
      <c r="J2105">
        <v>25.26</v>
      </c>
      <c r="K2105">
        <v>34.12</v>
      </c>
      <c r="L2105">
        <v>17.15</v>
      </c>
      <c r="M2105">
        <v>0.07</v>
      </c>
      <c r="N2105">
        <v>0.0</v>
      </c>
      <c r="O2105">
        <v>24.14</v>
      </c>
      <c r="P2105">
        <v>32.04</v>
      </c>
      <c r="Q2105">
        <v>17.88</v>
      </c>
      <c r="R2105">
        <v>0.16</v>
      </c>
    </row>
    <row r="2106">
      <c r="A2106" s="9">
        <v>40637</v>
      </c>
      <c r="B2106" s="2" t="inlineStr">
        <is>
          <t xml:space="preserve">2011-04</t>
        </is>
      </c>
      <c r="C2106" s="2" t="inlineStr">
        <is>
          <t xml:space="preserve">2010/11</t>
        </is>
      </c>
      <c r="D2106">
        <v>0.0</v>
      </c>
      <c r="E2106">
        <v>24.79</v>
      </c>
      <c r="F2106">
        <v>33.87</v>
      </c>
      <c r="G2106">
        <v>15.78</v>
      </c>
      <c r="H2106">
        <v>0.0</v>
      </c>
      <c r="I2106">
        <v>0.0</v>
      </c>
      <c r="J2106">
        <v>27.17</v>
      </c>
      <c r="K2106">
        <v>35.1</v>
      </c>
      <c r="L2106">
        <v>20.36</v>
      </c>
      <c r="M2106">
        <v>0.08</v>
      </c>
      <c r="N2106">
        <v>0.071</v>
      </c>
      <c r="O2106">
        <v>26.09</v>
      </c>
      <c r="P2106">
        <v>34.58</v>
      </c>
      <c r="Q2106">
        <v>19.7</v>
      </c>
      <c r="R2106">
        <v>0.47</v>
      </c>
    </row>
    <row r="2107">
      <c r="A2107" s="9">
        <v>40638</v>
      </c>
      <c r="B2107" s="2" t="inlineStr">
        <is>
          <t xml:space="preserve">2011-04</t>
        </is>
      </c>
      <c r="C2107" s="2" t="inlineStr">
        <is>
          <t xml:space="preserve">2010/11</t>
        </is>
      </c>
      <c r="D2107">
        <v>0.0</v>
      </c>
      <c r="E2107">
        <v>25.77</v>
      </c>
      <c r="F2107">
        <v>34.42</v>
      </c>
      <c r="G2107">
        <v>17.94</v>
      </c>
      <c r="H2107">
        <v>0.02</v>
      </c>
      <c r="I2107">
        <v>0.0</v>
      </c>
      <c r="J2107">
        <v>26.95</v>
      </c>
      <c r="K2107">
        <v>35.36</v>
      </c>
      <c r="L2107">
        <v>20.76</v>
      </c>
      <c r="M2107">
        <v>0.0</v>
      </c>
      <c r="N2107">
        <v>0.0</v>
      </c>
      <c r="O2107">
        <v>25.87</v>
      </c>
      <c r="P2107">
        <v>34.43</v>
      </c>
      <c r="Q2107">
        <v>19.52</v>
      </c>
      <c r="R2107">
        <v>0.0</v>
      </c>
    </row>
    <row r="2108">
      <c r="A2108" s="9">
        <v>40639</v>
      </c>
      <c r="B2108" s="2" t="inlineStr">
        <is>
          <t xml:space="preserve">2011-04</t>
        </is>
      </c>
      <c r="C2108" s="2" t="inlineStr">
        <is>
          <t xml:space="preserve">2010/11</t>
        </is>
      </c>
      <c r="D2108">
        <v>0.0</v>
      </c>
      <c r="E2108">
        <v>24.78</v>
      </c>
      <c r="F2108">
        <v>31.52</v>
      </c>
      <c r="G2108">
        <v>19.19</v>
      </c>
      <c r="H2108">
        <v>0.04</v>
      </c>
      <c r="I2108">
        <v>0.0</v>
      </c>
      <c r="J2108">
        <v>24.74</v>
      </c>
      <c r="K2108">
        <v>32.3</v>
      </c>
      <c r="L2108">
        <v>18.41</v>
      </c>
      <c r="M2108">
        <v>0.16</v>
      </c>
      <c r="N2108">
        <v>0.0</v>
      </c>
      <c r="O2108">
        <v>23.83</v>
      </c>
      <c r="P2108">
        <v>30.36</v>
      </c>
      <c r="Q2108">
        <v>18.86</v>
      </c>
      <c r="R2108">
        <v>0.33</v>
      </c>
    </row>
    <row r="2109">
      <c r="A2109" s="9">
        <v>40640</v>
      </c>
      <c r="B2109" s="2" t="inlineStr">
        <is>
          <t xml:space="preserve">2011-04</t>
        </is>
      </c>
      <c r="C2109" s="2" t="inlineStr">
        <is>
          <t xml:space="preserve">2010/11</t>
        </is>
      </c>
      <c r="D2109">
        <v>0.0</v>
      </c>
      <c r="E2109">
        <v>23.87</v>
      </c>
      <c r="F2109">
        <v>32.1</v>
      </c>
      <c r="G2109">
        <v>16.83</v>
      </c>
      <c r="H2109">
        <v>0.02</v>
      </c>
      <c r="I2109">
        <v>0.0</v>
      </c>
      <c r="J2109">
        <v>24.86</v>
      </c>
      <c r="K2109">
        <v>32.29</v>
      </c>
      <c r="L2109">
        <v>18.99</v>
      </c>
      <c r="M2109">
        <v>0.22</v>
      </c>
      <c r="N2109">
        <v>0.166</v>
      </c>
      <c r="O2109">
        <v>23.61</v>
      </c>
      <c r="P2109">
        <v>30.97</v>
      </c>
      <c r="Q2109">
        <v>18.85</v>
      </c>
      <c r="R2109">
        <v>1.17</v>
      </c>
    </row>
    <row r="2110">
      <c r="A2110" s="9">
        <v>40641</v>
      </c>
      <c r="B2110" s="2" t="inlineStr">
        <is>
          <t xml:space="preserve">2011-04</t>
        </is>
      </c>
      <c r="C2110" s="2" t="inlineStr">
        <is>
          <t xml:space="preserve">2010/11</t>
        </is>
      </c>
      <c r="D2110">
        <v>0.0</v>
      </c>
      <c r="E2110">
        <v>23.63</v>
      </c>
      <c r="F2110">
        <v>31.34</v>
      </c>
      <c r="G2110">
        <v>16.76</v>
      </c>
      <c r="H2110">
        <v>0.0</v>
      </c>
      <c r="I2110">
        <v>0.0</v>
      </c>
      <c r="J2110">
        <v>25.59</v>
      </c>
      <c r="K2110">
        <v>33.17</v>
      </c>
      <c r="L2110">
        <v>18.42</v>
      </c>
      <c r="M2110">
        <v>0.0</v>
      </c>
      <c r="N2110">
        <v>0.0</v>
      </c>
      <c r="O2110">
        <v>24.21</v>
      </c>
      <c r="P2110">
        <v>31.49</v>
      </c>
      <c r="Q2110">
        <v>18.88</v>
      </c>
      <c r="R2110">
        <v>0.0</v>
      </c>
    </row>
    <row r="2111">
      <c r="A2111" s="9">
        <v>40642</v>
      </c>
      <c r="B2111" s="2" t="inlineStr">
        <is>
          <t xml:space="preserve">2011-04</t>
        </is>
      </c>
      <c r="C2111" s="2" t="inlineStr">
        <is>
          <t xml:space="preserve">2010/11</t>
        </is>
      </c>
      <c r="D2111">
        <v>0.0</v>
      </c>
      <c r="E2111">
        <v>24.91</v>
      </c>
      <c r="F2111">
        <v>33.16</v>
      </c>
      <c r="G2111">
        <v>17.64</v>
      </c>
      <c r="H2111">
        <v>0.0</v>
      </c>
      <c r="I2111">
        <v>0.0</v>
      </c>
      <c r="J2111">
        <v>25.92</v>
      </c>
      <c r="K2111">
        <v>33.32</v>
      </c>
      <c r="L2111">
        <v>19.48</v>
      </c>
      <c r="M2111">
        <v>0.0</v>
      </c>
      <c r="N2111">
        <v>0.0</v>
      </c>
      <c r="O2111">
        <v>24.29</v>
      </c>
      <c r="P2111">
        <v>31.77</v>
      </c>
      <c r="Q2111">
        <v>18.51</v>
      </c>
      <c r="R2111">
        <v>0.0</v>
      </c>
    </row>
    <row r="2112">
      <c r="A2112" s="9">
        <v>40643</v>
      </c>
      <c r="B2112" s="2" t="inlineStr">
        <is>
          <t xml:space="preserve">2011-04</t>
        </is>
      </c>
      <c r="C2112" s="2" t="inlineStr">
        <is>
          <t xml:space="preserve">2010/11</t>
        </is>
      </c>
      <c r="D2112">
        <v>0.0</v>
      </c>
      <c r="E2112">
        <v>25.37</v>
      </c>
      <c r="F2112">
        <v>33.73</v>
      </c>
      <c r="G2112">
        <v>17.91</v>
      </c>
      <c r="H2112">
        <v>0.0</v>
      </c>
      <c r="I2112">
        <v>0.0</v>
      </c>
      <c r="J2112">
        <v>25.84</v>
      </c>
      <c r="K2112">
        <v>33.23</v>
      </c>
      <c r="L2112">
        <v>19.64</v>
      </c>
      <c r="M2112">
        <v>0.1</v>
      </c>
      <c r="N2112">
        <v>0.0</v>
      </c>
      <c r="O2112">
        <v>24.49</v>
      </c>
      <c r="P2112">
        <v>31.74</v>
      </c>
      <c r="Q2112">
        <v>19.31</v>
      </c>
      <c r="R2112">
        <v>0.01</v>
      </c>
    </row>
    <row r="2113">
      <c r="A2113" s="9">
        <v>40644</v>
      </c>
      <c r="B2113" s="2" t="inlineStr">
        <is>
          <t xml:space="preserve">2011-04</t>
        </is>
      </c>
      <c r="C2113" s="2" t="inlineStr">
        <is>
          <t xml:space="preserve">2010/11</t>
        </is>
      </c>
      <c r="D2113">
        <v>0.0</v>
      </c>
      <c r="E2113">
        <v>25.89</v>
      </c>
      <c r="F2113">
        <v>33.92</v>
      </c>
      <c r="G2113">
        <v>17.86</v>
      </c>
      <c r="H2113">
        <v>0.0</v>
      </c>
      <c r="I2113">
        <v>0.172</v>
      </c>
      <c r="J2113">
        <v>26.58</v>
      </c>
      <c r="K2113">
        <v>34.62</v>
      </c>
      <c r="L2113">
        <v>19.12</v>
      </c>
      <c r="M2113">
        <v>0.18</v>
      </c>
      <c r="N2113">
        <v>0.0</v>
      </c>
      <c r="O2113">
        <v>25.59</v>
      </c>
      <c r="P2113">
        <v>34.24</v>
      </c>
      <c r="Q2113">
        <v>18.69</v>
      </c>
      <c r="R2113">
        <v>0.02</v>
      </c>
    </row>
    <row r="2114">
      <c r="A2114" s="9">
        <v>40645</v>
      </c>
      <c r="B2114" s="2" t="inlineStr">
        <is>
          <t xml:space="preserve">2011-04</t>
        </is>
      </c>
      <c r="C2114" s="2" t="inlineStr">
        <is>
          <t xml:space="preserve">2010/11</t>
        </is>
      </c>
      <c r="D2114">
        <v>0.0</v>
      </c>
      <c r="E2114">
        <v>25.56</v>
      </c>
      <c r="F2114">
        <v>33.75</v>
      </c>
      <c r="G2114">
        <v>19.05</v>
      </c>
      <c r="H2114">
        <v>0.0</v>
      </c>
      <c r="I2114">
        <v>0.0</v>
      </c>
      <c r="J2114">
        <v>26.19</v>
      </c>
      <c r="K2114">
        <v>33.22</v>
      </c>
      <c r="L2114">
        <v>20.78</v>
      </c>
      <c r="M2114">
        <v>0.02</v>
      </c>
      <c r="N2114">
        <v>0.0</v>
      </c>
      <c r="O2114">
        <v>24.69</v>
      </c>
      <c r="P2114">
        <v>32.42</v>
      </c>
      <c r="Q2114">
        <v>18.43</v>
      </c>
      <c r="R2114">
        <v>0.12</v>
      </c>
    </row>
    <row r="2115">
      <c r="A2115" s="9">
        <v>40646</v>
      </c>
      <c r="B2115" s="2" t="inlineStr">
        <is>
          <t xml:space="preserve">2011-04</t>
        </is>
      </c>
      <c r="C2115" s="2" t="inlineStr">
        <is>
          <t xml:space="preserve">2010/11</t>
        </is>
      </c>
      <c r="D2115">
        <v>0.0</v>
      </c>
      <c r="E2115">
        <v>23.54</v>
      </c>
      <c r="F2115">
        <v>32.56</v>
      </c>
      <c r="G2115">
        <v>16.63</v>
      </c>
      <c r="H2115">
        <v>0.0</v>
      </c>
      <c r="I2115">
        <v>0.0</v>
      </c>
      <c r="J2115">
        <v>23.87</v>
      </c>
      <c r="K2115">
        <v>32.68</v>
      </c>
      <c r="L2115">
        <v>16.33</v>
      </c>
      <c r="M2115">
        <v>0.0</v>
      </c>
      <c r="N2115">
        <v>0.0</v>
      </c>
      <c r="O2115">
        <v>22.54</v>
      </c>
      <c r="P2115">
        <v>30.82</v>
      </c>
      <c r="Q2115">
        <v>16.91</v>
      </c>
      <c r="R2115">
        <v>0.03</v>
      </c>
    </row>
    <row r="2116">
      <c r="A2116" s="9">
        <v>40647</v>
      </c>
      <c r="B2116" s="2" t="inlineStr">
        <is>
          <t xml:space="preserve">2011-04</t>
        </is>
      </c>
      <c r="C2116" s="2" t="inlineStr">
        <is>
          <t xml:space="preserve">2010/11</t>
        </is>
      </c>
      <c r="D2116">
        <v>0.0</v>
      </c>
      <c r="E2116">
        <v>23.66</v>
      </c>
      <c r="F2116">
        <v>32.64</v>
      </c>
      <c r="G2116">
        <v>15.52</v>
      </c>
      <c r="H2116">
        <v>0.0</v>
      </c>
      <c r="I2116">
        <v>0.0</v>
      </c>
      <c r="J2116">
        <v>24.36</v>
      </c>
      <c r="K2116">
        <v>33.61</v>
      </c>
      <c r="L2116">
        <v>15.71</v>
      </c>
      <c r="M2116">
        <v>0.0</v>
      </c>
      <c r="N2116">
        <v>0.0</v>
      </c>
      <c r="O2116">
        <v>23.12</v>
      </c>
      <c r="P2116">
        <v>31.51</v>
      </c>
      <c r="Q2116">
        <v>16.16</v>
      </c>
      <c r="R2116">
        <v>0.0</v>
      </c>
    </row>
    <row r="2117">
      <c r="A2117" s="9">
        <v>40648</v>
      </c>
      <c r="B2117" s="2" t="inlineStr">
        <is>
          <t xml:space="preserve">2011-04</t>
        </is>
      </c>
      <c r="C2117" s="2" t="inlineStr">
        <is>
          <t xml:space="preserve">2010/11</t>
        </is>
      </c>
      <c r="D2117">
        <v>0.0</v>
      </c>
      <c r="E2117">
        <v>24.65</v>
      </c>
      <c r="F2117">
        <v>33.01</v>
      </c>
      <c r="G2117">
        <v>16.56</v>
      </c>
      <c r="H2117">
        <v>0.0</v>
      </c>
      <c r="I2117">
        <v>0.0</v>
      </c>
      <c r="J2117">
        <v>25.19</v>
      </c>
      <c r="K2117">
        <v>33.09</v>
      </c>
      <c r="L2117">
        <v>18.96</v>
      </c>
      <c r="M2117">
        <v>0.0</v>
      </c>
      <c r="N2117">
        <v>0.0</v>
      </c>
      <c r="O2117">
        <v>25.62</v>
      </c>
      <c r="P2117">
        <v>34.26</v>
      </c>
      <c r="Q2117">
        <v>18.17</v>
      </c>
      <c r="R2117">
        <v>0.0</v>
      </c>
    </row>
    <row r="2118">
      <c r="A2118" s="9">
        <v>40649</v>
      </c>
      <c r="B2118" s="2" t="inlineStr">
        <is>
          <t xml:space="preserve">2011-04</t>
        </is>
      </c>
      <c r="C2118" s="2" t="inlineStr">
        <is>
          <t xml:space="preserve">2010/11</t>
        </is>
      </c>
      <c r="D2118">
        <v>0.0</v>
      </c>
      <c r="E2118">
        <v>24.51</v>
      </c>
      <c r="F2118">
        <v>32.17</v>
      </c>
      <c r="G2118">
        <v>17.43</v>
      </c>
      <c r="H2118">
        <v>0.0</v>
      </c>
      <c r="I2118">
        <v>0.0</v>
      </c>
      <c r="J2118">
        <v>25.66</v>
      </c>
      <c r="K2118">
        <v>33.7</v>
      </c>
      <c r="L2118">
        <v>18.59</v>
      </c>
      <c r="M2118">
        <v>0.0</v>
      </c>
      <c r="N2118">
        <v>0.0</v>
      </c>
      <c r="O2118">
        <v>24.66</v>
      </c>
      <c r="P2118">
        <v>31.7</v>
      </c>
      <c r="Q2118">
        <v>19.28</v>
      </c>
      <c r="R2118">
        <v>0.0</v>
      </c>
    </row>
    <row r="2119">
      <c r="A2119" s="9">
        <v>40650</v>
      </c>
      <c r="B2119" s="2" t="inlineStr">
        <is>
          <t xml:space="preserve">2011-04</t>
        </is>
      </c>
      <c r="C2119" s="2" t="inlineStr">
        <is>
          <t xml:space="preserve">2010/11</t>
        </is>
      </c>
      <c r="D2119">
        <v>0.0</v>
      </c>
      <c r="E2119">
        <v>23.9</v>
      </c>
      <c r="F2119">
        <v>31.98</v>
      </c>
      <c r="G2119">
        <v>17.0</v>
      </c>
      <c r="H2119">
        <v>0.0</v>
      </c>
      <c r="I2119">
        <v>0.0</v>
      </c>
      <c r="J2119">
        <v>25.63</v>
      </c>
      <c r="K2119">
        <v>32.73</v>
      </c>
      <c r="L2119">
        <v>20.1</v>
      </c>
      <c r="M2119">
        <v>0.0</v>
      </c>
      <c r="N2119">
        <v>0.0</v>
      </c>
      <c r="O2119">
        <v>23.82</v>
      </c>
      <c r="P2119">
        <v>30.92</v>
      </c>
      <c r="Q2119">
        <v>18.53</v>
      </c>
      <c r="R2119">
        <v>0.0</v>
      </c>
    </row>
    <row r="2120">
      <c r="A2120" s="9">
        <v>40651</v>
      </c>
      <c r="B2120" s="2" t="inlineStr">
        <is>
          <t xml:space="preserve">2011-04</t>
        </is>
      </c>
      <c r="C2120" s="2" t="inlineStr">
        <is>
          <t xml:space="preserve">2010/11</t>
        </is>
      </c>
      <c r="D2120">
        <v>0.0</v>
      </c>
      <c r="E2120">
        <v>24.49</v>
      </c>
      <c r="F2120">
        <v>33.45</v>
      </c>
      <c r="G2120">
        <v>15.58</v>
      </c>
      <c r="H2120">
        <v>0.01</v>
      </c>
      <c r="I2120">
        <v>0.0</v>
      </c>
      <c r="J2120">
        <v>25.59</v>
      </c>
      <c r="K2120">
        <v>33.32</v>
      </c>
      <c r="L2120">
        <v>18.65</v>
      </c>
      <c r="M2120">
        <v>0.01</v>
      </c>
      <c r="N2120">
        <v>0.0</v>
      </c>
      <c r="O2120">
        <v>24.7</v>
      </c>
      <c r="P2120">
        <v>33.15</v>
      </c>
      <c r="Q2120">
        <v>17.78</v>
      </c>
      <c r="R2120">
        <v>0.01</v>
      </c>
    </row>
    <row r="2121">
      <c r="A2121" s="9">
        <v>40652</v>
      </c>
      <c r="B2121" s="2" t="inlineStr">
        <is>
          <t xml:space="preserve">2011-04</t>
        </is>
      </c>
      <c r="C2121" s="2" t="inlineStr">
        <is>
          <t xml:space="preserve">2010/11</t>
        </is>
      </c>
      <c r="D2121">
        <v>0.443</v>
      </c>
      <c r="E2121">
        <v>25.15</v>
      </c>
      <c r="F2121">
        <v>32.54</v>
      </c>
      <c r="G2121">
        <v>18.34</v>
      </c>
      <c r="H2121">
        <v>0.33</v>
      </c>
      <c r="I2121">
        <v>0.039</v>
      </c>
      <c r="J2121">
        <v>25.28</v>
      </c>
      <c r="K2121">
        <v>31.67</v>
      </c>
      <c r="L2121">
        <v>20.14</v>
      </c>
      <c r="M2121">
        <v>0.39</v>
      </c>
      <c r="N2121">
        <v>0.156</v>
      </c>
      <c r="O2121">
        <v>25.31</v>
      </c>
      <c r="P2121">
        <v>32.01</v>
      </c>
      <c r="Q2121">
        <v>19.14</v>
      </c>
      <c r="R2121">
        <v>0.34</v>
      </c>
    </row>
    <row r="2122">
      <c r="A2122" s="9">
        <v>40653</v>
      </c>
      <c r="B2122" s="2" t="inlineStr">
        <is>
          <t xml:space="preserve">2011-04</t>
        </is>
      </c>
      <c r="C2122" s="2" t="inlineStr">
        <is>
          <t xml:space="preserve">2010/11</t>
        </is>
      </c>
      <c r="D2122">
        <v>5.611</v>
      </c>
      <c r="E2122">
        <v>24.52</v>
      </c>
      <c r="F2122">
        <v>31.7</v>
      </c>
      <c r="G2122">
        <v>19.25</v>
      </c>
      <c r="H2122">
        <v>7.24</v>
      </c>
      <c r="I2122">
        <v>0.477</v>
      </c>
      <c r="J2122">
        <v>25.19</v>
      </c>
      <c r="K2122">
        <v>31.99</v>
      </c>
      <c r="L2122">
        <v>19.75</v>
      </c>
      <c r="M2122">
        <v>7.53</v>
      </c>
      <c r="N2122">
        <v>1.912</v>
      </c>
      <c r="O2122">
        <v>25.04</v>
      </c>
      <c r="P2122">
        <v>32.26</v>
      </c>
      <c r="Q2122">
        <v>19.97</v>
      </c>
      <c r="R2122">
        <v>9.24</v>
      </c>
    </row>
    <row r="2123">
      <c r="A2123" s="9">
        <v>40654</v>
      </c>
      <c r="B2123" s="2" t="inlineStr">
        <is>
          <t xml:space="preserve">2011-04</t>
        </is>
      </c>
      <c r="C2123" s="2" t="inlineStr">
        <is>
          <t xml:space="preserve">2010/11</t>
        </is>
      </c>
      <c r="D2123">
        <v>22.835</v>
      </c>
      <c r="E2123">
        <v>20.91</v>
      </c>
      <c r="F2123">
        <v>25.16</v>
      </c>
      <c r="G2123">
        <v>18.09</v>
      </c>
      <c r="H2123">
        <v>17.07</v>
      </c>
      <c r="I2123">
        <v>27.783</v>
      </c>
      <c r="J2123">
        <v>22.49</v>
      </c>
      <c r="K2123">
        <v>27.08</v>
      </c>
      <c r="L2123">
        <v>20.16</v>
      </c>
      <c r="M2123">
        <v>32.31</v>
      </c>
      <c r="N2123">
        <v>58.459</v>
      </c>
      <c r="O2123">
        <v>22.3</v>
      </c>
      <c r="P2123">
        <v>26.68</v>
      </c>
      <c r="Q2123">
        <v>19.44</v>
      </c>
      <c r="R2123">
        <v>38.44</v>
      </c>
    </row>
    <row r="2124">
      <c r="A2124" s="9">
        <v>40655</v>
      </c>
      <c r="B2124" s="2" t="inlineStr">
        <is>
          <t xml:space="preserve">2011-04</t>
        </is>
      </c>
      <c r="C2124" s="2" t="inlineStr">
        <is>
          <t xml:space="preserve">2010/11</t>
        </is>
      </c>
      <c r="D2124">
        <v>10.786</v>
      </c>
      <c r="E2124">
        <v>21.85</v>
      </c>
      <c r="F2124">
        <v>28.01</v>
      </c>
      <c r="G2124">
        <v>17.29</v>
      </c>
      <c r="H2124">
        <v>5.37</v>
      </c>
      <c r="I2124">
        <v>2.748</v>
      </c>
      <c r="J2124">
        <v>23.14</v>
      </c>
      <c r="K2124">
        <v>28.7</v>
      </c>
      <c r="L2124">
        <v>18.67</v>
      </c>
      <c r="M2124">
        <v>4.71</v>
      </c>
      <c r="N2124">
        <v>3.361</v>
      </c>
      <c r="O2124">
        <v>22.05</v>
      </c>
      <c r="P2124">
        <v>27.12</v>
      </c>
      <c r="Q2124">
        <v>18.78</v>
      </c>
      <c r="R2124">
        <v>4.86</v>
      </c>
    </row>
    <row r="2125">
      <c r="A2125" s="9">
        <v>40656</v>
      </c>
      <c r="B2125" s="2" t="inlineStr">
        <is>
          <t xml:space="preserve">2011-04</t>
        </is>
      </c>
      <c r="C2125" s="2" t="inlineStr">
        <is>
          <t xml:space="preserve">2010/11</t>
        </is>
      </c>
      <c r="D2125">
        <v>1.964</v>
      </c>
      <c r="E2125">
        <v>22.41</v>
      </c>
      <c r="F2125">
        <v>28.01</v>
      </c>
      <c r="G2125">
        <v>17.26</v>
      </c>
      <c r="H2125">
        <v>3.0</v>
      </c>
      <c r="I2125">
        <v>10.372</v>
      </c>
      <c r="J2125">
        <v>22.69</v>
      </c>
      <c r="K2125">
        <v>27.7</v>
      </c>
      <c r="L2125">
        <v>19.63</v>
      </c>
      <c r="M2125">
        <v>13.62</v>
      </c>
      <c r="N2125">
        <v>32.011</v>
      </c>
      <c r="O2125">
        <v>22.09</v>
      </c>
      <c r="P2125">
        <v>26.67</v>
      </c>
      <c r="Q2125">
        <v>19.16</v>
      </c>
      <c r="R2125">
        <v>17.23</v>
      </c>
    </row>
    <row r="2126">
      <c r="A2126" s="9">
        <v>40657</v>
      </c>
      <c r="B2126" s="2" t="inlineStr">
        <is>
          <t xml:space="preserve">2011-04</t>
        </is>
      </c>
      <c r="C2126" s="2" t="inlineStr">
        <is>
          <t xml:space="preserve">2010/11</t>
        </is>
      </c>
      <c r="D2126">
        <v>12.679</v>
      </c>
      <c r="E2126">
        <v>23.31</v>
      </c>
      <c r="F2126">
        <v>29.77</v>
      </c>
      <c r="G2126">
        <v>17.69</v>
      </c>
      <c r="H2126">
        <v>6.51</v>
      </c>
      <c r="I2126">
        <v>4.065</v>
      </c>
      <c r="J2126">
        <v>23.62</v>
      </c>
      <c r="K2126">
        <v>29.55</v>
      </c>
      <c r="L2126">
        <v>18.62</v>
      </c>
      <c r="M2126">
        <v>4.67</v>
      </c>
      <c r="N2126">
        <v>9.688</v>
      </c>
      <c r="O2126">
        <v>23.07</v>
      </c>
      <c r="P2126">
        <v>28.69</v>
      </c>
      <c r="Q2126">
        <v>18.99</v>
      </c>
      <c r="R2126">
        <v>4.92</v>
      </c>
    </row>
    <row r="2127">
      <c r="A2127" s="9">
        <v>40658</v>
      </c>
      <c r="B2127" s="2" t="inlineStr">
        <is>
          <t xml:space="preserve">2011-04</t>
        </is>
      </c>
      <c r="C2127" s="2" t="inlineStr">
        <is>
          <t xml:space="preserve">2010/11</t>
        </is>
      </c>
      <c r="D2127">
        <v>5.089</v>
      </c>
      <c r="E2127">
        <v>23.24</v>
      </c>
      <c r="F2127">
        <v>29.6</v>
      </c>
      <c r="G2127">
        <v>17.71</v>
      </c>
      <c r="H2127">
        <v>2.48</v>
      </c>
      <c r="I2127">
        <v>0.446</v>
      </c>
      <c r="J2127">
        <v>24.11</v>
      </c>
      <c r="K2127">
        <v>30.4</v>
      </c>
      <c r="L2127">
        <v>19.65</v>
      </c>
      <c r="M2127">
        <v>1.73</v>
      </c>
      <c r="N2127">
        <v>1.788</v>
      </c>
      <c r="O2127">
        <v>24.24</v>
      </c>
      <c r="P2127">
        <v>30.15</v>
      </c>
      <c r="Q2127">
        <v>19.66</v>
      </c>
      <c r="R2127">
        <v>1.49</v>
      </c>
    </row>
    <row r="2128">
      <c r="A2128" s="9">
        <v>40659</v>
      </c>
      <c r="B2128" s="2" t="inlineStr">
        <is>
          <t xml:space="preserve">2011-04</t>
        </is>
      </c>
      <c r="C2128" s="2" t="inlineStr">
        <is>
          <t xml:space="preserve">2010/11</t>
        </is>
      </c>
      <c r="D2128">
        <v>0.069</v>
      </c>
      <c r="E2128">
        <v>24.3</v>
      </c>
      <c r="F2128">
        <v>31.64</v>
      </c>
      <c r="G2128">
        <v>18.45</v>
      </c>
      <c r="H2128">
        <v>0.05</v>
      </c>
      <c r="I2128">
        <v>0.188</v>
      </c>
      <c r="J2128">
        <v>24.73</v>
      </c>
      <c r="K2128">
        <v>32.08</v>
      </c>
      <c r="L2128">
        <v>19.22</v>
      </c>
      <c r="M2128">
        <v>0.2</v>
      </c>
      <c r="N2128">
        <v>0.445</v>
      </c>
      <c r="O2128">
        <v>25.06</v>
      </c>
      <c r="P2128">
        <v>32.27</v>
      </c>
      <c r="Q2128">
        <v>20.46</v>
      </c>
      <c r="R2128">
        <v>0.2</v>
      </c>
    </row>
    <row r="2129">
      <c r="A2129" s="9">
        <v>40660</v>
      </c>
      <c r="B2129" s="2" t="inlineStr">
        <is>
          <t xml:space="preserve">2011-04</t>
        </is>
      </c>
      <c r="C2129" s="2" t="inlineStr">
        <is>
          <t xml:space="preserve">2010/11</t>
        </is>
      </c>
      <c r="D2129">
        <v>0.0</v>
      </c>
      <c r="E2129">
        <v>24.68</v>
      </c>
      <c r="F2129">
        <v>33.42</v>
      </c>
      <c r="G2129">
        <v>17.28</v>
      </c>
      <c r="H2129">
        <v>0.0</v>
      </c>
      <c r="I2129">
        <v>0.0</v>
      </c>
      <c r="J2129">
        <v>24.32</v>
      </c>
      <c r="K2129">
        <v>32.51</v>
      </c>
      <c r="L2129">
        <v>17.71</v>
      </c>
      <c r="M2129">
        <v>0.0</v>
      </c>
      <c r="N2129">
        <v>0.0</v>
      </c>
      <c r="O2129">
        <v>25.32</v>
      </c>
      <c r="P2129">
        <v>33.73</v>
      </c>
      <c r="Q2129">
        <v>18.71</v>
      </c>
      <c r="R2129">
        <v>0.0</v>
      </c>
    </row>
    <row r="2130">
      <c r="A2130" s="9">
        <v>40661</v>
      </c>
      <c r="B2130" s="2" t="inlineStr">
        <is>
          <t xml:space="preserve">2011-04</t>
        </is>
      </c>
      <c r="C2130" s="2" t="inlineStr">
        <is>
          <t xml:space="preserve">2010/11</t>
        </is>
      </c>
      <c r="D2130">
        <v>0.0</v>
      </c>
      <c r="E2130">
        <v>25.66</v>
      </c>
      <c r="F2130">
        <v>34.85</v>
      </c>
      <c r="G2130">
        <v>17.43</v>
      </c>
      <c r="H2130">
        <v>2.42</v>
      </c>
      <c r="I2130">
        <v>0.0</v>
      </c>
      <c r="J2130">
        <v>26.02</v>
      </c>
      <c r="K2130">
        <v>34.91</v>
      </c>
      <c r="L2130">
        <v>18.39</v>
      </c>
      <c r="M2130">
        <v>0.0</v>
      </c>
      <c r="N2130">
        <v>0.0</v>
      </c>
      <c r="O2130">
        <v>25.98</v>
      </c>
      <c r="P2130">
        <v>35.47</v>
      </c>
      <c r="Q2130">
        <v>18.38</v>
      </c>
      <c r="R2130">
        <v>0.01</v>
      </c>
    </row>
    <row r="2131">
      <c r="A2131" s="9">
        <v>40662</v>
      </c>
      <c r="B2131" s="2" t="inlineStr">
        <is>
          <t xml:space="preserve">2011-04</t>
        </is>
      </c>
      <c r="C2131" s="2" t="inlineStr">
        <is>
          <t xml:space="preserve">2010/11</t>
        </is>
      </c>
      <c r="D2131">
        <v>2.614</v>
      </c>
      <c r="E2131">
        <v>24.41</v>
      </c>
      <c r="F2131">
        <v>30.44</v>
      </c>
      <c r="G2131">
        <v>20.51</v>
      </c>
      <c r="H2131">
        <v>2.46</v>
      </c>
      <c r="I2131">
        <v>0.0</v>
      </c>
      <c r="J2131">
        <v>24.36</v>
      </c>
      <c r="K2131">
        <v>29.64</v>
      </c>
      <c r="L2131">
        <v>19.75</v>
      </c>
      <c r="M2131">
        <v>0.13</v>
      </c>
      <c r="N2131">
        <v>0.0</v>
      </c>
      <c r="O2131">
        <v>23.7</v>
      </c>
      <c r="P2131">
        <v>27.48</v>
      </c>
      <c r="Q2131">
        <v>20.72</v>
      </c>
      <c r="R2131">
        <v>0.12</v>
      </c>
    </row>
    <row r="2132">
      <c r="A2132" s="9">
        <v>40663</v>
      </c>
      <c r="B2132" s="2" t="inlineStr">
        <is>
          <t xml:space="preserve">2011-04</t>
        </is>
      </c>
      <c r="C2132" s="2" t="inlineStr">
        <is>
          <t xml:space="preserve">2010/11</t>
        </is>
      </c>
      <c r="D2132">
        <v>0.289</v>
      </c>
      <c r="E2132">
        <v>24.38</v>
      </c>
      <c r="F2132">
        <v>32.09</v>
      </c>
      <c r="G2132">
        <v>18.27</v>
      </c>
      <c r="H2132">
        <v>1.86</v>
      </c>
      <c r="I2132">
        <v>0.345</v>
      </c>
      <c r="J2132">
        <v>24.74</v>
      </c>
      <c r="K2132">
        <v>31.94</v>
      </c>
      <c r="L2132">
        <v>19.27</v>
      </c>
      <c r="M2132">
        <v>1.49</v>
      </c>
      <c r="N2132">
        <v>0.096</v>
      </c>
      <c r="O2132">
        <v>24.12</v>
      </c>
      <c r="P2132">
        <v>30.78</v>
      </c>
      <c r="Q2132">
        <v>19.27</v>
      </c>
      <c r="R2132">
        <v>1.22</v>
      </c>
    </row>
    <row r="2133">
      <c r="A2133" s="9">
        <v>40664</v>
      </c>
      <c r="B2133" s="2" t="inlineStr">
        <is>
          <t xml:space="preserve">2011-05</t>
        </is>
      </c>
      <c r="C2133" s="2" t="inlineStr">
        <is>
          <t xml:space="preserve">2010/11</t>
        </is>
      </c>
      <c r="D2133">
        <v>6.625</v>
      </c>
      <c r="E2133">
        <v>24.51</v>
      </c>
      <c r="F2133">
        <v>31.92</v>
      </c>
      <c r="G2133">
        <v>18.91</v>
      </c>
      <c r="H2133">
        <v>3.54</v>
      </c>
      <c r="I2133">
        <v>17.79</v>
      </c>
      <c r="J2133">
        <v>23.77</v>
      </c>
      <c r="K2133">
        <v>29.62</v>
      </c>
      <c r="L2133">
        <v>19.08</v>
      </c>
      <c r="M2133">
        <v>12.1</v>
      </c>
      <c r="N2133">
        <v>12.312</v>
      </c>
      <c r="O2133">
        <v>23.61</v>
      </c>
      <c r="P2133">
        <v>30.69</v>
      </c>
      <c r="Q2133">
        <v>19.54</v>
      </c>
      <c r="R2133">
        <v>7.11</v>
      </c>
    </row>
    <row r="2134">
      <c r="A2134" s="9">
        <v>40665</v>
      </c>
      <c r="B2134" s="2" t="inlineStr">
        <is>
          <t xml:space="preserve">2011-05</t>
        </is>
      </c>
      <c r="C2134" s="2" t="inlineStr">
        <is>
          <t xml:space="preserve">2010/11</t>
        </is>
      </c>
      <c r="D2134">
        <v>3.762</v>
      </c>
      <c r="E2134">
        <v>24.69</v>
      </c>
      <c r="F2134">
        <v>31.96</v>
      </c>
      <c r="G2134">
        <v>18.44</v>
      </c>
      <c r="H2134">
        <v>1.13</v>
      </c>
      <c r="I2134">
        <v>0.0</v>
      </c>
      <c r="J2134">
        <v>24.4</v>
      </c>
      <c r="K2134">
        <v>30.99</v>
      </c>
      <c r="L2134">
        <v>18.78</v>
      </c>
      <c r="M2134">
        <v>5.89</v>
      </c>
      <c r="N2134">
        <v>0.695</v>
      </c>
      <c r="O2134">
        <v>23.49</v>
      </c>
      <c r="P2134">
        <v>29.74</v>
      </c>
      <c r="Q2134">
        <v>19.17</v>
      </c>
      <c r="R2134">
        <v>12.86</v>
      </c>
    </row>
    <row r="2135">
      <c r="A2135" s="9">
        <v>40666</v>
      </c>
      <c r="B2135" s="2" t="inlineStr">
        <is>
          <t xml:space="preserve">2011-05</t>
        </is>
      </c>
      <c r="C2135" s="2" t="inlineStr">
        <is>
          <t xml:space="preserve">2010/11</t>
        </is>
      </c>
      <c r="D2135">
        <v>0.0</v>
      </c>
      <c r="E2135">
        <v>24.37</v>
      </c>
      <c r="F2135">
        <v>32.34</v>
      </c>
      <c r="G2135">
        <v>18.37</v>
      </c>
      <c r="H2135">
        <v>1.27</v>
      </c>
      <c r="I2135">
        <v>18.174</v>
      </c>
      <c r="J2135">
        <v>23.26</v>
      </c>
      <c r="K2135">
        <v>28.9</v>
      </c>
      <c r="L2135">
        <v>19.23</v>
      </c>
      <c r="M2135">
        <v>14.96</v>
      </c>
      <c r="N2135">
        <v>5.252</v>
      </c>
      <c r="O2135">
        <v>22.65</v>
      </c>
      <c r="P2135">
        <v>27.09</v>
      </c>
      <c r="Q2135">
        <v>19.88</v>
      </c>
      <c r="R2135">
        <v>34.45</v>
      </c>
    </row>
    <row r="2136">
      <c r="A2136" s="9">
        <v>40667</v>
      </c>
      <c r="B2136" s="2" t="inlineStr">
        <is>
          <t xml:space="preserve">2011-05</t>
        </is>
      </c>
      <c r="C2136" s="2" t="inlineStr">
        <is>
          <t xml:space="preserve">2010/11</t>
        </is>
      </c>
      <c r="D2136">
        <v>0.0</v>
      </c>
      <c r="E2136">
        <v>23.63</v>
      </c>
      <c r="F2136">
        <v>30.66</v>
      </c>
      <c r="G2136">
        <v>19.21</v>
      </c>
      <c r="H2136">
        <v>1.1</v>
      </c>
      <c r="I2136">
        <v>0.0</v>
      </c>
      <c r="J2136">
        <v>22.9</v>
      </c>
      <c r="K2136">
        <v>28.72</v>
      </c>
      <c r="L2136">
        <v>19.54</v>
      </c>
      <c r="M2136">
        <v>1.62</v>
      </c>
      <c r="N2136">
        <v>0.807</v>
      </c>
      <c r="O2136">
        <v>22.12</v>
      </c>
      <c r="P2136">
        <v>26.93</v>
      </c>
      <c r="Q2136">
        <v>19.29</v>
      </c>
      <c r="R2136">
        <v>5.81</v>
      </c>
    </row>
    <row r="2137">
      <c r="A2137" s="9">
        <v>40668</v>
      </c>
      <c r="B2137" s="2" t="inlineStr">
        <is>
          <t xml:space="preserve">2011-05</t>
        </is>
      </c>
      <c r="C2137" s="2" t="inlineStr">
        <is>
          <t xml:space="preserve">2010/11</t>
        </is>
      </c>
      <c r="D2137">
        <v>0.898</v>
      </c>
      <c r="E2137">
        <v>22.88</v>
      </c>
      <c r="F2137">
        <v>30.13</v>
      </c>
      <c r="G2137">
        <v>18.03</v>
      </c>
      <c r="H2137">
        <v>1.38</v>
      </c>
      <c r="I2137">
        <v>0.59</v>
      </c>
      <c r="J2137">
        <v>22.43</v>
      </c>
      <c r="K2137">
        <v>28.16</v>
      </c>
      <c r="L2137">
        <v>18.34</v>
      </c>
      <c r="M2137">
        <v>2.44</v>
      </c>
      <c r="N2137">
        <v>2.895</v>
      </c>
      <c r="O2137">
        <v>21.58</v>
      </c>
      <c r="P2137">
        <v>26.1</v>
      </c>
      <c r="Q2137">
        <v>18.58</v>
      </c>
      <c r="R2137">
        <v>7.76</v>
      </c>
    </row>
    <row r="2138">
      <c r="A2138" s="9">
        <v>40669</v>
      </c>
      <c r="B2138" s="2" t="inlineStr">
        <is>
          <t xml:space="preserve">2011-05</t>
        </is>
      </c>
      <c r="C2138" s="2" t="inlineStr">
        <is>
          <t xml:space="preserve">2010/11</t>
        </is>
      </c>
      <c r="D2138">
        <v>0.0</v>
      </c>
      <c r="E2138">
        <v>23.35</v>
      </c>
      <c r="F2138">
        <v>31.82</v>
      </c>
      <c r="G2138">
        <v>16.02</v>
      </c>
      <c r="H2138">
        <v>0.0</v>
      </c>
      <c r="I2138">
        <v>0.0</v>
      </c>
      <c r="J2138">
        <v>22.53</v>
      </c>
      <c r="K2138">
        <v>29.38</v>
      </c>
      <c r="L2138">
        <v>16.82</v>
      </c>
      <c r="M2138">
        <v>0.0</v>
      </c>
      <c r="N2138">
        <v>0.0</v>
      </c>
      <c r="O2138">
        <v>21.55</v>
      </c>
      <c r="P2138">
        <v>26.83</v>
      </c>
      <c r="Q2138">
        <v>17.17</v>
      </c>
      <c r="R2138">
        <v>0.0</v>
      </c>
    </row>
    <row r="2139">
      <c r="A2139" s="9">
        <v>40670</v>
      </c>
      <c r="B2139" s="2" t="inlineStr">
        <is>
          <t xml:space="preserve">2011-05</t>
        </is>
      </c>
      <c r="C2139" s="2" t="inlineStr">
        <is>
          <t xml:space="preserve">2010/11</t>
        </is>
      </c>
      <c r="D2139">
        <v>0.0</v>
      </c>
      <c r="E2139">
        <v>24.27</v>
      </c>
      <c r="F2139">
        <v>32.63</v>
      </c>
      <c r="G2139">
        <v>17.52</v>
      </c>
      <c r="H2139">
        <v>0.03</v>
      </c>
      <c r="I2139">
        <v>0.0</v>
      </c>
      <c r="J2139">
        <v>23.3</v>
      </c>
      <c r="K2139">
        <v>30.79</v>
      </c>
      <c r="L2139">
        <v>17.0</v>
      </c>
      <c r="M2139">
        <v>0.0</v>
      </c>
      <c r="N2139">
        <v>0.0</v>
      </c>
      <c r="O2139">
        <v>22.13</v>
      </c>
      <c r="P2139">
        <v>28.43</v>
      </c>
      <c r="Q2139">
        <v>17.25</v>
      </c>
      <c r="R2139">
        <v>0.0</v>
      </c>
    </row>
    <row r="2140">
      <c r="A2140" s="9">
        <v>40671</v>
      </c>
      <c r="B2140" s="2" t="inlineStr">
        <is>
          <t xml:space="preserve">2011-05</t>
        </is>
      </c>
      <c r="C2140" s="2" t="inlineStr">
        <is>
          <t xml:space="preserve">2010/11</t>
        </is>
      </c>
      <c r="D2140">
        <v>0.0</v>
      </c>
      <c r="E2140">
        <v>24.8</v>
      </c>
      <c r="F2140">
        <v>31.0</v>
      </c>
      <c r="G2140">
        <v>19.72</v>
      </c>
      <c r="H2140">
        <v>0.32</v>
      </c>
      <c r="I2140">
        <v>0.0</v>
      </c>
      <c r="J2140">
        <v>25.02</v>
      </c>
      <c r="K2140">
        <v>31.85</v>
      </c>
      <c r="L2140">
        <v>18.62</v>
      </c>
      <c r="M2140">
        <v>0.0</v>
      </c>
      <c r="N2140">
        <v>0.0</v>
      </c>
      <c r="O2140">
        <v>23.37</v>
      </c>
      <c r="P2140">
        <v>29.1</v>
      </c>
      <c r="Q2140">
        <v>18.81</v>
      </c>
      <c r="R2140">
        <v>0.0</v>
      </c>
    </row>
    <row r="2141">
      <c r="A2141" s="9">
        <v>40672</v>
      </c>
      <c r="B2141" s="2" t="inlineStr">
        <is>
          <t xml:space="preserve">2011-05</t>
        </is>
      </c>
      <c r="C2141" s="2" t="inlineStr">
        <is>
          <t xml:space="preserve">2010/11</t>
        </is>
      </c>
      <c r="D2141">
        <v>0.996</v>
      </c>
      <c r="E2141">
        <v>25.5</v>
      </c>
      <c r="F2141">
        <v>32.39</v>
      </c>
      <c r="G2141">
        <v>19.83</v>
      </c>
      <c r="H2141">
        <v>2.28</v>
      </c>
      <c r="I2141">
        <v>0.0</v>
      </c>
      <c r="J2141">
        <v>25.85</v>
      </c>
      <c r="K2141">
        <v>31.64</v>
      </c>
      <c r="L2141">
        <v>20.58</v>
      </c>
      <c r="M2141">
        <v>4.04</v>
      </c>
      <c r="N2141">
        <v>0.0</v>
      </c>
      <c r="O2141">
        <v>24.46</v>
      </c>
      <c r="P2141">
        <v>30.31</v>
      </c>
      <c r="Q2141">
        <v>20.04</v>
      </c>
      <c r="R2141">
        <v>3.43</v>
      </c>
    </row>
    <row r="2142">
      <c r="A2142" s="9">
        <v>40673</v>
      </c>
      <c r="B2142" s="2" t="inlineStr">
        <is>
          <t xml:space="preserve">2011-05</t>
        </is>
      </c>
      <c r="C2142" s="2" t="inlineStr">
        <is>
          <t xml:space="preserve">2010/11</t>
        </is>
      </c>
      <c r="D2142">
        <v>3.824</v>
      </c>
      <c r="E2142">
        <v>23.94</v>
      </c>
      <c r="F2142">
        <v>28.32</v>
      </c>
      <c r="G2142">
        <v>20.63</v>
      </c>
      <c r="H2142">
        <v>7.03</v>
      </c>
      <c r="I2142">
        <v>23.287</v>
      </c>
      <c r="J2142">
        <v>24.12</v>
      </c>
      <c r="K2142">
        <v>27.72</v>
      </c>
      <c r="L2142">
        <v>21.59</v>
      </c>
      <c r="M2142">
        <v>13.07</v>
      </c>
      <c r="N2142">
        <v>20.766</v>
      </c>
      <c r="O2142">
        <v>23.4</v>
      </c>
      <c r="P2142">
        <v>27.29</v>
      </c>
      <c r="Q2142">
        <v>21.07</v>
      </c>
      <c r="R2142">
        <v>11.43</v>
      </c>
    </row>
    <row r="2143">
      <c r="A2143" s="9">
        <v>40674</v>
      </c>
      <c r="B2143" s="2" t="inlineStr">
        <is>
          <t xml:space="preserve">2011-05</t>
        </is>
      </c>
      <c r="C2143" s="2" t="inlineStr">
        <is>
          <t xml:space="preserve">2010/11</t>
        </is>
      </c>
      <c r="D2143">
        <v>1.502</v>
      </c>
      <c r="E2143">
        <v>23.59</v>
      </c>
      <c r="F2143">
        <v>28.47</v>
      </c>
      <c r="G2143">
        <v>20.6</v>
      </c>
      <c r="H2143">
        <v>3.88</v>
      </c>
      <c r="I2143">
        <v>2.253</v>
      </c>
      <c r="J2143">
        <v>23.47</v>
      </c>
      <c r="K2143">
        <v>28.69</v>
      </c>
      <c r="L2143">
        <v>20.37</v>
      </c>
      <c r="M2143">
        <v>7.88</v>
      </c>
      <c r="N2143">
        <v>5.228</v>
      </c>
      <c r="O2143">
        <v>23.93</v>
      </c>
      <c r="P2143">
        <v>29.07</v>
      </c>
      <c r="Q2143">
        <v>21.08</v>
      </c>
      <c r="R2143">
        <v>9.78</v>
      </c>
    </row>
    <row r="2144">
      <c r="A2144" s="9">
        <v>40675</v>
      </c>
      <c r="B2144" s="2" t="inlineStr">
        <is>
          <t xml:space="preserve">2011-05</t>
        </is>
      </c>
      <c r="C2144" s="2" t="inlineStr">
        <is>
          <t xml:space="preserve">2010/11</t>
        </is>
      </c>
      <c r="D2144">
        <v>3.053</v>
      </c>
      <c r="E2144">
        <v>24.3</v>
      </c>
      <c r="F2144">
        <v>30.89</v>
      </c>
      <c r="G2144">
        <v>20.22</v>
      </c>
      <c r="H2144">
        <v>4.7</v>
      </c>
      <c r="I2144">
        <v>6.875</v>
      </c>
      <c r="J2144">
        <v>23.62</v>
      </c>
      <c r="K2144">
        <v>28.3</v>
      </c>
      <c r="L2144">
        <v>18.99</v>
      </c>
      <c r="M2144">
        <v>5.85</v>
      </c>
      <c r="N2144">
        <v>25.071</v>
      </c>
      <c r="O2144">
        <v>24.76</v>
      </c>
      <c r="P2144">
        <v>30.28</v>
      </c>
      <c r="Q2144">
        <v>20.87</v>
      </c>
      <c r="R2144">
        <v>6.95</v>
      </c>
    </row>
    <row r="2145">
      <c r="A2145" s="9">
        <v>40676</v>
      </c>
      <c r="B2145" s="2" t="inlineStr">
        <is>
          <t xml:space="preserve">2011-05</t>
        </is>
      </c>
      <c r="C2145" s="2" t="inlineStr">
        <is>
          <t xml:space="preserve">2010/11</t>
        </is>
      </c>
      <c r="D2145">
        <v>9.723</v>
      </c>
      <c r="E2145">
        <v>24.55</v>
      </c>
      <c r="F2145">
        <v>30.66</v>
      </c>
      <c r="G2145">
        <v>19.76</v>
      </c>
      <c r="H2145">
        <v>6.96</v>
      </c>
      <c r="I2145">
        <v>0.796</v>
      </c>
      <c r="J2145">
        <v>24.94</v>
      </c>
      <c r="K2145">
        <v>30.53</v>
      </c>
      <c r="L2145">
        <v>20.12</v>
      </c>
      <c r="M2145">
        <v>3.74</v>
      </c>
      <c r="N2145">
        <v>3.324</v>
      </c>
      <c r="O2145">
        <v>25.06</v>
      </c>
      <c r="P2145">
        <v>29.98</v>
      </c>
      <c r="Q2145">
        <v>21.17</v>
      </c>
      <c r="R2145">
        <v>3.75</v>
      </c>
    </row>
    <row r="2146">
      <c r="A2146" s="9">
        <v>40677</v>
      </c>
      <c r="B2146" s="2" t="inlineStr">
        <is>
          <t xml:space="preserve">2011-05</t>
        </is>
      </c>
      <c r="C2146" s="2" t="inlineStr">
        <is>
          <t xml:space="preserve">2010/11</t>
        </is>
      </c>
      <c r="D2146">
        <v>3.203</v>
      </c>
      <c r="E2146">
        <v>25.11</v>
      </c>
      <c r="F2146">
        <v>32.05</v>
      </c>
      <c r="G2146">
        <v>19.87</v>
      </c>
      <c r="H2146">
        <v>2.67</v>
      </c>
      <c r="I2146">
        <v>2.741</v>
      </c>
      <c r="J2146">
        <v>24.21</v>
      </c>
      <c r="K2146">
        <v>28.05</v>
      </c>
      <c r="L2146">
        <v>20.92</v>
      </c>
      <c r="M2146">
        <v>3.71</v>
      </c>
      <c r="N2146">
        <v>9.706</v>
      </c>
      <c r="O2146">
        <v>24.13</v>
      </c>
      <c r="P2146">
        <v>28.95</v>
      </c>
      <c r="Q2146">
        <v>20.68</v>
      </c>
      <c r="R2146">
        <v>4.23</v>
      </c>
    </row>
    <row r="2147">
      <c r="A2147" s="9">
        <v>40678</v>
      </c>
      <c r="B2147" s="2" t="inlineStr">
        <is>
          <t xml:space="preserve">2011-05</t>
        </is>
      </c>
      <c r="C2147" s="2" t="inlineStr">
        <is>
          <t xml:space="preserve">2010/11</t>
        </is>
      </c>
      <c r="D2147">
        <v>0.0</v>
      </c>
      <c r="E2147">
        <v>25.09</v>
      </c>
      <c r="F2147">
        <v>32.76</v>
      </c>
      <c r="G2147">
        <v>18.44</v>
      </c>
      <c r="H2147">
        <v>0.15</v>
      </c>
      <c r="I2147">
        <v>1.151</v>
      </c>
      <c r="J2147">
        <v>24.7</v>
      </c>
      <c r="K2147">
        <v>30.34</v>
      </c>
      <c r="L2147">
        <v>19.59</v>
      </c>
      <c r="M2147">
        <v>0.38</v>
      </c>
      <c r="N2147">
        <v>0.056</v>
      </c>
      <c r="O2147">
        <v>23.52</v>
      </c>
      <c r="P2147">
        <v>28.73</v>
      </c>
      <c r="Q2147">
        <v>19.22</v>
      </c>
      <c r="R2147">
        <v>0.15</v>
      </c>
    </row>
    <row r="2148">
      <c r="A2148" s="9">
        <v>40679</v>
      </c>
      <c r="B2148" s="2" t="inlineStr">
        <is>
          <t xml:space="preserve">2011-05</t>
        </is>
      </c>
      <c r="C2148" s="2" t="inlineStr">
        <is>
          <t xml:space="preserve">2010/11</t>
        </is>
      </c>
      <c r="D2148">
        <v>0.0</v>
      </c>
      <c r="E2148">
        <v>25.88</v>
      </c>
      <c r="F2148">
        <v>33.43</v>
      </c>
      <c r="G2148">
        <v>19.22</v>
      </c>
      <c r="H2148">
        <v>0.55</v>
      </c>
      <c r="I2148">
        <v>0.0</v>
      </c>
      <c r="J2148">
        <v>25.39</v>
      </c>
      <c r="K2148">
        <v>32.21</v>
      </c>
      <c r="L2148">
        <v>19.61</v>
      </c>
      <c r="M2148">
        <v>0.17</v>
      </c>
      <c r="N2148">
        <v>0.0</v>
      </c>
      <c r="O2148">
        <v>24.48</v>
      </c>
      <c r="P2148">
        <v>31.12</v>
      </c>
      <c r="Q2148">
        <v>18.66</v>
      </c>
      <c r="R2148">
        <v>0.04</v>
      </c>
    </row>
    <row r="2149">
      <c r="A2149" s="9">
        <v>40680</v>
      </c>
      <c r="B2149" s="2" t="inlineStr">
        <is>
          <t xml:space="preserve">2011-05</t>
        </is>
      </c>
      <c r="C2149" s="2" t="inlineStr">
        <is>
          <t xml:space="preserve">2010/11</t>
        </is>
      </c>
      <c r="D2149">
        <v>0.108</v>
      </c>
      <c r="E2149">
        <v>25.26</v>
      </c>
      <c r="F2149">
        <v>30.89</v>
      </c>
      <c r="G2149">
        <v>20.12</v>
      </c>
      <c r="H2149">
        <v>1.27</v>
      </c>
      <c r="I2149">
        <v>1.146</v>
      </c>
      <c r="J2149">
        <v>24.27</v>
      </c>
      <c r="K2149">
        <v>29.88</v>
      </c>
      <c r="L2149">
        <v>20.2</v>
      </c>
      <c r="M2149">
        <v>0.59</v>
      </c>
      <c r="N2149">
        <v>0.056</v>
      </c>
      <c r="O2149">
        <v>24.78</v>
      </c>
      <c r="P2149">
        <v>30.08</v>
      </c>
      <c r="Q2149">
        <v>19.61</v>
      </c>
      <c r="R2149">
        <v>0.12</v>
      </c>
    </row>
    <row r="2150">
      <c r="A2150" s="9">
        <v>40681</v>
      </c>
      <c r="B2150" s="2" t="inlineStr">
        <is>
          <t xml:space="preserve">2011-05</t>
        </is>
      </c>
      <c r="C2150" s="2" t="inlineStr">
        <is>
          <t xml:space="preserve">2010/11</t>
        </is>
      </c>
      <c r="D2150">
        <v>0.605</v>
      </c>
      <c r="E2150">
        <v>24.29</v>
      </c>
      <c r="F2150">
        <v>31.22</v>
      </c>
      <c r="G2150">
        <v>20.34</v>
      </c>
      <c r="H2150">
        <v>1.15</v>
      </c>
      <c r="I2150">
        <v>0.0</v>
      </c>
      <c r="J2150">
        <v>23.6</v>
      </c>
      <c r="K2150">
        <v>29.48</v>
      </c>
      <c r="L2150">
        <v>19.34</v>
      </c>
      <c r="M2150">
        <v>0.01</v>
      </c>
      <c r="N2150">
        <v>0.0</v>
      </c>
      <c r="O2150">
        <v>25.0</v>
      </c>
      <c r="P2150">
        <v>31.51</v>
      </c>
      <c r="Q2150">
        <v>19.76</v>
      </c>
      <c r="R2150">
        <v>0.01</v>
      </c>
    </row>
    <row r="2151">
      <c r="A2151" s="9">
        <v>40682</v>
      </c>
      <c r="B2151" s="2" t="inlineStr">
        <is>
          <t xml:space="preserve">2011-05</t>
        </is>
      </c>
      <c r="C2151" s="2" t="inlineStr">
        <is>
          <t xml:space="preserve">2010/11</t>
        </is>
      </c>
      <c r="D2151">
        <v>0.239</v>
      </c>
      <c r="E2151">
        <v>25.08</v>
      </c>
      <c r="F2151">
        <v>32.29</v>
      </c>
      <c r="G2151">
        <v>20.46</v>
      </c>
      <c r="H2151">
        <v>0.78</v>
      </c>
      <c r="I2151">
        <v>0.0</v>
      </c>
      <c r="J2151">
        <v>24.62</v>
      </c>
      <c r="K2151">
        <v>31.46</v>
      </c>
      <c r="L2151">
        <v>19.81</v>
      </c>
      <c r="M2151">
        <v>0.04</v>
      </c>
      <c r="N2151">
        <v>0.0</v>
      </c>
      <c r="O2151">
        <v>25.86</v>
      </c>
      <c r="P2151">
        <v>33.28</v>
      </c>
      <c r="Q2151">
        <v>19.52</v>
      </c>
      <c r="R2151">
        <v>0.03</v>
      </c>
    </row>
    <row r="2152">
      <c r="A2152" s="9">
        <v>40683</v>
      </c>
      <c r="B2152" s="2" t="inlineStr">
        <is>
          <t xml:space="preserve">2011-05</t>
        </is>
      </c>
      <c r="C2152" s="2" t="inlineStr">
        <is>
          <t xml:space="preserve">2010/11</t>
        </is>
      </c>
      <c r="D2152">
        <v>0.817</v>
      </c>
      <c r="E2152">
        <v>25.39</v>
      </c>
      <c r="F2152">
        <v>32.24</v>
      </c>
      <c r="G2152">
        <v>19.7</v>
      </c>
      <c r="H2152">
        <v>1.93</v>
      </c>
      <c r="I2152">
        <v>0.0</v>
      </c>
      <c r="J2152">
        <v>25.35</v>
      </c>
      <c r="K2152">
        <v>32.39</v>
      </c>
      <c r="L2152">
        <v>19.96</v>
      </c>
      <c r="M2152">
        <v>0.79</v>
      </c>
      <c r="N2152">
        <v>0.0</v>
      </c>
      <c r="O2152">
        <v>26.47</v>
      </c>
      <c r="P2152">
        <v>33.44</v>
      </c>
      <c r="Q2152">
        <v>20.34</v>
      </c>
      <c r="R2152">
        <v>1.34</v>
      </c>
    </row>
    <row r="2153">
      <c r="A2153" s="9">
        <v>40684</v>
      </c>
      <c r="B2153" s="2" t="inlineStr">
        <is>
          <t xml:space="preserve">2011-05</t>
        </is>
      </c>
      <c r="C2153" s="2" t="inlineStr">
        <is>
          <t xml:space="preserve">2010/11</t>
        </is>
      </c>
      <c r="D2153">
        <v>6.613</v>
      </c>
      <c r="E2153">
        <v>23.55</v>
      </c>
      <c r="F2153">
        <v>29.25</v>
      </c>
      <c r="G2153">
        <v>17.96</v>
      </c>
      <c r="H2153">
        <v>4.14</v>
      </c>
      <c r="I2153">
        <v>1.917</v>
      </c>
      <c r="J2153">
        <v>24.9</v>
      </c>
      <c r="K2153">
        <v>31.05</v>
      </c>
      <c r="L2153">
        <v>19.92</v>
      </c>
      <c r="M2153">
        <v>4.79</v>
      </c>
      <c r="N2153">
        <v>6.177</v>
      </c>
      <c r="O2153">
        <v>25.44</v>
      </c>
      <c r="P2153">
        <v>31.56</v>
      </c>
      <c r="Q2153">
        <v>20.32</v>
      </c>
      <c r="R2153">
        <v>6.51</v>
      </c>
    </row>
    <row r="2154">
      <c r="A2154" s="9">
        <v>40685</v>
      </c>
      <c r="B2154" s="2" t="inlineStr">
        <is>
          <t xml:space="preserve">2011-05</t>
        </is>
      </c>
      <c r="C2154" s="2" t="inlineStr">
        <is>
          <t xml:space="preserve">2010/11</t>
        </is>
      </c>
      <c r="D2154">
        <v>2.627</v>
      </c>
      <c r="E2154">
        <v>23.51</v>
      </c>
      <c r="F2154">
        <v>31.32</v>
      </c>
      <c r="G2154">
        <v>16.57</v>
      </c>
      <c r="H2154">
        <v>2.98</v>
      </c>
      <c r="I2154">
        <v>1.004</v>
      </c>
      <c r="J2154">
        <v>24.64</v>
      </c>
      <c r="K2154">
        <v>31.54</v>
      </c>
      <c r="L2154">
        <v>19.94</v>
      </c>
      <c r="M2154">
        <v>1.46</v>
      </c>
      <c r="N2154">
        <v>3.228</v>
      </c>
      <c r="O2154">
        <v>24.81</v>
      </c>
      <c r="P2154">
        <v>31.0</v>
      </c>
      <c r="Q2154">
        <v>20.27</v>
      </c>
      <c r="R2154">
        <v>1.5</v>
      </c>
    </row>
    <row r="2155">
      <c r="A2155" s="9">
        <v>40686</v>
      </c>
      <c r="B2155" s="2" t="inlineStr">
        <is>
          <t xml:space="preserve">2011-05</t>
        </is>
      </c>
      <c r="C2155" s="2" t="inlineStr">
        <is>
          <t xml:space="preserve">2010/11</t>
        </is>
      </c>
      <c r="D2155">
        <v>2.495</v>
      </c>
      <c r="E2155">
        <v>24.32</v>
      </c>
      <c r="F2155">
        <v>31.62</v>
      </c>
      <c r="G2155">
        <v>17.77</v>
      </c>
      <c r="H2155">
        <v>5.48</v>
      </c>
      <c r="I2155">
        <v>0.0</v>
      </c>
      <c r="J2155">
        <v>25.09</v>
      </c>
      <c r="K2155">
        <v>31.88</v>
      </c>
      <c r="L2155">
        <v>19.42</v>
      </c>
      <c r="M2155">
        <v>1.14</v>
      </c>
      <c r="N2155">
        <v>0.0</v>
      </c>
      <c r="O2155">
        <v>25.53</v>
      </c>
      <c r="P2155">
        <v>32.29</v>
      </c>
      <c r="Q2155">
        <v>19.74</v>
      </c>
      <c r="R2155">
        <v>1.07</v>
      </c>
    </row>
    <row r="2156">
      <c r="A2156" s="9">
        <v>40687</v>
      </c>
      <c r="B2156" s="2" t="inlineStr">
        <is>
          <t xml:space="preserve">2011-05</t>
        </is>
      </c>
      <c r="C2156" s="2" t="inlineStr">
        <is>
          <t xml:space="preserve">2010/11</t>
        </is>
      </c>
      <c r="D2156">
        <v>9.159</v>
      </c>
      <c r="E2156">
        <v>24.59</v>
      </c>
      <c r="F2156">
        <v>31.95</v>
      </c>
      <c r="G2156">
        <v>18.9</v>
      </c>
      <c r="H2156">
        <v>7.87</v>
      </c>
      <c r="I2156">
        <v>0.597</v>
      </c>
      <c r="J2156">
        <v>24.97</v>
      </c>
      <c r="K2156">
        <v>32.56</v>
      </c>
      <c r="L2156">
        <v>19.3</v>
      </c>
      <c r="M2156">
        <v>1.64</v>
      </c>
      <c r="N2156">
        <v>2.554</v>
      </c>
      <c r="O2156">
        <v>26.13</v>
      </c>
      <c r="P2156">
        <v>33.67</v>
      </c>
      <c r="Q2156">
        <v>19.52</v>
      </c>
      <c r="R2156">
        <v>1.39</v>
      </c>
    </row>
    <row r="2157">
      <c r="A2157" s="9">
        <v>40688</v>
      </c>
      <c r="B2157" s="2" t="inlineStr">
        <is>
          <t xml:space="preserve">2011-05</t>
        </is>
      </c>
      <c r="C2157" s="2" t="inlineStr">
        <is>
          <t xml:space="preserve">2010/11</t>
        </is>
      </c>
      <c r="D2157">
        <v>3.665</v>
      </c>
      <c r="E2157">
        <v>24.4</v>
      </c>
      <c r="F2157">
        <v>30.94</v>
      </c>
      <c r="G2157">
        <v>20.23</v>
      </c>
      <c r="H2157">
        <v>7.88</v>
      </c>
      <c r="I2157">
        <v>0.073</v>
      </c>
      <c r="J2157">
        <v>25.51</v>
      </c>
      <c r="K2157">
        <v>32.65</v>
      </c>
      <c r="L2157">
        <v>19.85</v>
      </c>
      <c r="M2157">
        <v>0.71</v>
      </c>
      <c r="N2157">
        <v>0.286</v>
      </c>
      <c r="O2157">
        <v>26.25</v>
      </c>
      <c r="P2157">
        <v>33.07</v>
      </c>
      <c r="Q2157">
        <v>20.76</v>
      </c>
      <c r="R2157">
        <v>0.72</v>
      </c>
    </row>
    <row r="2158">
      <c r="A2158" s="9">
        <v>40689</v>
      </c>
      <c r="B2158" s="2" t="inlineStr">
        <is>
          <t xml:space="preserve">2011-05</t>
        </is>
      </c>
      <c r="C2158" s="2" t="inlineStr">
        <is>
          <t xml:space="preserve">2010/11</t>
        </is>
      </c>
      <c r="D2158">
        <v>2.747</v>
      </c>
      <c r="E2158">
        <v>24.36</v>
      </c>
      <c r="F2158">
        <v>30.31</v>
      </c>
      <c r="G2158">
        <v>20.5</v>
      </c>
      <c r="H2158">
        <v>4.91</v>
      </c>
      <c r="I2158">
        <v>1.323</v>
      </c>
      <c r="J2158">
        <v>24.31</v>
      </c>
      <c r="K2158">
        <v>29.31</v>
      </c>
      <c r="L2158">
        <v>20.84</v>
      </c>
      <c r="M2158">
        <v>5.53</v>
      </c>
      <c r="N2158">
        <v>4.547</v>
      </c>
      <c r="O2158">
        <v>25.26</v>
      </c>
      <c r="P2158">
        <v>31.22</v>
      </c>
      <c r="Q2158">
        <v>21.59</v>
      </c>
      <c r="R2158">
        <v>5.84</v>
      </c>
    </row>
    <row r="2159">
      <c r="A2159" s="9">
        <v>40690</v>
      </c>
      <c r="B2159" s="2" t="inlineStr">
        <is>
          <t xml:space="preserve">2011-05</t>
        </is>
      </c>
      <c r="C2159" s="2" t="inlineStr">
        <is>
          <t xml:space="preserve">2010/11</t>
        </is>
      </c>
      <c r="D2159">
        <v>6.592</v>
      </c>
      <c r="E2159">
        <v>23.28</v>
      </c>
      <c r="F2159">
        <v>26.82</v>
      </c>
      <c r="G2159">
        <v>20.96</v>
      </c>
      <c r="H2159">
        <v>6.79</v>
      </c>
      <c r="I2159">
        <v>9.81</v>
      </c>
      <c r="J2159">
        <v>24.32</v>
      </c>
      <c r="K2159">
        <v>28.58</v>
      </c>
      <c r="L2159">
        <v>21.13</v>
      </c>
      <c r="M2159">
        <v>12.18</v>
      </c>
      <c r="N2159">
        <v>11.774</v>
      </c>
      <c r="O2159">
        <v>24.3</v>
      </c>
      <c r="P2159">
        <v>28.62</v>
      </c>
      <c r="Q2159">
        <v>21.96</v>
      </c>
      <c r="R2159">
        <v>9.94</v>
      </c>
    </row>
    <row r="2160">
      <c r="A2160" s="9">
        <v>40691</v>
      </c>
      <c r="B2160" s="2" t="inlineStr">
        <is>
          <t xml:space="preserve">2011-05</t>
        </is>
      </c>
      <c r="C2160" s="2" t="inlineStr">
        <is>
          <t xml:space="preserve">2010/11</t>
        </is>
      </c>
      <c r="D2160">
        <v>12.198</v>
      </c>
      <c r="E2160">
        <v>22.59</v>
      </c>
      <c r="F2160">
        <v>26.02</v>
      </c>
      <c r="G2160">
        <v>20.22</v>
      </c>
      <c r="H2160">
        <v>15.83</v>
      </c>
      <c r="I2160">
        <v>33.161</v>
      </c>
      <c r="J2160">
        <v>23.63</v>
      </c>
      <c r="K2160">
        <v>28.05</v>
      </c>
      <c r="L2160">
        <v>20.58</v>
      </c>
      <c r="M2160">
        <v>27.48</v>
      </c>
      <c r="N2160">
        <v>35.362</v>
      </c>
      <c r="O2160">
        <v>23.79</v>
      </c>
      <c r="P2160">
        <v>27.59</v>
      </c>
      <c r="Q2160">
        <v>21.27</v>
      </c>
      <c r="R2160">
        <v>22.66</v>
      </c>
    </row>
    <row r="2161">
      <c r="A2161" s="9">
        <v>40692</v>
      </c>
      <c r="B2161" s="2" t="inlineStr">
        <is>
          <t xml:space="preserve">2011-05</t>
        </is>
      </c>
      <c r="C2161" s="2" t="inlineStr">
        <is>
          <t xml:space="preserve">2010/11</t>
        </is>
      </c>
      <c r="D2161">
        <v>13.781</v>
      </c>
      <c r="E2161">
        <v>21.94</v>
      </c>
      <c r="F2161">
        <v>26.23</v>
      </c>
      <c r="G2161">
        <v>19.31</v>
      </c>
      <c r="H2161">
        <v>11.8</v>
      </c>
      <c r="I2161">
        <v>7.126</v>
      </c>
      <c r="J2161">
        <v>22.99</v>
      </c>
      <c r="K2161">
        <v>26.59</v>
      </c>
      <c r="L2161">
        <v>20.32</v>
      </c>
      <c r="M2161">
        <v>8.37</v>
      </c>
      <c r="N2161">
        <v>13.231</v>
      </c>
      <c r="O2161">
        <v>22.98</v>
      </c>
      <c r="P2161">
        <v>26.2</v>
      </c>
      <c r="Q2161">
        <v>20.87</v>
      </c>
      <c r="R2161">
        <v>6.8</v>
      </c>
    </row>
    <row r="2162">
      <c r="A2162" s="9">
        <v>40693</v>
      </c>
      <c r="B2162" s="2" t="inlineStr">
        <is>
          <t xml:space="preserve">2011-05</t>
        </is>
      </c>
      <c r="C2162" s="2" t="inlineStr">
        <is>
          <t xml:space="preserve">2010/11</t>
        </is>
      </c>
      <c r="D2162">
        <v>18.035</v>
      </c>
      <c r="E2162">
        <v>21.98</v>
      </c>
      <c r="F2162">
        <v>27.51</v>
      </c>
      <c r="G2162">
        <v>18.05</v>
      </c>
      <c r="H2162">
        <v>7.02</v>
      </c>
      <c r="I2162">
        <v>12.123</v>
      </c>
      <c r="J2162">
        <v>23.66</v>
      </c>
      <c r="K2162">
        <v>28.37</v>
      </c>
      <c r="L2162">
        <v>20.28</v>
      </c>
      <c r="M2162">
        <v>5.03</v>
      </c>
      <c r="N2162">
        <v>1.737</v>
      </c>
      <c r="O2162">
        <v>23.47</v>
      </c>
      <c r="P2162">
        <v>28.2</v>
      </c>
      <c r="Q2162">
        <v>20.25</v>
      </c>
      <c r="R2162">
        <v>2.34</v>
      </c>
    </row>
    <row r="2163">
      <c r="A2163" s="9">
        <v>40694</v>
      </c>
      <c r="B2163" s="2" t="inlineStr">
        <is>
          <t xml:space="preserve">2011-05</t>
        </is>
      </c>
      <c r="C2163" s="2" t="inlineStr">
        <is>
          <t xml:space="preserve">2010/11</t>
        </is>
      </c>
      <c r="D2163">
        <v>1.034</v>
      </c>
      <c r="E2163">
        <v>22.49</v>
      </c>
      <c r="F2163">
        <v>27.68</v>
      </c>
      <c r="G2163">
        <v>18.75</v>
      </c>
      <c r="H2163">
        <v>5.14</v>
      </c>
      <c r="I2163">
        <v>0.0</v>
      </c>
      <c r="J2163">
        <v>23.44</v>
      </c>
      <c r="K2163">
        <v>28.39</v>
      </c>
      <c r="L2163">
        <v>19.87</v>
      </c>
      <c r="M2163">
        <v>4.76</v>
      </c>
      <c r="N2163">
        <v>0.233</v>
      </c>
      <c r="O2163">
        <v>23.32</v>
      </c>
      <c r="P2163">
        <v>28.36</v>
      </c>
      <c r="Q2163">
        <v>20.38</v>
      </c>
      <c r="R2163">
        <v>6.88</v>
      </c>
    </row>
    <row r="2164">
      <c r="A2164" s="9">
        <v>40695</v>
      </c>
      <c r="B2164" s="2" t="inlineStr">
        <is>
          <t xml:space="preserve">2011-06</t>
        </is>
      </c>
      <c r="C2164" s="2" t="inlineStr">
        <is>
          <t xml:space="preserve">2010/11</t>
        </is>
      </c>
      <c r="D2164">
        <v>6.406</v>
      </c>
      <c r="E2164">
        <v>21.74</v>
      </c>
      <c r="F2164">
        <v>26.47</v>
      </c>
      <c r="G2164">
        <v>18.62</v>
      </c>
      <c r="H2164">
        <v>3.24</v>
      </c>
      <c r="I2164">
        <v>3.471</v>
      </c>
      <c r="J2164">
        <v>22.28</v>
      </c>
      <c r="K2164">
        <v>26.99</v>
      </c>
      <c r="L2164">
        <v>18.8</v>
      </c>
      <c r="M2164">
        <v>3.53</v>
      </c>
      <c r="N2164">
        <v>12.38</v>
      </c>
      <c r="O2164">
        <v>22.17</v>
      </c>
      <c r="P2164">
        <v>26.58</v>
      </c>
      <c r="Q2164">
        <v>19.43</v>
      </c>
      <c r="R2164">
        <v>7.25</v>
      </c>
    </row>
    <row r="2165">
      <c r="A2165" s="9">
        <v>40696</v>
      </c>
      <c r="B2165" s="2" t="inlineStr">
        <is>
          <t xml:space="preserve">2011-06</t>
        </is>
      </c>
      <c r="C2165" s="2" t="inlineStr">
        <is>
          <t xml:space="preserve">2010/11</t>
        </is>
      </c>
      <c r="D2165">
        <v>0.04</v>
      </c>
      <c r="E2165">
        <v>21.85</v>
      </c>
      <c r="F2165">
        <v>27.24</v>
      </c>
      <c r="G2165">
        <v>18.0</v>
      </c>
      <c r="H2165">
        <v>0.57</v>
      </c>
      <c r="I2165">
        <v>0.0</v>
      </c>
      <c r="J2165">
        <v>22.15</v>
      </c>
      <c r="K2165">
        <v>27.23</v>
      </c>
      <c r="L2165">
        <v>17.74</v>
      </c>
      <c r="M2165">
        <v>0.11</v>
      </c>
      <c r="N2165">
        <v>0.066</v>
      </c>
      <c r="O2165">
        <v>22.42</v>
      </c>
      <c r="P2165">
        <v>27.26</v>
      </c>
      <c r="Q2165">
        <v>18.76</v>
      </c>
      <c r="R2165">
        <v>0.38</v>
      </c>
    </row>
    <row r="2166">
      <c r="A2166" s="9">
        <v>40697</v>
      </c>
      <c r="B2166" s="2" t="inlineStr">
        <is>
          <t xml:space="preserve">2011-06</t>
        </is>
      </c>
      <c r="C2166" s="2" t="inlineStr">
        <is>
          <t xml:space="preserve">2010/11</t>
        </is>
      </c>
      <c r="D2166">
        <v>0.045</v>
      </c>
      <c r="E2166">
        <v>23.45</v>
      </c>
      <c r="F2166">
        <v>30.82</v>
      </c>
      <c r="G2166">
        <v>17.47</v>
      </c>
      <c r="H2166">
        <v>0.01</v>
      </c>
      <c r="I2166">
        <v>0.0</v>
      </c>
      <c r="J2166">
        <v>23.3</v>
      </c>
      <c r="K2166">
        <v>29.49</v>
      </c>
      <c r="L2166">
        <v>18.16</v>
      </c>
      <c r="M2166">
        <v>0.0</v>
      </c>
      <c r="N2166">
        <v>0.0</v>
      </c>
      <c r="O2166">
        <v>22.75</v>
      </c>
      <c r="P2166">
        <v>28.72</v>
      </c>
      <c r="Q2166">
        <v>18.04</v>
      </c>
      <c r="R2166">
        <v>0.14</v>
      </c>
    </row>
    <row r="2167">
      <c r="A2167" s="9">
        <v>40698</v>
      </c>
      <c r="B2167" s="2" t="inlineStr">
        <is>
          <t xml:space="preserve">2011-06</t>
        </is>
      </c>
      <c r="C2167" s="2" t="inlineStr">
        <is>
          <t xml:space="preserve">2010/11</t>
        </is>
      </c>
      <c r="D2167">
        <v>0.0</v>
      </c>
      <c r="E2167">
        <v>23.4</v>
      </c>
      <c r="F2167">
        <v>30.86</v>
      </c>
      <c r="G2167">
        <v>17.24</v>
      </c>
      <c r="H2167">
        <v>0.0</v>
      </c>
      <c r="I2167">
        <v>0.0</v>
      </c>
      <c r="J2167">
        <v>23.81</v>
      </c>
      <c r="K2167">
        <v>30.18</v>
      </c>
      <c r="L2167">
        <v>17.94</v>
      </c>
      <c r="M2167">
        <v>0.02</v>
      </c>
      <c r="N2167">
        <v>0.0</v>
      </c>
      <c r="O2167">
        <v>23.04</v>
      </c>
      <c r="P2167">
        <v>29.18</v>
      </c>
      <c r="Q2167">
        <v>18.39</v>
      </c>
      <c r="R2167">
        <v>0.26</v>
      </c>
    </row>
    <row r="2168">
      <c r="A2168" s="9">
        <v>40699</v>
      </c>
      <c r="B2168" s="2" t="inlineStr">
        <is>
          <t xml:space="preserve">2011-06</t>
        </is>
      </c>
      <c r="C2168" s="2" t="inlineStr">
        <is>
          <t xml:space="preserve">2010/11</t>
        </is>
      </c>
      <c r="D2168">
        <v>0.036</v>
      </c>
      <c r="E2168">
        <v>23.62</v>
      </c>
      <c r="F2168">
        <v>30.47</v>
      </c>
      <c r="G2168">
        <v>17.06</v>
      </c>
      <c r="H2168">
        <v>0.48</v>
      </c>
      <c r="I2168">
        <v>0.077</v>
      </c>
      <c r="J2168">
        <v>23.75</v>
      </c>
      <c r="K2168">
        <v>29.13</v>
      </c>
      <c r="L2168">
        <v>18.73</v>
      </c>
      <c r="M2168">
        <v>0.24</v>
      </c>
      <c r="N2168">
        <v>0.0</v>
      </c>
      <c r="O2168">
        <v>23.62</v>
      </c>
      <c r="P2168">
        <v>29.16</v>
      </c>
      <c r="Q2168">
        <v>18.88</v>
      </c>
      <c r="R2168">
        <v>1.32</v>
      </c>
    </row>
    <row r="2169">
      <c r="A2169" s="9">
        <v>40700</v>
      </c>
      <c r="B2169" s="2" t="inlineStr">
        <is>
          <t xml:space="preserve">2011-06</t>
        </is>
      </c>
      <c r="C2169" s="2" t="inlineStr">
        <is>
          <t xml:space="preserve">2010/11</t>
        </is>
      </c>
      <c r="D2169">
        <v>0.082</v>
      </c>
      <c r="E2169">
        <v>21.92</v>
      </c>
      <c r="F2169">
        <v>25.46</v>
      </c>
      <c r="G2169">
        <v>19.68</v>
      </c>
      <c r="H2169">
        <v>4.7</v>
      </c>
      <c r="I2169">
        <v>0.081</v>
      </c>
      <c r="J2169">
        <v>22.88</v>
      </c>
      <c r="K2169">
        <v>26.09</v>
      </c>
      <c r="L2169">
        <v>20.35</v>
      </c>
      <c r="M2169">
        <v>0.66</v>
      </c>
      <c r="N2169">
        <v>0.146</v>
      </c>
      <c r="O2169">
        <v>22.55</v>
      </c>
      <c r="P2169">
        <v>26.15</v>
      </c>
      <c r="Q2169">
        <v>20.45</v>
      </c>
      <c r="R2169">
        <v>1.64</v>
      </c>
    </row>
    <row r="2170">
      <c r="A2170" s="9">
        <v>40701</v>
      </c>
      <c r="B2170" s="2" t="inlineStr">
        <is>
          <t xml:space="preserve">2011-06</t>
        </is>
      </c>
      <c r="C2170" s="2" t="inlineStr">
        <is>
          <t xml:space="preserve">2010/11</t>
        </is>
      </c>
      <c r="D2170">
        <v>2.938</v>
      </c>
      <c r="E2170">
        <v>22.42</v>
      </c>
      <c r="F2170">
        <v>27.82</v>
      </c>
      <c r="G2170">
        <v>18.85</v>
      </c>
      <c r="H2170">
        <v>14.04</v>
      </c>
      <c r="I2170">
        <v>0.265</v>
      </c>
      <c r="J2170">
        <v>22.9</v>
      </c>
      <c r="K2170">
        <v>26.23</v>
      </c>
      <c r="L2170">
        <v>19.85</v>
      </c>
      <c r="M2170">
        <v>3.37</v>
      </c>
      <c r="N2170">
        <v>0.481</v>
      </c>
      <c r="O2170">
        <v>23.15</v>
      </c>
      <c r="P2170">
        <v>27.99</v>
      </c>
      <c r="Q2170">
        <v>19.63</v>
      </c>
      <c r="R2170">
        <v>3.35</v>
      </c>
    </row>
    <row r="2171">
      <c r="A2171" s="9">
        <v>40702</v>
      </c>
      <c r="B2171" s="2" t="inlineStr">
        <is>
          <t xml:space="preserve">2011-06</t>
        </is>
      </c>
      <c r="C2171" s="2" t="inlineStr">
        <is>
          <t xml:space="preserve">2010/11</t>
        </is>
      </c>
      <c r="D2171">
        <v>17.392</v>
      </c>
      <c r="E2171">
        <v>23.42</v>
      </c>
      <c r="F2171">
        <v>29.8</v>
      </c>
      <c r="G2171">
        <v>18.65</v>
      </c>
      <c r="H2171">
        <v>6.78</v>
      </c>
      <c r="I2171">
        <v>3.054</v>
      </c>
      <c r="J2171">
        <v>23.86</v>
      </c>
      <c r="K2171">
        <v>28.41</v>
      </c>
      <c r="L2171">
        <v>19.63</v>
      </c>
      <c r="M2171">
        <v>2.08</v>
      </c>
      <c r="N2171">
        <v>6.965</v>
      </c>
      <c r="O2171">
        <v>23.9</v>
      </c>
      <c r="P2171">
        <v>28.9</v>
      </c>
      <c r="Q2171">
        <v>19.56</v>
      </c>
      <c r="R2171">
        <v>2.46</v>
      </c>
    </row>
    <row r="2172">
      <c r="A2172" s="9">
        <v>40703</v>
      </c>
      <c r="B2172" s="2" t="inlineStr">
        <is>
          <t xml:space="preserve">2011-06</t>
        </is>
      </c>
      <c r="C2172" s="2" t="inlineStr">
        <is>
          <t xml:space="preserve">2010/11</t>
        </is>
      </c>
      <c r="D2172">
        <v>10.693</v>
      </c>
      <c r="E2172">
        <v>24.31</v>
      </c>
      <c r="F2172">
        <v>29.07</v>
      </c>
      <c r="G2172">
        <v>20.07</v>
      </c>
      <c r="H2172">
        <v>6.43</v>
      </c>
      <c r="I2172">
        <v>0.072</v>
      </c>
      <c r="J2172">
        <v>24.61</v>
      </c>
      <c r="K2172">
        <v>29.1</v>
      </c>
      <c r="L2172">
        <v>20.13</v>
      </c>
      <c r="M2172">
        <v>0.67</v>
      </c>
      <c r="N2172">
        <v>0.757</v>
      </c>
      <c r="O2172">
        <v>25.13</v>
      </c>
      <c r="P2172">
        <v>30.57</v>
      </c>
      <c r="Q2172">
        <v>20.66</v>
      </c>
      <c r="R2172">
        <v>1.13</v>
      </c>
    </row>
    <row r="2173">
      <c r="A2173" s="9">
        <v>40704</v>
      </c>
      <c r="B2173" s="2" t="inlineStr">
        <is>
          <t xml:space="preserve">2011-06</t>
        </is>
      </c>
      <c r="C2173" s="2" t="inlineStr">
        <is>
          <t xml:space="preserve">2010/11</t>
        </is>
      </c>
      <c r="D2173">
        <v>19.463</v>
      </c>
      <c r="E2173">
        <v>24.06</v>
      </c>
      <c r="F2173">
        <v>29.28</v>
      </c>
      <c r="G2173">
        <v>20.37</v>
      </c>
      <c r="H2173">
        <v>9.63</v>
      </c>
      <c r="I2173">
        <v>0.0</v>
      </c>
      <c r="J2173">
        <v>25.09</v>
      </c>
      <c r="K2173">
        <v>30.67</v>
      </c>
      <c r="L2173">
        <v>20.33</v>
      </c>
      <c r="M2173">
        <v>10.61</v>
      </c>
      <c r="N2173">
        <v>0.549</v>
      </c>
      <c r="O2173">
        <v>25.02</v>
      </c>
      <c r="P2173">
        <v>30.31</v>
      </c>
      <c r="Q2173">
        <v>21.44</v>
      </c>
      <c r="R2173">
        <v>12.59</v>
      </c>
    </row>
    <row r="2174">
      <c r="A2174" s="9">
        <v>40705</v>
      </c>
      <c r="B2174" s="2" t="inlineStr">
        <is>
          <t xml:space="preserve">2011-06</t>
        </is>
      </c>
      <c r="C2174" s="2" t="inlineStr">
        <is>
          <t xml:space="preserve">2010/11</t>
        </is>
      </c>
      <c r="D2174">
        <v>9.17</v>
      </c>
      <c r="E2174">
        <v>22.37</v>
      </c>
      <c r="F2174">
        <v>26.24</v>
      </c>
      <c r="G2174">
        <v>19.62</v>
      </c>
      <c r="H2174">
        <v>9.72</v>
      </c>
      <c r="I2174">
        <v>29.701</v>
      </c>
      <c r="J2174">
        <v>23.74</v>
      </c>
      <c r="K2174">
        <v>26.55</v>
      </c>
      <c r="L2174">
        <v>21.09</v>
      </c>
      <c r="M2174">
        <v>23.45</v>
      </c>
      <c r="N2174">
        <v>59.468</v>
      </c>
      <c r="O2174">
        <v>23.13</v>
      </c>
      <c r="P2174">
        <v>26.79</v>
      </c>
      <c r="Q2174">
        <v>20.96</v>
      </c>
      <c r="R2174">
        <v>27.82</v>
      </c>
    </row>
    <row r="2175">
      <c r="A2175" s="9">
        <v>40706</v>
      </c>
      <c r="B2175" s="2" t="inlineStr">
        <is>
          <t xml:space="preserve">2011-06</t>
        </is>
      </c>
      <c r="C2175" s="2" t="inlineStr">
        <is>
          <t xml:space="preserve">2010/11</t>
        </is>
      </c>
      <c r="D2175">
        <v>6.622</v>
      </c>
      <c r="E2175">
        <v>22.84</v>
      </c>
      <c r="F2175">
        <v>27.64</v>
      </c>
      <c r="G2175">
        <v>19.38</v>
      </c>
      <c r="H2175">
        <v>2.92</v>
      </c>
      <c r="I2175">
        <v>7.14</v>
      </c>
      <c r="J2175">
        <v>23.32</v>
      </c>
      <c r="K2175">
        <v>27.24</v>
      </c>
      <c r="L2175">
        <v>20.37</v>
      </c>
      <c r="M2175">
        <v>7.14</v>
      </c>
      <c r="N2175">
        <v>18.483</v>
      </c>
      <c r="O2175">
        <v>23.08</v>
      </c>
      <c r="P2175">
        <v>26.61</v>
      </c>
      <c r="Q2175">
        <v>20.79</v>
      </c>
      <c r="R2175">
        <v>11.22</v>
      </c>
    </row>
    <row r="2176">
      <c r="A2176" s="9">
        <v>40707</v>
      </c>
      <c r="B2176" s="2" t="inlineStr">
        <is>
          <t xml:space="preserve">2011-06</t>
        </is>
      </c>
      <c r="C2176" s="2" t="inlineStr">
        <is>
          <t xml:space="preserve">2010/11</t>
        </is>
      </c>
      <c r="D2176">
        <v>0.0</v>
      </c>
      <c r="E2176">
        <v>23.51</v>
      </c>
      <c r="F2176">
        <v>29.98</v>
      </c>
      <c r="G2176">
        <v>17.62</v>
      </c>
      <c r="H2176">
        <v>0.92</v>
      </c>
      <c r="I2176">
        <v>0.0</v>
      </c>
      <c r="J2176">
        <v>23.08</v>
      </c>
      <c r="K2176">
        <v>26.7</v>
      </c>
      <c r="L2176">
        <v>20.18</v>
      </c>
      <c r="M2176">
        <v>8.27</v>
      </c>
      <c r="N2176">
        <v>0.883</v>
      </c>
      <c r="O2176">
        <v>23.3</v>
      </c>
      <c r="P2176">
        <v>26.79</v>
      </c>
      <c r="Q2176">
        <v>20.98</v>
      </c>
      <c r="R2176">
        <v>20.69</v>
      </c>
    </row>
    <row r="2177">
      <c r="A2177" s="9">
        <v>40708</v>
      </c>
      <c r="B2177" s="2" t="inlineStr">
        <is>
          <t xml:space="preserve">2011-06</t>
        </is>
      </c>
      <c r="C2177" s="2" t="inlineStr">
        <is>
          <t xml:space="preserve">2010/11</t>
        </is>
      </c>
      <c r="D2177">
        <v>1.151</v>
      </c>
      <c r="E2177">
        <v>23.77</v>
      </c>
      <c r="F2177">
        <v>30.04</v>
      </c>
      <c r="G2177">
        <v>18.37</v>
      </c>
      <c r="H2177">
        <v>2.29</v>
      </c>
      <c r="I2177">
        <v>21.973</v>
      </c>
      <c r="J2177">
        <v>23.16</v>
      </c>
      <c r="K2177">
        <v>26.26</v>
      </c>
      <c r="L2177">
        <v>21.03</v>
      </c>
      <c r="M2177">
        <v>10.23</v>
      </c>
      <c r="N2177">
        <v>3.916</v>
      </c>
      <c r="O2177">
        <v>23.0</v>
      </c>
      <c r="P2177">
        <v>26.49</v>
      </c>
      <c r="Q2177">
        <v>21.24</v>
      </c>
      <c r="R2177">
        <v>20.05</v>
      </c>
    </row>
    <row r="2178">
      <c r="A2178" s="9">
        <v>40709</v>
      </c>
      <c r="B2178" s="2" t="inlineStr">
        <is>
          <t xml:space="preserve">2011-06</t>
        </is>
      </c>
      <c r="C2178" s="2" t="inlineStr">
        <is>
          <t xml:space="preserve">2010/11</t>
        </is>
      </c>
      <c r="D2178">
        <v>17.346</v>
      </c>
      <c r="E2178">
        <v>22.68</v>
      </c>
      <c r="F2178">
        <v>27.81</v>
      </c>
      <c r="G2178">
        <v>19.25</v>
      </c>
      <c r="H2178">
        <v>7.73</v>
      </c>
      <c r="I2178">
        <v>0.0</v>
      </c>
      <c r="J2178">
        <v>22.57</v>
      </c>
      <c r="K2178">
        <v>25.88</v>
      </c>
      <c r="L2178">
        <v>20.28</v>
      </c>
      <c r="M2178">
        <v>10.79</v>
      </c>
      <c r="N2178">
        <v>1.281</v>
      </c>
      <c r="O2178">
        <v>22.79</v>
      </c>
      <c r="P2178">
        <v>25.81</v>
      </c>
      <c r="Q2178">
        <v>20.78</v>
      </c>
      <c r="R2178">
        <v>16.42</v>
      </c>
    </row>
    <row r="2179">
      <c r="A2179" s="9">
        <v>40710</v>
      </c>
      <c r="B2179" s="2" t="inlineStr">
        <is>
          <t xml:space="preserve">2011-06</t>
        </is>
      </c>
      <c r="C2179" s="2" t="inlineStr">
        <is>
          <t xml:space="preserve">2010/11</t>
        </is>
      </c>
      <c r="D2179">
        <v>3.776</v>
      </c>
      <c r="E2179">
        <v>21.67</v>
      </c>
      <c r="F2179">
        <v>26.77</v>
      </c>
      <c r="G2179">
        <v>17.68</v>
      </c>
      <c r="H2179">
        <v>8.03</v>
      </c>
      <c r="I2179">
        <v>19.454</v>
      </c>
      <c r="J2179">
        <v>22.55</v>
      </c>
      <c r="K2179">
        <v>27.01</v>
      </c>
      <c r="L2179">
        <v>19.47</v>
      </c>
      <c r="M2179">
        <v>18.57</v>
      </c>
      <c r="N2179">
        <v>39.209</v>
      </c>
      <c r="O2179">
        <v>22.73</v>
      </c>
      <c r="P2179">
        <v>26.31</v>
      </c>
      <c r="Q2179">
        <v>20.65</v>
      </c>
      <c r="R2179">
        <v>23.07</v>
      </c>
    </row>
    <row r="2180">
      <c r="A2180" s="9">
        <v>40711</v>
      </c>
      <c r="B2180" s="2" t="inlineStr">
        <is>
          <t xml:space="preserve">2011-06</t>
        </is>
      </c>
      <c r="C2180" s="2" t="inlineStr">
        <is>
          <t xml:space="preserve">2010/11</t>
        </is>
      </c>
      <c r="D2180">
        <v>6.498</v>
      </c>
      <c r="E2180">
        <v>22.64</v>
      </c>
      <c r="F2180">
        <v>28.64</v>
      </c>
      <c r="G2180">
        <v>17.43</v>
      </c>
      <c r="H2180">
        <v>12.14</v>
      </c>
      <c r="I2180">
        <v>16.211</v>
      </c>
      <c r="J2180">
        <v>21.39</v>
      </c>
      <c r="K2180">
        <v>24.0</v>
      </c>
      <c r="L2180">
        <v>19.62</v>
      </c>
      <c r="M2180">
        <v>23.94</v>
      </c>
      <c r="N2180">
        <v>30.883</v>
      </c>
      <c r="O2180">
        <v>21.27</v>
      </c>
      <c r="P2180">
        <v>23.42</v>
      </c>
      <c r="Q2180">
        <v>19.66</v>
      </c>
      <c r="R2180">
        <v>27.15</v>
      </c>
    </row>
    <row r="2181">
      <c r="A2181" s="9">
        <v>40712</v>
      </c>
      <c r="B2181" s="2" t="inlineStr">
        <is>
          <t xml:space="preserve">2011-06</t>
        </is>
      </c>
      <c r="C2181" s="2" t="inlineStr">
        <is>
          <t xml:space="preserve">2010/11</t>
        </is>
      </c>
      <c r="D2181">
        <v>27.863</v>
      </c>
      <c r="E2181">
        <v>21.86</v>
      </c>
      <c r="F2181">
        <v>25.66</v>
      </c>
      <c r="G2181">
        <v>19.47</v>
      </c>
      <c r="H2181">
        <v>19.53</v>
      </c>
      <c r="I2181">
        <v>18.764</v>
      </c>
      <c r="J2181">
        <v>21.15</v>
      </c>
      <c r="K2181">
        <v>23.48</v>
      </c>
      <c r="L2181">
        <v>19.26</v>
      </c>
      <c r="M2181">
        <v>23.4</v>
      </c>
      <c r="N2181">
        <v>63.62</v>
      </c>
      <c r="O2181">
        <v>21.97</v>
      </c>
      <c r="P2181">
        <v>23.76</v>
      </c>
      <c r="Q2181">
        <v>20.37</v>
      </c>
      <c r="R2181">
        <v>32.54</v>
      </c>
    </row>
    <row r="2182">
      <c r="A2182" s="9">
        <v>40713</v>
      </c>
      <c r="B2182" s="2" t="inlineStr">
        <is>
          <t xml:space="preserve">2011-06</t>
        </is>
      </c>
      <c r="C2182" s="2" t="inlineStr">
        <is>
          <t xml:space="preserve">2010/11</t>
        </is>
      </c>
      <c r="D2182">
        <v>8.635</v>
      </c>
      <c r="E2182">
        <v>22.55</v>
      </c>
      <c r="F2182">
        <v>27.44</v>
      </c>
      <c r="G2182">
        <v>18.83</v>
      </c>
      <c r="H2182">
        <v>8.01</v>
      </c>
      <c r="I2182">
        <v>2.073</v>
      </c>
      <c r="J2182">
        <v>22.63</v>
      </c>
      <c r="K2182">
        <v>27.44</v>
      </c>
      <c r="L2182">
        <v>18.87</v>
      </c>
      <c r="M2182">
        <v>5.14</v>
      </c>
      <c r="N2182">
        <v>3.232</v>
      </c>
      <c r="O2182">
        <v>23.27</v>
      </c>
      <c r="P2182">
        <v>28.28</v>
      </c>
      <c r="Q2182">
        <v>19.3</v>
      </c>
      <c r="R2182">
        <v>5.59</v>
      </c>
    </row>
    <row r="2183">
      <c r="A2183" s="9">
        <v>40714</v>
      </c>
      <c r="B2183" s="2" t="inlineStr">
        <is>
          <t xml:space="preserve">2011-06</t>
        </is>
      </c>
      <c r="C2183" s="2" t="inlineStr">
        <is>
          <t xml:space="preserve">2010/11</t>
        </is>
      </c>
      <c r="D2183">
        <v>11.1</v>
      </c>
      <c r="E2183">
        <v>22.25</v>
      </c>
      <c r="F2183">
        <v>25.83</v>
      </c>
      <c r="G2183">
        <v>19.36</v>
      </c>
      <c r="H2183">
        <v>5.06</v>
      </c>
      <c r="I2183">
        <v>4.772</v>
      </c>
      <c r="J2183">
        <v>22.67</v>
      </c>
      <c r="K2183">
        <v>26.28</v>
      </c>
      <c r="L2183">
        <v>19.49</v>
      </c>
      <c r="M2183">
        <v>6.97</v>
      </c>
      <c r="N2183">
        <v>15.6</v>
      </c>
      <c r="O2183">
        <v>23.21</v>
      </c>
      <c r="P2183">
        <v>26.84</v>
      </c>
      <c r="Q2183">
        <v>20.24</v>
      </c>
      <c r="R2183">
        <v>7.68</v>
      </c>
    </row>
    <row r="2184">
      <c r="A2184" s="9">
        <v>40715</v>
      </c>
      <c r="B2184" s="2" t="inlineStr">
        <is>
          <t xml:space="preserve">2011-06</t>
        </is>
      </c>
      <c r="C2184" s="2" t="inlineStr">
        <is>
          <t xml:space="preserve">2010/11</t>
        </is>
      </c>
      <c r="D2184">
        <v>1.487</v>
      </c>
      <c r="E2184">
        <v>23.12</v>
      </c>
      <c r="F2184">
        <v>27.92</v>
      </c>
      <c r="G2184">
        <v>19.26</v>
      </c>
      <c r="H2184">
        <v>1.85</v>
      </c>
      <c r="I2184">
        <v>2.006</v>
      </c>
      <c r="J2184">
        <v>23.08</v>
      </c>
      <c r="K2184">
        <v>26.47</v>
      </c>
      <c r="L2184">
        <v>20.28</v>
      </c>
      <c r="M2184">
        <v>3.08</v>
      </c>
      <c r="N2184">
        <v>7.18</v>
      </c>
      <c r="O2184">
        <v>23.78</v>
      </c>
      <c r="P2184">
        <v>27.31</v>
      </c>
      <c r="Q2184">
        <v>21.34</v>
      </c>
      <c r="R2184">
        <v>3.56</v>
      </c>
    </row>
    <row r="2185">
      <c r="A2185" s="9">
        <v>40716</v>
      </c>
      <c r="B2185" s="2" t="inlineStr">
        <is>
          <t xml:space="preserve">2011-06</t>
        </is>
      </c>
      <c r="C2185" s="2" t="inlineStr">
        <is>
          <t xml:space="preserve">2010/11</t>
        </is>
      </c>
      <c r="D2185">
        <v>7.879</v>
      </c>
      <c r="E2185">
        <v>22.81</v>
      </c>
      <c r="F2185">
        <v>27.36</v>
      </c>
      <c r="G2185">
        <v>19.56</v>
      </c>
      <c r="H2185">
        <v>7.22</v>
      </c>
      <c r="I2185">
        <v>0.489</v>
      </c>
      <c r="J2185">
        <v>23.17</v>
      </c>
      <c r="K2185">
        <v>26.84</v>
      </c>
      <c r="L2185">
        <v>20.46</v>
      </c>
      <c r="M2185">
        <v>4.11</v>
      </c>
      <c r="N2185">
        <v>1.413</v>
      </c>
      <c r="O2185">
        <v>23.98</v>
      </c>
      <c r="P2185">
        <v>28.06</v>
      </c>
      <c r="Q2185">
        <v>21.28</v>
      </c>
      <c r="R2185">
        <v>2.77</v>
      </c>
    </row>
    <row r="2186">
      <c r="A2186" s="9">
        <v>40717</v>
      </c>
      <c r="B2186" s="2" t="inlineStr">
        <is>
          <t xml:space="preserve">2011-06</t>
        </is>
      </c>
      <c r="C2186" s="2" t="inlineStr">
        <is>
          <t xml:space="preserve">2010/11</t>
        </is>
      </c>
      <c r="D2186">
        <v>30.717</v>
      </c>
      <c r="E2186">
        <v>22.41</v>
      </c>
      <c r="F2186">
        <v>26.71</v>
      </c>
      <c r="G2186">
        <v>18.96</v>
      </c>
      <c r="H2186">
        <v>18.37</v>
      </c>
      <c r="I2186">
        <v>11.582</v>
      </c>
      <c r="J2186">
        <v>23.19</v>
      </c>
      <c r="K2186">
        <v>27.34</v>
      </c>
      <c r="L2186">
        <v>19.09</v>
      </c>
      <c r="M2186">
        <v>14.15</v>
      </c>
      <c r="N2186">
        <v>2.488</v>
      </c>
      <c r="O2186">
        <v>23.73</v>
      </c>
      <c r="P2186">
        <v>28.74</v>
      </c>
      <c r="Q2186">
        <v>19.41</v>
      </c>
      <c r="R2186">
        <v>12.11</v>
      </c>
    </row>
    <row r="2187">
      <c r="A2187" s="9">
        <v>40718</v>
      </c>
      <c r="B2187" s="2" t="inlineStr">
        <is>
          <t xml:space="preserve">2011-06</t>
        </is>
      </c>
      <c r="C2187" s="2" t="inlineStr">
        <is>
          <t xml:space="preserve">2010/11</t>
        </is>
      </c>
      <c r="D2187">
        <v>30.453</v>
      </c>
      <c r="E2187">
        <v>22.06</v>
      </c>
      <c r="F2187">
        <v>27.27</v>
      </c>
      <c r="G2187">
        <v>17.13</v>
      </c>
      <c r="H2187">
        <v>14.41</v>
      </c>
      <c r="I2187">
        <v>20.581</v>
      </c>
      <c r="J2187">
        <v>23.84</v>
      </c>
      <c r="K2187">
        <v>28.39</v>
      </c>
      <c r="L2187">
        <v>20.21</v>
      </c>
      <c r="M2187">
        <v>21.34</v>
      </c>
      <c r="N2187">
        <v>31.29</v>
      </c>
      <c r="O2187">
        <v>23.57</v>
      </c>
      <c r="P2187">
        <v>28.19</v>
      </c>
      <c r="Q2187">
        <v>20.13</v>
      </c>
      <c r="R2187">
        <v>21.02</v>
      </c>
    </row>
    <row r="2188">
      <c r="A2188" s="9">
        <v>40719</v>
      </c>
      <c r="B2188" s="2" t="inlineStr">
        <is>
          <t xml:space="preserve">2011-06</t>
        </is>
      </c>
      <c r="C2188" s="2" t="inlineStr">
        <is>
          <t xml:space="preserve">2010/11</t>
        </is>
      </c>
      <c r="D2188">
        <v>6.26</v>
      </c>
      <c r="E2188">
        <v>21.4</v>
      </c>
      <c r="F2188">
        <v>25.33</v>
      </c>
      <c r="G2188">
        <v>18.16</v>
      </c>
      <c r="H2188">
        <v>11.13</v>
      </c>
      <c r="I2188">
        <v>4.653</v>
      </c>
      <c r="J2188">
        <v>21.69</v>
      </c>
      <c r="K2188">
        <v>24.47</v>
      </c>
      <c r="L2188">
        <v>19.64</v>
      </c>
      <c r="M2188">
        <v>18.32</v>
      </c>
      <c r="N2188">
        <v>16.048</v>
      </c>
      <c r="O2188">
        <v>22.74</v>
      </c>
      <c r="P2188">
        <v>25.47</v>
      </c>
      <c r="Q2188">
        <v>20.59</v>
      </c>
      <c r="R2188">
        <v>27.45</v>
      </c>
    </row>
    <row r="2189">
      <c r="A2189" s="9">
        <v>40720</v>
      </c>
      <c r="B2189" s="2" t="inlineStr">
        <is>
          <t xml:space="preserve">2011-06</t>
        </is>
      </c>
      <c r="C2189" s="2" t="inlineStr">
        <is>
          <t xml:space="preserve">2010/11</t>
        </is>
      </c>
      <c r="D2189">
        <v>15.058</v>
      </c>
      <c r="E2189">
        <v>21.37</v>
      </c>
      <c r="F2189">
        <v>25.16</v>
      </c>
      <c r="G2189">
        <v>18.57</v>
      </c>
      <c r="H2189">
        <v>12.41</v>
      </c>
      <c r="I2189">
        <v>17.978</v>
      </c>
      <c r="J2189">
        <v>20.99</v>
      </c>
      <c r="K2189">
        <v>23.68</v>
      </c>
      <c r="L2189">
        <v>19.05</v>
      </c>
      <c r="M2189">
        <v>9.98</v>
      </c>
      <c r="N2189">
        <v>18.121</v>
      </c>
      <c r="O2189">
        <v>22.12</v>
      </c>
      <c r="P2189">
        <v>25.39</v>
      </c>
      <c r="Q2189">
        <v>19.52</v>
      </c>
      <c r="R2189">
        <v>8.48</v>
      </c>
    </row>
    <row r="2190">
      <c r="A2190" s="9">
        <v>40721</v>
      </c>
      <c r="B2190" s="2" t="inlineStr">
        <is>
          <t xml:space="preserve">2011-06</t>
        </is>
      </c>
      <c r="C2190" s="2" t="inlineStr">
        <is>
          <t xml:space="preserve">2010/11</t>
        </is>
      </c>
      <c r="D2190">
        <v>6.215</v>
      </c>
      <c r="E2190">
        <v>22.14</v>
      </c>
      <c r="F2190">
        <v>26.4</v>
      </c>
      <c r="G2190">
        <v>18.38</v>
      </c>
      <c r="H2190">
        <v>8.39</v>
      </c>
      <c r="I2190">
        <v>4.293</v>
      </c>
      <c r="J2190">
        <v>22.08</v>
      </c>
      <c r="K2190">
        <v>25.52</v>
      </c>
      <c r="L2190">
        <v>19.5</v>
      </c>
      <c r="M2190">
        <v>4.46</v>
      </c>
      <c r="N2190">
        <v>1.802</v>
      </c>
      <c r="O2190">
        <v>23.04</v>
      </c>
      <c r="P2190">
        <v>27.6</v>
      </c>
      <c r="Q2190">
        <v>19.43</v>
      </c>
      <c r="R2190">
        <v>3.67</v>
      </c>
    </row>
    <row r="2191">
      <c r="A2191" s="9">
        <v>40722</v>
      </c>
      <c r="B2191" s="2" t="inlineStr">
        <is>
          <t xml:space="preserve">2011-06</t>
        </is>
      </c>
      <c r="C2191" s="2" t="inlineStr">
        <is>
          <t xml:space="preserve">2010/11</t>
        </is>
      </c>
      <c r="D2191">
        <v>4.595</v>
      </c>
      <c r="E2191">
        <v>22.36</v>
      </c>
      <c r="F2191">
        <v>26.3</v>
      </c>
      <c r="G2191">
        <v>19.02</v>
      </c>
      <c r="H2191">
        <v>11.81</v>
      </c>
      <c r="I2191">
        <v>2.051</v>
      </c>
      <c r="J2191">
        <v>22.67</v>
      </c>
      <c r="K2191">
        <v>26.88</v>
      </c>
      <c r="L2191">
        <v>18.99</v>
      </c>
      <c r="M2191">
        <v>5.47</v>
      </c>
      <c r="N2191">
        <v>8.027</v>
      </c>
      <c r="O2191">
        <v>23.56</v>
      </c>
      <c r="P2191">
        <v>27.49</v>
      </c>
      <c r="Q2191">
        <v>20.39</v>
      </c>
      <c r="R2191">
        <v>6.97</v>
      </c>
    </row>
    <row r="2192">
      <c r="A2192" s="9">
        <v>40723</v>
      </c>
      <c r="B2192" s="2" t="inlineStr">
        <is>
          <t xml:space="preserve">2011-06</t>
        </is>
      </c>
      <c r="C2192" s="2" t="inlineStr">
        <is>
          <t xml:space="preserve">2010/11</t>
        </is>
      </c>
      <c r="D2192">
        <v>4.627</v>
      </c>
      <c r="E2192">
        <v>22.45</v>
      </c>
      <c r="F2192">
        <v>26.31</v>
      </c>
      <c r="G2192">
        <v>19.54</v>
      </c>
      <c r="H2192">
        <v>2.52</v>
      </c>
      <c r="I2192">
        <v>2.56</v>
      </c>
      <c r="J2192">
        <v>22.57</v>
      </c>
      <c r="K2192">
        <v>26.0</v>
      </c>
      <c r="L2192">
        <v>19.84</v>
      </c>
      <c r="M2192">
        <v>3.04</v>
      </c>
      <c r="N2192">
        <v>8.419</v>
      </c>
      <c r="O2192">
        <v>23.43</v>
      </c>
      <c r="P2192">
        <v>26.77</v>
      </c>
      <c r="Q2192">
        <v>20.66</v>
      </c>
      <c r="R2192">
        <v>3.35</v>
      </c>
    </row>
    <row r="2193">
      <c r="A2193" s="9">
        <v>40724</v>
      </c>
      <c r="B2193" s="2" t="inlineStr">
        <is>
          <t xml:space="preserve">2011-06</t>
        </is>
      </c>
      <c r="C2193" s="2" t="inlineStr">
        <is>
          <t xml:space="preserve">2010/11</t>
        </is>
      </c>
      <c r="D2193">
        <v>0.599</v>
      </c>
      <c r="E2193">
        <v>21.67</v>
      </c>
      <c r="F2193">
        <v>25.83</v>
      </c>
      <c r="G2193">
        <v>18.64</v>
      </c>
      <c r="H2193">
        <v>2.51</v>
      </c>
      <c r="I2193">
        <v>1.731</v>
      </c>
      <c r="J2193">
        <v>22.03</v>
      </c>
      <c r="K2193">
        <v>25.33</v>
      </c>
      <c r="L2193">
        <v>19.47</v>
      </c>
      <c r="M2193">
        <v>5.26</v>
      </c>
      <c r="N2193">
        <v>0.317</v>
      </c>
      <c r="O2193">
        <v>22.22</v>
      </c>
      <c r="P2193">
        <v>24.2</v>
      </c>
      <c r="Q2193">
        <v>20.55</v>
      </c>
      <c r="R2193">
        <v>3.6</v>
      </c>
    </row>
    <row r="2194">
      <c r="A2194" s="9">
        <v>40725</v>
      </c>
      <c r="B2194" s="2" t="inlineStr">
        <is>
          <t xml:space="preserve">2011-07</t>
        </is>
      </c>
      <c r="C2194" s="2" t="inlineStr">
        <is>
          <t xml:space="preserve">2011/12</t>
        </is>
      </c>
      <c r="D2194">
        <v>15.535</v>
      </c>
      <c r="E2194">
        <v>21.21</v>
      </c>
      <c r="F2194">
        <v>27.27</v>
      </c>
      <c r="G2194">
        <v>17.16</v>
      </c>
      <c r="H2194">
        <v>11.98</v>
      </c>
      <c r="I2194">
        <v>18.737</v>
      </c>
      <c r="J2194">
        <v>22.01</v>
      </c>
      <c r="K2194">
        <v>24.64</v>
      </c>
      <c r="L2194">
        <v>20.19</v>
      </c>
      <c r="M2194">
        <v>14.27</v>
      </c>
      <c r="N2194">
        <v>12.891</v>
      </c>
      <c r="O2194">
        <v>22.86</v>
      </c>
      <c r="P2194">
        <v>27.52</v>
      </c>
      <c r="Q2194">
        <v>19.2</v>
      </c>
      <c r="R2194">
        <v>10.15</v>
      </c>
    </row>
    <row r="2195">
      <c r="A2195" s="9">
        <v>40726</v>
      </c>
      <c r="B2195" s="2" t="inlineStr">
        <is>
          <t xml:space="preserve">2011-07</t>
        </is>
      </c>
      <c r="C2195" s="2" t="inlineStr">
        <is>
          <t xml:space="preserve">2011/12</t>
        </is>
      </c>
      <c r="D2195">
        <v>11.044</v>
      </c>
      <c r="E2195">
        <v>20.61</v>
      </c>
      <c r="F2195">
        <v>26.04</v>
      </c>
      <c r="G2195">
        <v>16.12</v>
      </c>
      <c r="H2195">
        <v>10.51</v>
      </c>
      <c r="I2195">
        <v>16.113</v>
      </c>
      <c r="J2195">
        <v>21.49</v>
      </c>
      <c r="K2195">
        <v>25.02</v>
      </c>
      <c r="L2195">
        <v>19.06</v>
      </c>
      <c r="M2195">
        <v>14.87</v>
      </c>
      <c r="N2195">
        <v>4.432</v>
      </c>
      <c r="O2195">
        <v>21.51</v>
      </c>
      <c r="P2195">
        <v>24.04</v>
      </c>
      <c r="Q2195">
        <v>19.84</v>
      </c>
      <c r="R2195">
        <v>9.98</v>
      </c>
    </row>
    <row r="2196">
      <c r="A2196" s="9">
        <v>40727</v>
      </c>
      <c r="B2196" s="2" t="inlineStr">
        <is>
          <t xml:space="preserve">2011-07</t>
        </is>
      </c>
      <c r="C2196" s="2" t="inlineStr">
        <is>
          <t xml:space="preserve">2011/12</t>
        </is>
      </c>
      <c r="D2196">
        <v>4.295</v>
      </c>
      <c r="E2196">
        <v>20.84</v>
      </c>
      <c r="F2196">
        <v>25.27</v>
      </c>
      <c r="G2196">
        <v>17.12</v>
      </c>
      <c r="H2196">
        <v>7.28</v>
      </c>
      <c r="I2196">
        <v>21.916</v>
      </c>
      <c r="J2196">
        <v>21.25</v>
      </c>
      <c r="K2196">
        <v>24.12</v>
      </c>
      <c r="L2196">
        <v>18.66</v>
      </c>
      <c r="M2196">
        <v>8.26</v>
      </c>
      <c r="N2196">
        <v>1.345</v>
      </c>
      <c r="O2196">
        <v>21.83</v>
      </c>
      <c r="P2196">
        <v>25.38</v>
      </c>
      <c r="Q2196">
        <v>19.55</v>
      </c>
      <c r="R2196">
        <v>6.17</v>
      </c>
    </row>
    <row r="2197">
      <c r="A2197" s="9">
        <v>40728</v>
      </c>
      <c r="B2197" s="2" t="inlineStr">
        <is>
          <t xml:space="preserve">2011-07</t>
        </is>
      </c>
      <c r="C2197" s="2" t="inlineStr">
        <is>
          <t xml:space="preserve">2011/12</t>
        </is>
      </c>
      <c r="D2197">
        <v>18.373</v>
      </c>
      <c r="E2197">
        <v>21.34</v>
      </c>
      <c r="F2197">
        <v>25.49</v>
      </c>
      <c r="G2197">
        <v>18.59</v>
      </c>
      <c r="H2197">
        <v>18.54</v>
      </c>
      <c r="I2197">
        <v>8.554</v>
      </c>
      <c r="J2197">
        <v>21.4</v>
      </c>
      <c r="K2197">
        <v>25.21</v>
      </c>
      <c r="L2197">
        <v>18.38</v>
      </c>
      <c r="M2197">
        <v>22.24</v>
      </c>
      <c r="N2197">
        <v>18.516</v>
      </c>
      <c r="O2197">
        <v>21.45</v>
      </c>
      <c r="P2197">
        <v>24.01</v>
      </c>
      <c r="Q2197">
        <v>19.11</v>
      </c>
      <c r="R2197">
        <v>30.13</v>
      </c>
    </row>
    <row r="2198">
      <c r="A2198" s="9">
        <v>40729</v>
      </c>
      <c r="B2198" s="2" t="inlineStr">
        <is>
          <t xml:space="preserve">2011-07</t>
        </is>
      </c>
      <c r="C2198" s="2" t="inlineStr">
        <is>
          <t xml:space="preserve">2011/12</t>
        </is>
      </c>
      <c r="D2198">
        <v>5.994</v>
      </c>
      <c r="E2198">
        <v>21.86</v>
      </c>
      <c r="F2198">
        <v>26.35</v>
      </c>
      <c r="G2198">
        <v>17.9</v>
      </c>
      <c r="H2198">
        <v>11.1</v>
      </c>
      <c r="I2198">
        <v>13.843</v>
      </c>
      <c r="J2198">
        <v>22.09</v>
      </c>
      <c r="K2198">
        <v>26.43</v>
      </c>
      <c r="L2198">
        <v>18.47</v>
      </c>
      <c r="M2198">
        <v>12.81</v>
      </c>
      <c r="N2198">
        <v>52.775</v>
      </c>
      <c r="O2198">
        <v>23.14</v>
      </c>
      <c r="P2198">
        <v>27.54</v>
      </c>
      <c r="Q2198">
        <v>19.24</v>
      </c>
      <c r="R2198">
        <v>24.13</v>
      </c>
    </row>
    <row r="2199">
      <c r="A2199" s="9">
        <v>40730</v>
      </c>
      <c r="B2199" s="2" t="inlineStr">
        <is>
          <t xml:space="preserve">2011-07</t>
        </is>
      </c>
      <c r="C2199" s="2" t="inlineStr">
        <is>
          <t xml:space="preserve">2011/12</t>
        </is>
      </c>
      <c r="D2199">
        <v>0.991</v>
      </c>
      <c r="E2199">
        <v>22.93</v>
      </c>
      <c r="F2199">
        <v>28.29</v>
      </c>
      <c r="G2199">
        <v>19.23</v>
      </c>
      <c r="H2199">
        <v>6.64</v>
      </c>
      <c r="I2199">
        <v>0.098</v>
      </c>
      <c r="J2199">
        <v>22.81</v>
      </c>
      <c r="K2199">
        <v>26.92</v>
      </c>
      <c r="L2199">
        <v>18.86</v>
      </c>
      <c r="M2199">
        <v>3.23</v>
      </c>
      <c r="N2199">
        <v>0.466</v>
      </c>
      <c r="O2199">
        <v>22.55</v>
      </c>
      <c r="P2199">
        <v>26.02</v>
      </c>
      <c r="Q2199">
        <v>20.17</v>
      </c>
      <c r="R2199">
        <v>2.55</v>
      </c>
    </row>
    <row r="2200">
      <c r="A2200" s="9">
        <v>40731</v>
      </c>
      <c r="B2200" s="2" t="inlineStr">
        <is>
          <t xml:space="preserve">2011-07</t>
        </is>
      </c>
      <c r="C2200" s="2" t="inlineStr">
        <is>
          <t xml:space="preserve">2011/12</t>
        </is>
      </c>
      <c r="D2200">
        <v>16.593</v>
      </c>
      <c r="E2200">
        <v>22.51</v>
      </c>
      <c r="F2200">
        <v>27.54</v>
      </c>
      <c r="G2200">
        <v>18.52</v>
      </c>
      <c r="H2200">
        <v>5.88</v>
      </c>
      <c r="I2200">
        <v>8.919</v>
      </c>
      <c r="J2200">
        <v>23.39</v>
      </c>
      <c r="K2200">
        <v>27.67</v>
      </c>
      <c r="L2200">
        <v>20.44</v>
      </c>
      <c r="M2200">
        <v>4.82</v>
      </c>
      <c r="N2200">
        <v>1.458</v>
      </c>
      <c r="O2200">
        <v>23.15</v>
      </c>
      <c r="P2200">
        <v>26.68</v>
      </c>
      <c r="Q2200">
        <v>20.8</v>
      </c>
      <c r="R2200">
        <v>3.8</v>
      </c>
    </row>
    <row r="2201">
      <c r="A2201" s="9">
        <v>40732</v>
      </c>
      <c r="B2201" s="2" t="inlineStr">
        <is>
          <t xml:space="preserve">2011-07</t>
        </is>
      </c>
      <c r="C2201" s="2" t="inlineStr">
        <is>
          <t xml:space="preserve">2011/12</t>
        </is>
      </c>
      <c r="D2201">
        <v>6.694</v>
      </c>
      <c r="E2201">
        <v>23.01</v>
      </c>
      <c r="F2201">
        <v>28.36</v>
      </c>
      <c r="G2201">
        <v>18.19</v>
      </c>
      <c r="H2201">
        <v>5.11</v>
      </c>
      <c r="I2201">
        <v>7.147</v>
      </c>
      <c r="J2201">
        <v>23.76</v>
      </c>
      <c r="K2201">
        <v>28.02</v>
      </c>
      <c r="L2201">
        <v>20.24</v>
      </c>
      <c r="M2201">
        <v>4.98</v>
      </c>
      <c r="N2201">
        <v>0.708</v>
      </c>
      <c r="O2201">
        <v>23.74</v>
      </c>
      <c r="P2201">
        <v>28.19</v>
      </c>
      <c r="Q2201">
        <v>20.71</v>
      </c>
      <c r="R2201">
        <v>5.7</v>
      </c>
    </row>
    <row r="2202">
      <c r="A2202" s="9">
        <v>40733</v>
      </c>
      <c r="B2202" s="2" t="inlineStr">
        <is>
          <t xml:space="preserve">2011-07</t>
        </is>
      </c>
      <c r="C2202" s="2" t="inlineStr">
        <is>
          <t xml:space="preserve">2011/12</t>
        </is>
      </c>
      <c r="D2202">
        <v>24.673</v>
      </c>
      <c r="E2202">
        <v>22.15</v>
      </c>
      <c r="F2202">
        <v>26.01</v>
      </c>
      <c r="G2202">
        <v>19.19</v>
      </c>
      <c r="H2202">
        <v>16.55</v>
      </c>
      <c r="I2202">
        <v>10.824</v>
      </c>
      <c r="J2202">
        <v>23.73</v>
      </c>
      <c r="K2202">
        <v>27.0</v>
      </c>
      <c r="L2202">
        <v>21.07</v>
      </c>
      <c r="M2202">
        <v>9.13</v>
      </c>
      <c r="N2202">
        <v>12.326</v>
      </c>
      <c r="O2202">
        <v>23.53</v>
      </c>
      <c r="P2202">
        <v>26.61</v>
      </c>
      <c r="Q2202">
        <v>21.24</v>
      </c>
      <c r="R2202">
        <v>10.13</v>
      </c>
    </row>
    <row r="2203">
      <c r="A2203" s="9">
        <v>40734</v>
      </c>
      <c r="B2203" s="2" t="inlineStr">
        <is>
          <t xml:space="preserve">2011-07</t>
        </is>
      </c>
      <c r="C2203" s="2" t="inlineStr">
        <is>
          <t xml:space="preserve">2011/12</t>
        </is>
      </c>
      <c r="D2203">
        <v>18.712</v>
      </c>
      <c r="E2203">
        <v>21.44</v>
      </c>
      <c r="F2203">
        <v>26.2</v>
      </c>
      <c r="G2203">
        <v>17.5</v>
      </c>
      <c r="H2203">
        <v>12.49</v>
      </c>
      <c r="I2203">
        <v>0.303</v>
      </c>
      <c r="J2203">
        <v>23.11</v>
      </c>
      <c r="K2203">
        <v>27.04</v>
      </c>
      <c r="L2203">
        <v>19.94</v>
      </c>
      <c r="M2203">
        <v>5.16</v>
      </c>
      <c r="N2203">
        <v>2.084</v>
      </c>
      <c r="O2203">
        <v>22.94</v>
      </c>
      <c r="P2203">
        <v>26.93</v>
      </c>
      <c r="Q2203">
        <v>20.59</v>
      </c>
      <c r="R2203">
        <v>3.09</v>
      </c>
    </row>
    <row r="2204">
      <c r="A2204" s="9">
        <v>40735</v>
      </c>
      <c r="B2204" s="2" t="inlineStr">
        <is>
          <t xml:space="preserve">2011-07</t>
        </is>
      </c>
      <c r="C2204" s="2" t="inlineStr">
        <is>
          <t xml:space="preserve">2011/12</t>
        </is>
      </c>
      <c r="D2204">
        <v>19.971</v>
      </c>
      <c r="E2204">
        <v>20.76</v>
      </c>
      <c r="F2204">
        <v>25.2</v>
      </c>
      <c r="G2204">
        <v>17.58</v>
      </c>
      <c r="H2204">
        <v>14.7</v>
      </c>
      <c r="I2204">
        <v>17.222</v>
      </c>
      <c r="J2204">
        <v>22.38</v>
      </c>
      <c r="K2204">
        <v>25.92</v>
      </c>
      <c r="L2204">
        <v>19.85</v>
      </c>
      <c r="M2204">
        <v>12.82</v>
      </c>
      <c r="N2204">
        <v>2.662</v>
      </c>
      <c r="O2204">
        <v>22.26</v>
      </c>
      <c r="P2204">
        <v>25.93</v>
      </c>
      <c r="Q2204">
        <v>19.99</v>
      </c>
      <c r="R2204">
        <v>9.44</v>
      </c>
    </row>
    <row r="2205">
      <c r="A2205" s="9">
        <v>40736</v>
      </c>
      <c r="B2205" s="2" t="inlineStr">
        <is>
          <t xml:space="preserve">2011-07</t>
        </is>
      </c>
      <c r="C2205" s="2" t="inlineStr">
        <is>
          <t xml:space="preserve">2011/12</t>
        </is>
      </c>
      <c r="D2205">
        <v>4.722</v>
      </c>
      <c r="E2205">
        <v>20.61</v>
      </c>
      <c r="F2205">
        <v>25.64</v>
      </c>
      <c r="G2205">
        <v>16.82</v>
      </c>
      <c r="H2205">
        <v>10.91</v>
      </c>
      <c r="I2205">
        <v>19.09</v>
      </c>
      <c r="J2205">
        <v>21.4</v>
      </c>
      <c r="K2205">
        <v>24.8</v>
      </c>
      <c r="L2205">
        <v>18.79</v>
      </c>
      <c r="M2205">
        <v>23.01</v>
      </c>
      <c r="N2205">
        <v>30.754</v>
      </c>
      <c r="O2205">
        <v>22.58</v>
      </c>
      <c r="P2205">
        <v>26.77</v>
      </c>
      <c r="Q2205">
        <v>19.49</v>
      </c>
      <c r="R2205">
        <v>28.86</v>
      </c>
    </row>
    <row r="2206">
      <c r="A2206" s="9">
        <v>40737</v>
      </c>
      <c r="B2206" s="2" t="inlineStr">
        <is>
          <t xml:space="preserve">2011-07</t>
        </is>
      </c>
      <c r="C2206" s="2" t="inlineStr">
        <is>
          <t xml:space="preserve">2011/12</t>
        </is>
      </c>
      <c r="D2206">
        <v>13.646</v>
      </c>
      <c r="E2206">
        <v>20.69</v>
      </c>
      <c r="F2206">
        <v>25.19</v>
      </c>
      <c r="G2206">
        <v>16.96</v>
      </c>
      <c r="H2206">
        <v>12.23</v>
      </c>
      <c r="I2206">
        <v>13.892</v>
      </c>
      <c r="J2206">
        <v>21.02</v>
      </c>
      <c r="K2206">
        <v>25.05</v>
      </c>
      <c r="L2206">
        <v>18.06</v>
      </c>
      <c r="M2206">
        <v>17.63</v>
      </c>
      <c r="N2206">
        <v>24.016</v>
      </c>
      <c r="O2206">
        <v>21.93</v>
      </c>
      <c r="P2206">
        <v>25.11</v>
      </c>
      <c r="Q2206">
        <v>19.06</v>
      </c>
      <c r="R2206">
        <v>15.66</v>
      </c>
    </row>
    <row r="2207">
      <c r="A2207" s="9">
        <v>40738</v>
      </c>
      <c r="B2207" s="2" t="inlineStr">
        <is>
          <t xml:space="preserve">2011-07</t>
        </is>
      </c>
      <c r="C2207" s="2" t="inlineStr">
        <is>
          <t xml:space="preserve">2011/12</t>
        </is>
      </c>
      <c r="D2207">
        <v>20.157</v>
      </c>
      <c r="E2207">
        <v>20.87</v>
      </c>
      <c r="F2207">
        <v>25.52</v>
      </c>
      <c r="G2207">
        <v>16.65</v>
      </c>
      <c r="H2207">
        <v>6.88</v>
      </c>
      <c r="I2207">
        <v>16.438</v>
      </c>
      <c r="J2207">
        <v>21.58</v>
      </c>
      <c r="K2207">
        <v>25.8</v>
      </c>
      <c r="L2207">
        <v>18.18</v>
      </c>
      <c r="M2207">
        <v>8.79</v>
      </c>
      <c r="N2207">
        <v>20.277</v>
      </c>
      <c r="O2207">
        <v>22.09</v>
      </c>
      <c r="P2207">
        <v>26.4</v>
      </c>
      <c r="Q2207">
        <v>18.9</v>
      </c>
      <c r="R2207">
        <v>7.29</v>
      </c>
    </row>
    <row r="2208">
      <c r="A2208" s="9">
        <v>40739</v>
      </c>
      <c r="B2208" s="2" t="inlineStr">
        <is>
          <t xml:space="preserve">2011-07</t>
        </is>
      </c>
      <c r="C2208" s="2" t="inlineStr">
        <is>
          <t xml:space="preserve">2011/12</t>
        </is>
      </c>
      <c r="D2208">
        <v>6.085</v>
      </c>
      <c r="E2208">
        <v>21.59</v>
      </c>
      <c r="F2208">
        <v>26.15</v>
      </c>
      <c r="G2208">
        <v>17.84</v>
      </c>
      <c r="H2208">
        <v>6.12</v>
      </c>
      <c r="I2208">
        <v>0.192</v>
      </c>
      <c r="J2208">
        <v>21.72</v>
      </c>
      <c r="K2208">
        <v>26.55</v>
      </c>
      <c r="L2208">
        <v>17.82</v>
      </c>
      <c r="M2208">
        <v>5.55</v>
      </c>
      <c r="N2208">
        <v>0.805</v>
      </c>
      <c r="O2208">
        <v>23.02</v>
      </c>
      <c r="P2208">
        <v>28.36</v>
      </c>
      <c r="Q2208">
        <v>18.27</v>
      </c>
      <c r="R2208">
        <v>4.94</v>
      </c>
    </row>
    <row r="2209">
      <c r="A2209" s="9">
        <v>40740</v>
      </c>
      <c r="B2209" s="2" t="inlineStr">
        <is>
          <t xml:space="preserve">2011-07</t>
        </is>
      </c>
      <c r="C2209" s="2" t="inlineStr">
        <is>
          <t xml:space="preserve">2011/12</t>
        </is>
      </c>
      <c r="D2209">
        <v>9.145</v>
      </c>
      <c r="E2209">
        <v>21.1</v>
      </c>
      <c r="F2209">
        <v>24.83</v>
      </c>
      <c r="G2209">
        <v>18.35</v>
      </c>
      <c r="H2209">
        <v>13.71</v>
      </c>
      <c r="I2209">
        <v>25.921</v>
      </c>
      <c r="J2209">
        <v>21.71</v>
      </c>
      <c r="K2209">
        <v>25.34</v>
      </c>
      <c r="L2209">
        <v>18.79</v>
      </c>
      <c r="M2209">
        <v>23.13</v>
      </c>
      <c r="N2209">
        <v>33.783</v>
      </c>
      <c r="O2209">
        <v>22.54</v>
      </c>
      <c r="P2209">
        <v>25.92</v>
      </c>
      <c r="Q2209">
        <v>20.26</v>
      </c>
      <c r="R2209">
        <v>21.15</v>
      </c>
    </row>
    <row r="2210">
      <c r="A2210" s="9">
        <v>40741</v>
      </c>
      <c r="B2210" s="2" t="inlineStr">
        <is>
          <t xml:space="preserve">2011-07</t>
        </is>
      </c>
      <c r="C2210" s="2" t="inlineStr">
        <is>
          <t xml:space="preserve">2011/12</t>
        </is>
      </c>
      <c r="D2210">
        <v>26.337</v>
      </c>
      <c r="E2210">
        <v>21.07</v>
      </c>
      <c r="F2210">
        <v>25.36</v>
      </c>
      <c r="G2210">
        <v>17.15</v>
      </c>
      <c r="H2210">
        <v>13.77</v>
      </c>
      <c r="I2210">
        <v>15.85</v>
      </c>
      <c r="J2210">
        <v>22.7</v>
      </c>
      <c r="K2210">
        <v>27.33</v>
      </c>
      <c r="L2210">
        <v>19.28</v>
      </c>
      <c r="M2210">
        <v>14.71</v>
      </c>
      <c r="N2210">
        <v>12.699</v>
      </c>
      <c r="O2210">
        <v>22.96</v>
      </c>
      <c r="P2210">
        <v>27.04</v>
      </c>
      <c r="Q2210">
        <v>19.6</v>
      </c>
      <c r="R2210">
        <v>12.56</v>
      </c>
    </row>
    <row r="2211">
      <c r="A2211" s="9">
        <v>40742</v>
      </c>
      <c r="B2211" s="2" t="inlineStr">
        <is>
          <t xml:space="preserve">2011-07</t>
        </is>
      </c>
      <c r="C2211" s="2" t="inlineStr">
        <is>
          <t xml:space="preserve">2011/12</t>
        </is>
      </c>
      <c r="D2211">
        <v>5.784</v>
      </c>
      <c r="E2211">
        <v>21.44</v>
      </c>
      <c r="F2211">
        <v>25.9</v>
      </c>
      <c r="G2211">
        <v>17.37</v>
      </c>
      <c r="H2211">
        <v>2.99</v>
      </c>
      <c r="I2211">
        <v>10.831</v>
      </c>
      <c r="J2211">
        <v>22.97</v>
      </c>
      <c r="K2211">
        <v>26.87</v>
      </c>
      <c r="L2211">
        <v>19.56</v>
      </c>
      <c r="M2211">
        <v>5.26</v>
      </c>
      <c r="N2211">
        <v>14.818</v>
      </c>
      <c r="O2211">
        <v>23.05</v>
      </c>
      <c r="P2211">
        <v>27.57</v>
      </c>
      <c r="Q2211">
        <v>19.27</v>
      </c>
      <c r="R2211">
        <v>5.76</v>
      </c>
    </row>
    <row r="2212">
      <c r="A2212" s="9">
        <v>40743</v>
      </c>
      <c r="B2212" s="2" t="inlineStr">
        <is>
          <t xml:space="preserve">2011-07</t>
        </is>
      </c>
      <c r="C2212" s="2" t="inlineStr">
        <is>
          <t xml:space="preserve">2011/12</t>
        </is>
      </c>
      <c r="D2212">
        <v>1.429</v>
      </c>
      <c r="E2212">
        <v>21.86</v>
      </c>
      <c r="F2212">
        <v>25.98</v>
      </c>
      <c r="G2212">
        <v>18.17</v>
      </c>
      <c r="H2212">
        <v>1.26</v>
      </c>
      <c r="I2212">
        <v>0.659</v>
      </c>
      <c r="J2212">
        <v>22.74</v>
      </c>
      <c r="K2212">
        <v>26.32</v>
      </c>
      <c r="L2212">
        <v>19.59</v>
      </c>
      <c r="M2212">
        <v>1.83</v>
      </c>
      <c r="N2212">
        <v>0.454</v>
      </c>
      <c r="O2212">
        <v>22.91</v>
      </c>
      <c r="P2212">
        <v>26.65</v>
      </c>
      <c r="Q2212">
        <v>20.37</v>
      </c>
      <c r="R2212">
        <v>5.66</v>
      </c>
    </row>
    <row r="2213">
      <c r="A2213" s="9">
        <v>40744</v>
      </c>
      <c r="B2213" s="2" t="inlineStr">
        <is>
          <t xml:space="preserve">2011-07</t>
        </is>
      </c>
      <c r="C2213" s="2" t="inlineStr">
        <is>
          <t xml:space="preserve">2011/12</t>
        </is>
      </c>
      <c r="D2213">
        <v>1.162</v>
      </c>
      <c r="E2213">
        <v>22.31</v>
      </c>
      <c r="F2213">
        <v>27.43</v>
      </c>
      <c r="G2213">
        <v>17.76</v>
      </c>
      <c r="H2213">
        <v>2.17</v>
      </c>
      <c r="I2213">
        <v>0.392</v>
      </c>
      <c r="J2213">
        <v>23.06</v>
      </c>
      <c r="K2213">
        <v>26.76</v>
      </c>
      <c r="L2213">
        <v>19.9</v>
      </c>
      <c r="M2213">
        <v>3.23</v>
      </c>
      <c r="N2213">
        <v>1.782</v>
      </c>
      <c r="O2213">
        <v>23.2</v>
      </c>
      <c r="P2213">
        <v>26.89</v>
      </c>
      <c r="Q2213">
        <v>20.92</v>
      </c>
      <c r="R2213">
        <v>10.64</v>
      </c>
    </row>
    <row r="2214">
      <c r="A2214" s="9">
        <v>40745</v>
      </c>
      <c r="B2214" s="2" t="inlineStr">
        <is>
          <t xml:space="preserve">2011-07</t>
        </is>
      </c>
      <c r="C2214" s="2" t="inlineStr">
        <is>
          <t xml:space="preserve">2011/12</t>
        </is>
      </c>
      <c r="D2214">
        <v>0.753</v>
      </c>
      <c r="E2214">
        <v>22.51</v>
      </c>
      <c r="F2214">
        <v>27.49</v>
      </c>
      <c r="G2214">
        <v>18.9</v>
      </c>
      <c r="H2214">
        <v>1.43</v>
      </c>
      <c r="I2214">
        <v>2.188</v>
      </c>
      <c r="J2214">
        <v>22.05</v>
      </c>
      <c r="K2214">
        <v>25.04</v>
      </c>
      <c r="L2214">
        <v>19.93</v>
      </c>
      <c r="M2214">
        <v>2.94</v>
      </c>
      <c r="N2214">
        <v>3.5</v>
      </c>
      <c r="O2214">
        <v>22.45</v>
      </c>
      <c r="P2214">
        <v>25.48</v>
      </c>
      <c r="Q2214">
        <v>20.77</v>
      </c>
      <c r="R2214">
        <v>7.01</v>
      </c>
    </row>
    <row r="2215">
      <c r="A2215" s="9">
        <v>40746</v>
      </c>
      <c r="B2215" s="2" t="inlineStr">
        <is>
          <t xml:space="preserve">2011-07</t>
        </is>
      </c>
      <c r="C2215" s="2" t="inlineStr">
        <is>
          <t xml:space="preserve">2011/12</t>
        </is>
      </c>
      <c r="D2215">
        <v>0.701</v>
      </c>
      <c r="E2215">
        <v>22.04</v>
      </c>
      <c r="F2215">
        <v>26.73</v>
      </c>
      <c r="G2215">
        <v>18.36</v>
      </c>
      <c r="H2215">
        <v>2.99</v>
      </c>
      <c r="I2215">
        <v>0.131</v>
      </c>
      <c r="J2215">
        <v>22.77</v>
      </c>
      <c r="K2215">
        <v>26.95</v>
      </c>
      <c r="L2215">
        <v>19.12</v>
      </c>
      <c r="M2215">
        <v>9.64</v>
      </c>
      <c r="N2215">
        <v>0.384</v>
      </c>
      <c r="O2215">
        <v>22.93</v>
      </c>
      <c r="P2215">
        <v>26.7</v>
      </c>
      <c r="Q2215">
        <v>20.32</v>
      </c>
      <c r="R2215">
        <v>9.16</v>
      </c>
    </row>
    <row r="2216">
      <c r="A2216" s="9">
        <v>40747</v>
      </c>
      <c r="B2216" s="2" t="inlineStr">
        <is>
          <t xml:space="preserve">2011-07</t>
        </is>
      </c>
      <c r="C2216" s="2" t="inlineStr">
        <is>
          <t xml:space="preserve">2011/12</t>
        </is>
      </c>
      <c r="D2216">
        <v>4.129</v>
      </c>
      <c r="E2216">
        <v>21.74</v>
      </c>
      <c r="F2216">
        <v>26.28</v>
      </c>
      <c r="G2216">
        <v>17.7</v>
      </c>
      <c r="H2216">
        <v>5.33</v>
      </c>
      <c r="I2216">
        <v>19.377</v>
      </c>
      <c r="J2216">
        <v>22.72</v>
      </c>
      <c r="K2216">
        <v>26.89</v>
      </c>
      <c r="L2216">
        <v>18.98</v>
      </c>
      <c r="M2216">
        <v>7.81</v>
      </c>
      <c r="N2216">
        <v>29.756</v>
      </c>
      <c r="O2216">
        <v>22.87</v>
      </c>
      <c r="P2216">
        <v>26.76</v>
      </c>
      <c r="Q2216">
        <v>20.26</v>
      </c>
      <c r="R2216">
        <v>9.34</v>
      </c>
    </row>
    <row r="2217">
      <c r="A2217" s="9">
        <v>40748</v>
      </c>
      <c r="B2217" s="2" t="inlineStr">
        <is>
          <t xml:space="preserve">2011-07</t>
        </is>
      </c>
      <c r="C2217" s="2" t="inlineStr">
        <is>
          <t xml:space="preserve">2011/12</t>
        </is>
      </c>
      <c r="D2217">
        <v>0.418</v>
      </c>
      <c r="E2217">
        <v>22.01</v>
      </c>
      <c r="F2217">
        <v>26.56</v>
      </c>
      <c r="G2217">
        <v>18.37</v>
      </c>
      <c r="H2217">
        <v>1.44</v>
      </c>
      <c r="I2217">
        <v>0.435</v>
      </c>
      <c r="J2217">
        <v>22.18</v>
      </c>
      <c r="K2217">
        <v>25.91</v>
      </c>
      <c r="L2217">
        <v>19.83</v>
      </c>
      <c r="M2217">
        <v>1.19</v>
      </c>
      <c r="N2217">
        <v>0.613</v>
      </c>
      <c r="O2217">
        <v>22.7</v>
      </c>
      <c r="P2217">
        <v>26.02</v>
      </c>
      <c r="Q2217">
        <v>20.88</v>
      </c>
      <c r="R2217">
        <v>3.14</v>
      </c>
    </row>
    <row r="2218">
      <c r="A2218" s="9">
        <v>40749</v>
      </c>
      <c r="B2218" s="2" t="inlineStr">
        <is>
          <t xml:space="preserve">2011-07</t>
        </is>
      </c>
      <c r="C2218" s="2" t="inlineStr">
        <is>
          <t xml:space="preserve">2011/12</t>
        </is>
      </c>
      <c r="D2218">
        <v>0.609</v>
      </c>
      <c r="E2218">
        <v>21.86</v>
      </c>
      <c r="F2218">
        <v>25.87</v>
      </c>
      <c r="G2218">
        <v>18.81</v>
      </c>
      <c r="H2218">
        <v>3.95</v>
      </c>
      <c r="I2218">
        <v>1.495</v>
      </c>
      <c r="J2218">
        <v>22.02</v>
      </c>
      <c r="K2218">
        <v>25.48</v>
      </c>
      <c r="L2218">
        <v>19.38</v>
      </c>
      <c r="M2218">
        <v>2.65</v>
      </c>
      <c r="N2218">
        <v>2.069</v>
      </c>
      <c r="O2218">
        <v>22.24</v>
      </c>
      <c r="P2218">
        <v>25.27</v>
      </c>
      <c r="Q2218">
        <v>20.13</v>
      </c>
      <c r="R2218">
        <v>5.63</v>
      </c>
    </row>
    <row r="2219">
      <c r="A2219" s="9">
        <v>40750</v>
      </c>
      <c r="B2219" s="2" t="inlineStr">
        <is>
          <t xml:space="preserve">2011-07</t>
        </is>
      </c>
      <c r="C2219" s="2" t="inlineStr">
        <is>
          <t xml:space="preserve">2011/12</t>
        </is>
      </c>
      <c r="D2219">
        <v>7.393</v>
      </c>
      <c r="E2219">
        <v>21.87</v>
      </c>
      <c r="F2219">
        <v>26.0</v>
      </c>
      <c r="G2219">
        <v>18.66</v>
      </c>
      <c r="H2219">
        <v>13.66</v>
      </c>
      <c r="I2219">
        <v>0.847</v>
      </c>
      <c r="J2219">
        <v>22.15</v>
      </c>
      <c r="K2219">
        <v>26.03</v>
      </c>
      <c r="L2219">
        <v>19.39</v>
      </c>
      <c r="M2219">
        <v>5.35</v>
      </c>
      <c r="N2219">
        <v>1.099</v>
      </c>
      <c r="O2219">
        <v>22.3</v>
      </c>
      <c r="P2219">
        <v>25.89</v>
      </c>
      <c r="Q2219">
        <v>20.14</v>
      </c>
      <c r="R2219">
        <v>6.35</v>
      </c>
    </row>
    <row r="2220">
      <c r="A2220" s="9">
        <v>40751</v>
      </c>
      <c r="B2220" s="2" t="inlineStr">
        <is>
          <t xml:space="preserve">2011-07</t>
        </is>
      </c>
      <c r="C2220" s="2" t="inlineStr">
        <is>
          <t xml:space="preserve">2011/12</t>
        </is>
      </c>
      <c r="D2220">
        <v>8.358</v>
      </c>
      <c r="E2220">
        <v>22.29</v>
      </c>
      <c r="F2220">
        <v>26.55</v>
      </c>
      <c r="G2220">
        <v>19.11</v>
      </c>
      <c r="H2220">
        <v>6.65</v>
      </c>
      <c r="I2220">
        <v>7.279</v>
      </c>
      <c r="J2220">
        <v>22.11</v>
      </c>
      <c r="K2220">
        <v>26.03</v>
      </c>
      <c r="L2220">
        <v>18.86</v>
      </c>
      <c r="M2220">
        <v>6.27</v>
      </c>
      <c r="N2220">
        <v>9.786</v>
      </c>
      <c r="O2220">
        <v>22.95</v>
      </c>
      <c r="P2220">
        <v>27.15</v>
      </c>
      <c r="Q2220">
        <v>19.85</v>
      </c>
      <c r="R2220">
        <v>8.61</v>
      </c>
    </row>
    <row r="2221">
      <c r="A2221" s="9">
        <v>40752</v>
      </c>
      <c r="B2221" s="2" t="inlineStr">
        <is>
          <t xml:space="preserve">2011-07</t>
        </is>
      </c>
      <c r="C2221" s="2" t="inlineStr">
        <is>
          <t xml:space="preserve">2011/12</t>
        </is>
      </c>
      <c r="D2221">
        <v>16.564</v>
      </c>
      <c r="E2221">
        <v>21.94</v>
      </c>
      <c r="F2221">
        <v>27.13</v>
      </c>
      <c r="G2221">
        <v>17.14</v>
      </c>
      <c r="H2221">
        <v>8.35</v>
      </c>
      <c r="I2221">
        <v>4.401</v>
      </c>
      <c r="J2221">
        <v>22.67</v>
      </c>
      <c r="K2221">
        <v>26.51</v>
      </c>
      <c r="L2221">
        <v>19.82</v>
      </c>
      <c r="M2221">
        <v>8.55</v>
      </c>
      <c r="N2221">
        <v>15.044</v>
      </c>
      <c r="O2221">
        <v>23.48</v>
      </c>
      <c r="P2221">
        <v>27.13</v>
      </c>
      <c r="Q2221">
        <v>21.13</v>
      </c>
      <c r="R2221">
        <v>9.74</v>
      </c>
    </row>
    <row r="2222">
      <c r="A2222" s="9">
        <v>40753</v>
      </c>
      <c r="B2222" s="2" t="inlineStr">
        <is>
          <t xml:space="preserve">2011-07</t>
        </is>
      </c>
      <c r="C2222" s="2" t="inlineStr">
        <is>
          <t xml:space="preserve">2011/12</t>
        </is>
      </c>
      <c r="D2222">
        <v>5.994</v>
      </c>
      <c r="E2222">
        <v>21.16</v>
      </c>
      <c r="F2222">
        <v>25.19</v>
      </c>
      <c r="G2222">
        <v>17.6</v>
      </c>
      <c r="H2222">
        <v>6.03</v>
      </c>
      <c r="I2222">
        <v>3.892</v>
      </c>
      <c r="J2222">
        <v>22.6</v>
      </c>
      <c r="K2222">
        <v>25.96</v>
      </c>
      <c r="L2222">
        <v>20.02</v>
      </c>
      <c r="M2222">
        <v>8.2</v>
      </c>
      <c r="N2222">
        <v>12.281</v>
      </c>
      <c r="O2222">
        <v>22.68</v>
      </c>
      <c r="P2222">
        <v>25.77</v>
      </c>
      <c r="Q2222">
        <v>20.45</v>
      </c>
      <c r="R2222">
        <v>10.35</v>
      </c>
    </row>
    <row r="2223">
      <c r="A2223" s="9">
        <v>40754</v>
      </c>
      <c r="B2223" s="2" t="inlineStr">
        <is>
          <t xml:space="preserve">2011-07</t>
        </is>
      </c>
      <c r="C2223" s="2" t="inlineStr">
        <is>
          <t xml:space="preserve">2011/12</t>
        </is>
      </c>
      <c r="D2223">
        <v>8.825</v>
      </c>
      <c r="E2223">
        <v>20.97</v>
      </c>
      <c r="F2223">
        <v>25.51</v>
      </c>
      <c r="G2223">
        <v>16.73</v>
      </c>
      <c r="H2223">
        <v>7.79</v>
      </c>
      <c r="I2223">
        <v>15.631</v>
      </c>
      <c r="J2223">
        <v>22.3</v>
      </c>
      <c r="K2223">
        <v>25.95</v>
      </c>
      <c r="L2223">
        <v>20.02</v>
      </c>
      <c r="M2223">
        <v>18.85</v>
      </c>
      <c r="N2223">
        <v>21.154</v>
      </c>
      <c r="O2223">
        <v>22.59</v>
      </c>
      <c r="P2223">
        <v>25.97</v>
      </c>
      <c r="Q2223">
        <v>20.27</v>
      </c>
      <c r="R2223">
        <v>25.42</v>
      </c>
    </row>
    <row r="2224">
      <c r="A2224" s="9">
        <v>40755</v>
      </c>
      <c r="B2224" s="2" t="inlineStr">
        <is>
          <t xml:space="preserve">2011-07</t>
        </is>
      </c>
      <c r="C2224" s="2" t="inlineStr">
        <is>
          <t xml:space="preserve">2011/12</t>
        </is>
      </c>
      <c r="D2224">
        <v>1.927</v>
      </c>
      <c r="E2224">
        <v>21.04</v>
      </c>
      <c r="F2224">
        <v>25.16</v>
      </c>
      <c r="G2224">
        <v>18.13</v>
      </c>
      <c r="H2224">
        <v>5.0</v>
      </c>
      <c r="I2224">
        <v>14.088</v>
      </c>
      <c r="J2224">
        <v>21.04</v>
      </c>
      <c r="K2224">
        <v>23.14</v>
      </c>
      <c r="L2224">
        <v>19.38</v>
      </c>
      <c r="M2224">
        <v>16.74</v>
      </c>
      <c r="N2224">
        <v>4.839</v>
      </c>
      <c r="O2224">
        <v>21.6</v>
      </c>
      <c r="P2224">
        <v>24.12</v>
      </c>
      <c r="Q2224">
        <v>20.26</v>
      </c>
      <c r="R2224">
        <v>24.81</v>
      </c>
    </row>
    <row r="2225">
      <c r="A2225" s="9">
        <v>40756</v>
      </c>
      <c r="B2225" s="2" t="inlineStr">
        <is>
          <t xml:space="preserve">2011-08</t>
        </is>
      </c>
      <c r="C2225" s="2" t="inlineStr">
        <is>
          <t xml:space="preserve">2011/12</t>
        </is>
      </c>
      <c r="D2225">
        <v>22.946</v>
      </c>
      <c r="E2225">
        <v>21.12</v>
      </c>
      <c r="F2225">
        <v>25.54</v>
      </c>
      <c r="G2225">
        <v>17.82</v>
      </c>
      <c r="H2225">
        <v>13.25</v>
      </c>
      <c r="I2225">
        <v>38.904</v>
      </c>
      <c r="J2225">
        <v>21.18</v>
      </c>
      <c r="K2225">
        <v>23.39</v>
      </c>
      <c r="L2225">
        <v>19.48</v>
      </c>
      <c r="M2225">
        <v>19.36</v>
      </c>
      <c r="N2225">
        <v>25.767</v>
      </c>
      <c r="O2225">
        <v>21.63</v>
      </c>
      <c r="P2225">
        <v>24.14</v>
      </c>
      <c r="Q2225">
        <v>19.61</v>
      </c>
      <c r="R2225">
        <v>14.11</v>
      </c>
    </row>
    <row r="2226">
      <c r="A2226" s="9">
        <v>40757</v>
      </c>
      <c r="B2226" s="2" t="inlineStr">
        <is>
          <t xml:space="preserve">2011-08</t>
        </is>
      </c>
      <c r="C2226" s="2" t="inlineStr">
        <is>
          <t xml:space="preserve">2011/12</t>
        </is>
      </c>
      <c r="D2226">
        <v>4.212</v>
      </c>
      <c r="E2226">
        <v>21.96</v>
      </c>
      <c r="F2226">
        <v>26.81</v>
      </c>
      <c r="G2226">
        <v>17.43</v>
      </c>
      <c r="H2226">
        <v>2.83</v>
      </c>
      <c r="I2226">
        <v>1.0</v>
      </c>
      <c r="J2226">
        <v>22.71</v>
      </c>
      <c r="K2226">
        <v>26.7</v>
      </c>
      <c r="L2226">
        <v>19.4</v>
      </c>
      <c r="M2226">
        <v>1.2</v>
      </c>
      <c r="N2226">
        <v>3.538</v>
      </c>
      <c r="O2226">
        <v>23.42</v>
      </c>
      <c r="P2226">
        <v>27.85</v>
      </c>
      <c r="Q2226">
        <v>19.87</v>
      </c>
      <c r="R2226">
        <v>1.96</v>
      </c>
    </row>
    <row r="2227">
      <c r="A2227" s="9">
        <v>40758</v>
      </c>
      <c r="B2227" s="2" t="inlineStr">
        <is>
          <t xml:space="preserve">2011-08</t>
        </is>
      </c>
      <c r="C2227" s="2" t="inlineStr">
        <is>
          <t xml:space="preserve">2011/12</t>
        </is>
      </c>
      <c r="D2227">
        <v>0.944</v>
      </c>
      <c r="E2227">
        <v>22.0</v>
      </c>
      <c r="F2227">
        <v>26.93</v>
      </c>
      <c r="G2227">
        <v>17.83</v>
      </c>
      <c r="H2227">
        <v>6.11</v>
      </c>
      <c r="I2227">
        <v>0.0</v>
      </c>
      <c r="J2227">
        <v>23.26</v>
      </c>
      <c r="K2227">
        <v>27.29</v>
      </c>
      <c r="L2227">
        <v>20.08</v>
      </c>
      <c r="M2227">
        <v>1.07</v>
      </c>
      <c r="N2227">
        <v>0.0</v>
      </c>
      <c r="O2227">
        <v>23.72</v>
      </c>
      <c r="P2227">
        <v>28.32</v>
      </c>
      <c r="Q2227">
        <v>20.69</v>
      </c>
      <c r="R2227">
        <v>0.76</v>
      </c>
    </row>
    <row r="2228">
      <c r="A2228" s="9">
        <v>40759</v>
      </c>
      <c r="B2228" s="2" t="inlineStr">
        <is>
          <t xml:space="preserve">2011-08</t>
        </is>
      </c>
      <c r="C2228" s="2" t="inlineStr">
        <is>
          <t xml:space="preserve">2011/12</t>
        </is>
      </c>
      <c r="D2228">
        <v>8.319</v>
      </c>
      <c r="E2228">
        <v>22.27</v>
      </c>
      <c r="F2228">
        <v>27.32</v>
      </c>
      <c r="G2228">
        <v>18.34</v>
      </c>
      <c r="H2228">
        <v>2.4</v>
      </c>
      <c r="I2228">
        <v>9.051</v>
      </c>
      <c r="J2228">
        <v>23.11</v>
      </c>
      <c r="K2228">
        <v>27.12</v>
      </c>
      <c r="L2228">
        <v>20.12</v>
      </c>
      <c r="M2228">
        <v>3.03</v>
      </c>
      <c r="N2228">
        <v>0.313</v>
      </c>
      <c r="O2228">
        <v>23.08</v>
      </c>
      <c r="P2228">
        <v>27.06</v>
      </c>
      <c r="Q2228">
        <v>20.66</v>
      </c>
      <c r="R2228">
        <v>1.08</v>
      </c>
    </row>
    <row r="2229">
      <c r="A2229" s="9">
        <v>40760</v>
      </c>
      <c r="B2229" s="2" t="inlineStr">
        <is>
          <t xml:space="preserve">2011-08</t>
        </is>
      </c>
      <c r="C2229" s="2" t="inlineStr">
        <is>
          <t xml:space="preserve">2011/12</t>
        </is>
      </c>
      <c r="D2229">
        <v>0.0</v>
      </c>
      <c r="E2229">
        <v>22.59</v>
      </c>
      <c r="F2229">
        <v>27.3</v>
      </c>
      <c r="G2229">
        <v>18.59</v>
      </c>
      <c r="H2229">
        <v>0.05</v>
      </c>
      <c r="I2229">
        <v>0.812</v>
      </c>
      <c r="J2229">
        <v>23.29</v>
      </c>
      <c r="K2229">
        <v>27.72</v>
      </c>
      <c r="L2229">
        <v>18.86</v>
      </c>
      <c r="M2229">
        <v>0.78</v>
      </c>
      <c r="N2229">
        <v>0.04</v>
      </c>
      <c r="O2229">
        <v>23.35</v>
      </c>
      <c r="P2229">
        <v>27.9</v>
      </c>
      <c r="Q2229">
        <v>19.77</v>
      </c>
      <c r="R2229">
        <v>0.16</v>
      </c>
    </row>
    <row r="2230">
      <c r="A2230" s="9">
        <v>40761</v>
      </c>
      <c r="B2230" s="2" t="inlineStr">
        <is>
          <t xml:space="preserve">2011-08</t>
        </is>
      </c>
      <c r="C2230" s="2" t="inlineStr">
        <is>
          <t xml:space="preserve">2011/12</t>
        </is>
      </c>
      <c r="D2230">
        <v>0.709</v>
      </c>
      <c r="E2230">
        <v>22.45</v>
      </c>
      <c r="F2230">
        <v>26.94</v>
      </c>
      <c r="G2230">
        <v>18.61</v>
      </c>
      <c r="H2230">
        <v>2.25</v>
      </c>
      <c r="I2230">
        <v>7.307</v>
      </c>
      <c r="J2230">
        <v>22.96</v>
      </c>
      <c r="K2230">
        <v>26.59</v>
      </c>
      <c r="L2230">
        <v>19.24</v>
      </c>
      <c r="M2230">
        <v>5.0</v>
      </c>
      <c r="N2230">
        <v>0.27</v>
      </c>
      <c r="O2230">
        <v>23.34</v>
      </c>
      <c r="P2230">
        <v>27.28</v>
      </c>
      <c r="Q2230">
        <v>20.37</v>
      </c>
      <c r="R2230">
        <v>1.93</v>
      </c>
    </row>
    <row r="2231">
      <c r="A2231" s="9">
        <v>40762</v>
      </c>
      <c r="B2231" s="2" t="inlineStr">
        <is>
          <t xml:space="preserve">2011-08</t>
        </is>
      </c>
      <c r="C2231" s="2" t="inlineStr">
        <is>
          <t xml:space="preserve">2011/12</t>
        </is>
      </c>
      <c r="D2231">
        <v>4.243</v>
      </c>
      <c r="E2231">
        <v>22.29</v>
      </c>
      <c r="F2231">
        <v>27.15</v>
      </c>
      <c r="G2231">
        <v>18.22</v>
      </c>
      <c r="H2231">
        <v>2.15</v>
      </c>
      <c r="I2231">
        <v>19.452</v>
      </c>
      <c r="J2231">
        <v>23.59</v>
      </c>
      <c r="K2231">
        <v>27.44</v>
      </c>
      <c r="L2231">
        <v>20.82</v>
      </c>
      <c r="M2231">
        <v>7.18</v>
      </c>
      <c r="N2231">
        <v>1.097</v>
      </c>
      <c r="O2231">
        <v>23.86</v>
      </c>
      <c r="P2231">
        <v>27.85</v>
      </c>
      <c r="Q2231">
        <v>21.31</v>
      </c>
      <c r="R2231">
        <v>2.54</v>
      </c>
    </row>
    <row r="2232">
      <c r="A2232" s="9">
        <v>40763</v>
      </c>
      <c r="B2232" s="2" t="inlineStr">
        <is>
          <t xml:space="preserve">2011-08</t>
        </is>
      </c>
      <c r="C2232" s="2" t="inlineStr">
        <is>
          <t xml:space="preserve">2011/12</t>
        </is>
      </c>
      <c r="D2232">
        <v>2.485</v>
      </c>
      <c r="E2232">
        <v>22.54</v>
      </c>
      <c r="F2232">
        <v>28.0</v>
      </c>
      <c r="G2232">
        <v>17.6</v>
      </c>
      <c r="H2232">
        <v>1.91</v>
      </c>
      <c r="I2232">
        <v>3.226</v>
      </c>
      <c r="J2232">
        <v>23.62</v>
      </c>
      <c r="K2232">
        <v>27.76</v>
      </c>
      <c r="L2232">
        <v>20.67</v>
      </c>
      <c r="M2232">
        <v>1.71</v>
      </c>
      <c r="N2232">
        <v>0.154</v>
      </c>
      <c r="O2232">
        <v>23.7</v>
      </c>
      <c r="P2232">
        <v>28.25</v>
      </c>
      <c r="Q2232">
        <v>20.05</v>
      </c>
      <c r="R2232">
        <v>0.58</v>
      </c>
    </row>
    <row r="2233">
      <c r="A2233" s="9">
        <v>40764</v>
      </c>
      <c r="B2233" s="2" t="inlineStr">
        <is>
          <t xml:space="preserve">2011-08</t>
        </is>
      </c>
      <c r="C2233" s="2" t="inlineStr">
        <is>
          <t xml:space="preserve">2011/12</t>
        </is>
      </c>
      <c r="D2233">
        <v>4.343</v>
      </c>
      <c r="E2233">
        <v>23.27</v>
      </c>
      <c r="F2233">
        <v>28.13</v>
      </c>
      <c r="G2233">
        <v>18.96</v>
      </c>
      <c r="H2233">
        <v>4.4</v>
      </c>
      <c r="I2233">
        <v>0.04</v>
      </c>
      <c r="J2233">
        <v>24.01</v>
      </c>
      <c r="K2233">
        <v>28.08</v>
      </c>
      <c r="L2233">
        <v>20.24</v>
      </c>
      <c r="M2233">
        <v>2.16</v>
      </c>
      <c r="N2233">
        <v>0.455</v>
      </c>
      <c r="O2233">
        <v>24.05</v>
      </c>
      <c r="P2233">
        <v>28.57</v>
      </c>
      <c r="Q2233">
        <v>20.66</v>
      </c>
      <c r="R2233">
        <v>2.39</v>
      </c>
    </row>
    <row r="2234">
      <c r="A2234" s="9">
        <v>40765</v>
      </c>
      <c r="B2234" s="2" t="inlineStr">
        <is>
          <t xml:space="preserve">2011-08</t>
        </is>
      </c>
      <c r="C2234" s="2" t="inlineStr">
        <is>
          <t xml:space="preserve">2011/12</t>
        </is>
      </c>
      <c r="D2234">
        <v>23.643</v>
      </c>
      <c r="E2234">
        <v>23.2</v>
      </c>
      <c r="F2234">
        <v>28.12</v>
      </c>
      <c r="G2234">
        <v>18.92</v>
      </c>
      <c r="H2234">
        <v>10.12</v>
      </c>
      <c r="I2234">
        <v>3.289</v>
      </c>
      <c r="J2234">
        <v>23.87</v>
      </c>
      <c r="K2234">
        <v>28.06</v>
      </c>
      <c r="L2234">
        <v>19.49</v>
      </c>
      <c r="M2234">
        <v>4.71</v>
      </c>
      <c r="N2234">
        <v>11.359</v>
      </c>
      <c r="O2234">
        <v>23.94</v>
      </c>
      <c r="P2234">
        <v>28.37</v>
      </c>
      <c r="Q2234">
        <v>20.3</v>
      </c>
      <c r="R2234">
        <v>5.73</v>
      </c>
    </row>
    <row r="2235">
      <c r="A2235" s="9">
        <v>40766</v>
      </c>
      <c r="B2235" s="2" t="inlineStr">
        <is>
          <t xml:space="preserve">2011-08</t>
        </is>
      </c>
      <c r="C2235" s="2" t="inlineStr">
        <is>
          <t xml:space="preserve">2011/12</t>
        </is>
      </c>
      <c r="D2235">
        <v>3.838</v>
      </c>
      <c r="E2235">
        <v>22.78</v>
      </c>
      <c r="F2235">
        <v>27.55</v>
      </c>
      <c r="G2235">
        <v>18.11</v>
      </c>
      <c r="H2235">
        <v>8.88</v>
      </c>
      <c r="I2235">
        <v>1.67</v>
      </c>
      <c r="J2235">
        <v>23.98</v>
      </c>
      <c r="K2235">
        <v>27.55</v>
      </c>
      <c r="L2235">
        <v>21.4</v>
      </c>
      <c r="M2235">
        <v>7.29</v>
      </c>
      <c r="N2235">
        <v>5.316</v>
      </c>
      <c r="O2235">
        <v>24.34</v>
      </c>
      <c r="P2235">
        <v>28.81</v>
      </c>
      <c r="Q2235">
        <v>21.65</v>
      </c>
      <c r="R2235">
        <v>6.58</v>
      </c>
    </row>
    <row r="2236">
      <c r="A2236" s="9">
        <v>40767</v>
      </c>
      <c r="B2236" s="2" t="inlineStr">
        <is>
          <t xml:space="preserve">2011-08</t>
        </is>
      </c>
      <c r="C2236" s="2" t="inlineStr">
        <is>
          <t xml:space="preserve">2011/12</t>
        </is>
      </c>
      <c r="D2236">
        <v>18.641</v>
      </c>
      <c r="E2236">
        <v>22.04</v>
      </c>
      <c r="F2236">
        <v>26.65</v>
      </c>
      <c r="G2236">
        <v>18.75</v>
      </c>
      <c r="H2236">
        <v>6.18</v>
      </c>
      <c r="I2236">
        <v>14.462</v>
      </c>
      <c r="J2236">
        <v>23.61</v>
      </c>
      <c r="K2236">
        <v>27.23</v>
      </c>
      <c r="L2236">
        <v>21.02</v>
      </c>
      <c r="M2236">
        <v>7.37</v>
      </c>
      <c r="N2236">
        <v>5.962</v>
      </c>
      <c r="O2236">
        <v>23.6</v>
      </c>
      <c r="P2236">
        <v>27.09</v>
      </c>
      <c r="Q2236">
        <v>21.33</v>
      </c>
      <c r="R2236">
        <v>4.17</v>
      </c>
    </row>
    <row r="2237">
      <c r="A2237" s="9">
        <v>40768</v>
      </c>
      <c r="B2237" s="2" t="inlineStr">
        <is>
          <t xml:space="preserve">2011-08</t>
        </is>
      </c>
      <c r="C2237" s="2" t="inlineStr">
        <is>
          <t xml:space="preserve">2011/12</t>
        </is>
      </c>
      <c r="D2237">
        <v>20.835</v>
      </c>
      <c r="E2237">
        <v>21.59</v>
      </c>
      <c r="F2237">
        <v>27.03</v>
      </c>
      <c r="G2237">
        <v>17.32</v>
      </c>
      <c r="H2237">
        <v>13.83</v>
      </c>
      <c r="I2237">
        <v>15.417</v>
      </c>
      <c r="J2237">
        <v>23.43</v>
      </c>
      <c r="K2237">
        <v>28.1</v>
      </c>
      <c r="L2237">
        <v>19.94</v>
      </c>
      <c r="M2237">
        <v>16.2</v>
      </c>
      <c r="N2237">
        <v>15.798</v>
      </c>
      <c r="O2237">
        <v>23.29</v>
      </c>
      <c r="P2237">
        <v>27.51</v>
      </c>
      <c r="Q2237">
        <v>20.09</v>
      </c>
      <c r="R2237">
        <v>12.92</v>
      </c>
    </row>
    <row r="2238">
      <c r="A2238" s="9">
        <v>40769</v>
      </c>
      <c r="B2238" s="2" t="inlineStr">
        <is>
          <t xml:space="preserve">2011-08</t>
        </is>
      </c>
      <c r="C2238" s="2" t="inlineStr">
        <is>
          <t xml:space="preserve">2011/12</t>
        </is>
      </c>
      <c r="D2238">
        <v>10.439</v>
      </c>
      <c r="E2238">
        <v>20.04</v>
      </c>
      <c r="F2238">
        <v>24.4</v>
      </c>
      <c r="G2238">
        <v>16.94</v>
      </c>
      <c r="H2238">
        <v>6.21</v>
      </c>
      <c r="I2238">
        <v>20.159</v>
      </c>
      <c r="J2238">
        <v>21.95</v>
      </c>
      <c r="K2238">
        <v>25.49</v>
      </c>
      <c r="L2238">
        <v>19.0</v>
      </c>
      <c r="M2238">
        <v>10.19</v>
      </c>
      <c r="N2238">
        <v>10.643</v>
      </c>
      <c r="O2238">
        <v>22.2</v>
      </c>
      <c r="P2238">
        <v>26.04</v>
      </c>
      <c r="Q2238">
        <v>20.06</v>
      </c>
      <c r="R2238">
        <v>6.86</v>
      </c>
    </row>
    <row r="2239">
      <c r="A2239" s="9">
        <v>40770</v>
      </c>
      <c r="B2239" s="2" t="inlineStr">
        <is>
          <t xml:space="preserve">2011-08</t>
        </is>
      </c>
      <c r="C2239" s="2" t="inlineStr">
        <is>
          <t xml:space="preserve">2011/12</t>
        </is>
      </c>
      <c r="D2239">
        <v>2.602</v>
      </c>
      <c r="E2239">
        <v>21.66</v>
      </c>
      <c r="F2239">
        <v>27.48</v>
      </c>
      <c r="G2239">
        <v>16.52</v>
      </c>
      <c r="H2239">
        <v>1.51</v>
      </c>
      <c r="I2239">
        <v>3.49</v>
      </c>
      <c r="J2239">
        <v>22.7</v>
      </c>
      <c r="K2239">
        <v>27.15</v>
      </c>
      <c r="L2239">
        <v>18.84</v>
      </c>
      <c r="M2239">
        <v>1.3</v>
      </c>
      <c r="N2239">
        <v>0.174</v>
      </c>
      <c r="O2239">
        <v>22.94</v>
      </c>
      <c r="P2239">
        <v>28.1</v>
      </c>
      <c r="Q2239">
        <v>18.76</v>
      </c>
      <c r="R2239">
        <v>0.81</v>
      </c>
    </row>
    <row r="2240">
      <c r="A2240" s="9">
        <v>40771</v>
      </c>
      <c r="B2240" s="2" t="inlineStr">
        <is>
          <t xml:space="preserve">2011-08</t>
        </is>
      </c>
      <c r="C2240" s="2" t="inlineStr">
        <is>
          <t xml:space="preserve">2011/12</t>
        </is>
      </c>
      <c r="D2240">
        <v>0.241</v>
      </c>
      <c r="E2240">
        <v>21.9</v>
      </c>
      <c r="F2240">
        <v>26.61</v>
      </c>
      <c r="G2240">
        <v>17.35</v>
      </c>
      <c r="H2240">
        <v>1.15</v>
      </c>
      <c r="I2240">
        <v>0.0</v>
      </c>
      <c r="J2240">
        <v>22.74</v>
      </c>
      <c r="K2240">
        <v>26.77</v>
      </c>
      <c r="L2240">
        <v>18.67</v>
      </c>
      <c r="M2240">
        <v>0.74</v>
      </c>
      <c r="N2240">
        <v>0.0</v>
      </c>
      <c r="O2240">
        <v>23.27</v>
      </c>
      <c r="P2240">
        <v>27.79</v>
      </c>
      <c r="Q2240">
        <v>19.97</v>
      </c>
      <c r="R2240">
        <v>0.51</v>
      </c>
    </row>
    <row r="2241">
      <c r="A2241" s="9">
        <v>40772</v>
      </c>
      <c r="B2241" s="2" t="inlineStr">
        <is>
          <t xml:space="preserve">2011-08</t>
        </is>
      </c>
      <c r="C2241" s="2" t="inlineStr">
        <is>
          <t xml:space="preserve">2011/12</t>
        </is>
      </c>
      <c r="D2241">
        <v>6.347</v>
      </c>
      <c r="E2241">
        <v>22.34</v>
      </c>
      <c r="F2241">
        <v>27.73</v>
      </c>
      <c r="G2241">
        <v>18.09</v>
      </c>
      <c r="H2241">
        <v>3.16</v>
      </c>
      <c r="I2241">
        <v>4.81</v>
      </c>
      <c r="J2241">
        <v>22.56</v>
      </c>
      <c r="K2241">
        <v>25.98</v>
      </c>
      <c r="L2241">
        <v>19.73</v>
      </c>
      <c r="M2241">
        <v>2.58</v>
      </c>
      <c r="N2241">
        <v>0.184</v>
      </c>
      <c r="O2241">
        <v>22.74</v>
      </c>
      <c r="P2241">
        <v>26.1</v>
      </c>
      <c r="Q2241">
        <v>20.48</v>
      </c>
      <c r="R2241">
        <v>2.09</v>
      </c>
    </row>
    <row r="2242">
      <c r="A2242" s="9">
        <v>40773</v>
      </c>
      <c r="B2242" s="2" t="inlineStr">
        <is>
          <t xml:space="preserve">2011-08</t>
        </is>
      </c>
      <c r="C2242" s="2" t="inlineStr">
        <is>
          <t xml:space="preserve">2011/12</t>
        </is>
      </c>
      <c r="D2242">
        <v>0.141</v>
      </c>
      <c r="E2242">
        <v>22.29</v>
      </c>
      <c r="F2242">
        <v>27.36</v>
      </c>
      <c r="G2242">
        <v>18.32</v>
      </c>
      <c r="H2242">
        <v>1.4</v>
      </c>
      <c r="I2242">
        <v>3.95</v>
      </c>
      <c r="J2242">
        <v>22.44</v>
      </c>
      <c r="K2242">
        <v>26.89</v>
      </c>
      <c r="L2242">
        <v>18.61</v>
      </c>
      <c r="M2242">
        <v>1.75</v>
      </c>
      <c r="N2242">
        <v>0.478</v>
      </c>
      <c r="O2242">
        <v>22.9</v>
      </c>
      <c r="P2242">
        <v>27.31</v>
      </c>
      <c r="Q2242">
        <v>20.01</v>
      </c>
      <c r="R2242">
        <v>1.84</v>
      </c>
    </row>
    <row r="2243">
      <c r="A2243" s="9">
        <v>40774</v>
      </c>
      <c r="B2243" s="2" t="inlineStr">
        <is>
          <t xml:space="preserve">2011-08</t>
        </is>
      </c>
      <c r="C2243" s="2" t="inlineStr">
        <is>
          <t xml:space="preserve">2011/12</t>
        </is>
      </c>
      <c r="D2243">
        <v>0.0</v>
      </c>
      <c r="E2243">
        <v>21.83</v>
      </c>
      <c r="F2243">
        <v>26.61</v>
      </c>
      <c r="G2243">
        <v>18.63</v>
      </c>
      <c r="H2243">
        <v>4.17</v>
      </c>
      <c r="I2243">
        <v>0.0</v>
      </c>
      <c r="J2243">
        <v>22.68</v>
      </c>
      <c r="K2243">
        <v>27.07</v>
      </c>
      <c r="L2243">
        <v>18.74</v>
      </c>
      <c r="M2243">
        <v>1.67</v>
      </c>
      <c r="N2243">
        <v>0.0</v>
      </c>
      <c r="O2243">
        <v>22.68</v>
      </c>
      <c r="P2243">
        <v>27.09</v>
      </c>
      <c r="Q2243">
        <v>19.58</v>
      </c>
      <c r="R2243">
        <v>2.46</v>
      </c>
    </row>
    <row r="2244">
      <c r="A2244" s="9">
        <v>40775</v>
      </c>
      <c r="B2244" s="2" t="inlineStr">
        <is>
          <t xml:space="preserve">2011-08</t>
        </is>
      </c>
      <c r="C2244" s="2" t="inlineStr">
        <is>
          <t xml:space="preserve">2011/12</t>
        </is>
      </c>
      <c r="D2244">
        <v>8.926</v>
      </c>
      <c r="E2244">
        <v>21.3</v>
      </c>
      <c r="F2244">
        <v>25.16</v>
      </c>
      <c r="G2244">
        <v>18.32</v>
      </c>
      <c r="H2244">
        <v>7.71</v>
      </c>
      <c r="I2244">
        <v>5.043</v>
      </c>
      <c r="J2244">
        <v>22.17</v>
      </c>
      <c r="K2244">
        <v>26.18</v>
      </c>
      <c r="L2244">
        <v>19.27</v>
      </c>
      <c r="M2244">
        <v>5.41</v>
      </c>
      <c r="N2244">
        <v>3.084</v>
      </c>
      <c r="O2244">
        <v>22.54</v>
      </c>
      <c r="P2244">
        <v>26.15</v>
      </c>
      <c r="Q2244">
        <v>19.91</v>
      </c>
      <c r="R2244">
        <v>6.34</v>
      </c>
    </row>
    <row r="2245">
      <c r="A2245" s="9">
        <v>40776</v>
      </c>
      <c r="B2245" s="2" t="inlineStr">
        <is>
          <t xml:space="preserve">2011-08</t>
        </is>
      </c>
      <c r="C2245" s="2" t="inlineStr">
        <is>
          <t xml:space="preserve">2011/12</t>
        </is>
      </c>
      <c r="D2245">
        <v>0.059</v>
      </c>
      <c r="E2245">
        <v>22.11</v>
      </c>
      <c r="F2245">
        <v>26.54</v>
      </c>
      <c r="G2245">
        <v>18.4</v>
      </c>
      <c r="H2245">
        <v>2.43</v>
      </c>
      <c r="I2245">
        <v>0.165</v>
      </c>
      <c r="J2245">
        <v>22.28</v>
      </c>
      <c r="K2245">
        <v>26.92</v>
      </c>
      <c r="L2245">
        <v>18.35</v>
      </c>
      <c r="M2245">
        <v>1.3</v>
      </c>
      <c r="N2245">
        <v>0.582</v>
      </c>
      <c r="O2245">
        <v>22.96</v>
      </c>
      <c r="P2245">
        <v>27.79</v>
      </c>
      <c r="Q2245">
        <v>18.63</v>
      </c>
      <c r="R2245">
        <v>2.04</v>
      </c>
    </row>
    <row r="2246">
      <c r="A2246" s="9">
        <v>40777</v>
      </c>
      <c r="B2246" s="2" t="inlineStr">
        <is>
          <t xml:space="preserve">2011-08</t>
        </is>
      </c>
      <c r="C2246" s="2" t="inlineStr">
        <is>
          <t xml:space="preserve">2011/12</t>
        </is>
      </c>
      <c r="D2246">
        <v>7.451</v>
      </c>
      <c r="E2246">
        <v>22.48</v>
      </c>
      <c r="F2246">
        <v>26.56</v>
      </c>
      <c r="G2246">
        <v>18.86</v>
      </c>
      <c r="H2246">
        <v>7.5</v>
      </c>
      <c r="I2246">
        <v>2.548</v>
      </c>
      <c r="J2246">
        <v>22.75</v>
      </c>
      <c r="K2246">
        <v>26.8</v>
      </c>
      <c r="L2246">
        <v>19.29</v>
      </c>
      <c r="M2246">
        <v>10.28</v>
      </c>
      <c r="N2246">
        <v>8.269</v>
      </c>
      <c r="O2246">
        <v>22.95</v>
      </c>
      <c r="P2246">
        <v>25.75</v>
      </c>
      <c r="Q2246">
        <v>20.82</v>
      </c>
      <c r="R2246">
        <v>7.73</v>
      </c>
    </row>
    <row r="2247">
      <c r="A2247" s="9">
        <v>40778</v>
      </c>
      <c r="B2247" s="2" t="inlineStr">
        <is>
          <t xml:space="preserve">2011-08</t>
        </is>
      </c>
      <c r="C2247" s="2" t="inlineStr">
        <is>
          <t xml:space="preserve">2011/12</t>
        </is>
      </c>
      <c r="D2247">
        <v>5.394</v>
      </c>
      <c r="E2247">
        <v>22.46</v>
      </c>
      <c r="F2247">
        <v>26.98</v>
      </c>
      <c r="G2247">
        <v>19.16</v>
      </c>
      <c r="H2247">
        <v>7.57</v>
      </c>
      <c r="I2247">
        <v>14.514</v>
      </c>
      <c r="J2247">
        <v>22.06</v>
      </c>
      <c r="K2247">
        <v>25.23</v>
      </c>
      <c r="L2247">
        <v>19.85</v>
      </c>
      <c r="M2247">
        <v>8.93</v>
      </c>
      <c r="N2247">
        <v>11.309</v>
      </c>
      <c r="O2247">
        <v>22.38</v>
      </c>
      <c r="P2247">
        <v>25.73</v>
      </c>
      <c r="Q2247">
        <v>20.44</v>
      </c>
      <c r="R2247">
        <v>6.93</v>
      </c>
    </row>
    <row r="2248">
      <c r="A2248" s="9">
        <v>40779</v>
      </c>
      <c r="B2248" s="2" t="inlineStr">
        <is>
          <t xml:space="preserve">2011-08</t>
        </is>
      </c>
      <c r="C2248" s="2" t="inlineStr">
        <is>
          <t xml:space="preserve">2011/12</t>
        </is>
      </c>
      <c r="D2248">
        <v>12.108</v>
      </c>
      <c r="E2248">
        <v>22.39</v>
      </c>
      <c r="F2248">
        <v>26.73</v>
      </c>
      <c r="G2248">
        <v>19.22</v>
      </c>
      <c r="H2248">
        <v>7.05</v>
      </c>
      <c r="I2248">
        <v>9.495</v>
      </c>
      <c r="J2248">
        <v>21.72</v>
      </c>
      <c r="K2248">
        <v>25.4</v>
      </c>
      <c r="L2248">
        <v>18.97</v>
      </c>
      <c r="M2248">
        <v>7.4</v>
      </c>
      <c r="N2248">
        <v>4.038</v>
      </c>
      <c r="O2248">
        <v>23.04</v>
      </c>
      <c r="P2248">
        <v>27.1</v>
      </c>
      <c r="Q2248">
        <v>20.1</v>
      </c>
      <c r="R2248">
        <v>7.61</v>
      </c>
    </row>
    <row r="2249">
      <c r="A2249" s="9">
        <v>40780</v>
      </c>
      <c r="B2249" s="2" t="inlineStr">
        <is>
          <t xml:space="preserve">2011-08</t>
        </is>
      </c>
      <c r="C2249" s="2" t="inlineStr">
        <is>
          <t xml:space="preserve">2011/12</t>
        </is>
      </c>
      <c r="D2249">
        <v>0.319</v>
      </c>
      <c r="E2249">
        <v>22.45</v>
      </c>
      <c r="F2249">
        <v>26.43</v>
      </c>
      <c r="G2249">
        <v>18.86</v>
      </c>
      <c r="H2249">
        <v>3.2</v>
      </c>
      <c r="I2249">
        <v>8.471</v>
      </c>
      <c r="J2249">
        <v>22.37</v>
      </c>
      <c r="K2249">
        <v>26.19</v>
      </c>
      <c r="L2249">
        <v>19.37</v>
      </c>
      <c r="M2249">
        <v>8.51</v>
      </c>
      <c r="N2249">
        <v>24.645</v>
      </c>
      <c r="O2249">
        <v>23.25</v>
      </c>
      <c r="P2249">
        <v>26.83</v>
      </c>
      <c r="Q2249">
        <v>20.58</v>
      </c>
      <c r="R2249">
        <v>9.78</v>
      </c>
    </row>
    <row r="2250">
      <c r="A2250" s="9">
        <v>40781</v>
      </c>
      <c r="B2250" s="2" t="inlineStr">
        <is>
          <t xml:space="preserve">2011-08</t>
        </is>
      </c>
      <c r="C2250" s="2" t="inlineStr">
        <is>
          <t xml:space="preserve">2011/12</t>
        </is>
      </c>
      <c r="D2250">
        <v>5.298</v>
      </c>
      <c r="E2250">
        <v>21.38</v>
      </c>
      <c r="F2250">
        <v>24.05</v>
      </c>
      <c r="G2250">
        <v>18.78</v>
      </c>
      <c r="H2250">
        <v>3.34</v>
      </c>
      <c r="I2250">
        <v>1.24</v>
      </c>
      <c r="J2250">
        <v>21.57</v>
      </c>
      <c r="K2250">
        <v>25.29</v>
      </c>
      <c r="L2250">
        <v>18.99</v>
      </c>
      <c r="M2250">
        <v>4.62</v>
      </c>
      <c r="N2250">
        <v>1.32</v>
      </c>
      <c r="O2250">
        <v>22.4</v>
      </c>
      <c r="P2250">
        <v>25.56</v>
      </c>
      <c r="Q2250">
        <v>19.99</v>
      </c>
      <c r="R2250">
        <v>3.55</v>
      </c>
    </row>
    <row r="2251">
      <c r="A2251" s="9">
        <v>40782</v>
      </c>
      <c r="B2251" s="2" t="inlineStr">
        <is>
          <t xml:space="preserve">2011-08</t>
        </is>
      </c>
      <c r="C2251" s="2" t="inlineStr">
        <is>
          <t xml:space="preserve">2011/12</t>
        </is>
      </c>
      <c r="D2251">
        <v>0.709</v>
      </c>
      <c r="E2251">
        <v>22.46</v>
      </c>
      <c r="F2251">
        <v>27.41</v>
      </c>
      <c r="G2251">
        <v>18.08</v>
      </c>
      <c r="H2251">
        <v>1.12</v>
      </c>
      <c r="I2251">
        <v>12.066</v>
      </c>
      <c r="J2251">
        <v>22.09</v>
      </c>
      <c r="K2251">
        <v>26.1</v>
      </c>
      <c r="L2251">
        <v>19.17</v>
      </c>
      <c r="M2251">
        <v>6.72</v>
      </c>
      <c r="N2251">
        <v>11.031</v>
      </c>
      <c r="O2251">
        <v>23.2</v>
      </c>
      <c r="P2251">
        <v>27.88</v>
      </c>
      <c r="Q2251">
        <v>18.95</v>
      </c>
      <c r="R2251">
        <v>4.89</v>
      </c>
    </row>
    <row r="2252">
      <c r="A2252" s="9">
        <v>40783</v>
      </c>
      <c r="B2252" s="2" t="inlineStr">
        <is>
          <t xml:space="preserve">2011-08</t>
        </is>
      </c>
      <c r="C2252" s="2" t="inlineStr">
        <is>
          <t xml:space="preserve">2011/12</t>
        </is>
      </c>
      <c r="D2252">
        <v>0.049</v>
      </c>
      <c r="E2252">
        <v>22.64</v>
      </c>
      <c r="F2252">
        <v>27.22</v>
      </c>
      <c r="G2252">
        <v>19.04</v>
      </c>
      <c r="H2252">
        <v>6.87</v>
      </c>
      <c r="I2252">
        <v>0.0</v>
      </c>
      <c r="J2252">
        <v>22.82</v>
      </c>
      <c r="K2252">
        <v>27.58</v>
      </c>
      <c r="L2252">
        <v>19.6</v>
      </c>
      <c r="M2252">
        <v>8.84</v>
      </c>
      <c r="N2252">
        <v>0.305</v>
      </c>
      <c r="O2252">
        <v>22.74</v>
      </c>
      <c r="P2252">
        <v>26.44</v>
      </c>
      <c r="Q2252">
        <v>19.98</v>
      </c>
      <c r="R2252">
        <v>6.91</v>
      </c>
    </row>
    <row r="2253">
      <c r="A2253" s="9">
        <v>40784</v>
      </c>
      <c r="B2253" s="2" t="inlineStr">
        <is>
          <t xml:space="preserve">2011-08</t>
        </is>
      </c>
      <c r="C2253" s="2" t="inlineStr">
        <is>
          <t xml:space="preserve">2011/12</t>
        </is>
      </c>
      <c r="D2253">
        <v>3.867</v>
      </c>
      <c r="E2253">
        <v>22.13</v>
      </c>
      <c r="F2253">
        <v>26.61</v>
      </c>
      <c r="G2253">
        <v>19.49</v>
      </c>
      <c r="H2253">
        <v>7.23</v>
      </c>
      <c r="I2253">
        <v>53.347</v>
      </c>
      <c r="J2253">
        <v>22.3</v>
      </c>
      <c r="K2253">
        <v>26.2</v>
      </c>
      <c r="L2253">
        <v>19.17</v>
      </c>
      <c r="M2253">
        <v>23.36</v>
      </c>
      <c r="N2253">
        <v>19.677</v>
      </c>
      <c r="O2253">
        <v>23.03</v>
      </c>
      <c r="P2253">
        <v>27.12</v>
      </c>
      <c r="Q2253">
        <v>19.85</v>
      </c>
      <c r="R2253">
        <v>14.46</v>
      </c>
    </row>
    <row r="2254">
      <c r="A2254" s="9">
        <v>40785</v>
      </c>
      <c r="B2254" s="2" t="inlineStr">
        <is>
          <t xml:space="preserve">2011-08</t>
        </is>
      </c>
      <c r="C2254" s="2" t="inlineStr">
        <is>
          <t xml:space="preserve">2011/12</t>
        </is>
      </c>
      <c r="D2254">
        <v>11.96</v>
      </c>
      <c r="E2254">
        <v>22.1</v>
      </c>
      <c r="F2254">
        <v>26.63</v>
      </c>
      <c r="G2254">
        <v>18.95</v>
      </c>
      <c r="H2254">
        <v>7.04</v>
      </c>
      <c r="I2254">
        <v>2.838</v>
      </c>
      <c r="J2254">
        <v>21.66</v>
      </c>
      <c r="K2254">
        <v>25.05</v>
      </c>
      <c r="L2254">
        <v>19.34</v>
      </c>
      <c r="M2254">
        <v>3.13</v>
      </c>
      <c r="N2254">
        <v>0.336</v>
      </c>
      <c r="O2254">
        <v>22.84</v>
      </c>
      <c r="P2254">
        <v>26.48</v>
      </c>
      <c r="Q2254">
        <v>20.66</v>
      </c>
      <c r="R2254">
        <v>2.3</v>
      </c>
    </row>
    <row r="2255">
      <c r="A2255" s="9">
        <v>40786</v>
      </c>
      <c r="B2255" s="2" t="inlineStr">
        <is>
          <t xml:space="preserve">2011-08</t>
        </is>
      </c>
      <c r="C2255" s="2" t="inlineStr">
        <is>
          <t xml:space="preserve">2011/12</t>
        </is>
      </c>
      <c r="D2255">
        <v>5.588</v>
      </c>
      <c r="E2255">
        <v>21.64</v>
      </c>
      <c r="F2255">
        <v>25.55</v>
      </c>
      <c r="G2255">
        <v>18.75</v>
      </c>
      <c r="H2255">
        <v>4.24</v>
      </c>
      <c r="I2255">
        <v>0.937</v>
      </c>
      <c r="J2255">
        <v>21.92</v>
      </c>
      <c r="K2255">
        <v>26.5</v>
      </c>
      <c r="L2255">
        <v>19.16</v>
      </c>
      <c r="M2255">
        <v>1.77</v>
      </c>
      <c r="N2255">
        <v>3.0</v>
      </c>
      <c r="O2255">
        <v>23.04</v>
      </c>
      <c r="P2255">
        <v>28.11</v>
      </c>
      <c r="Q2255">
        <v>19.34</v>
      </c>
      <c r="R2255">
        <v>1.98</v>
      </c>
    </row>
    <row r="2256">
      <c r="A2256" s="9">
        <v>40787</v>
      </c>
      <c r="B2256" s="2" t="inlineStr">
        <is>
          <t xml:space="preserve">2011-09</t>
        </is>
      </c>
      <c r="C2256" s="2" t="inlineStr">
        <is>
          <t xml:space="preserve">2011/12</t>
        </is>
      </c>
      <c r="D2256">
        <v>7.848</v>
      </c>
      <c r="E2256">
        <v>22.57</v>
      </c>
      <c r="F2256">
        <v>26.96</v>
      </c>
      <c r="G2256">
        <v>18.96</v>
      </c>
      <c r="H2256">
        <v>4.87</v>
      </c>
      <c r="I2256">
        <v>0.686</v>
      </c>
      <c r="J2256">
        <v>22.09</v>
      </c>
      <c r="K2256">
        <v>26.16</v>
      </c>
      <c r="L2256">
        <v>18.61</v>
      </c>
      <c r="M2256">
        <v>4.1</v>
      </c>
      <c r="N2256">
        <v>2.745</v>
      </c>
      <c r="O2256">
        <v>23.29</v>
      </c>
      <c r="P2256">
        <v>27.02</v>
      </c>
      <c r="Q2256">
        <v>19.92</v>
      </c>
      <c r="R2256">
        <v>3.97</v>
      </c>
    </row>
    <row r="2257">
      <c r="A2257" s="9">
        <v>40788</v>
      </c>
      <c r="B2257" s="2" t="inlineStr">
        <is>
          <t xml:space="preserve">2011-09</t>
        </is>
      </c>
      <c r="C2257" s="2" t="inlineStr">
        <is>
          <t xml:space="preserve">2011/12</t>
        </is>
      </c>
      <c r="D2257">
        <v>1.704</v>
      </c>
      <c r="E2257">
        <v>22.49</v>
      </c>
      <c r="F2257">
        <v>27.55</v>
      </c>
      <c r="G2257">
        <v>18.43</v>
      </c>
      <c r="H2257">
        <v>1.4</v>
      </c>
      <c r="I2257">
        <v>2.316</v>
      </c>
      <c r="J2257">
        <v>22.46</v>
      </c>
      <c r="K2257">
        <v>26.91</v>
      </c>
      <c r="L2257">
        <v>19.37</v>
      </c>
      <c r="M2257">
        <v>2.48</v>
      </c>
      <c r="N2257">
        <v>8.294</v>
      </c>
      <c r="O2257">
        <v>23.49</v>
      </c>
      <c r="P2257">
        <v>28.51</v>
      </c>
      <c r="Q2257">
        <v>19.68</v>
      </c>
      <c r="R2257">
        <v>3.23</v>
      </c>
    </row>
    <row r="2258">
      <c r="A2258" s="9">
        <v>40789</v>
      </c>
      <c r="B2258" s="2" t="inlineStr">
        <is>
          <t xml:space="preserve">2011-09</t>
        </is>
      </c>
      <c r="C2258" s="2" t="inlineStr">
        <is>
          <t xml:space="preserve">2011/12</t>
        </is>
      </c>
      <c r="D2258">
        <v>0.705</v>
      </c>
      <c r="E2258">
        <v>21.86</v>
      </c>
      <c r="F2258">
        <v>26.33</v>
      </c>
      <c r="G2258">
        <v>17.69</v>
      </c>
      <c r="H2258">
        <v>2.94</v>
      </c>
      <c r="I2258">
        <v>1.512</v>
      </c>
      <c r="J2258">
        <v>22.12</v>
      </c>
      <c r="K2258">
        <v>26.13</v>
      </c>
      <c r="L2258">
        <v>19.21</v>
      </c>
      <c r="M2258">
        <v>1.16</v>
      </c>
      <c r="N2258">
        <v>0.6</v>
      </c>
      <c r="O2258">
        <v>23.53</v>
      </c>
      <c r="P2258">
        <v>28.25</v>
      </c>
      <c r="Q2258">
        <v>19.46</v>
      </c>
      <c r="R2258">
        <v>1.18</v>
      </c>
    </row>
    <row r="2259">
      <c r="A2259" s="9">
        <v>40790</v>
      </c>
      <c r="B2259" s="2" t="inlineStr">
        <is>
          <t xml:space="preserve">2011-09</t>
        </is>
      </c>
      <c r="C2259" s="2" t="inlineStr">
        <is>
          <t xml:space="preserve">2011/12</t>
        </is>
      </c>
      <c r="D2259">
        <v>0.187</v>
      </c>
      <c r="E2259">
        <v>21.71</v>
      </c>
      <c r="F2259">
        <v>25.84</v>
      </c>
      <c r="G2259">
        <v>18.28</v>
      </c>
      <c r="H2259">
        <v>1.67</v>
      </c>
      <c r="I2259">
        <v>0.135</v>
      </c>
      <c r="J2259">
        <v>20.93</v>
      </c>
      <c r="K2259">
        <v>23.46</v>
      </c>
      <c r="L2259">
        <v>19.29</v>
      </c>
      <c r="M2259">
        <v>0.83</v>
      </c>
      <c r="N2259">
        <v>0.184</v>
      </c>
      <c r="O2259">
        <v>22.73</v>
      </c>
      <c r="P2259">
        <v>26.77</v>
      </c>
      <c r="Q2259">
        <v>20.17</v>
      </c>
      <c r="R2259">
        <v>0.27</v>
      </c>
    </row>
    <row r="2260">
      <c r="A2260" s="9">
        <v>40791</v>
      </c>
      <c r="B2260" s="2" t="inlineStr">
        <is>
          <t xml:space="preserve">2011-09</t>
        </is>
      </c>
      <c r="C2260" s="2" t="inlineStr">
        <is>
          <t xml:space="preserve">2011/12</t>
        </is>
      </c>
      <c r="D2260">
        <v>3.107</v>
      </c>
      <c r="E2260">
        <v>21.26</v>
      </c>
      <c r="F2260">
        <v>25.14</v>
      </c>
      <c r="G2260">
        <v>18.56</v>
      </c>
      <c r="H2260">
        <v>5.8</v>
      </c>
      <c r="I2260">
        <v>3.517</v>
      </c>
      <c r="J2260">
        <v>21.23</v>
      </c>
      <c r="K2260">
        <v>24.62</v>
      </c>
      <c r="L2260">
        <v>18.96</v>
      </c>
      <c r="M2260">
        <v>3.2</v>
      </c>
      <c r="N2260">
        <v>0.174</v>
      </c>
      <c r="O2260">
        <v>22.13</v>
      </c>
      <c r="P2260">
        <v>26.18</v>
      </c>
      <c r="Q2260">
        <v>19.67</v>
      </c>
      <c r="R2260">
        <v>1.97</v>
      </c>
    </row>
    <row r="2261">
      <c r="A2261" s="9">
        <v>40792</v>
      </c>
      <c r="B2261" s="2" t="inlineStr">
        <is>
          <t xml:space="preserve">2011-09</t>
        </is>
      </c>
      <c r="C2261" s="2" t="inlineStr">
        <is>
          <t xml:space="preserve">2011/12</t>
        </is>
      </c>
      <c r="D2261">
        <v>2.096</v>
      </c>
      <c r="E2261">
        <v>21.83</v>
      </c>
      <c r="F2261">
        <v>26.07</v>
      </c>
      <c r="G2261">
        <v>17.58</v>
      </c>
      <c r="H2261">
        <v>2.86</v>
      </c>
      <c r="I2261">
        <v>0.046</v>
      </c>
      <c r="J2261">
        <v>21.19</v>
      </c>
      <c r="K2261">
        <v>24.93</v>
      </c>
      <c r="L2261">
        <v>18.19</v>
      </c>
      <c r="M2261">
        <v>1.2</v>
      </c>
      <c r="N2261">
        <v>0.805</v>
      </c>
      <c r="O2261">
        <v>22.25</v>
      </c>
      <c r="P2261">
        <v>26.54</v>
      </c>
      <c r="Q2261">
        <v>18.74</v>
      </c>
      <c r="R2261">
        <v>2.55</v>
      </c>
    </row>
    <row r="2262">
      <c r="A2262" s="9">
        <v>40793</v>
      </c>
      <c r="B2262" s="2" t="inlineStr">
        <is>
          <t xml:space="preserve">2011-09</t>
        </is>
      </c>
      <c r="C2262" s="2" t="inlineStr">
        <is>
          <t xml:space="preserve">2011/12</t>
        </is>
      </c>
      <c r="D2262">
        <v>0.511</v>
      </c>
      <c r="E2262">
        <v>22.35</v>
      </c>
      <c r="F2262">
        <v>25.49</v>
      </c>
      <c r="G2262">
        <v>19.05</v>
      </c>
      <c r="H2262">
        <v>2.45</v>
      </c>
      <c r="I2262">
        <v>0.042</v>
      </c>
      <c r="J2262">
        <v>22.37</v>
      </c>
      <c r="K2262">
        <v>26.69</v>
      </c>
      <c r="L2262">
        <v>18.61</v>
      </c>
      <c r="M2262">
        <v>2.19</v>
      </c>
      <c r="N2262">
        <v>2.876</v>
      </c>
      <c r="O2262">
        <v>22.74</v>
      </c>
      <c r="P2262">
        <v>26.71</v>
      </c>
      <c r="Q2262">
        <v>19.28</v>
      </c>
      <c r="R2262">
        <v>4.73</v>
      </c>
    </row>
    <row r="2263">
      <c r="A2263" s="9">
        <v>40794</v>
      </c>
      <c r="B2263" s="2" t="inlineStr">
        <is>
          <t xml:space="preserve">2011-09</t>
        </is>
      </c>
      <c r="C2263" s="2" t="inlineStr">
        <is>
          <t xml:space="preserve">2011/12</t>
        </is>
      </c>
      <c r="D2263">
        <v>0.729</v>
      </c>
      <c r="E2263">
        <v>22.45</v>
      </c>
      <c r="F2263">
        <v>25.95</v>
      </c>
      <c r="G2263">
        <v>19.43</v>
      </c>
      <c r="H2263">
        <v>4.19</v>
      </c>
      <c r="I2263">
        <v>0.06</v>
      </c>
      <c r="J2263">
        <v>22.46</v>
      </c>
      <c r="K2263">
        <v>27.29</v>
      </c>
      <c r="L2263">
        <v>18.92</v>
      </c>
      <c r="M2263">
        <v>2.21</v>
      </c>
      <c r="N2263">
        <v>4.287</v>
      </c>
      <c r="O2263">
        <v>23.26</v>
      </c>
      <c r="P2263">
        <v>27.49</v>
      </c>
      <c r="Q2263">
        <v>19.89</v>
      </c>
      <c r="R2263">
        <v>5.14</v>
      </c>
    </row>
    <row r="2264">
      <c r="A2264" s="9">
        <v>40795</v>
      </c>
      <c r="B2264" s="2" t="inlineStr">
        <is>
          <t xml:space="preserve">2011-09</t>
        </is>
      </c>
      <c r="C2264" s="2" t="inlineStr">
        <is>
          <t xml:space="preserve">2011/12</t>
        </is>
      </c>
      <c r="D2264">
        <v>11.981</v>
      </c>
      <c r="E2264">
        <v>22.01</v>
      </c>
      <c r="F2264">
        <v>27.42</v>
      </c>
      <c r="G2264">
        <v>17.16</v>
      </c>
      <c r="H2264">
        <v>3.89</v>
      </c>
      <c r="I2264">
        <v>0.086</v>
      </c>
      <c r="J2264">
        <v>22.14</v>
      </c>
      <c r="K2264">
        <v>26.66</v>
      </c>
      <c r="L2264">
        <v>18.63</v>
      </c>
      <c r="M2264">
        <v>1.39</v>
      </c>
      <c r="N2264">
        <v>1.556</v>
      </c>
      <c r="O2264">
        <v>22.79</v>
      </c>
      <c r="P2264">
        <v>26.88</v>
      </c>
      <c r="Q2264">
        <v>19.5</v>
      </c>
      <c r="R2264">
        <v>4.4</v>
      </c>
    </row>
    <row r="2265">
      <c r="A2265" s="9">
        <v>40796</v>
      </c>
      <c r="B2265" s="2" t="inlineStr">
        <is>
          <t xml:space="preserve">2011-09</t>
        </is>
      </c>
      <c r="C2265" s="2" t="inlineStr">
        <is>
          <t xml:space="preserve">2011/12</t>
        </is>
      </c>
      <c r="D2265">
        <v>2.398</v>
      </c>
      <c r="E2265">
        <v>22.23</v>
      </c>
      <c r="F2265">
        <v>27.5</v>
      </c>
      <c r="G2265">
        <v>17.35</v>
      </c>
      <c r="H2265">
        <v>0.89</v>
      </c>
      <c r="I2265">
        <v>0.0</v>
      </c>
      <c r="J2265">
        <v>22.55</v>
      </c>
      <c r="K2265">
        <v>26.63</v>
      </c>
      <c r="L2265">
        <v>19.01</v>
      </c>
      <c r="M2265">
        <v>0.8</v>
      </c>
      <c r="N2265">
        <v>0.0</v>
      </c>
      <c r="O2265">
        <v>22.77</v>
      </c>
      <c r="P2265">
        <v>26.3</v>
      </c>
      <c r="Q2265">
        <v>20.28</v>
      </c>
      <c r="R2265">
        <v>1.41</v>
      </c>
    </row>
    <row r="2266">
      <c r="A2266" s="9">
        <v>40797</v>
      </c>
      <c r="B2266" s="2" t="inlineStr">
        <is>
          <t xml:space="preserve">2011-09</t>
        </is>
      </c>
      <c r="C2266" s="2" t="inlineStr">
        <is>
          <t xml:space="preserve">2011/12</t>
        </is>
      </c>
      <c r="D2266">
        <v>2.947</v>
      </c>
      <c r="E2266">
        <v>21.55</v>
      </c>
      <c r="F2266">
        <v>25.38</v>
      </c>
      <c r="G2266">
        <v>19.23</v>
      </c>
      <c r="H2266">
        <v>4.28</v>
      </c>
      <c r="I2266">
        <v>0.149</v>
      </c>
      <c r="J2266">
        <v>21.63</v>
      </c>
      <c r="K2266">
        <v>24.91</v>
      </c>
      <c r="L2266">
        <v>19.72</v>
      </c>
      <c r="M2266">
        <v>5.76</v>
      </c>
      <c r="N2266">
        <v>0.993</v>
      </c>
      <c r="O2266">
        <v>21.97</v>
      </c>
      <c r="P2266">
        <v>25.72</v>
      </c>
      <c r="Q2266">
        <v>20.17</v>
      </c>
      <c r="R2266">
        <v>6.4</v>
      </c>
    </row>
    <row r="2267">
      <c r="A2267" s="9">
        <v>40798</v>
      </c>
      <c r="B2267" s="2" t="inlineStr">
        <is>
          <t xml:space="preserve">2011-09</t>
        </is>
      </c>
      <c r="C2267" s="2" t="inlineStr">
        <is>
          <t xml:space="preserve">2011/12</t>
        </is>
      </c>
      <c r="D2267">
        <v>3.116</v>
      </c>
      <c r="E2267">
        <v>20.94</v>
      </c>
      <c r="F2267">
        <v>23.8</v>
      </c>
      <c r="G2267">
        <v>18.68</v>
      </c>
      <c r="H2267">
        <v>10.92</v>
      </c>
      <c r="I2267">
        <v>19.458</v>
      </c>
      <c r="J2267">
        <v>21.33</v>
      </c>
      <c r="K2267">
        <v>24.76</v>
      </c>
      <c r="L2267">
        <v>19.25</v>
      </c>
      <c r="M2267">
        <v>16.38</v>
      </c>
      <c r="N2267">
        <v>16.05</v>
      </c>
      <c r="O2267">
        <v>21.59</v>
      </c>
      <c r="P2267">
        <v>25.1</v>
      </c>
      <c r="Q2267">
        <v>19.44</v>
      </c>
      <c r="R2267">
        <v>19.51</v>
      </c>
    </row>
    <row r="2268">
      <c r="A2268" s="9">
        <v>40799</v>
      </c>
      <c r="B2268" s="2" t="inlineStr">
        <is>
          <t xml:space="preserve">2011-09</t>
        </is>
      </c>
      <c r="C2268" s="2" t="inlineStr">
        <is>
          <t xml:space="preserve">2011/12</t>
        </is>
      </c>
      <c r="D2268">
        <v>19.276</v>
      </c>
      <c r="E2268">
        <v>21.58</v>
      </c>
      <c r="F2268">
        <v>25.8</v>
      </c>
      <c r="G2268">
        <v>18.59</v>
      </c>
      <c r="H2268">
        <v>12.19</v>
      </c>
      <c r="I2268">
        <v>2.584</v>
      </c>
      <c r="J2268">
        <v>22.03</v>
      </c>
      <c r="K2268">
        <v>26.29</v>
      </c>
      <c r="L2268">
        <v>18.99</v>
      </c>
      <c r="M2268">
        <v>10.16</v>
      </c>
      <c r="N2268">
        <v>10.66</v>
      </c>
      <c r="O2268">
        <v>21.47</v>
      </c>
      <c r="P2268">
        <v>24.99</v>
      </c>
      <c r="Q2268">
        <v>18.98</v>
      </c>
      <c r="R2268">
        <v>25.13</v>
      </c>
    </row>
    <row r="2269">
      <c r="A2269" s="9">
        <v>40800</v>
      </c>
      <c r="B2269" s="2" t="inlineStr">
        <is>
          <t xml:space="preserve">2011-09</t>
        </is>
      </c>
      <c r="C2269" s="2" t="inlineStr">
        <is>
          <t xml:space="preserve">2011/12</t>
        </is>
      </c>
      <c r="D2269">
        <v>17.133</v>
      </c>
      <c r="E2269">
        <v>22.25</v>
      </c>
      <c r="F2269">
        <v>26.13</v>
      </c>
      <c r="G2269">
        <v>19.06</v>
      </c>
      <c r="H2269">
        <v>11.5</v>
      </c>
      <c r="I2269">
        <v>1.305</v>
      </c>
      <c r="J2269">
        <v>22.68</v>
      </c>
      <c r="K2269">
        <v>26.32</v>
      </c>
      <c r="L2269">
        <v>19.34</v>
      </c>
      <c r="M2269">
        <v>8.75</v>
      </c>
      <c r="N2269">
        <v>5.241</v>
      </c>
      <c r="O2269">
        <v>22.73</v>
      </c>
      <c r="P2269">
        <v>26.27</v>
      </c>
      <c r="Q2269">
        <v>20.18</v>
      </c>
      <c r="R2269">
        <v>5.68</v>
      </c>
    </row>
    <row r="2270">
      <c r="A2270" s="9">
        <v>40801</v>
      </c>
      <c r="B2270" s="2" t="inlineStr">
        <is>
          <t xml:space="preserve">2011-09</t>
        </is>
      </c>
      <c r="C2270" s="2" t="inlineStr">
        <is>
          <t xml:space="preserve">2011/12</t>
        </is>
      </c>
      <c r="D2270">
        <v>3.908</v>
      </c>
      <c r="E2270">
        <v>21.71</v>
      </c>
      <c r="F2270">
        <v>24.94</v>
      </c>
      <c r="G2270">
        <v>18.68</v>
      </c>
      <c r="H2270">
        <v>6.32</v>
      </c>
      <c r="I2270">
        <v>10.239</v>
      </c>
      <c r="J2270">
        <v>22.43</v>
      </c>
      <c r="K2270">
        <v>26.01</v>
      </c>
      <c r="L2270">
        <v>19.01</v>
      </c>
      <c r="M2270">
        <v>4.29</v>
      </c>
      <c r="N2270">
        <v>0.679</v>
      </c>
      <c r="O2270">
        <v>22.66</v>
      </c>
      <c r="P2270">
        <v>26.19</v>
      </c>
      <c r="Q2270">
        <v>19.89</v>
      </c>
      <c r="R2270">
        <v>3.2</v>
      </c>
    </row>
    <row r="2271">
      <c r="A2271" s="9">
        <v>40802</v>
      </c>
      <c r="B2271" s="2" t="inlineStr">
        <is>
          <t xml:space="preserve">2011-09</t>
        </is>
      </c>
      <c r="C2271" s="2" t="inlineStr">
        <is>
          <t xml:space="preserve">2011/12</t>
        </is>
      </c>
      <c r="D2271">
        <v>14.178</v>
      </c>
      <c r="E2271">
        <v>21.93</v>
      </c>
      <c r="F2271">
        <v>26.16</v>
      </c>
      <c r="G2271">
        <v>18.87</v>
      </c>
      <c r="H2271">
        <v>8.92</v>
      </c>
      <c r="I2271">
        <v>5.004</v>
      </c>
      <c r="J2271">
        <v>22.25</v>
      </c>
      <c r="K2271">
        <v>25.51</v>
      </c>
      <c r="L2271">
        <v>19.71</v>
      </c>
      <c r="M2271">
        <v>5.28</v>
      </c>
      <c r="N2271">
        <v>3.357</v>
      </c>
      <c r="O2271">
        <v>22.71</v>
      </c>
      <c r="P2271">
        <v>26.28</v>
      </c>
      <c r="Q2271">
        <v>20.43</v>
      </c>
      <c r="R2271">
        <v>4.78</v>
      </c>
    </row>
    <row r="2272">
      <c r="A2272" s="9">
        <v>40803</v>
      </c>
      <c r="B2272" s="2" t="inlineStr">
        <is>
          <t xml:space="preserve">2011-09</t>
        </is>
      </c>
      <c r="C2272" s="2" t="inlineStr">
        <is>
          <t xml:space="preserve">2011/12</t>
        </is>
      </c>
      <c r="D2272">
        <v>4.566</v>
      </c>
      <c r="E2272">
        <v>20.01</v>
      </c>
      <c r="F2272">
        <v>24.43</v>
      </c>
      <c r="G2272">
        <v>16.49</v>
      </c>
      <c r="H2272">
        <v>7.15</v>
      </c>
      <c r="I2272">
        <v>7.087</v>
      </c>
      <c r="J2272">
        <v>21.81</v>
      </c>
      <c r="K2272">
        <v>25.79</v>
      </c>
      <c r="L2272">
        <v>19.12</v>
      </c>
      <c r="M2272">
        <v>15.22</v>
      </c>
      <c r="N2272">
        <v>5.657</v>
      </c>
      <c r="O2272">
        <v>21.75</v>
      </c>
      <c r="P2272">
        <v>24.82</v>
      </c>
      <c r="Q2272">
        <v>19.7</v>
      </c>
      <c r="R2272">
        <v>13.83</v>
      </c>
    </row>
    <row r="2273">
      <c r="A2273" s="9">
        <v>40804</v>
      </c>
      <c r="B2273" s="2" t="inlineStr">
        <is>
          <t xml:space="preserve">2011-09</t>
        </is>
      </c>
      <c r="C2273" s="2" t="inlineStr">
        <is>
          <t xml:space="preserve">2011/12</t>
        </is>
      </c>
      <c r="D2273">
        <v>12.836</v>
      </c>
      <c r="E2273">
        <v>20.45</v>
      </c>
      <c r="F2273">
        <v>24.9</v>
      </c>
      <c r="G2273">
        <v>16.72</v>
      </c>
      <c r="H2273">
        <v>11.71</v>
      </c>
      <c r="I2273">
        <v>28.688</v>
      </c>
      <c r="J2273">
        <v>21.28</v>
      </c>
      <c r="K2273">
        <v>25.2</v>
      </c>
      <c r="L2273">
        <v>18.67</v>
      </c>
      <c r="M2273">
        <v>17.62</v>
      </c>
      <c r="N2273">
        <v>16.776</v>
      </c>
      <c r="O2273">
        <v>21.67</v>
      </c>
      <c r="P2273">
        <v>26.05</v>
      </c>
      <c r="Q2273">
        <v>19.1</v>
      </c>
      <c r="R2273">
        <v>13.74</v>
      </c>
    </row>
    <row r="2274">
      <c r="A2274" s="9">
        <v>40805</v>
      </c>
      <c r="B2274" s="2" t="inlineStr">
        <is>
          <t xml:space="preserve">2011-09</t>
        </is>
      </c>
      <c r="C2274" s="2" t="inlineStr">
        <is>
          <t xml:space="preserve">2011/12</t>
        </is>
      </c>
      <c r="D2274">
        <v>16.365</v>
      </c>
      <c r="E2274">
        <v>21.19</v>
      </c>
      <c r="F2274">
        <v>24.98</v>
      </c>
      <c r="G2274">
        <v>18.35</v>
      </c>
      <c r="H2274">
        <v>7.82</v>
      </c>
      <c r="I2274">
        <v>6.827</v>
      </c>
      <c r="J2274">
        <v>21.09</v>
      </c>
      <c r="K2274">
        <v>24.87</v>
      </c>
      <c r="L2274">
        <v>18.74</v>
      </c>
      <c r="M2274">
        <v>7.74</v>
      </c>
      <c r="N2274">
        <v>20.423</v>
      </c>
      <c r="O2274">
        <v>21.82</v>
      </c>
      <c r="P2274">
        <v>25.04</v>
      </c>
      <c r="Q2274">
        <v>19.1</v>
      </c>
      <c r="R2274">
        <v>10.4</v>
      </c>
    </row>
    <row r="2275">
      <c r="A2275" s="9">
        <v>40806</v>
      </c>
      <c r="B2275" s="2" t="inlineStr">
        <is>
          <t xml:space="preserve">2011-09</t>
        </is>
      </c>
      <c r="C2275" s="2" t="inlineStr">
        <is>
          <t xml:space="preserve">2011/12</t>
        </is>
      </c>
      <c r="D2275">
        <v>2.644</v>
      </c>
      <c r="E2275">
        <v>20.71</v>
      </c>
      <c r="F2275">
        <v>23.86</v>
      </c>
      <c r="G2275">
        <v>18.58</v>
      </c>
      <c r="H2275">
        <v>4.58</v>
      </c>
      <c r="I2275">
        <v>4.435</v>
      </c>
      <c r="J2275">
        <v>21.59</v>
      </c>
      <c r="K2275">
        <v>26.03</v>
      </c>
      <c r="L2275">
        <v>18.24</v>
      </c>
      <c r="M2275">
        <v>9.16</v>
      </c>
      <c r="N2275">
        <v>13.541</v>
      </c>
      <c r="O2275">
        <v>22.17</v>
      </c>
      <c r="P2275">
        <v>25.97</v>
      </c>
      <c r="Q2275">
        <v>18.83</v>
      </c>
      <c r="R2275">
        <v>10.95</v>
      </c>
    </row>
    <row r="2276">
      <c r="A2276" s="9">
        <v>40807</v>
      </c>
      <c r="B2276" s="2" t="inlineStr">
        <is>
          <t xml:space="preserve">2011-09</t>
        </is>
      </c>
      <c r="C2276" s="2" t="inlineStr">
        <is>
          <t xml:space="preserve">2011/12</t>
        </is>
      </c>
      <c r="D2276">
        <v>8.219</v>
      </c>
      <c r="E2276">
        <v>21.88</v>
      </c>
      <c r="F2276">
        <v>26.8</v>
      </c>
      <c r="G2276">
        <v>17.38</v>
      </c>
      <c r="H2276">
        <v>4.96</v>
      </c>
      <c r="I2276">
        <v>16.373</v>
      </c>
      <c r="J2276">
        <v>22.3</v>
      </c>
      <c r="K2276">
        <v>27.18</v>
      </c>
      <c r="L2276">
        <v>17.88</v>
      </c>
      <c r="M2276">
        <v>14.65</v>
      </c>
      <c r="N2276">
        <v>17.896</v>
      </c>
      <c r="O2276">
        <v>23.11</v>
      </c>
      <c r="P2276">
        <v>27.84</v>
      </c>
      <c r="Q2276">
        <v>18.9</v>
      </c>
      <c r="R2276">
        <v>12.51</v>
      </c>
    </row>
    <row r="2277">
      <c r="A2277" s="9">
        <v>40808</v>
      </c>
      <c r="B2277" s="2" t="inlineStr">
        <is>
          <t xml:space="preserve">2011-09</t>
        </is>
      </c>
      <c r="C2277" s="2" t="inlineStr">
        <is>
          <t xml:space="preserve">2011/12</t>
        </is>
      </c>
      <c r="D2277">
        <v>4.131</v>
      </c>
      <c r="E2277">
        <v>22.21</v>
      </c>
      <c r="F2277">
        <v>27.27</v>
      </c>
      <c r="G2277">
        <v>18.67</v>
      </c>
      <c r="H2277">
        <v>4.49</v>
      </c>
      <c r="I2277">
        <v>6.934</v>
      </c>
      <c r="J2277">
        <v>21.44</v>
      </c>
      <c r="K2277">
        <v>23.71</v>
      </c>
      <c r="L2277">
        <v>19.62</v>
      </c>
      <c r="M2277">
        <v>12.18</v>
      </c>
      <c r="N2277">
        <v>20.02</v>
      </c>
      <c r="O2277">
        <v>22.5</v>
      </c>
      <c r="P2277">
        <v>25.13</v>
      </c>
      <c r="Q2277">
        <v>21.09</v>
      </c>
      <c r="R2277">
        <v>11.8</v>
      </c>
    </row>
    <row r="2278">
      <c r="A2278" s="9">
        <v>40809</v>
      </c>
      <c r="B2278" s="2" t="inlineStr">
        <is>
          <t xml:space="preserve">2011-09</t>
        </is>
      </c>
      <c r="C2278" s="2" t="inlineStr">
        <is>
          <t xml:space="preserve">2011/12</t>
        </is>
      </c>
      <c r="D2278">
        <v>19.107</v>
      </c>
      <c r="E2278">
        <v>22.49</v>
      </c>
      <c r="F2278">
        <v>26.89</v>
      </c>
      <c r="G2278">
        <v>18.92</v>
      </c>
      <c r="H2278">
        <v>8.64</v>
      </c>
      <c r="I2278">
        <v>23.299</v>
      </c>
      <c r="J2278">
        <v>22.23</v>
      </c>
      <c r="K2278">
        <v>25.98</v>
      </c>
      <c r="L2278">
        <v>19.81</v>
      </c>
      <c r="M2278">
        <v>11.05</v>
      </c>
      <c r="N2278">
        <v>4.587</v>
      </c>
      <c r="O2278">
        <v>22.63</v>
      </c>
      <c r="P2278">
        <v>26.09</v>
      </c>
      <c r="Q2278">
        <v>20.69</v>
      </c>
      <c r="R2278">
        <v>4.8</v>
      </c>
    </row>
    <row r="2279">
      <c r="A2279" s="9">
        <v>40810</v>
      </c>
      <c r="B2279" s="2" t="inlineStr">
        <is>
          <t xml:space="preserve">2011-09</t>
        </is>
      </c>
      <c r="C2279" s="2" t="inlineStr">
        <is>
          <t xml:space="preserve">2011/12</t>
        </is>
      </c>
      <c r="D2279">
        <v>0.485</v>
      </c>
      <c r="E2279">
        <v>21.73</v>
      </c>
      <c r="F2279">
        <v>26.82</v>
      </c>
      <c r="G2279">
        <v>18.04</v>
      </c>
      <c r="H2279">
        <v>4.86</v>
      </c>
      <c r="I2279">
        <v>0.123</v>
      </c>
      <c r="J2279">
        <v>22.2</v>
      </c>
      <c r="K2279">
        <v>26.33</v>
      </c>
      <c r="L2279">
        <v>19.06</v>
      </c>
      <c r="M2279">
        <v>1.31</v>
      </c>
      <c r="N2279">
        <v>0.0</v>
      </c>
      <c r="O2279">
        <v>22.42</v>
      </c>
      <c r="P2279">
        <v>26.08</v>
      </c>
      <c r="Q2279">
        <v>20.03</v>
      </c>
      <c r="R2279">
        <v>1.61</v>
      </c>
    </row>
    <row r="2280">
      <c r="A2280" s="9">
        <v>40811</v>
      </c>
      <c r="B2280" s="2" t="inlineStr">
        <is>
          <t xml:space="preserve">2011-09</t>
        </is>
      </c>
      <c r="C2280" s="2" t="inlineStr">
        <is>
          <t xml:space="preserve">2011/12</t>
        </is>
      </c>
      <c r="D2280">
        <v>14.574</v>
      </c>
      <c r="E2280">
        <v>21.12</v>
      </c>
      <c r="F2280">
        <v>25.76</v>
      </c>
      <c r="G2280">
        <v>16.78</v>
      </c>
      <c r="H2280">
        <v>7.62</v>
      </c>
      <c r="I2280">
        <v>5.412</v>
      </c>
      <c r="J2280">
        <v>22.58</v>
      </c>
      <c r="K2280">
        <v>27.55</v>
      </c>
      <c r="L2280">
        <v>18.86</v>
      </c>
      <c r="M2280">
        <v>12.55</v>
      </c>
      <c r="N2280">
        <v>3.41</v>
      </c>
      <c r="O2280">
        <v>22.83</v>
      </c>
      <c r="P2280">
        <v>26.61</v>
      </c>
      <c r="Q2280">
        <v>20.18</v>
      </c>
      <c r="R2280">
        <v>11.38</v>
      </c>
    </row>
    <row r="2281">
      <c r="A2281" s="9">
        <v>40812</v>
      </c>
      <c r="B2281" s="2" t="inlineStr">
        <is>
          <t xml:space="preserve">2011-09</t>
        </is>
      </c>
      <c r="C2281" s="2" t="inlineStr">
        <is>
          <t xml:space="preserve">2011/12</t>
        </is>
      </c>
      <c r="D2281">
        <v>11.379</v>
      </c>
      <c r="E2281">
        <v>21.91</v>
      </c>
      <c r="F2281">
        <v>27.32</v>
      </c>
      <c r="G2281">
        <v>17.48</v>
      </c>
      <c r="H2281">
        <v>9.98</v>
      </c>
      <c r="I2281">
        <v>15.583</v>
      </c>
      <c r="J2281">
        <v>22.67</v>
      </c>
      <c r="K2281">
        <v>26.92</v>
      </c>
      <c r="L2281">
        <v>19.23</v>
      </c>
      <c r="M2281">
        <v>7.65</v>
      </c>
      <c r="N2281">
        <v>20.669</v>
      </c>
      <c r="O2281">
        <v>23.62</v>
      </c>
      <c r="P2281">
        <v>28.35</v>
      </c>
      <c r="Q2281">
        <v>20.34</v>
      </c>
      <c r="R2281">
        <v>7.3</v>
      </c>
    </row>
    <row r="2282">
      <c r="A2282" s="9">
        <v>40813</v>
      </c>
      <c r="B2282" s="2" t="inlineStr">
        <is>
          <t xml:space="preserve">2011-09</t>
        </is>
      </c>
      <c r="C2282" s="2" t="inlineStr">
        <is>
          <t xml:space="preserve">2011/12</t>
        </is>
      </c>
      <c r="D2282">
        <v>49.86</v>
      </c>
      <c r="E2282">
        <v>22.48</v>
      </c>
      <c r="F2282">
        <v>27.23</v>
      </c>
      <c r="G2282">
        <v>18.47</v>
      </c>
      <c r="H2282">
        <v>24.3</v>
      </c>
      <c r="I2282">
        <v>11.205</v>
      </c>
      <c r="J2282">
        <v>22.76</v>
      </c>
      <c r="K2282">
        <v>26.78</v>
      </c>
      <c r="L2282">
        <v>19.48</v>
      </c>
      <c r="M2282">
        <v>23.38</v>
      </c>
      <c r="N2282">
        <v>5.61</v>
      </c>
      <c r="O2282">
        <v>23.57</v>
      </c>
      <c r="P2282">
        <v>27.67</v>
      </c>
      <c r="Q2282">
        <v>20.05</v>
      </c>
      <c r="R2282">
        <v>20.25</v>
      </c>
    </row>
    <row r="2283">
      <c r="A2283" s="9">
        <v>40814</v>
      </c>
      <c r="B2283" s="2" t="inlineStr">
        <is>
          <t xml:space="preserve">2011-09</t>
        </is>
      </c>
      <c r="C2283" s="2" t="inlineStr">
        <is>
          <t xml:space="preserve">2011/12</t>
        </is>
      </c>
      <c r="D2283">
        <v>15.662</v>
      </c>
      <c r="E2283">
        <v>21.74</v>
      </c>
      <c r="F2283">
        <v>24.64</v>
      </c>
      <c r="G2283">
        <v>19.8</v>
      </c>
      <c r="H2283">
        <v>6.77</v>
      </c>
      <c r="I2283">
        <v>28.218</v>
      </c>
      <c r="J2283">
        <v>23.13</v>
      </c>
      <c r="K2283">
        <v>27.19</v>
      </c>
      <c r="L2283">
        <v>19.53</v>
      </c>
      <c r="M2283">
        <v>12.07</v>
      </c>
      <c r="N2283">
        <v>38.597</v>
      </c>
      <c r="O2283">
        <v>22.98</v>
      </c>
      <c r="P2283">
        <v>24.83</v>
      </c>
      <c r="Q2283">
        <v>21.48</v>
      </c>
      <c r="R2283">
        <v>10.6</v>
      </c>
    </row>
    <row r="2284">
      <c r="A2284" s="9">
        <v>40815</v>
      </c>
      <c r="B2284" s="2" t="inlineStr">
        <is>
          <t xml:space="preserve">2011-09</t>
        </is>
      </c>
      <c r="C2284" s="2" t="inlineStr">
        <is>
          <t xml:space="preserve">2011/12</t>
        </is>
      </c>
      <c r="D2284">
        <v>6.537</v>
      </c>
      <c r="E2284">
        <v>21.51</v>
      </c>
      <c r="F2284">
        <v>24.48</v>
      </c>
      <c r="G2284">
        <v>19.42</v>
      </c>
      <c r="H2284">
        <v>5.93</v>
      </c>
      <c r="I2284">
        <v>29.372</v>
      </c>
      <c r="J2284">
        <v>23.08</v>
      </c>
      <c r="K2284">
        <v>27.34</v>
      </c>
      <c r="L2284">
        <v>19.71</v>
      </c>
      <c r="M2284">
        <v>21.52</v>
      </c>
      <c r="N2284">
        <v>19.645</v>
      </c>
      <c r="O2284">
        <v>22.85</v>
      </c>
      <c r="P2284">
        <v>26.14</v>
      </c>
      <c r="Q2284">
        <v>20.72</v>
      </c>
      <c r="R2284">
        <v>19.56</v>
      </c>
    </row>
    <row r="2285">
      <c r="A2285" s="9">
        <v>40816</v>
      </c>
      <c r="B2285" s="2" t="inlineStr">
        <is>
          <t xml:space="preserve">2011-09</t>
        </is>
      </c>
      <c r="C2285" s="2" t="inlineStr">
        <is>
          <t xml:space="preserve">2011/12</t>
        </is>
      </c>
      <c r="D2285">
        <v>2.569</v>
      </c>
      <c r="E2285">
        <v>20.79</v>
      </c>
      <c r="F2285">
        <v>22.81</v>
      </c>
      <c r="G2285">
        <v>19.31</v>
      </c>
      <c r="H2285">
        <v>10.5</v>
      </c>
      <c r="I2285">
        <v>7.708</v>
      </c>
      <c r="J2285">
        <v>22.28</v>
      </c>
      <c r="K2285">
        <v>25.69</v>
      </c>
      <c r="L2285">
        <v>19.79</v>
      </c>
      <c r="M2285">
        <v>17.2</v>
      </c>
      <c r="N2285">
        <v>28.165</v>
      </c>
      <c r="O2285">
        <v>21.82</v>
      </c>
      <c r="P2285">
        <v>24.39</v>
      </c>
      <c r="Q2285">
        <v>20.13</v>
      </c>
      <c r="R2285">
        <v>19.56</v>
      </c>
    </row>
    <row r="2286">
      <c r="A2286" s="9">
        <v>40817</v>
      </c>
      <c r="B2286" s="2" t="inlineStr">
        <is>
          <t xml:space="preserve">2011-10</t>
        </is>
      </c>
      <c r="C2286" s="2" t="inlineStr">
        <is>
          <t xml:space="preserve">2011/12</t>
        </is>
      </c>
      <c r="D2286">
        <v>22.846</v>
      </c>
      <c r="E2286">
        <v>21.05</v>
      </c>
      <c r="F2286">
        <v>24.53</v>
      </c>
      <c r="G2286">
        <v>18.81</v>
      </c>
      <c r="H2286">
        <v>24.02</v>
      </c>
      <c r="I2286">
        <v>20.9</v>
      </c>
      <c r="J2286">
        <v>21.01</v>
      </c>
      <c r="K2286">
        <v>22.69</v>
      </c>
      <c r="L2286">
        <v>19.5</v>
      </c>
      <c r="M2286">
        <v>24.26</v>
      </c>
      <c r="N2286">
        <v>64.942</v>
      </c>
      <c r="O2286">
        <v>21.1</v>
      </c>
      <c r="P2286">
        <v>22.41</v>
      </c>
      <c r="Q2286">
        <v>19.8</v>
      </c>
      <c r="R2286">
        <v>34.11</v>
      </c>
    </row>
    <row r="2287">
      <c r="A2287" s="9">
        <v>40818</v>
      </c>
      <c r="B2287" s="2" t="inlineStr">
        <is>
          <t xml:space="preserve">2011-10</t>
        </is>
      </c>
      <c r="C2287" s="2" t="inlineStr">
        <is>
          <t xml:space="preserve">2011/12</t>
        </is>
      </c>
      <c r="D2287">
        <v>7.585</v>
      </c>
      <c r="E2287">
        <v>20.73</v>
      </c>
      <c r="F2287">
        <v>23.94</v>
      </c>
      <c r="G2287">
        <v>18.29</v>
      </c>
      <c r="H2287">
        <v>19.94</v>
      </c>
      <c r="I2287">
        <v>4.979</v>
      </c>
      <c r="J2287">
        <v>21.38</v>
      </c>
      <c r="K2287">
        <v>25.14</v>
      </c>
      <c r="L2287">
        <v>18.8</v>
      </c>
      <c r="M2287">
        <v>10.15</v>
      </c>
      <c r="N2287">
        <v>17.629</v>
      </c>
      <c r="O2287">
        <v>21.21</v>
      </c>
      <c r="P2287">
        <v>23.22</v>
      </c>
      <c r="Q2287">
        <v>19.4</v>
      </c>
      <c r="R2287">
        <v>16.33</v>
      </c>
    </row>
    <row r="2288">
      <c r="A2288" s="9">
        <v>40819</v>
      </c>
      <c r="B2288" s="2" t="inlineStr">
        <is>
          <t xml:space="preserve">2011-10</t>
        </is>
      </c>
      <c r="C2288" s="2" t="inlineStr">
        <is>
          <t xml:space="preserve">2011/12</t>
        </is>
      </c>
      <c r="D2288">
        <v>12.634</v>
      </c>
      <c r="E2288">
        <v>21.05</v>
      </c>
      <c r="F2288">
        <v>25.64</v>
      </c>
      <c r="G2288">
        <v>18.24</v>
      </c>
      <c r="H2288">
        <v>12.1</v>
      </c>
      <c r="I2288">
        <v>3.033</v>
      </c>
      <c r="J2288">
        <v>20.66</v>
      </c>
      <c r="K2288">
        <v>23.05</v>
      </c>
      <c r="L2288">
        <v>18.2</v>
      </c>
      <c r="M2288">
        <v>8.73</v>
      </c>
      <c r="N2288">
        <v>12.037</v>
      </c>
      <c r="O2288">
        <v>20.96</v>
      </c>
      <c r="P2288">
        <v>23.43</v>
      </c>
      <c r="Q2288">
        <v>18.85</v>
      </c>
      <c r="R2288">
        <v>17.72</v>
      </c>
    </row>
    <row r="2289">
      <c r="A2289" s="9">
        <v>40820</v>
      </c>
      <c r="B2289" s="2" t="inlineStr">
        <is>
          <t xml:space="preserve">2011-10</t>
        </is>
      </c>
      <c r="C2289" s="2" t="inlineStr">
        <is>
          <t xml:space="preserve">2011/12</t>
        </is>
      </c>
      <c r="D2289">
        <v>7.36</v>
      </c>
      <c r="E2289">
        <v>20.66</v>
      </c>
      <c r="F2289">
        <v>25.54</v>
      </c>
      <c r="G2289">
        <v>16.87</v>
      </c>
      <c r="H2289">
        <v>4.36</v>
      </c>
      <c r="I2289">
        <v>5.29</v>
      </c>
      <c r="J2289">
        <v>22.32</v>
      </c>
      <c r="K2289">
        <v>26.48</v>
      </c>
      <c r="L2289">
        <v>19.46</v>
      </c>
      <c r="M2289">
        <v>7.23</v>
      </c>
      <c r="N2289">
        <v>6.78</v>
      </c>
      <c r="O2289">
        <v>21.88</v>
      </c>
      <c r="P2289">
        <v>25.7</v>
      </c>
      <c r="Q2289">
        <v>18.94</v>
      </c>
      <c r="R2289">
        <v>6.88</v>
      </c>
    </row>
    <row r="2290">
      <c r="A2290" s="9">
        <v>40821</v>
      </c>
      <c r="B2290" s="2" t="inlineStr">
        <is>
          <t xml:space="preserve">2011-10</t>
        </is>
      </c>
      <c r="C2290" s="2" t="inlineStr">
        <is>
          <t xml:space="preserve">2011/12</t>
        </is>
      </c>
      <c r="D2290">
        <v>0.626</v>
      </c>
      <c r="E2290">
        <v>21.13</v>
      </c>
      <c r="F2290">
        <v>26.34</v>
      </c>
      <c r="G2290">
        <v>17.14</v>
      </c>
      <c r="H2290">
        <v>2.92</v>
      </c>
      <c r="I2290">
        <v>40.97</v>
      </c>
      <c r="J2290">
        <v>22.21</v>
      </c>
      <c r="K2290">
        <v>26.29</v>
      </c>
      <c r="L2290">
        <v>19.11</v>
      </c>
      <c r="M2290">
        <v>17.39</v>
      </c>
      <c r="N2290">
        <v>2.724</v>
      </c>
      <c r="O2290">
        <v>22.09</v>
      </c>
      <c r="P2290">
        <v>26.07</v>
      </c>
      <c r="Q2290">
        <v>19.37</v>
      </c>
      <c r="R2290">
        <v>13.17</v>
      </c>
    </row>
    <row r="2291">
      <c r="A2291" s="9">
        <v>40822</v>
      </c>
      <c r="B2291" s="2" t="inlineStr">
        <is>
          <t xml:space="preserve">2011-10</t>
        </is>
      </c>
      <c r="C2291" s="2" t="inlineStr">
        <is>
          <t xml:space="preserve">2011/12</t>
        </is>
      </c>
      <c r="D2291">
        <v>1.708</v>
      </c>
      <c r="E2291">
        <v>21.0</v>
      </c>
      <c r="F2291">
        <v>26.33</v>
      </c>
      <c r="G2291">
        <v>16.77</v>
      </c>
      <c r="H2291">
        <v>1.22</v>
      </c>
      <c r="I2291">
        <v>0.438</v>
      </c>
      <c r="J2291">
        <v>22.04</v>
      </c>
      <c r="K2291">
        <v>26.19</v>
      </c>
      <c r="L2291">
        <v>18.67</v>
      </c>
      <c r="M2291">
        <v>1.57</v>
      </c>
      <c r="N2291">
        <v>0.575</v>
      </c>
      <c r="O2291">
        <v>22.14</v>
      </c>
      <c r="P2291">
        <v>26.24</v>
      </c>
      <c r="Q2291">
        <v>19.29</v>
      </c>
      <c r="R2291">
        <v>3.03</v>
      </c>
    </row>
    <row r="2292">
      <c r="A2292" s="9">
        <v>40823</v>
      </c>
      <c r="B2292" s="2" t="inlineStr">
        <is>
          <t xml:space="preserve">2011-10</t>
        </is>
      </c>
      <c r="C2292" s="2" t="inlineStr">
        <is>
          <t xml:space="preserve">2011/12</t>
        </is>
      </c>
      <c r="D2292">
        <v>0.194</v>
      </c>
      <c r="E2292">
        <v>21.2</v>
      </c>
      <c r="F2292">
        <v>25.57</v>
      </c>
      <c r="G2292">
        <v>17.94</v>
      </c>
      <c r="H2292">
        <v>2.17</v>
      </c>
      <c r="I2292">
        <v>2.738</v>
      </c>
      <c r="J2292">
        <v>22.04</v>
      </c>
      <c r="K2292">
        <v>25.68</v>
      </c>
      <c r="L2292">
        <v>18.92</v>
      </c>
      <c r="M2292">
        <v>1.34</v>
      </c>
      <c r="N2292">
        <v>0.331</v>
      </c>
      <c r="O2292">
        <v>22.23</v>
      </c>
      <c r="P2292">
        <v>25.86</v>
      </c>
      <c r="Q2292">
        <v>20.03</v>
      </c>
      <c r="R2292">
        <v>3.06</v>
      </c>
    </row>
    <row r="2293">
      <c r="A2293" s="9">
        <v>40824</v>
      </c>
      <c r="B2293" s="2" t="inlineStr">
        <is>
          <t xml:space="preserve">2011-10</t>
        </is>
      </c>
      <c r="C2293" s="2" t="inlineStr">
        <is>
          <t xml:space="preserve">2011/12</t>
        </is>
      </c>
      <c r="D2293">
        <v>1.645</v>
      </c>
      <c r="E2293">
        <v>21.54</v>
      </c>
      <c r="F2293">
        <v>26.1</v>
      </c>
      <c r="G2293">
        <v>18.33</v>
      </c>
      <c r="H2293">
        <v>4.35</v>
      </c>
      <c r="I2293">
        <v>0.2</v>
      </c>
      <c r="J2293">
        <v>22.28</v>
      </c>
      <c r="K2293">
        <v>26.04</v>
      </c>
      <c r="L2293">
        <v>19.07</v>
      </c>
      <c r="M2293">
        <v>1.63</v>
      </c>
      <c r="N2293">
        <v>0.305</v>
      </c>
      <c r="O2293">
        <v>22.33</v>
      </c>
      <c r="P2293">
        <v>26.24</v>
      </c>
      <c r="Q2293">
        <v>19.6</v>
      </c>
      <c r="R2293">
        <v>2.08</v>
      </c>
    </row>
    <row r="2294">
      <c r="A2294" s="9">
        <v>40825</v>
      </c>
      <c r="B2294" s="2" t="inlineStr">
        <is>
          <t xml:space="preserve">2011-10</t>
        </is>
      </c>
      <c r="C2294" s="2" t="inlineStr">
        <is>
          <t xml:space="preserve">2011/12</t>
        </is>
      </c>
      <c r="D2294">
        <v>5.575</v>
      </c>
      <c r="E2294">
        <v>21.71</v>
      </c>
      <c r="F2294">
        <v>26.05</v>
      </c>
      <c r="G2294">
        <v>17.97</v>
      </c>
      <c r="H2294">
        <v>11.04</v>
      </c>
      <c r="I2294">
        <v>10.419</v>
      </c>
      <c r="J2294">
        <v>21.15</v>
      </c>
      <c r="K2294">
        <v>23.45</v>
      </c>
      <c r="L2294">
        <v>19.36</v>
      </c>
      <c r="M2294">
        <v>12.17</v>
      </c>
      <c r="N2294">
        <v>9.732</v>
      </c>
      <c r="O2294">
        <v>22.3</v>
      </c>
      <c r="P2294">
        <v>25.45</v>
      </c>
      <c r="Q2294">
        <v>19.79</v>
      </c>
      <c r="R2294">
        <v>11.8</v>
      </c>
    </row>
    <row r="2295">
      <c r="A2295" s="9">
        <v>40826</v>
      </c>
      <c r="B2295" s="2" t="inlineStr">
        <is>
          <t xml:space="preserve">2011-10</t>
        </is>
      </c>
      <c r="C2295" s="2" t="inlineStr">
        <is>
          <t xml:space="preserve">2011/12</t>
        </is>
      </c>
      <c r="D2295">
        <v>19.352</v>
      </c>
      <c r="E2295">
        <v>21.54</v>
      </c>
      <c r="F2295">
        <v>24.87</v>
      </c>
      <c r="G2295">
        <v>18.78</v>
      </c>
      <c r="H2295">
        <v>23.34</v>
      </c>
      <c r="I2295">
        <v>8.227</v>
      </c>
      <c r="J2295">
        <v>21.95</v>
      </c>
      <c r="K2295">
        <v>26.54</v>
      </c>
      <c r="L2295">
        <v>18.36</v>
      </c>
      <c r="M2295">
        <v>18.29</v>
      </c>
      <c r="N2295">
        <v>27.176</v>
      </c>
      <c r="O2295">
        <v>22.95</v>
      </c>
      <c r="P2295">
        <v>26.74</v>
      </c>
      <c r="Q2295">
        <v>19.83</v>
      </c>
      <c r="R2295">
        <v>18.28</v>
      </c>
    </row>
    <row r="2296">
      <c r="A2296" s="9">
        <v>40827</v>
      </c>
      <c r="B2296" s="2" t="inlineStr">
        <is>
          <t xml:space="preserve">2011-10</t>
        </is>
      </c>
      <c r="C2296" s="2" t="inlineStr">
        <is>
          <t xml:space="preserve">2011/12</t>
        </is>
      </c>
      <c r="D2296">
        <v>4.687</v>
      </c>
      <c r="E2296">
        <v>20.66</v>
      </c>
      <c r="F2296">
        <v>23.52</v>
      </c>
      <c r="G2296">
        <v>18.39</v>
      </c>
      <c r="H2296">
        <v>13.14</v>
      </c>
      <c r="I2296">
        <v>13.65</v>
      </c>
      <c r="J2296">
        <v>20.98</v>
      </c>
      <c r="K2296">
        <v>22.99</v>
      </c>
      <c r="L2296">
        <v>19.63</v>
      </c>
      <c r="M2296">
        <v>24.33</v>
      </c>
      <c r="N2296">
        <v>29.487</v>
      </c>
      <c r="O2296">
        <v>21.6</v>
      </c>
      <c r="P2296">
        <v>23.56</v>
      </c>
      <c r="Q2296">
        <v>19.62</v>
      </c>
      <c r="R2296">
        <v>21.54</v>
      </c>
    </row>
    <row r="2297">
      <c r="A2297" s="9">
        <v>40828</v>
      </c>
      <c r="B2297" s="2" t="inlineStr">
        <is>
          <t xml:space="preserve">2011-10</t>
        </is>
      </c>
      <c r="C2297" s="2" t="inlineStr">
        <is>
          <t xml:space="preserve">2011/12</t>
        </is>
      </c>
      <c r="D2297">
        <v>22.006</v>
      </c>
      <c r="E2297">
        <v>21.28</v>
      </c>
      <c r="F2297">
        <v>25.53</v>
      </c>
      <c r="G2297">
        <v>18.07</v>
      </c>
      <c r="H2297">
        <v>12.39</v>
      </c>
      <c r="I2297">
        <v>83.423</v>
      </c>
      <c r="J2297">
        <v>21.08</v>
      </c>
      <c r="K2297">
        <v>23.33</v>
      </c>
      <c r="L2297">
        <v>19.23</v>
      </c>
      <c r="M2297">
        <v>38.05</v>
      </c>
      <c r="N2297">
        <v>5.744</v>
      </c>
      <c r="O2297">
        <v>22.01</v>
      </c>
      <c r="P2297">
        <v>25.94</v>
      </c>
      <c r="Q2297">
        <v>19.56</v>
      </c>
      <c r="R2297">
        <v>13.86</v>
      </c>
    </row>
    <row r="2298">
      <c r="A2298" s="9">
        <v>40829</v>
      </c>
      <c r="B2298" s="2" t="inlineStr">
        <is>
          <t xml:space="preserve">2011-10</t>
        </is>
      </c>
      <c r="C2298" s="2" t="inlineStr">
        <is>
          <t xml:space="preserve">2011/12</t>
        </is>
      </c>
      <c r="D2298">
        <v>6.012</v>
      </c>
      <c r="E2298">
        <v>21.48</v>
      </c>
      <c r="F2298">
        <v>25.45</v>
      </c>
      <c r="G2298">
        <v>18.22</v>
      </c>
      <c r="H2298">
        <v>7.53</v>
      </c>
      <c r="I2298">
        <v>10.652</v>
      </c>
      <c r="J2298">
        <v>21.32</v>
      </c>
      <c r="K2298">
        <v>24.99</v>
      </c>
      <c r="L2298">
        <v>18.08</v>
      </c>
      <c r="M2298">
        <v>10.74</v>
      </c>
      <c r="N2298">
        <v>1.13</v>
      </c>
      <c r="O2298">
        <v>22.44</v>
      </c>
      <c r="P2298">
        <v>26.96</v>
      </c>
      <c r="Q2298">
        <v>18.94</v>
      </c>
      <c r="R2298">
        <v>5.13</v>
      </c>
    </row>
    <row r="2299">
      <c r="A2299" s="9">
        <v>40830</v>
      </c>
      <c r="B2299" s="2" t="inlineStr">
        <is>
          <t xml:space="preserve">2011-10</t>
        </is>
      </c>
      <c r="C2299" s="2" t="inlineStr">
        <is>
          <t xml:space="preserve">2011/12</t>
        </is>
      </c>
      <c r="D2299">
        <v>13.094</v>
      </c>
      <c r="E2299">
        <v>20.64</v>
      </c>
      <c r="F2299">
        <v>23.65</v>
      </c>
      <c r="G2299">
        <v>18.53</v>
      </c>
      <c r="H2299">
        <v>16.71</v>
      </c>
      <c r="I2299">
        <v>12.207</v>
      </c>
      <c r="J2299">
        <v>21.22</v>
      </c>
      <c r="K2299">
        <v>23.79</v>
      </c>
      <c r="L2299">
        <v>19.42</v>
      </c>
      <c r="M2299">
        <v>17.02</v>
      </c>
      <c r="N2299">
        <v>5.249</v>
      </c>
      <c r="O2299">
        <v>21.9</v>
      </c>
      <c r="P2299">
        <v>24.23</v>
      </c>
      <c r="Q2299">
        <v>20.51</v>
      </c>
      <c r="R2299">
        <v>18.73</v>
      </c>
    </row>
    <row r="2300">
      <c r="A2300" s="9">
        <v>40831</v>
      </c>
      <c r="B2300" s="2" t="inlineStr">
        <is>
          <t xml:space="preserve">2011-10</t>
        </is>
      </c>
      <c r="C2300" s="2" t="inlineStr">
        <is>
          <t xml:space="preserve">2011/12</t>
        </is>
      </c>
      <c r="D2300">
        <v>16.726</v>
      </c>
      <c r="E2300">
        <v>20.64</v>
      </c>
      <c r="F2300">
        <v>24.31</v>
      </c>
      <c r="G2300">
        <v>17.66</v>
      </c>
      <c r="H2300">
        <v>25.15</v>
      </c>
      <c r="I2300">
        <v>14.413</v>
      </c>
      <c r="J2300">
        <v>20.85</v>
      </c>
      <c r="K2300">
        <v>22.72</v>
      </c>
      <c r="L2300">
        <v>19.18</v>
      </c>
      <c r="M2300">
        <v>25.28</v>
      </c>
      <c r="N2300">
        <v>16.161</v>
      </c>
      <c r="O2300">
        <v>20.87</v>
      </c>
      <c r="P2300">
        <v>22.3</v>
      </c>
      <c r="Q2300">
        <v>19.32</v>
      </c>
      <c r="R2300">
        <v>20.58</v>
      </c>
    </row>
    <row r="2301">
      <c r="A2301" s="9">
        <v>40832</v>
      </c>
      <c r="B2301" s="2" t="inlineStr">
        <is>
          <t xml:space="preserve">2011-10</t>
        </is>
      </c>
      <c r="C2301" s="2" t="inlineStr">
        <is>
          <t xml:space="preserve">2011/12</t>
        </is>
      </c>
      <c r="D2301">
        <v>37.934</v>
      </c>
      <c r="E2301">
        <v>20.53</v>
      </c>
      <c r="F2301">
        <v>24.58</v>
      </c>
      <c r="G2301">
        <v>17.61</v>
      </c>
      <c r="H2301">
        <v>15.53</v>
      </c>
      <c r="I2301">
        <v>53.575</v>
      </c>
      <c r="J2301">
        <v>21.12</v>
      </c>
      <c r="K2301">
        <v>23.32</v>
      </c>
      <c r="L2301">
        <v>19.22</v>
      </c>
      <c r="M2301">
        <v>25.98</v>
      </c>
      <c r="N2301">
        <v>20.146</v>
      </c>
      <c r="O2301">
        <v>21.88</v>
      </c>
      <c r="P2301">
        <v>25.38</v>
      </c>
      <c r="Q2301">
        <v>19.13</v>
      </c>
      <c r="R2301">
        <v>15.05</v>
      </c>
    </row>
    <row r="2302">
      <c r="A2302" s="9">
        <v>40833</v>
      </c>
      <c r="B2302" s="2" t="inlineStr">
        <is>
          <t xml:space="preserve">2011-10</t>
        </is>
      </c>
      <c r="C2302" s="2" t="inlineStr">
        <is>
          <t xml:space="preserve">2011/12</t>
        </is>
      </c>
      <c r="D2302">
        <v>9.039</v>
      </c>
      <c r="E2302">
        <v>20.67</v>
      </c>
      <c r="F2302">
        <v>24.93</v>
      </c>
      <c r="G2302">
        <v>17.95</v>
      </c>
      <c r="H2302">
        <v>5.99</v>
      </c>
      <c r="I2302">
        <v>11.021</v>
      </c>
      <c r="J2302">
        <v>21.1</v>
      </c>
      <c r="K2302">
        <v>23.86</v>
      </c>
      <c r="L2302">
        <v>19.68</v>
      </c>
      <c r="M2302">
        <v>8.25</v>
      </c>
      <c r="N2302">
        <v>2.322</v>
      </c>
      <c r="O2302">
        <v>22.04</v>
      </c>
      <c r="P2302">
        <v>25.52</v>
      </c>
      <c r="Q2302">
        <v>19.93</v>
      </c>
      <c r="R2302">
        <v>3.67</v>
      </c>
    </row>
    <row r="2303">
      <c r="A2303" s="9">
        <v>40834</v>
      </c>
      <c r="B2303" s="2" t="inlineStr">
        <is>
          <t xml:space="preserve">2011-10</t>
        </is>
      </c>
      <c r="C2303" s="2" t="inlineStr">
        <is>
          <t xml:space="preserve">2011/12</t>
        </is>
      </c>
      <c r="D2303">
        <v>2.884</v>
      </c>
      <c r="E2303">
        <v>20.91</v>
      </c>
      <c r="F2303">
        <v>25.77</v>
      </c>
      <c r="G2303">
        <v>17.31</v>
      </c>
      <c r="H2303">
        <v>4.26</v>
      </c>
      <c r="I2303">
        <v>2.049</v>
      </c>
      <c r="J2303">
        <v>21.43</v>
      </c>
      <c r="K2303">
        <v>25.22</v>
      </c>
      <c r="L2303">
        <v>19.27</v>
      </c>
      <c r="M2303">
        <v>4.05</v>
      </c>
      <c r="N2303">
        <v>1.011</v>
      </c>
      <c r="O2303">
        <v>22.55</v>
      </c>
      <c r="P2303">
        <v>26.93</v>
      </c>
      <c r="Q2303">
        <v>19.55</v>
      </c>
      <c r="R2303">
        <v>2.4</v>
      </c>
    </row>
    <row r="2304">
      <c r="A2304" s="9">
        <v>40835</v>
      </c>
      <c r="B2304" s="2" t="inlineStr">
        <is>
          <t xml:space="preserve">2011-10</t>
        </is>
      </c>
      <c r="C2304" s="2" t="inlineStr">
        <is>
          <t xml:space="preserve">2011/12</t>
        </is>
      </c>
      <c r="D2304">
        <v>13.214</v>
      </c>
      <c r="E2304">
        <v>19.11</v>
      </c>
      <c r="F2304">
        <v>23.42</v>
      </c>
      <c r="G2304">
        <v>15.46</v>
      </c>
      <c r="H2304">
        <v>14.23</v>
      </c>
      <c r="I2304">
        <v>21.573</v>
      </c>
      <c r="J2304">
        <v>18.58</v>
      </c>
      <c r="K2304">
        <v>20.04</v>
      </c>
      <c r="L2304">
        <v>16.16</v>
      </c>
      <c r="M2304">
        <v>11.97</v>
      </c>
      <c r="N2304">
        <v>4.143</v>
      </c>
      <c r="O2304">
        <v>18.74</v>
      </c>
      <c r="P2304">
        <v>20.11</v>
      </c>
      <c r="Q2304">
        <v>16.78</v>
      </c>
      <c r="R2304">
        <v>4.95</v>
      </c>
    </row>
    <row r="2305">
      <c r="A2305" s="9">
        <v>40836</v>
      </c>
      <c r="B2305" s="2" t="inlineStr">
        <is>
          <t xml:space="preserve">2011-10</t>
        </is>
      </c>
      <c r="C2305" s="2" t="inlineStr">
        <is>
          <t xml:space="preserve">2011/12</t>
        </is>
      </c>
      <c r="D2305">
        <v>0.166</v>
      </c>
      <c r="E2305">
        <v>16.62</v>
      </c>
      <c r="F2305">
        <v>20.15</v>
      </c>
      <c r="G2305">
        <v>14.53</v>
      </c>
      <c r="H2305">
        <v>2.71</v>
      </c>
      <c r="I2305">
        <v>0.159</v>
      </c>
      <c r="J2305">
        <v>18.09</v>
      </c>
      <c r="K2305">
        <v>22.14</v>
      </c>
      <c r="L2305">
        <v>15.59</v>
      </c>
      <c r="M2305">
        <v>1.11</v>
      </c>
      <c r="N2305">
        <v>1.702</v>
      </c>
      <c r="O2305">
        <v>18.03</v>
      </c>
      <c r="P2305">
        <v>21.22</v>
      </c>
      <c r="Q2305">
        <v>16.17</v>
      </c>
      <c r="R2305">
        <v>2.78</v>
      </c>
    </row>
    <row r="2306">
      <c r="A2306" s="9">
        <v>40837</v>
      </c>
      <c r="B2306" s="2" t="inlineStr">
        <is>
          <t xml:space="preserve">2011-10</t>
        </is>
      </c>
      <c r="C2306" s="2" t="inlineStr">
        <is>
          <t xml:space="preserve">2011/12</t>
        </is>
      </c>
      <c r="D2306">
        <v>0.0</v>
      </c>
      <c r="E2306">
        <v>17.39</v>
      </c>
      <c r="F2306">
        <v>22.38</v>
      </c>
      <c r="G2306">
        <v>14.38</v>
      </c>
      <c r="H2306">
        <v>0.69</v>
      </c>
      <c r="I2306">
        <v>0.0</v>
      </c>
      <c r="J2306">
        <v>17.97</v>
      </c>
      <c r="K2306">
        <v>22.05</v>
      </c>
      <c r="L2306">
        <v>15.73</v>
      </c>
      <c r="M2306">
        <v>0.17</v>
      </c>
      <c r="N2306">
        <v>0.173</v>
      </c>
      <c r="O2306">
        <v>18.13</v>
      </c>
      <c r="P2306">
        <v>22.06</v>
      </c>
      <c r="Q2306">
        <v>15.82</v>
      </c>
      <c r="R2306">
        <v>0.16</v>
      </c>
    </row>
    <row r="2307">
      <c r="A2307" s="9">
        <v>40838</v>
      </c>
      <c r="B2307" s="2" t="inlineStr">
        <is>
          <t xml:space="preserve">2011-10</t>
        </is>
      </c>
      <c r="C2307" s="2" t="inlineStr">
        <is>
          <t xml:space="preserve">2011/12</t>
        </is>
      </c>
      <c r="D2307">
        <v>0.025</v>
      </c>
      <c r="E2307">
        <v>17.5</v>
      </c>
      <c r="F2307">
        <v>21.72</v>
      </c>
      <c r="G2307">
        <v>15.04</v>
      </c>
      <c r="H2307">
        <v>1.52</v>
      </c>
      <c r="I2307">
        <v>0.191</v>
      </c>
      <c r="J2307">
        <v>18.1</v>
      </c>
      <c r="K2307">
        <v>22.26</v>
      </c>
      <c r="L2307">
        <v>15.4</v>
      </c>
      <c r="M2307">
        <v>0.3</v>
      </c>
      <c r="N2307">
        <v>0.933</v>
      </c>
      <c r="O2307">
        <v>18.3</v>
      </c>
      <c r="P2307">
        <v>22.16</v>
      </c>
      <c r="Q2307">
        <v>15.72</v>
      </c>
      <c r="R2307">
        <v>0.37</v>
      </c>
    </row>
    <row r="2308">
      <c r="A2308" s="9">
        <v>40839</v>
      </c>
      <c r="B2308" s="2" t="inlineStr">
        <is>
          <t xml:space="preserve">2011-10</t>
        </is>
      </c>
      <c r="C2308" s="2" t="inlineStr">
        <is>
          <t xml:space="preserve">2011/12</t>
        </is>
      </c>
      <c r="D2308">
        <v>0.0</v>
      </c>
      <c r="E2308">
        <v>17.46</v>
      </c>
      <c r="F2308">
        <v>21.27</v>
      </c>
      <c r="G2308">
        <v>14.86</v>
      </c>
      <c r="H2308">
        <v>0.52</v>
      </c>
      <c r="I2308">
        <v>0.0</v>
      </c>
      <c r="J2308">
        <v>18.34</v>
      </c>
      <c r="K2308">
        <v>23.13</v>
      </c>
      <c r="L2308">
        <v>15.07</v>
      </c>
      <c r="M2308">
        <v>0.01</v>
      </c>
      <c r="N2308">
        <v>0.0</v>
      </c>
      <c r="O2308">
        <v>18.48</v>
      </c>
      <c r="P2308">
        <v>22.18</v>
      </c>
      <c r="Q2308">
        <v>16.16</v>
      </c>
      <c r="R2308">
        <v>0.01</v>
      </c>
    </row>
    <row r="2309">
      <c r="A2309" s="9">
        <v>40840</v>
      </c>
      <c r="B2309" s="2" t="inlineStr">
        <is>
          <t xml:space="preserve">2011-10</t>
        </is>
      </c>
      <c r="C2309" s="2" t="inlineStr">
        <is>
          <t xml:space="preserve">2011/12</t>
        </is>
      </c>
      <c r="D2309">
        <v>0.0</v>
      </c>
      <c r="E2309">
        <v>17.29</v>
      </c>
      <c r="F2309">
        <v>22.3</v>
      </c>
      <c r="G2309">
        <v>14.2</v>
      </c>
      <c r="H2309">
        <v>0.27</v>
      </c>
      <c r="I2309">
        <v>0.0</v>
      </c>
      <c r="J2309">
        <v>18.01</v>
      </c>
      <c r="K2309">
        <v>22.15</v>
      </c>
      <c r="L2309">
        <v>15.24</v>
      </c>
      <c r="M2309">
        <v>0.0</v>
      </c>
      <c r="N2309">
        <v>0.0</v>
      </c>
      <c r="O2309">
        <v>18.41</v>
      </c>
      <c r="P2309">
        <v>22.18</v>
      </c>
      <c r="Q2309">
        <v>15.91</v>
      </c>
      <c r="R2309">
        <v>0.0</v>
      </c>
    </row>
    <row r="2310">
      <c r="A2310" s="9">
        <v>40841</v>
      </c>
      <c r="B2310" s="2" t="inlineStr">
        <is>
          <t xml:space="preserve">2011-10</t>
        </is>
      </c>
      <c r="C2310" s="2" t="inlineStr">
        <is>
          <t xml:space="preserve">2011/12</t>
        </is>
      </c>
      <c r="D2310">
        <v>0.0</v>
      </c>
      <c r="E2310">
        <v>17.41</v>
      </c>
      <c r="F2310">
        <v>22.26</v>
      </c>
      <c r="G2310">
        <v>14.06</v>
      </c>
      <c r="H2310">
        <v>0.02</v>
      </c>
      <c r="I2310">
        <v>0.0</v>
      </c>
      <c r="J2310">
        <v>17.72</v>
      </c>
      <c r="K2310">
        <v>22.07</v>
      </c>
      <c r="L2310">
        <v>14.58</v>
      </c>
      <c r="M2310">
        <v>0.0</v>
      </c>
      <c r="N2310">
        <v>0.0</v>
      </c>
      <c r="O2310">
        <v>17.84</v>
      </c>
      <c r="P2310">
        <v>21.59</v>
      </c>
      <c r="Q2310">
        <v>14.69</v>
      </c>
      <c r="R2310">
        <v>0.0</v>
      </c>
    </row>
    <row r="2311">
      <c r="A2311" s="9">
        <v>40842</v>
      </c>
      <c r="B2311" s="2" t="inlineStr">
        <is>
          <t xml:space="preserve">2011-10</t>
        </is>
      </c>
      <c r="C2311" s="2" t="inlineStr">
        <is>
          <t xml:space="preserve">2011/12</t>
        </is>
      </c>
      <c r="D2311">
        <v>0.0</v>
      </c>
      <c r="E2311">
        <v>18.93</v>
      </c>
      <c r="F2311">
        <v>24.03</v>
      </c>
      <c r="G2311">
        <v>15.3</v>
      </c>
      <c r="H2311">
        <v>0.02</v>
      </c>
      <c r="I2311">
        <v>0.0</v>
      </c>
      <c r="J2311">
        <v>19.04</v>
      </c>
      <c r="K2311">
        <v>24.09</v>
      </c>
      <c r="L2311">
        <v>15.36</v>
      </c>
      <c r="M2311">
        <v>0.0</v>
      </c>
      <c r="N2311">
        <v>0.0</v>
      </c>
      <c r="O2311">
        <v>18.87</v>
      </c>
      <c r="P2311">
        <v>22.85</v>
      </c>
      <c r="Q2311">
        <v>15.68</v>
      </c>
      <c r="R2311">
        <v>0.0</v>
      </c>
    </row>
    <row r="2312">
      <c r="A2312" s="9">
        <v>40843</v>
      </c>
      <c r="B2312" s="2" t="inlineStr">
        <is>
          <t xml:space="preserve">2011-10</t>
        </is>
      </c>
      <c r="C2312" s="2" t="inlineStr">
        <is>
          <t xml:space="preserve">2011/12</t>
        </is>
      </c>
      <c r="D2312">
        <v>0.0</v>
      </c>
      <c r="E2312">
        <v>20.4</v>
      </c>
      <c r="F2312">
        <v>25.76</v>
      </c>
      <c r="G2312">
        <v>15.76</v>
      </c>
      <c r="H2312">
        <v>0.0</v>
      </c>
      <c r="I2312">
        <v>0.0</v>
      </c>
      <c r="J2312">
        <v>20.68</v>
      </c>
      <c r="K2312">
        <v>26.07</v>
      </c>
      <c r="L2312">
        <v>15.64</v>
      </c>
      <c r="M2312">
        <v>0.0</v>
      </c>
      <c r="N2312">
        <v>0.0</v>
      </c>
      <c r="O2312">
        <v>20.94</v>
      </c>
      <c r="P2312">
        <v>25.96</v>
      </c>
      <c r="Q2312">
        <v>16.61</v>
      </c>
      <c r="R2312">
        <v>0.0</v>
      </c>
    </row>
    <row r="2313">
      <c r="A2313" s="9">
        <v>40844</v>
      </c>
      <c r="B2313" s="2" t="inlineStr">
        <is>
          <t xml:space="preserve">2011-10</t>
        </is>
      </c>
      <c r="C2313" s="2" t="inlineStr">
        <is>
          <t xml:space="preserve">2011/12</t>
        </is>
      </c>
      <c r="D2313">
        <v>0.0</v>
      </c>
      <c r="E2313">
        <v>20.8</v>
      </c>
      <c r="F2313">
        <v>24.57</v>
      </c>
      <c r="G2313">
        <v>18.49</v>
      </c>
      <c r="H2313">
        <v>1.43</v>
      </c>
      <c r="I2313">
        <v>0.0</v>
      </c>
      <c r="J2313">
        <v>21.43</v>
      </c>
      <c r="K2313">
        <v>26.02</v>
      </c>
      <c r="L2313">
        <v>18.22</v>
      </c>
      <c r="M2313">
        <v>1.49</v>
      </c>
      <c r="N2313">
        <v>0.0</v>
      </c>
      <c r="O2313">
        <v>21.84</v>
      </c>
      <c r="P2313">
        <v>26.24</v>
      </c>
      <c r="Q2313">
        <v>18.85</v>
      </c>
      <c r="R2313">
        <v>2.96</v>
      </c>
    </row>
    <row r="2314">
      <c r="A2314" s="9">
        <v>40845</v>
      </c>
      <c r="B2314" s="2" t="inlineStr">
        <is>
          <t xml:space="preserve">2011-10</t>
        </is>
      </c>
      <c r="C2314" s="2" t="inlineStr">
        <is>
          <t xml:space="preserve">2011/12</t>
        </is>
      </c>
      <c r="D2314">
        <v>0.383</v>
      </c>
      <c r="E2314">
        <v>18.99</v>
      </c>
      <c r="F2314">
        <v>22.53</v>
      </c>
      <c r="G2314">
        <v>16.23</v>
      </c>
      <c r="H2314">
        <v>1.36</v>
      </c>
      <c r="I2314">
        <v>1.536</v>
      </c>
      <c r="J2314">
        <v>18.94</v>
      </c>
      <c r="K2314">
        <v>22.09</v>
      </c>
      <c r="L2314">
        <v>16.34</v>
      </c>
      <c r="M2314">
        <v>1.96</v>
      </c>
      <c r="N2314">
        <v>5.902</v>
      </c>
      <c r="O2314">
        <v>19.83</v>
      </c>
      <c r="P2314">
        <v>22.73</v>
      </c>
      <c r="Q2314">
        <v>17.61</v>
      </c>
      <c r="R2314">
        <v>3.99</v>
      </c>
    </row>
    <row r="2315">
      <c r="A2315" s="9">
        <v>40846</v>
      </c>
      <c r="B2315" s="2" t="inlineStr">
        <is>
          <t xml:space="preserve">2011-10</t>
        </is>
      </c>
      <c r="C2315" s="2" t="inlineStr">
        <is>
          <t xml:space="preserve">2011/12</t>
        </is>
      </c>
      <c r="D2315">
        <v>0.953</v>
      </c>
      <c r="E2315">
        <v>18.97</v>
      </c>
      <c r="F2315">
        <v>23.71</v>
      </c>
      <c r="G2315">
        <v>15.66</v>
      </c>
      <c r="H2315">
        <v>5.27</v>
      </c>
      <c r="I2315">
        <v>0.635</v>
      </c>
      <c r="J2315">
        <v>19.35</v>
      </c>
      <c r="K2315">
        <v>23.85</v>
      </c>
      <c r="L2315">
        <v>15.76</v>
      </c>
      <c r="M2315">
        <v>1.44</v>
      </c>
      <c r="N2315">
        <v>2.264</v>
      </c>
      <c r="O2315">
        <v>19.64</v>
      </c>
      <c r="P2315">
        <v>23.92</v>
      </c>
      <c r="Q2315">
        <v>16.52</v>
      </c>
      <c r="R2315">
        <v>2.51</v>
      </c>
    </row>
    <row r="2316">
      <c r="A2316" s="9">
        <v>40847</v>
      </c>
      <c r="B2316" s="2" t="inlineStr">
        <is>
          <t xml:space="preserve">2011-10</t>
        </is>
      </c>
      <c r="C2316" s="2" t="inlineStr">
        <is>
          <t xml:space="preserve">2011/12</t>
        </is>
      </c>
      <c r="D2316">
        <v>0.055</v>
      </c>
      <c r="E2316">
        <v>17.83</v>
      </c>
      <c r="F2316">
        <v>20.39</v>
      </c>
      <c r="G2316">
        <v>16.05</v>
      </c>
      <c r="H2316">
        <v>0.46</v>
      </c>
      <c r="I2316">
        <v>0.095</v>
      </c>
      <c r="J2316">
        <v>17.85</v>
      </c>
      <c r="K2316">
        <v>20.88</v>
      </c>
      <c r="L2316">
        <v>15.61</v>
      </c>
      <c r="M2316">
        <v>0.44</v>
      </c>
      <c r="N2316">
        <v>0.924</v>
      </c>
      <c r="O2316">
        <v>17.98</v>
      </c>
      <c r="P2316">
        <v>19.67</v>
      </c>
      <c r="Q2316">
        <v>16.28</v>
      </c>
      <c r="R2316">
        <v>0.52</v>
      </c>
    </row>
    <row r="2317">
      <c r="A2317" s="9">
        <v>40848</v>
      </c>
      <c r="B2317" s="2" t="inlineStr">
        <is>
          <t xml:space="preserve">2011-11</t>
        </is>
      </c>
      <c r="C2317" s="2" t="inlineStr">
        <is>
          <t xml:space="preserve">2011/12</t>
        </is>
      </c>
      <c r="D2317">
        <v>0.0</v>
      </c>
      <c r="E2317">
        <v>18.8</v>
      </c>
      <c r="F2317">
        <v>23.45</v>
      </c>
      <c r="G2317">
        <v>14.79</v>
      </c>
      <c r="H2317">
        <v>0.8</v>
      </c>
      <c r="I2317">
        <v>0.907</v>
      </c>
      <c r="J2317">
        <v>19.38</v>
      </c>
      <c r="K2317">
        <v>24.51</v>
      </c>
      <c r="L2317">
        <v>15.07</v>
      </c>
      <c r="M2317">
        <v>1.31</v>
      </c>
      <c r="N2317">
        <v>3.392</v>
      </c>
      <c r="O2317">
        <v>19.41</v>
      </c>
      <c r="P2317">
        <v>24.15</v>
      </c>
      <c r="Q2317">
        <v>15.61</v>
      </c>
      <c r="R2317">
        <v>2.07</v>
      </c>
    </row>
    <row r="2318">
      <c r="A2318" s="9">
        <v>40849</v>
      </c>
      <c r="B2318" s="2" t="inlineStr">
        <is>
          <t xml:space="preserve">2011-11</t>
        </is>
      </c>
      <c r="C2318" s="2" t="inlineStr">
        <is>
          <t xml:space="preserve">2011/12</t>
        </is>
      </c>
      <c r="D2318">
        <v>0.103</v>
      </c>
      <c r="E2318">
        <v>19.81</v>
      </c>
      <c r="F2318">
        <v>24.57</v>
      </c>
      <c r="G2318">
        <v>16.52</v>
      </c>
      <c r="H2318">
        <v>0.33</v>
      </c>
      <c r="I2318">
        <v>0.0</v>
      </c>
      <c r="J2318">
        <v>20.85</v>
      </c>
      <c r="K2318">
        <v>25.54</v>
      </c>
      <c r="L2318">
        <v>16.68</v>
      </c>
      <c r="M2318">
        <v>0.73</v>
      </c>
      <c r="N2318">
        <v>0.0</v>
      </c>
      <c r="O2318">
        <v>20.92</v>
      </c>
      <c r="P2318">
        <v>25.67</v>
      </c>
      <c r="Q2318">
        <v>17.23</v>
      </c>
      <c r="R2318">
        <v>0.42</v>
      </c>
    </row>
    <row r="2319">
      <c r="A2319" s="9">
        <v>40850</v>
      </c>
      <c r="B2319" s="2" t="inlineStr">
        <is>
          <t xml:space="preserve">2011-11</t>
        </is>
      </c>
      <c r="C2319" s="2" t="inlineStr">
        <is>
          <t xml:space="preserve">2011/12</t>
        </is>
      </c>
      <c r="D2319">
        <v>0.0</v>
      </c>
      <c r="E2319">
        <v>19.82</v>
      </c>
      <c r="F2319">
        <v>24.76</v>
      </c>
      <c r="G2319">
        <v>15.84</v>
      </c>
      <c r="H2319">
        <v>0.85</v>
      </c>
      <c r="I2319">
        <v>3.653</v>
      </c>
      <c r="J2319">
        <v>20.65</v>
      </c>
      <c r="K2319">
        <v>25.37</v>
      </c>
      <c r="L2319">
        <v>16.91</v>
      </c>
      <c r="M2319">
        <v>1.46</v>
      </c>
      <c r="N2319">
        <v>0.112</v>
      </c>
      <c r="O2319">
        <v>20.78</v>
      </c>
      <c r="P2319">
        <v>25.19</v>
      </c>
      <c r="Q2319">
        <v>17.45</v>
      </c>
      <c r="R2319">
        <v>2.49</v>
      </c>
    </row>
    <row r="2320">
      <c r="A2320" s="9">
        <v>40851</v>
      </c>
      <c r="B2320" s="2" t="inlineStr">
        <is>
          <t xml:space="preserve">2011-11</t>
        </is>
      </c>
      <c r="C2320" s="2" t="inlineStr">
        <is>
          <t xml:space="preserve">2011/12</t>
        </is>
      </c>
      <c r="D2320">
        <v>0.648</v>
      </c>
      <c r="E2320">
        <v>19.66</v>
      </c>
      <c r="F2320">
        <v>24.19</v>
      </c>
      <c r="G2320">
        <v>16.18</v>
      </c>
      <c r="H2320">
        <v>2.5</v>
      </c>
      <c r="I2320">
        <v>0.584</v>
      </c>
      <c r="J2320">
        <v>19.67</v>
      </c>
      <c r="K2320">
        <v>23.86</v>
      </c>
      <c r="L2320">
        <v>17.1</v>
      </c>
      <c r="M2320">
        <v>1.58</v>
      </c>
      <c r="N2320">
        <v>2.499</v>
      </c>
      <c r="O2320">
        <v>19.89</v>
      </c>
      <c r="P2320">
        <v>23.59</v>
      </c>
      <c r="Q2320">
        <v>17.48</v>
      </c>
      <c r="R2320">
        <v>3.47</v>
      </c>
    </row>
    <row r="2321">
      <c r="A2321" s="9">
        <v>40852</v>
      </c>
      <c r="B2321" s="2" t="inlineStr">
        <is>
          <t xml:space="preserve">2011-11</t>
        </is>
      </c>
      <c r="C2321" s="2" t="inlineStr">
        <is>
          <t xml:space="preserve">2011/12</t>
        </is>
      </c>
      <c r="D2321">
        <v>0.226</v>
      </c>
      <c r="E2321">
        <v>19.73</v>
      </c>
      <c r="F2321">
        <v>24.53</v>
      </c>
      <c r="G2321">
        <v>16.68</v>
      </c>
      <c r="H2321">
        <v>1.89</v>
      </c>
      <c r="I2321">
        <v>0.749</v>
      </c>
      <c r="J2321">
        <v>19.99</v>
      </c>
      <c r="K2321">
        <v>24.74</v>
      </c>
      <c r="L2321">
        <v>17.2</v>
      </c>
      <c r="M2321">
        <v>0.87</v>
      </c>
      <c r="N2321">
        <v>2.671</v>
      </c>
      <c r="O2321">
        <v>20.31</v>
      </c>
      <c r="P2321">
        <v>24.55</v>
      </c>
      <c r="Q2321">
        <v>17.48</v>
      </c>
      <c r="R2321">
        <v>1.04</v>
      </c>
    </row>
    <row r="2322">
      <c r="A2322" s="9">
        <v>40853</v>
      </c>
      <c r="B2322" s="2" t="inlineStr">
        <is>
          <t xml:space="preserve">2011-11</t>
        </is>
      </c>
      <c r="C2322" s="2" t="inlineStr">
        <is>
          <t xml:space="preserve">2011/12</t>
        </is>
      </c>
      <c r="D2322">
        <v>0.0</v>
      </c>
      <c r="E2322">
        <v>19.3</v>
      </c>
      <c r="F2322">
        <v>24.65</v>
      </c>
      <c r="G2322">
        <v>15.59</v>
      </c>
      <c r="H2322">
        <v>2.22</v>
      </c>
      <c r="I2322">
        <v>0.0</v>
      </c>
      <c r="J2322">
        <v>20.65</v>
      </c>
      <c r="K2322">
        <v>25.77</v>
      </c>
      <c r="L2322">
        <v>15.41</v>
      </c>
      <c r="M2322">
        <v>1.51</v>
      </c>
      <c r="N2322">
        <v>0.061</v>
      </c>
      <c r="O2322">
        <v>20.98</v>
      </c>
      <c r="P2322">
        <v>25.85</v>
      </c>
      <c r="Q2322">
        <v>17.02</v>
      </c>
      <c r="R2322">
        <v>3.21</v>
      </c>
    </row>
    <row r="2323">
      <c r="A2323" s="9">
        <v>40854</v>
      </c>
      <c r="B2323" s="2" t="inlineStr">
        <is>
          <t xml:space="preserve">2011-11</t>
        </is>
      </c>
      <c r="C2323" s="2" t="inlineStr">
        <is>
          <t xml:space="preserve">2011/12</t>
        </is>
      </c>
      <c r="D2323">
        <v>1.569</v>
      </c>
      <c r="E2323">
        <v>19.51</v>
      </c>
      <c r="F2323">
        <v>24.7</v>
      </c>
      <c r="G2323">
        <v>15.82</v>
      </c>
      <c r="H2323">
        <v>4.02</v>
      </c>
      <c r="I2323">
        <v>2.141</v>
      </c>
      <c r="J2323">
        <v>20.93</v>
      </c>
      <c r="K2323">
        <v>26.02</v>
      </c>
      <c r="L2323">
        <v>17.6</v>
      </c>
      <c r="M2323">
        <v>4.47</v>
      </c>
      <c r="N2323">
        <v>8.792</v>
      </c>
      <c r="O2323">
        <v>20.94</v>
      </c>
      <c r="P2323">
        <v>25.22</v>
      </c>
      <c r="Q2323">
        <v>17.8</v>
      </c>
      <c r="R2323">
        <v>9.86</v>
      </c>
    </row>
    <row r="2324">
      <c r="A2324" s="9">
        <v>40855</v>
      </c>
      <c r="B2324" s="2" t="inlineStr">
        <is>
          <t xml:space="preserve">2011-11</t>
        </is>
      </c>
      <c r="C2324" s="2" t="inlineStr">
        <is>
          <t xml:space="preserve">2011/12</t>
        </is>
      </c>
      <c r="D2324">
        <v>0.0</v>
      </c>
      <c r="E2324">
        <v>18.41</v>
      </c>
      <c r="F2324">
        <v>23.94</v>
      </c>
      <c r="G2324">
        <v>14.94</v>
      </c>
      <c r="H2324">
        <v>0.06</v>
      </c>
      <c r="I2324">
        <v>0.816</v>
      </c>
      <c r="J2324">
        <v>19.09</v>
      </c>
      <c r="K2324">
        <v>24.6</v>
      </c>
      <c r="L2324">
        <v>15.37</v>
      </c>
      <c r="M2324">
        <v>0.72</v>
      </c>
      <c r="N2324">
        <v>3.003</v>
      </c>
      <c r="O2324">
        <v>19.22</v>
      </c>
      <c r="P2324">
        <v>23.99</v>
      </c>
      <c r="Q2324">
        <v>16.33</v>
      </c>
      <c r="R2324">
        <v>1.02</v>
      </c>
    </row>
    <row r="2325">
      <c r="A2325" s="9">
        <v>40856</v>
      </c>
      <c r="B2325" s="2" t="inlineStr">
        <is>
          <t xml:space="preserve">2011-11</t>
        </is>
      </c>
      <c r="C2325" s="2" t="inlineStr">
        <is>
          <t xml:space="preserve">2011/12</t>
        </is>
      </c>
      <c r="D2325">
        <v>0.0</v>
      </c>
      <c r="E2325">
        <v>19.01</v>
      </c>
      <c r="F2325">
        <v>24.8</v>
      </c>
      <c r="G2325">
        <v>14.43</v>
      </c>
      <c r="H2325">
        <v>0.13</v>
      </c>
      <c r="I2325">
        <v>0.0</v>
      </c>
      <c r="J2325">
        <v>18.63</v>
      </c>
      <c r="K2325">
        <v>24.69</v>
      </c>
      <c r="L2325">
        <v>14.44</v>
      </c>
      <c r="M2325">
        <v>0.13</v>
      </c>
      <c r="N2325">
        <v>0.0</v>
      </c>
      <c r="O2325">
        <v>19.54</v>
      </c>
      <c r="P2325">
        <v>24.47</v>
      </c>
      <c r="Q2325">
        <v>16.44</v>
      </c>
      <c r="R2325">
        <v>0.56</v>
      </c>
    </row>
    <row r="2326">
      <c r="A2326" s="9">
        <v>40857</v>
      </c>
      <c r="B2326" s="2" t="inlineStr">
        <is>
          <t xml:space="preserve">2011-11</t>
        </is>
      </c>
      <c r="C2326" s="2" t="inlineStr">
        <is>
          <t xml:space="preserve">2011/12</t>
        </is>
      </c>
      <c r="D2326">
        <v>0.0</v>
      </c>
      <c r="E2326">
        <v>19.35</v>
      </c>
      <c r="F2326">
        <v>24.24</v>
      </c>
      <c r="G2326">
        <v>15.63</v>
      </c>
      <c r="H2326">
        <v>0.89</v>
      </c>
      <c r="I2326">
        <v>0.028</v>
      </c>
      <c r="J2326">
        <v>19.48</v>
      </c>
      <c r="K2326">
        <v>24.61</v>
      </c>
      <c r="L2326">
        <v>15.25</v>
      </c>
      <c r="M2326">
        <v>1.01</v>
      </c>
      <c r="N2326">
        <v>0.599</v>
      </c>
      <c r="O2326">
        <v>19.94</v>
      </c>
      <c r="P2326">
        <v>24.49</v>
      </c>
      <c r="Q2326">
        <v>16.76</v>
      </c>
      <c r="R2326">
        <v>3.31</v>
      </c>
    </row>
    <row r="2327">
      <c r="A2327" s="9">
        <v>40858</v>
      </c>
      <c r="B2327" s="2" t="inlineStr">
        <is>
          <t xml:space="preserve">2011-11</t>
        </is>
      </c>
      <c r="C2327" s="2" t="inlineStr">
        <is>
          <t xml:space="preserve">2011/12</t>
        </is>
      </c>
      <c r="D2327">
        <v>0.028</v>
      </c>
      <c r="E2327">
        <v>18.31</v>
      </c>
      <c r="F2327">
        <v>22.28</v>
      </c>
      <c r="G2327">
        <v>16.29</v>
      </c>
      <c r="H2327">
        <v>1.6</v>
      </c>
      <c r="I2327">
        <v>0.485</v>
      </c>
      <c r="J2327">
        <v>18.68</v>
      </c>
      <c r="K2327">
        <v>21.86</v>
      </c>
      <c r="L2327">
        <v>16.68</v>
      </c>
      <c r="M2327">
        <v>1.41</v>
      </c>
      <c r="N2327">
        <v>1.928</v>
      </c>
      <c r="O2327">
        <v>18.74</v>
      </c>
      <c r="P2327">
        <v>21.73</v>
      </c>
      <c r="Q2327">
        <v>16.92</v>
      </c>
      <c r="R2327">
        <v>3.45</v>
      </c>
    </row>
    <row r="2328">
      <c r="A2328" s="9">
        <v>40859</v>
      </c>
      <c r="B2328" s="2" t="inlineStr">
        <is>
          <t xml:space="preserve">2011-11</t>
        </is>
      </c>
      <c r="C2328" s="2" t="inlineStr">
        <is>
          <t xml:space="preserve">2011/12</t>
        </is>
      </c>
      <c r="D2328">
        <v>0.038</v>
      </c>
      <c r="E2328">
        <v>19.45</v>
      </c>
      <c r="F2328">
        <v>24.34</v>
      </c>
      <c r="G2328">
        <v>16.25</v>
      </c>
      <c r="H2328">
        <v>1.83</v>
      </c>
      <c r="I2328">
        <v>1.161</v>
      </c>
      <c r="J2328">
        <v>18.8</v>
      </c>
      <c r="K2328">
        <v>22.74</v>
      </c>
      <c r="L2328">
        <v>16.51</v>
      </c>
      <c r="M2328">
        <v>2.78</v>
      </c>
      <c r="N2328">
        <v>4.893</v>
      </c>
      <c r="O2328">
        <v>18.8</v>
      </c>
      <c r="P2328">
        <v>21.74</v>
      </c>
      <c r="Q2328">
        <v>17.02</v>
      </c>
      <c r="R2328">
        <v>5.58</v>
      </c>
    </row>
    <row r="2329">
      <c r="A2329" s="9">
        <v>40860</v>
      </c>
      <c r="B2329" s="2" t="inlineStr">
        <is>
          <t xml:space="preserve">2011-11</t>
        </is>
      </c>
      <c r="C2329" s="2" t="inlineStr">
        <is>
          <t xml:space="preserve">2011/12</t>
        </is>
      </c>
      <c r="D2329">
        <v>0.071</v>
      </c>
      <c r="E2329">
        <v>19.23</v>
      </c>
      <c r="F2329">
        <v>24.36</v>
      </c>
      <c r="G2329">
        <v>15.2</v>
      </c>
      <c r="H2329">
        <v>0.33</v>
      </c>
      <c r="I2329">
        <v>0.044</v>
      </c>
      <c r="J2329">
        <v>19.66</v>
      </c>
      <c r="K2329">
        <v>24.75</v>
      </c>
      <c r="L2329">
        <v>16.04</v>
      </c>
      <c r="M2329">
        <v>0.58</v>
      </c>
      <c r="N2329">
        <v>0.815</v>
      </c>
      <c r="O2329">
        <v>19.8</v>
      </c>
      <c r="P2329">
        <v>24.29</v>
      </c>
      <c r="Q2329">
        <v>16.69</v>
      </c>
      <c r="R2329">
        <v>1.97</v>
      </c>
    </row>
    <row r="2330">
      <c r="A2330" s="9">
        <v>40861</v>
      </c>
      <c r="B2330" s="2" t="inlineStr">
        <is>
          <t xml:space="preserve">2011-11</t>
        </is>
      </c>
      <c r="C2330" s="2" t="inlineStr">
        <is>
          <t xml:space="preserve">2011/12</t>
        </is>
      </c>
      <c r="D2330">
        <v>0.17</v>
      </c>
      <c r="E2330">
        <v>19.93</v>
      </c>
      <c r="F2330">
        <v>24.68</v>
      </c>
      <c r="G2330">
        <v>16.34</v>
      </c>
      <c r="H2330">
        <v>2.17</v>
      </c>
      <c r="I2330">
        <v>0.0</v>
      </c>
      <c r="J2330">
        <v>20.82</v>
      </c>
      <c r="K2330">
        <v>25.88</v>
      </c>
      <c r="L2330">
        <v>16.34</v>
      </c>
      <c r="M2330">
        <v>0.63</v>
      </c>
      <c r="N2330">
        <v>0.0</v>
      </c>
      <c r="O2330">
        <v>20.94</v>
      </c>
      <c r="P2330">
        <v>25.9</v>
      </c>
      <c r="Q2330">
        <v>17.18</v>
      </c>
      <c r="R2330">
        <v>0.64</v>
      </c>
    </row>
    <row r="2331">
      <c r="A2331" s="9">
        <v>40862</v>
      </c>
      <c r="B2331" s="2" t="inlineStr">
        <is>
          <t xml:space="preserve">2011-11</t>
        </is>
      </c>
      <c r="C2331" s="2" t="inlineStr">
        <is>
          <t xml:space="preserve">2011/12</t>
        </is>
      </c>
      <c r="D2331">
        <v>8.381</v>
      </c>
      <c r="E2331">
        <v>20.04</v>
      </c>
      <c r="F2331">
        <v>24.7</v>
      </c>
      <c r="G2331">
        <v>15.92</v>
      </c>
      <c r="H2331">
        <v>5.36</v>
      </c>
      <c r="I2331">
        <v>2.827</v>
      </c>
      <c r="J2331">
        <v>22.18</v>
      </c>
      <c r="K2331">
        <v>27.0</v>
      </c>
      <c r="L2331">
        <v>17.98</v>
      </c>
      <c r="M2331">
        <v>3.86</v>
      </c>
      <c r="N2331">
        <v>4.832</v>
      </c>
      <c r="O2331">
        <v>22.19</v>
      </c>
      <c r="P2331">
        <v>26.67</v>
      </c>
      <c r="Q2331">
        <v>19.17</v>
      </c>
      <c r="R2331">
        <v>3.59</v>
      </c>
    </row>
    <row r="2332">
      <c r="A2332" s="9">
        <v>40863</v>
      </c>
      <c r="B2332" s="2" t="inlineStr">
        <is>
          <t xml:space="preserve">2011-11</t>
        </is>
      </c>
      <c r="C2332" s="2" t="inlineStr">
        <is>
          <t xml:space="preserve">2011/12</t>
        </is>
      </c>
      <c r="D2332">
        <v>26.053</v>
      </c>
      <c r="E2332">
        <v>20.33</v>
      </c>
      <c r="F2332">
        <v>24.45</v>
      </c>
      <c r="G2332">
        <v>16.62</v>
      </c>
      <c r="H2332">
        <v>16.6</v>
      </c>
      <c r="I2332">
        <v>4.676</v>
      </c>
      <c r="J2332">
        <v>22.18</v>
      </c>
      <c r="K2332">
        <v>26.17</v>
      </c>
      <c r="L2332">
        <v>18.69</v>
      </c>
      <c r="M2332">
        <v>4.7</v>
      </c>
      <c r="N2332">
        <v>4.633</v>
      </c>
      <c r="O2332">
        <v>22.14</v>
      </c>
      <c r="P2332">
        <v>26.06</v>
      </c>
      <c r="Q2332">
        <v>19.26</v>
      </c>
      <c r="R2332">
        <v>5.24</v>
      </c>
    </row>
    <row r="2333">
      <c r="A2333" s="9">
        <v>40864</v>
      </c>
      <c r="B2333" s="2" t="inlineStr">
        <is>
          <t xml:space="preserve">2011-11</t>
        </is>
      </c>
      <c r="C2333" s="2" t="inlineStr">
        <is>
          <t xml:space="preserve">2011/12</t>
        </is>
      </c>
      <c r="D2333">
        <v>0.512</v>
      </c>
      <c r="E2333">
        <v>20.08</v>
      </c>
      <c r="F2333">
        <v>25.02</v>
      </c>
      <c r="G2333">
        <v>16.76</v>
      </c>
      <c r="H2333">
        <v>1.37</v>
      </c>
      <c r="I2333">
        <v>0.907</v>
      </c>
      <c r="J2333">
        <v>20.92</v>
      </c>
      <c r="K2333">
        <v>24.9</v>
      </c>
      <c r="L2333">
        <v>18.17</v>
      </c>
      <c r="M2333">
        <v>2.51</v>
      </c>
      <c r="N2333">
        <v>1.552</v>
      </c>
      <c r="O2333">
        <v>21.36</v>
      </c>
      <c r="P2333">
        <v>24.73</v>
      </c>
      <c r="Q2333">
        <v>18.71</v>
      </c>
      <c r="R2333">
        <v>7.99</v>
      </c>
    </row>
    <row r="2334">
      <c r="A2334" s="9">
        <v>40865</v>
      </c>
      <c r="B2334" s="2" t="inlineStr">
        <is>
          <t xml:space="preserve">2011-11</t>
        </is>
      </c>
      <c r="C2334" s="2" t="inlineStr">
        <is>
          <t xml:space="preserve">2011/12</t>
        </is>
      </c>
      <c r="D2334">
        <v>0.386</v>
      </c>
      <c r="E2334">
        <v>19.19</v>
      </c>
      <c r="F2334">
        <v>23.97</v>
      </c>
      <c r="G2334">
        <v>15.46</v>
      </c>
      <c r="H2334">
        <v>1.12</v>
      </c>
      <c r="I2334">
        <v>0.167</v>
      </c>
      <c r="J2334">
        <v>19.42</v>
      </c>
      <c r="K2334">
        <v>24.2</v>
      </c>
      <c r="L2334">
        <v>16.06</v>
      </c>
      <c r="M2334">
        <v>0.99</v>
      </c>
      <c r="N2334">
        <v>0.902</v>
      </c>
      <c r="O2334">
        <v>19.76</v>
      </c>
      <c r="P2334">
        <v>23.83</v>
      </c>
      <c r="Q2334">
        <v>16.9</v>
      </c>
      <c r="R2334">
        <v>3.24</v>
      </c>
    </row>
    <row r="2335">
      <c r="A2335" s="9">
        <v>40866</v>
      </c>
      <c r="B2335" s="2" t="inlineStr">
        <is>
          <t xml:space="preserve">2011-11</t>
        </is>
      </c>
      <c r="C2335" s="2" t="inlineStr">
        <is>
          <t xml:space="preserve">2011/12</t>
        </is>
      </c>
      <c r="D2335">
        <v>0.0</v>
      </c>
      <c r="E2335">
        <v>20.03</v>
      </c>
      <c r="F2335">
        <v>24.99</v>
      </c>
      <c r="G2335">
        <v>16.63</v>
      </c>
      <c r="H2335">
        <v>0.44</v>
      </c>
      <c r="I2335">
        <v>0.394</v>
      </c>
      <c r="J2335">
        <v>20.39</v>
      </c>
      <c r="K2335">
        <v>25.5</v>
      </c>
      <c r="L2335">
        <v>16.64</v>
      </c>
      <c r="M2335">
        <v>0.68</v>
      </c>
      <c r="N2335">
        <v>0.621</v>
      </c>
      <c r="O2335">
        <v>20.87</v>
      </c>
      <c r="P2335">
        <v>25.25</v>
      </c>
      <c r="Q2335">
        <v>17.86</v>
      </c>
      <c r="R2335">
        <v>1.42</v>
      </c>
    </row>
    <row r="2336">
      <c r="A2336" s="9">
        <v>40867</v>
      </c>
      <c r="B2336" s="2" t="inlineStr">
        <is>
          <t xml:space="preserve">2011-11</t>
        </is>
      </c>
      <c r="C2336" s="2" t="inlineStr">
        <is>
          <t xml:space="preserve">2011/12</t>
        </is>
      </c>
      <c r="D2336">
        <v>0.681</v>
      </c>
      <c r="E2336">
        <v>19.85</v>
      </c>
      <c r="F2336">
        <v>24.36</v>
      </c>
      <c r="G2336">
        <v>16.26</v>
      </c>
      <c r="H2336">
        <v>2.34</v>
      </c>
      <c r="I2336">
        <v>0.623</v>
      </c>
      <c r="J2336">
        <v>20.5</v>
      </c>
      <c r="K2336">
        <v>25.34</v>
      </c>
      <c r="L2336">
        <v>16.89</v>
      </c>
      <c r="M2336">
        <v>0.97</v>
      </c>
      <c r="N2336">
        <v>0.631</v>
      </c>
      <c r="O2336">
        <v>20.86</v>
      </c>
      <c r="P2336">
        <v>24.94</v>
      </c>
      <c r="Q2336">
        <v>18.06</v>
      </c>
      <c r="R2336">
        <v>0.77</v>
      </c>
    </row>
    <row r="2337">
      <c r="A2337" s="9">
        <v>40868</v>
      </c>
      <c r="B2337" s="2" t="inlineStr">
        <is>
          <t xml:space="preserve">2011-11</t>
        </is>
      </c>
      <c r="C2337" s="2" t="inlineStr">
        <is>
          <t xml:space="preserve">2011/12</t>
        </is>
      </c>
      <c r="D2337">
        <v>1.023</v>
      </c>
      <c r="E2337">
        <v>19.68</v>
      </c>
      <c r="F2337">
        <v>24.45</v>
      </c>
      <c r="G2337">
        <v>16.57</v>
      </c>
      <c r="H2337">
        <v>0.76</v>
      </c>
      <c r="I2337">
        <v>0.827</v>
      </c>
      <c r="J2337">
        <v>20.42</v>
      </c>
      <c r="K2337">
        <v>24.99</v>
      </c>
      <c r="L2337">
        <v>17.4</v>
      </c>
      <c r="M2337">
        <v>0.63</v>
      </c>
      <c r="N2337">
        <v>0.435</v>
      </c>
      <c r="O2337">
        <v>20.73</v>
      </c>
      <c r="P2337">
        <v>24.92</v>
      </c>
      <c r="Q2337">
        <v>17.8</v>
      </c>
      <c r="R2337">
        <v>0.61</v>
      </c>
    </row>
    <row r="2338">
      <c r="A2338" s="9">
        <v>40869</v>
      </c>
      <c r="B2338" s="2" t="inlineStr">
        <is>
          <t xml:space="preserve">2011-11</t>
        </is>
      </c>
      <c r="C2338" s="2" t="inlineStr">
        <is>
          <t xml:space="preserve">2011/12</t>
        </is>
      </c>
      <c r="D2338">
        <v>0.0</v>
      </c>
      <c r="E2338">
        <v>18.71</v>
      </c>
      <c r="F2338">
        <v>24.21</v>
      </c>
      <c r="G2338">
        <v>15.07</v>
      </c>
      <c r="H2338">
        <v>0.23</v>
      </c>
      <c r="I2338">
        <v>0.376</v>
      </c>
      <c r="J2338">
        <v>20.0</v>
      </c>
      <c r="K2338">
        <v>25.28</v>
      </c>
      <c r="L2338">
        <v>16.55</v>
      </c>
      <c r="M2338">
        <v>0.26</v>
      </c>
      <c r="N2338">
        <v>0.0</v>
      </c>
      <c r="O2338">
        <v>20.17</v>
      </c>
      <c r="P2338">
        <v>24.78</v>
      </c>
      <c r="Q2338">
        <v>17.5</v>
      </c>
      <c r="R2338">
        <v>0.43</v>
      </c>
    </row>
    <row r="2339">
      <c r="A2339" s="9">
        <v>40870</v>
      </c>
      <c r="B2339" s="2" t="inlineStr">
        <is>
          <t xml:space="preserve">2011-11</t>
        </is>
      </c>
      <c r="C2339" s="2" t="inlineStr">
        <is>
          <t xml:space="preserve">2011/12</t>
        </is>
      </c>
      <c r="D2339">
        <v>0.0</v>
      </c>
      <c r="E2339">
        <v>18.79</v>
      </c>
      <c r="F2339">
        <v>24.26</v>
      </c>
      <c r="G2339">
        <v>15.03</v>
      </c>
      <c r="H2339">
        <v>0.87</v>
      </c>
      <c r="I2339">
        <v>0.494</v>
      </c>
      <c r="J2339">
        <v>19.61</v>
      </c>
      <c r="K2339">
        <v>24.71</v>
      </c>
      <c r="L2339">
        <v>15.65</v>
      </c>
      <c r="M2339">
        <v>0.79</v>
      </c>
      <c r="N2339">
        <v>0.826</v>
      </c>
      <c r="O2339">
        <v>20.05</v>
      </c>
      <c r="P2339">
        <v>24.44</v>
      </c>
      <c r="Q2339">
        <v>16.7</v>
      </c>
      <c r="R2339">
        <v>1.51</v>
      </c>
    </row>
    <row r="2340">
      <c r="A2340" s="9">
        <v>40871</v>
      </c>
      <c r="B2340" s="2" t="inlineStr">
        <is>
          <t xml:space="preserve">2011-11</t>
        </is>
      </c>
      <c r="C2340" s="2" t="inlineStr">
        <is>
          <t xml:space="preserve">2011/12</t>
        </is>
      </c>
      <c r="D2340">
        <v>0.0</v>
      </c>
      <c r="E2340">
        <v>17.62</v>
      </c>
      <c r="F2340">
        <v>22.32</v>
      </c>
      <c r="G2340">
        <v>14.11</v>
      </c>
      <c r="H2340">
        <v>1.36</v>
      </c>
      <c r="I2340">
        <v>0.541</v>
      </c>
      <c r="J2340">
        <v>18.2</v>
      </c>
      <c r="K2340">
        <v>22.5</v>
      </c>
      <c r="L2340">
        <v>14.92</v>
      </c>
      <c r="M2340">
        <v>1.27</v>
      </c>
      <c r="N2340">
        <v>1.156</v>
      </c>
      <c r="O2340">
        <v>18.6</v>
      </c>
      <c r="P2340">
        <v>22.4</v>
      </c>
      <c r="Q2340">
        <v>15.6</v>
      </c>
      <c r="R2340">
        <v>2.23</v>
      </c>
    </row>
    <row r="2341">
      <c r="A2341" s="9">
        <v>40872</v>
      </c>
      <c r="B2341" s="2" t="inlineStr">
        <is>
          <t xml:space="preserve">2011-11</t>
        </is>
      </c>
      <c r="C2341" s="2" t="inlineStr">
        <is>
          <t xml:space="preserve">2011/12</t>
        </is>
      </c>
      <c r="D2341">
        <v>0.0</v>
      </c>
      <c r="E2341">
        <v>17.85</v>
      </c>
      <c r="F2341">
        <v>22.71</v>
      </c>
      <c r="G2341">
        <v>14.75</v>
      </c>
      <c r="H2341">
        <v>0.73</v>
      </c>
      <c r="I2341">
        <v>1.357</v>
      </c>
      <c r="J2341">
        <v>17.64</v>
      </c>
      <c r="K2341">
        <v>22.54</v>
      </c>
      <c r="L2341">
        <v>14.86</v>
      </c>
      <c r="M2341">
        <v>1.01</v>
      </c>
      <c r="N2341">
        <v>2.178</v>
      </c>
      <c r="O2341">
        <v>18.13</v>
      </c>
      <c r="P2341">
        <v>22.19</v>
      </c>
      <c r="Q2341">
        <v>15.68</v>
      </c>
      <c r="R2341">
        <v>1.16</v>
      </c>
    </row>
    <row r="2342">
      <c r="A2342" s="9">
        <v>40873</v>
      </c>
      <c r="B2342" s="2" t="inlineStr">
        <is>
          <t xml:space="preserve">2011-11</t>
        </is>
      </c>
      <c r="C2342" s="2" t="inlineStr">
        <is>
          <t xml:space="preserve">2011/12</t>
        </is>
      </c>
      <c r="D2342">
        <v>0.0</v>
      </c>
      <c r="E2342">
        <v>19.23</v>
      </c>
      <c r="F2342">
        <v>24.97</v>
      </c>
      <c r="G2342">
        <v>14.69</v>
      </c>
      <c r="H2342">
        <v>0.01</v>
      </c>
      <c r="I2342">
        <v>0.0</v>
      </c>
      <c r="J2342">
        <v>19.68</v>
      </c>
      <c r="K2342">
        <v>26.35</v>
      </c>
      <c r="L2342">
        <v>14.19</v>
      </c>
      <c r="M2342">
        <v>0.08</v>
      </c>
      <c r="N2342">
        <v>0.0</v>
      </c>
      <c r="O2342">
        <v>19.55</v>
      </c>
      <c r="P2342">
        <v>25.46</v>
      </c>
      <c r="Q2342">
        <v>14.81</v>
      </c>
      <c r="R2342">
        <v>0.27</v>
      </c>
    </row>
    <row r="2343">
      <c r="A2343" s="9">
        <v>40874</v>
      </c>
      <c r="B2343" s="2" t="inlineStr">
        <is>
          <t xml:space="preserve">2011-11</t>
        </is>
      </c>
      <c r="C2343" s="2" t="inlineStr">
        <is>
          <t xml:space="preserve">2011/12</t>
        </is>
      </c>
      <c r="D2343">
        <v>0.0</v>
      </c>
      <c r="E2343">
        <v>20.31</v>
      </c>
      <c r="F2343">
        <v>25.37</v>
      </c>
      <c r="G2343">
        <v>16.85</v>
      </c>
      <c r="H2343">
        <v>1.23</v>
      </c>
      <c r="I2343">
        <v>0.074</v>
      </c>
      <c r="J2343">
        <v>20.06</v>
      </c>
      <c r="K2343">
        <v>25.11</v>
      </c>
      <c r="L2343">
        <v>16.22</v>
      </c>
      <c r="M2343">
        <v>1.04</v>
      </c>
      <c r="N2343">
        <v>0.298</v>
      </c>
      <c r="O2343">
        <v>20.74</v>
      </c>
      <c r="P2343">
        <v>25.06</v>
      </c>
      <c r="Q2343">
        <v>17.34</v>
      </c>
      <c r="R2343">
        <v>3.05</v>
      </c>
    </row>
    <row r="2344">
      <c r="A2344" s="9">
        <v>40875</v>
      </c>
      <c r="B2344" s="2" t="inlineStr">
        <is>
          <t xml:space="preserve">2011-11</t>
        </is>
      </c>
      <c r="C2344" s="2" t="inlineStr">
        <is>
          <t xml:space="preserve">2011/12</t>
        </is>
      </c>
      <c r="D2344">
        <v>0.0</v>
      </c>
      <c r="E2344">
        <v>16.39</v>
      </c>
      <c r="F2344">
        <v>19.15</v>
      </c>
      <c r="G2344">
        <v>13.46</v>
      </c>
      <c r="H2344">
        <v>3.41</v>
      </c>
      <c r="I2344">
        <v>1.038</v>
      </c>
      <c r="J2344">
        <v>16.04</v>
      </c>
      <c r="K2344">
        <v>19.48</v>
      </c>
      <c r="L2344">
        <v>12.37</v>
      </c>
      <c r="M2344">
        <v>1.17</v>
      </c>
      <c r="N2344">
        <v>1.703</v>
      </c>
      <c r="O2344">
        <v>16.21</v>
      </c>
      <c r="P2344">
        <v>18.88</v>
      </c>
      <c r="Q2344">
        <v>13.27</v>
      </c>
      <c r="R2344">
        <v>2.99</v>
      </c>
    </row>
    <row r="2345">
      <c r="A2345" s="9">
        <v>40876</v>
      </c>
      <c r="B2345" s="2" t="inlineStr">
        <is>
          <t xml:space="preserve">2011-11</t>
        </is>
      </c>
      <c r="C2345" s="2" t="inlineStr">
        <is>
          <t xml:space="preserve">2011/12</t>
        </is>
      </c>
      <c r="D2345">
        <v>0.0</v>
      </c>
      <c r="E2345">
        <v>14.36</v>
      </c>
      <c r="F2345">
        <v>19.34</v>
      </c>
      <c r="G2345">
        <v>11.63</v>
      </c>
      <c r="H2345">
        <v>0.2</v>
      </c>
      <c r="I2345">
        <v>0.17</v>
      </c>
      <c r="J2345">
        <v>14.04</v>
      </c>
      <c r="K2345">
        <v>18.74</v>
      </c>
      <c r="L2345">
        <v>11.11</v>
      </c>
      <c r="M2345">
        <v>0.08</v>
      </c>
      <c r="N2345">
        <v>0.276</v>
      </c>
      <c r="O2345">
        <v>14.29</v>
      </c>
      <c r="P2345">
        <v>18.59</v>
      </c>
      <c r="Q2345">
        <v>11.84</v>
      </c>
      <c r="R2345">
        <v>0.09</v>
      </c>
    </row>
    <row r="2346">
      <c r="A2346" s="9">
        <v>40877</v>
      </c>
      <c r="B2346" s="2" t="inlineStr">
        <is>
          <t xml:space="preserve">2011-11</t>
        </is>
      </c>
      <c r="C2346" s="2" t="inlineStr">
        <is>
          <t xml:space="preserve">2011/12</t>
        </is>
      </c>
      <c r="D2346">
        <v>0.0</v>
      </c>
      <c r="E2346">
        <v>14.83</v>
      </c>
      <c r="F2346">
        <v>20.36</v>
      </c>
      <c r="G2346">
        <v>10.86</v>
      </c>
      <c r="H2346">
        <v>0.09</v>
      </c>
      <c r="I2346">
        <v>0.0</v>
      </c>
      <c r="J2346">
        <v>14.83</v>
      </c>
      <c r="K2346">
        <v>19.99</v>
      </c>
      <c r="L2346">
        <v>11.62</v>
      </c>
      <c r="M2346">
        <v>0.0</v>
      </c>
      <c r="N2346">
        <v>0.0</v>
      </c>
      <c r="O2346">
        <v>14.65</v>
      </c>
      <c r="P2346">
        <v>19.26</v>
      </c>
      <c r="Q2346">
        <v>11.53</v>
      </c>
      <c r="R2346">
        <v>0.0</v>
      </c>
    </row>
    <row r="2347">
      <c r="A2347" s="9">
        <v>40878</v>
      </c>
      <c r="B2347" s="2" t="inlineStr">
        <is>
          <t xml:space="preserve">2011-12</t>
        </is>
      </c>
      <c r="C2347" s="2" t="inlineStr">
        <is>
          <t xml:space="preserve">2011/12</t>
        </is>
      </c>
      <c r="D2347">
        <v>0.0</v>
      </c>
      <c r="E2347">
        <v>15.64</v>
      </c>
      <c r="F2347">
        <v>21.11</v>
      </c>
      <c r="G2347">
        <v>11.6</v>
      </c>
      <c r="H2347">
        <v>0.3</v>
      </c>
      <c r="I2347">
        <v>0.0</v>
      </c>
      <c r="J2347">
        <v>15.02</v>
      </c>
      <c r="K2347">
        <v>19.91</v>
      </c>
      <c r="L2347">
        <v>12.33</v>
      </c>
      <c r="M2347">
        <v>0.02</v>
      </c>
      <c r="N2347">
        <v>0.0</v>
      </c>
      <c r="O2347">
        <v>15.14</v>
      </c>
      <c r="P2347">
        <v>19.61</v>
      </c>
      <c r="Q2347">
        <v>12.18</v>
      </c>
      <c r="R2347">
        <v>0.02</v>
      </c>
    </row>
    <row r="2348">
      <c r="A2348" s="9">
        <v>40879</v>
      </c>
      <c r="B2348" s="2" t="inlineStr">
        <is>
          <t xml:space="preserve">2011-12</t>
        </is>
      </c>
      <c r="C2348" s="2" t="inlineStr">
        <is>
          <t xml:space="preserve">2011/12</t>
        </is>
      </c>
      <c r="D2348">
        <v>0.127</v>
      </c>
      <c r="E2348">
        <v>16.14</v>
      </c>
      <c r="F2348">
        <v>20.53</v>
      </c>
      <c r="G2348">
        <v>13.28</v>
      </c>
      <c r="H2348">
        <v>0.79</v>
      </c>
      <c r="I2348">
        <v>0.174</v>
      </c>
      <c r="J2348">
        <v>16.1</v>
      </c>
      <c r="K2348">
        <v>21.26</v>
      </c>
      <c r="L2348">
        <v>12.8</v>
      </c>
      <c r="M2348">
        <v>0.61</v>
      </c>
      <c r="N2348">
        <v>0.331</v>
      </c>
      <c r="O2348">
        <v>16.52</v>
      </c>
      <c r="P2348">
        <v>20.37</v>
      </c>
      <c r="Q2348">
        <v>13.58</v>
      </c>
      <c r="R2348">
        <v>0.92</v>
      </c>
    </row>
    <row r="2349">
      <c r="A2349" s="9">
        <v>40880</v>
      </c>
      <c r="B2349" s="2" t="inlineStr">
        <is>
          <t xml:space="preserve">2011-12</t>
        </is>
      </c>
      <c r="C2349" s="2" t="inlineStr">
        <is>
          <t xml:space="preserve">2011/12</t>
        </is>
      </c>
      <c r="D2349">
        <v>0.027</v>
      </c>
      <c r="E2349">
        <v>17.02</v>
      </c>
      <c r="F2349">
        <v>22.37</v>
      </c>
      <c r="G2349">
        <v>12.77</v>
      </c>
      <c r="H2349">
        <v>0.96</v>
      </c>
      <c r="I2349">
        <v>1.819</v>
      </c>
      <c r="J2349">
        <v>17.06</v>
      </c>
      <c r="K2349">
        <v>23.02</v>
      </c>
      <c r="L2349">
        <v>12.92</v>
      </c>
      <c r="M2349">
        <v>1.8</v>
      </c>
      <c r="N2349">
        <v>2.909</v>
      </c>
      <c r="O2349">
        <v>17.27</v>
      </c>
      <c r="P2349">
        <v>21.98</v>
      </c>
      <c r="Q2349">
        <v>13.79</v>
      </c>
      <c r="R2349">
        <v>3.32</v>
      </c>
    </row>
    <row r="2350">
      <c r="A2350" s="9">
        <v>40881</v>
      </c>
      <c r="B2350" s="2" t="inlineStr">
        <is>
          <t xml:space="preserve">2011-12</t>
        </is>
      </c>
      <c r="C2350" s="2" t="inlineStr">
        <is>
          <t xml:space="preserve">2011/12</t>
        </is>
      </c>
      <c r="D2350">
        <v>0.0</v>
      </c>
      <c r="E2350">
        <v>18.7</v>
      </c>
      <c r="F2350">
        <v>23.64</v>
      </c>
      <c r="G2350">
        <v>14.87</v>
      </c>
      <c r="H2350">
        <v>1.46</v>
      </c>
      <c r="I2350">
        <v>0.0</v>
      </c>
      <c r="J2350">
        <v>18.75</v>
      </c>
      <c r="K2350">
        <v>24.5</v>
      </c>
      <c r="L2350">
        <v>14.29</v>
      </c>
      <c r="M2350">
        <v>0.31</v>
      </c>
      <c r="N2350">
        <v>0.0</v>
      </c>
      <c r="O2350">
        <v>19.14</v>
      </c>
      <c r="P2350">
        <v>24.13</v>
      </c>
      <c r="Q2350">
        <v>15.21</v>
      </c>
      <c r="R2350">
        <v>0.55</v>
      </c>
    </row>
    <row r="2351">
      <c r="A2351" s="9">
        <v>40882</v>
      </c>
      <c r="B2351" s="2" t="inlineStr">
        <is>
          <t xml:space="preserve">2011-12</t>
        </is>
      </c>
      <c r="C2351" s="2" t="inlineStr">
        <is>
          <t xml:space="preserve">2011/12</t>
        </is>
      </c>
      <c r="D2351">
        <v>0.494</v>
      </c>
      <c r="E2351">
        <v>18.72</v>
      </c>
      <c r="F2351">
        <v>24.56</v>
      </c>
      <c r="G2351">
        <v>14.83</v>
      </c>
      <c r="H2351">
        <v>0.14</v>
      </c>
      <c r="I2351">
        <v>0.412</v>
      </c>
      <c r="J2351">
        <v>19.83</v>
      </c>
      <c r="K2351">
        <v>25.34</v>
      </c>
      <c r="L2351">
        <v>15.91</v>
      </c>
      <c r="M2351">
        <v>0.46</v>
      </c>
      <c r="N2351">
        <v>1.436</v>
      </c>
      <c r="O2351">
        <v>19.76</v>
      </c>
      <c r="P2351">
        <v>24.73</v>
      </c>
      <c r="Q2351">
        <v>16.67</v>
      </c>
      <c r="R2351">
        <v>0.53</v>
      </c>
    </row>
    <row r="2352">
      <c r="A2352" s="9">
        <v>40883</v>
      </c>
      <c r="B2352" s="2" t="inlineStr">
        <is>
          <t xml:space="preserve">2011-12</t>
        </is>
      </c>
      <c r="C2352" s="2" t="inlineStr">
        <is>
          <t xml:space="preserve">2011/12</t>
        </is>
      </c>
      <c r="D2352">
        <v>0.0</v>
      </c>
      <c r="E2352">
        <v>17.83</v>
      </c>
      <c r="F2352">
        <v>23.11</v>
      </c>
      <c r="G2352">
        <v>13.81</v>
      </c>
      <c r="H2352">
        <v>0.3</v>
      </c>
      <c r="I2352">
        <v>0.0</v>
      </c>
      <c r="J2352">
        <v>18.33</v>
      </c>
      <c r="K2352">
        <v>23.75</v>
      </c>
      <c r="L2352">
        <v>14.32</v>
      </c>
      <c r="M2352">
        <v>0.64</v>
      </c>
      <c r="N2352">
        <v>0.0</v>
      </c>
      <c r="O2352">
        <v>19.02</v>
      </c>
      <c r="P2352">
        <v>23.58</v>
      </c>
      <c r="Q2352">
        <v>15.83</v>
      </c>
      <c r="R2352">
        <v>1.41</v>
      </c>
    </row>
    <row r="2353">
      <c r="A2353" s="9">
        <v>40884</v>
      </c>
      <c r="B2353" s="2" t="inlineStr">
        <is>
          <t xml:space="preserve">2011-12</t>
        </is>
      </c>
      <c r="C2353" s="2" t="inlineStr">
        <is>
          <t xml:space="preserve">2011/12</t>
        </is>
      </c>
      <c r="D2353">
        <v>0.148</v>
      </c>
      <c r="E2353">
        <v>18.04</v>
      </c>
      <c r="F2353">
        <v>22.62</v>
      </c>
      <c r="G2353">
        <v>14.66</v>
      </c>
      <c r="H2353">
        <v>1.95</v>
      </c>
      <c r="I2353">
        <v>1.768</v>
      </c>
      <c r="J2353">
        <v>18.9</v>
      </c>
      <c r="K2353">
        <v>23.31</v>
      </c>
      <c r="L2353">
        <v>15.56</v>
      </c>
      <c r="M2353">
        <v>3.79</v>
      </c>
      <c r="N2353">
        <v>6.853</v>
      </c>
      <c r="O2353">
        <v>18.99</v>
      </c>
      <c r="P2353">
        <v>22.97</v>
      </c>
      <c r="Q2353">
        <v>16.08</v>
      </c>
      <c r="R2353">
        <v>7.58</v>
      </c>
    </row>
    <row r="2354">
      <c r="A2354" s="9">
        <v>40885</v>
      </c>
      <c r="B2354" s="2" t="inlineStr">
        <is>
          <t xml:space="preserve">2011-12</t>
        </is>
      </c>
      <c r="C2354" s="2" t="inlineStr">
        <is>
          <t xml:space="preserve">2011/12</t>
        </is>
      </c>
      <c r="D2354">
        <v>0.0</v>
      </c>
      <c r="E2354">
        <v>17.24</v>
      </c>
      <c r="F2354">
        <v>22.07</v>
      </c>
      <c r="G2354">
        <v>14.55</v>
      </c>
      <c r="H2354">
        <v>0.85</v>
      </c>
      <c r="I2354">
        <v>1.596</v>
      </c>
      <c r="J2354">
        <v>18.66</v>
      </c>
      <c r="K2354">
        <v>23.46</v>
      </c>
      <c r="L2354">
        <v>14.77</v>
      </c>
      <c r="M2354">
        <v>4.61</v>
      </c>
      <c r="N2354">
        <v>6.535</v>
      </c>
      <c r="O2354">
        <v>18.76</v>
      </c>
      <c r="P2354">
        <v>22.82</v>
      </c>
      <c r="Q2354">
        <v>15.98</v>
      </c>
      <c r="R2354">
        <v>9.18</v>
      </c>
    </row>
    <row r="2355">
      <c r="A2355" s="9">
        <v>40886</v>
      </c>
      <c r="B2355" s="2" t="inlineStr">
        <is>
          <t xml:space="preserve">2011-12</t>
        </is>
      </c>
      <c r="C2355" s="2" t="inlineStr">
        <is>
          <t xml:space="preserve">2011/12</t>
        </is>
      </c>
      <c r="D2355">
        <v>0.042</v>
      </c>
      <c r="E2355">
        <v>17.46</v>
      </c>
      <c r="F2355">
        <v>22.44</v>
      </c>
      <c r="G2355">
        <v>13.55</v>
      </c>
      <c r="H2355">
        <v>4.63</v>
      </c>
      <c r="I2355">
        <v>3.678</v>
      </c>
      <c r="J2355">
        <v>17.79</v>
      </c>
      <c r="K2355">
        <v>22.67</v>
      </c>
      <c r="L2355">
        <v>14.09</v>
      </c>
      <c r="M2355">
        <v>4.48</v>
      </c>
      <c r="N2355">
        <v>13.608</v>
      </c>
      <c r="O2355">
        <v>18.1</v>
      </c>
      <c r="P2355">
        <v>22.09</v>
      </c>
      <c r="Q2355">
        <v>15.52</v>
      </c>
      <c r="R2355">
        <v>6.43</v>
      </c>
    </row>
    <row r="2356">
      <c r="A2356" s="9">
        <v>40887</v>
      </c>
      <c r="B2356" s="2" t="inlineStr">
        <is>
          <t xml:space="preserve">2011-12</t>
        </is>
      </c>
      <c r="C2356" s="2" t="inlineStr">
        <is>
          <t xml:space="preserve">2011/12</t>
        </is>
      </c>
      <c r="D2356">
        <v>0.0</v>
      </c>
      <c r="E2356">
        <v>17.65</v>
      </c>
      <c r="F2356">
        <v>21.74</v>
      </c>
      <c r="G2356">
        <v>15.2</v>
      </c>
      <c r="H2356">
        <v>11.26</v>
      </c>
      <c r="I2356">
        <v>0.066</v>
      </c>
      <c r="J2356">
        <v>17.56</v>
      </c>
      <c r="K2356">
        <v>21.65</v>
      </c>
      <c r="L2356">
        <v>15.39</v>
      </c>
      <c r="M2356">
        <v>0.35</v>
      </c>
      <c r="N2356">
        <v>0.721</v>
      </c>
      <c r="O2356">
        <v>17.72</v>
      </c>
      <c r="P2356">
        <v>20.84</v>
      </c>
      <c r="Q2356">
        <v>15.9</v>
      </c>
      <c r="R2356">
        <v>0.46</v>
      </c>
    </row>
    <row r="2357">
      <c r="A2357" s="9">
        <v>40888</v>
      </c>
      <c r="B2357" s="2" t="inlineStr">
        <is>
          <t xml:space="preserve">2011-12</t>
        </is>
      </c>
      <c r="C2357" s="2" t="inlineStr">
        <is>
          <t xml:space="preserve">2011/12</t>
        </is>
      </c>
      <c r="D2357">
        <v>0.0</v>
      </c>
      <c r="E2357">
        <v>16.97</v>
      </c>
      <c r="F2357">
        <v>21.19</v>
      </c>
      <c r="G2357">
        <v>14.67</v>
      </c>
      <c r="H2357">
        <v>0.88</v>
      </c>
      <c r="I2357">
        <v>0.0</v>
      </c>
      <c r="J2357">
        <v>17.1</v>
      </c>
      <c r="K2357">
        <v>21.27</v>
      </c>
      <c r="L2357">
        <v>14.28</v>
      </c>
      <c r="M2357">
        <v>0.01</v>
      </c>
      <c r="N2357">
        <v>0.0</v>
      </c>
      <c r="O2357">
        <v>16.99</v>
      </c>
      <c r="P2357">
        <v>20.32</v>
      </c>
      <c r="Q2357">
        <v>14.81</v>
      </c>
      <c r="R2357">
        <v>0.02</v>
      </c>
    </row>
    <row r="2358">
      <c r="A2358" s="9">
        <v>40889</v>
      </c>
      <c r="B2358" s="2" t="inlineStr">
        <is>
          <t xml:space="preserve">2011-12</t>
        </is>
      </c>
      <c r="C2358" s="2" t="inlineStr">
        <is>
          <t xml:space="preserve">2011/12</t>
        </is>
      </c>
      <c r="D2358">
        <v>0.0</v>
      </c>
      <c r="E2358">
        <v>17.49</v>
      </c>
      <c r="F2358">
        <v>22.45</v>
      </c>
      <c r="G2358">
        <v>14.49</v>
      </c>
      <c r="H2358">
        <v>0.79</v>
      </c>
      <c r="I2358">
        <v>0.0</v>
      </c>
      <c r="J2358">
        <v>17.49</v>
      </c>
      <c r="K2358">
        <v>22.11</v>
      </c>
      <c r="L2358">
        <v>13.98</v>
      </c>
      <c r="M2358">
        <v>0.27</v>
      </c>
      <c r="N2358">
        <v>0.0</v>
      </c>
      <c r="O2358">
        <v>17.51</v>
      </c>
      <c r="P2358">
        <v>21.55</v>
      </c>
      <c r="Q2358">
        <v>14.65</v>
      </c>
      <c r="R2358">
        <v>0.42</v>
      </c>
    </row>
    <row r="2359">
      <c r="A2359" s="9">
        <v>40890</v>
      </c>
      <c r="B2359" s="2" t="inlineStr">
        <is>
          <t xml:space="preserve">2011-12</t>
        </is>
      </c>
      <c r="C2359" s="2" t="inlineStr">
        <is>
          <t xml:space="preserve">2011/12</t>
        </is>
      </c>
      <c r="D2359">
        <v>0.049</v>
      </c>
      <c r="E2359">
        <v>18.16</v>
      </c>
      <c r="F2359">
        <v>22.36</v>
      </c>
      <c r="G2359">
        <v>14.95</v>
      </c>
      <c r="H2359">
        <v>1.66</v>
      </c>
      <c r="I2359">
        <v>2.104</v>
      </c>
      <c r="J2359">
        <v>18.3</v>
      </c>
      <c r="K2359">
        <v>22.51</v>
      </c>
      <c r="L2359">
        <v>15.74</v>
      </c>
      <c r="M2359">
        <v>2.95</v>
      </c>
      <c r="N2359">
        <v>3.35</v>
      </c>
      <c r="O2359">
        <v>18.61</v>
      </c>
      <c r="P2359">
        <v>22.33</v>
      </c>
      <c r="Q2359">
        <v>15.99</v>
      </c>
      <c r="R2359">
        <v>5.9</v>
      </c>
    </row>
    <row r="2360">
      <c r="A2360" s="9">
        <v>40891</v>
      </c>
      <c r="B2360" s="2" t="inlineStr">
        <is>
          <t xml:space="preserve">2011-12</t>
        </is>
      </c>
      <c r="C2360" s="2" t="inlineStr">
        <is>
          <t xml:space="preserve">2011/12</t>
        </is>
      </c>
      <c r="D2360">
        <v>0.0</v>
      </c>
      <c r="E2360">
        <v>18.29</v>
      </c>
      <c r="F2360">
        <v>22.64</v>
      </c>
      <c r="G2360">
        <v>15.86</v>
      </c>
      <c r="H2360">
        <v>0.77</v>
      </c>
      <c r="I2360">
        <v>3.74</v>
      </c>
      <c r="J2360">
        <v>18.71</v>
      </c>
      <c r="K2360">
        <v>22.35</v>
      </c>
      <c r="L2360">
        <v>16.12</v>
      </c>
      <c r="M2360">
        <v>4.01</v>
      </c>
      <c r="N2360">
        <v>5.922</v>
      </c>
      <c r="O2360">
        <v>19.15</v>
      </c>
      <c r="P2360">
        <v>22.12</v>
      </c>
      <c r="Q2360">
        <v>16.91</v>
      </c>
      <c r="R2360">
        <v>7.77</v>
      </c>
    </row>
    <row r="2361">
      <c r="A2361" s="9">
        <v>40892</v>
      </c>
      <c r="B2361" s="2" t="inlineStr">
        <is>
          <t xml:space="preserve">2011-12</t>
        </is>
      </c>
      <c r="C2361" s="2" t="inlineStr">
        <is>
          <t xml:space="preserve">2011/12</t>
        </is>
      </c>
      <c r="D2361">
        <v>0.0</v>
      </c>
      <c r="E2361">
        <v>18.49</v>
      </c>
      <c r="F2361">
        <v>22.67</v>
      </c>
      <c r="G2361">
        <v>15.87</v>
      </c>
      <c r="H2361">
        <v>0.77</v>
      </c>
      <c r="I2361">
        <v>0.15</v>
      </c>
      <c r="J2361">
        <v>19.42</v>
      </c>
      <c r="K2361">
        <v>24.34</v>
      </c>
      <c r="L2361">
        <v>15.5</v>
      </c>
      <c r="M2361">
        <v>0.74</v>
      </c>
      <c r="N2361">
        <v>0.303</v>
      </c>
      <c r="O2361">
        <v>19.57</v>
      </c>
      <c r="P2361">
        <v>23.52</v>
      </c>
      <c r="Q2361">
        <v>16.58</v>
      </c>
      <c r="R2361">
        <v>1.31</v>
      </c>
    </row>
    <row r="2362">
      <c r="A2362" s="9">
        <v>40893</v>
      </c>
      <c r="B2362" s="2" t="inlineStr">
        <is>
          <t xml:space="preserve">2011-12</t>
        </is>
      </c>
      <c r="C2362" s="2" t="inlineStr">
        <is>
          <t xml:space="preserve">2011/12</t>
        </is>
      </c>
      <c r="D2362">
        <v>0.026</v>
      </c>
      <c r="E2362">
        <v>18.77</v>
      </c>
      <c r="F2362">
        <v>23.3</v>
      </c>
      <c r="G2362">
        <v>14.94</v>
      </c>
      <c r="H2362">
        <v>0.69</v>
      </c>
      <c r="I2362">
        <v>2.415</v>
      </c>
      <c r="J2362">
        <v>20.03</v>
      </c>
      <c r="K2362">
        <v>24.93</v>
      </c>
      <c r="L2362">
        <v>16.44</v>
      </c>
      <c r="M2362">
        <v>2.0</v>
      </c>
      <c r="N2362">
        <v>3.728</v>
      </c>
      <c r="O2362">
        <v>20.12</v>
      </c>
      <c r="P2362">
        <v>24.36</v>
      </c>
      <c r="Q2362">
        <v>17.26</v>
      </c>
      <c r="R2362">
        <v>2.23</v>
      </c>
    </row>
    <row r="2363">
      <c r="A2363" s="9">
        <v>40894</v>
      </c>
      <c r="B2363" s="2" t="inlineStr">
        <is>
          <t xml:space="preserve">2011-12</t>
        </is>
      </c>
      <c r="C2363" s="2" t="inlineStr">
        <is>
          <t xml:space="preserve">2011/12</t>
        </is>
      </c>
      <c r="D2363">
        <v>0.061</v>
      </c>
      <c r="E2363">
        <v>18.37</v>
      </c>
      <c r="F2363">
        <v>22.16</v>
      </c>
      <c r="G2363">
        <v>16.04</v>
      </c>
      <c r="H2363">
        <v>1.57</v>
      </c>
      <c r="I2363">
        <v>1.47</v>
      </c>
      <c r="J2363">
        <v>18.84</v>
      </c>
      <c r="K2363">
        <v>22.59</v>
      </c>
      <c r="L2363">
        <v>16.51</v>
      </c>
      <c r="M2363">
        <v>2.42</v>
      </c>
      <c r="N2363">
        <v>2.442</v>
      </c>
      <c r="O2363">
        <v>19.09</v>
      </c>
      <c r="P2363">
        <v>22.56</v>
      </c>
      <c r="Q2363">
        <v>17.11</v>
      </c>
      <c r="R2363">
        <v>4.78</v>
      </c>
    </row>
    <row r="2364">
      <c r="A2364" s="9">
        <v>40895</v>
      </c>
      <c r="B2364" s="2" t="inlineStr">
        <is>
          <t xml:space="preserve">2011-12</t>
        </is>
      </c>
      <c r="C2364" s="2" t="inlineStr">
        <is>
          <t xml:space="preserve">2011/12</t>
        </is>
      </c>
      <c r="D2364">
        <v>0.293</v>
      </c>
      <c r="E2364">
        <v>17.54</v>
      </c>
      <c r="F2364">
        <v>21.5</v>
      </c>
      <c r="G2364">
        <v>15.02</v>
      </c>
      <c r="H2364">
        <v>2.89</v>
      </c>
      <c r="I2364">
        <v>8.878</v>
      </c>
      <c r="J2364">
        <v>18.1</v>
      </c>
      <c r="K2364">
        <v>21.93</v>
      </c>
      <c r="L2364">
        <v>15.25</v>
      </c>
      <c r="M2364">
        <v>7.99</v>
      </c>
      <c r="N2364">
        <v>13.862</v>
      </c>
      <c r="O2364">
        <v>18.34</v>
      </c>
      <c r="P2364">
        <v>21.34</v>
      </c>
      <c r="Q2364">
        <v>16.26</v>
      </c>
      <c r="R2364">
        <v>9.59</v>
      </c>
    </row>
    <row r="2365">
      <c r="A2365" s="9">
        <v>40896</v>
      </c>
      <c r="B2365" s="2" t="inlineStr">
        <is>
          <t xml:space="preserve">2011-12</t>
        </is>
      </c>
      <c r="C2365" s="2" t="inlineStr">
        <is>
          <t xml:space="preserve">2011/12</t>
        </is>
      </c>
      <c r="D2365">
        <v>0.0</v>
      </c>
      <c r="E2365">
        <v>18.16</v>
      </c>
      <c r="F2365">
        <v>23.39</v>
      </c>
      <c r="G2365">
        <v>14.56</v>
      </c>
      <c r="H2365">
        <v>0.39</v>
      </c>
      <c r="I2365">
        <v>1.625</v>
      </c>
      <c r="J2365">
        <v>18.6</v>
      </c>
      <c r="K2365">
        <v>23.62</v>
      </c>
      <c r="L2365">
        <v>15.15</v>
      </c>
      <c r="M2365">
        <v>1.44</v>
      </c>
      <c r="N2365">
        <v>2.553</v>
      </c>
      <c r="O2365">
        <v>18.82</v>
      </c>
      <c r="P2365">
        <v>23.08</v>
      </c>
      <c r="Q2365">
        <v>16.25</v>
      </c>
      <c r="R2365">
        <v>2.21</v>
      </c>
    </row>
    <row r="2366">
      <c r="A2366" s="9">
        <v>40897</v>
      </c>
      <c r="B2366" s="2" t="inlineStr">
        <is>
          <t xml:space="preserve">2011-12</t>
        </is>
      </c>
      <c r="C2366" s="2" t="inlineStr">
        <is>
          <t xml:space="preserve">2011/12</t>
        </is>
      </c>
      <c r="D2366">
        <v>0.0</v>
      </c>
      <c r="E2366">
        <v>18.71</v>
      </c>
      <c r="F2366">
        <v>24.22</v>
      </c>
      <c r="G2366">
        <v>14.46</v>
      </c>
      <c r="H2366">
        <v>0.01</v>
      </c>
      <c r="I2366">
        <v>0.0</v>
      </c>
      <c r="J2366">
        <v>20.29</v>
      </c>
      <c r="K2366">
        <v>26.08</v>
      </c>
      <c r="L2366">
        <v>15.33</v>
      </c>
      <c r="M2366">
        <v>0.0</v>
      </c>
      <c r="N2366">
        <v>0.0</v>
      </c>
      <c r="O2366">
        <v>20.1</v>
      </c>
      <c r="P2366">
        <v>25.39</v>
      </c>
      <c r="Q2366">
        <v>16.52</v>
      </c>
      <c r="R2366">
        <v>0.0</v>
      </c>
    </row>
    <row r="2367">
      <c r="A2367" s="9">
        <v>40898</v>
      </c>
      <c r="B2367" s="2" t="inlineStr">
        <is>
          <t xml:space="preserve">2011-12</t>
        </is>
      </c>
      <c r="C2367" s="2" t="inlineStr">
        <is>
          <t xml:space="preserve">2011/12</t>
        </is>
      </c>
      <c r="D2367">
        <v>0.0</v>
      </c>
      <c r="E2367">
        <v>18.48</v>
      </c>
      <c r="F2367">
        <v>24.56</v>
      </c>
      <c r="G2367">
        <v>13.92</v>
      </c>
      <c r="H2367">
        <v>0.04</v>
      </c>
      <c r="I2367">
        <v>0.0</v>
      </c>
      <c r="J2367">
        <v>20.45</v>
      </c>
      <c r="K2367">
        <v>25.95</v>
      </c>
      <c r="L2367">
        <v>16.31</v>
      </c>
      <c r="M2367">
        <v>0.0</v>
      </c>
      <c r="N2367">
        <v>0.0</v>
      </c>
      <c r="O2367">
        <v>20.6</v>
      </c>
      <c r="P2367">
        <v>25.52</v>
      </c>
      <c r="Q2367">
        <v>17.53</v>
      </c>
      <c r="R2367">
        <v>0.0</v>
      </c>
    </row>
    <row r="2368">
      <c r="A2368" s="9">
        <v>40899</v>
      </c>
      <c r="B2368" s="2" t="inlineStr">
        <is>
          <t xml:space="preserve">2011-12</t>
        </is>
      </c>
      <c r="C2368" s="2" t="inlineStr">
        <is>
          <t xml:space="preserve">2011/12</t>
        </is>
      </c>
      <c r="D2368">
        <v>0.0</v>
      </c>
      <c r="E2368">
        <v>19.24</v>
      </c>
      <c r="F2368">
        <v>24.75</v>
      </c>
      <c r="G2368">
        <v>14.13</v>
      </c>
      <c r="H2368">
        <v>0.4</v>
      </c>
      <c r="I2368">
        <v>0.0</v>
      </c>
      <c r="J2368">
        <v>20.45</v>
      </c>
      <c r="K2368">
        <v>26.12</v>
      </c>
      <c r="L2368">
        <v>16.45</v>
      </c>
      <c r="M2368">
        <v>0.0</v>
      </c>
      <c r="N2368">
        <v>0.0</v>
      </c>
      <c r="O2368">
        <v>20.8</v>
      </c>
      <c r="P2368">
        <v>25.6</v>
      </c>
      <c r="Q2368">
        <v>17.4</v>
      </c>
      <c r="R2368">
        <v>0.0</v>
      </c>
    </row>
    <row r="2369">
      <c r="A2369" s="9">
        <v>40900</v>
      </c>
      <c r="B2369" s="2" t="inlineStr">
        <is>
          <t xml:space="preserve">2011-12</t>
        </is>
      </c>
      <c r="C2369" s="2" t="inlineStr">
        <is>
          <t xml:space="preserve">2011/12</t>
        </is>
      </c>
      <c r="D2369">
        <v>0.0</v>
      </c>
      <c r="E2369">
        <v>20.08</v>
      </c>
      <c r="F2369">
        <v>24.33</v>
      </c>
      <c r="G2369">
        <v>17.29</v>
      </c>
      <c r="H2369">
        <v>0.29</v>
      </c>
      <c r="I2369">
        <v>0.0</v>
      </c>
      <c r="J2369">
        <v>21.02</v>
      </c>
      <c r="K2369">
        <v>25.41</v>
      </c>
      <c r="L2369">
        <v>17.62</v>
      </c>
      <c r="M2369">
        <v>0.65</v>
      </c>
      <c r="N2369">
        <v>0.0</v>
      </c>
      <c r="O2369">
        <v>21.3</v>
      </c>
      <c r="P2369">
        <v>25.03</v>
      </c>
      <c r="Q2369">
        <v>18.46</v>
      </c>
      <c r="R2369">
        <v>1.28</v>
      </c>
    </row>
    <row r="2370">
      <c r="A2370" s="9">
        <v>40901</v>
      </c>
      <c r="B2370" s="2" t="inlineStr">
        <is>
          <t xml:space="preserve">2011-12</t>
        </is>
      </c>
      <c r="C2370" s="2" t="inlineStr">
        <is>
          <t xml:space="preserve">2011/12</t>
        </is>
      </c>
      <c r="D2370">
        <v>0.0</v>
      </c>
      <c r="E2370">
        <v>19.32</v>
      </c>
      <c r="F2370">
        <v>23.54</v>
      </c>
      <c r="G2370">
        <v>15.86</v>
      </c>
      <c r="H2370">
        <v>0.89</v>
      </c>
      <c r="I2370">
        <v>0.829</v>
      </c>
      <c r="J2370">
        <v>20.37</v>
      </c>
      <c r="K2370">
        <v>24.33</v>
      </c>
      <c r="L2370">
        <v>17.52</v>
      </c>
      <c r="M2370">
        <v>1.26</v>
      </c>
      <c r="N2370">
        <v>1.343</v>
      </c>
      <c r="O2370">
        <v>20.33</v>
      </c>
      <c r="P2370">
        <v>24.0</v>
      </c>
      <c r="Q2370">
        <v>17.77</v>
      </c>
      <c r="R2370">
        <v>3.29</v>
      </c>
    </row>
    <row r="2371">
      <c r="A2371" s="9">
        <v>40902</v>
      </c>
      <c r="B2371" s="2" t="inlineStr">
        <is>
          <t xml:space="preserve">2011-12</t>
        </is>
      </c>
      <c r="C2371" s="2" t="inlineStr">
        <is>
          <t xml:space="preserve">2011/12</t>
        </is>
      </c>
      <c r="D2371">
        <v>0.098</v>
      </c>
      <c r="E2371">
        <v>18.56</v>
      </c>
      <c r="F2371">
        <v>23.6</v>
      </c>
      <c r="G2371">
        <v>14.05</v>
      </c>
      <c r="H2371">
        <v>0.32</v>
      </c>
      <c r="I2371">
        <v>0.728</v>
      </c>
      <c r="J2371">
        <v>19.44</v>
      </c>
      <c r="K2371">
        <v>23.69</v>
      </c>
      <c r="L2371">
        <v>17.21</v>
      </c>
      <c r="M2371">
        <v>0.97</v>
      </c>
      <c r="N2371">
        <v>1.135</v>
      </c>
      <c r="O2371">
        <v>19.43</v>
      </c>
      <c r="P2371">
        <v>22.58</v>
      </c>
      <c r="Q2371">
        <v>17.46</v>
      </c>
      <c r="R2371">
        <v>3.31</v>
      </c>
    </row>
    <row r="2372">
      <c r="A2372" s="9">
        <v>40903</v>
      </c>
      <c r="B2372" s="2" t="inlineStr">
        <is>
          <t xml:space="preserve">2011-12</t>
        </is>
      </c>
      <c r="C2372" s="2" t="inlineStr">
        <is>
          <t xml:space="preserve">2011/12</t>
        </is>
      </c>
      <c r="D2372">
        <v>0.0</v>
      </c>
      <c r="E2372">
        <v>18.71</v>
      </c>
      <c r="F2372">
        <v>23.43</v>
      </c>
      <c r="G2372">
        <v>14.57</v>
      </c>
      <c r="H2372">
        <v>0.28</v>
      </c>
      <c r="I2372">
        <v>0.093</v>
      </c>
      <c r="J2372">
        <v>18.85</v>
      </c>
      <c r="K2372">
        <v>22.88</v>
      </c>
      <c r="L2372">
        <v>16.57</v>
      </c>
      <c r="M2372">
        <v>0.77</v>
      </c>
      <c r="N2372">
        <v>0.379</v>
      </c>
      <c r="O2372">
        <v>19.18</v>
      </c>
      <c r="P2372">
        <v>22.91</v>
      </c>
      <c r="Q2372">
        <v>17.04</v>
      </c>
      <c r="R2372">
        <v>2.3</v>
      </c>
    </row>
    <row r="2373">
      <c r="A2373" s="9">
        <v>40904</v>
      </c>
      <c r="B2373" s="2" t="inlineStr">
        <is>
          <t xml:space="preserve">2011-12</t>
        </is>
      </c>
      <c r="C2373" s="2" t="inlineStr">
        <is>
          <t xml:space="preserve">2011/12</t>
        </is>
      </c>
      <c r="D2373">
        <v>0.02</v>
      </c>
      <c r="E2373">
        <v>18.75</v>
      </c>
      <c r="F2373">
        <v>23.43</v>
      </c>
      <c r="G2373">
        <v>15.3</v>
      </c>
      <c r="H2373">
        <v>0.62</v>
      </c>
      <c r="I2373">
        <v>1.367</v>
      </c>
      <c r="J2373">
        <v>19.12</v>
      </c>
      <c r="K2373">
        <v>23.9</v>
      </c>
      <c r="L2373">
        <v>16.22</v>
      </c>
      <c r="M2373">
        <v>1.97</v>
      </c>
      <c r="N2373">
        <v>2.139</v>
      </c>
      <c r="O2373">
        <v>19.31</v>
      </c>
      <c r="P2373">
        <v>23.44</v>
      </c>
      <c r="Q2373">
        <v>16.97</v>
      </c>
      <c r="R2373">
        <v>2.37</v>
      </c>
    </row>
    <row r="2374">
      <c r="A2374" s="9">
        <v>40905</v>
      </c>
      <c r="B2374" s="2" t="inlineStr">
        <is>
          <t xml:space="preserve">2011-12</t>
        </is>
      </c>
      <c r="C2374" s="2" t="inlineStr">
        <is>
          <t xml:space="preserve">2011/12</t>
        </is>
      </c>
      <c r="D2374">
        <v>0.053</v>
      </c>
      <c r="E2374">
        <v>18.35</v>
      </c>
      <c r="F2374">
        <v>23.26</v>
      </c>
      <c r="G2374">
        <v>15.17</v>
      </c>
      <c r="H2374">
        <v>0.71</v>
      </c>
      <c r="I2374">
        <v>2.604</v>
      </c>
      <c r="J2374">
        <v>18.25</v>
      </c>
      <c r="K2374">
        <v>23.22</v>
      </c>
      <c r="L2374">
        <v>15.05</v>
      </c>
      <c r="M2374">
        <v>1.47</v>
      </c>
      <c r="N2374">
        <v>4.088</v>
      </c>
      <c r="O2374">
        <v>18.5</v>
      </c>
      <c r="P2374">
        <v>22.64</v>
      </c>
      <c r="Q2374">
        <v>15.78</v>
      </c>
      <c r="R2374">
        <v>1.94</v>
      </c>
    </row>
    <row r="2375">
      <c r="A2375" s="9">
        <v>40906</v>
      </c>
      <c r="B2375" s="2" t="inlineStr">
        <is>
          <t xml:space="preserve">2011-12</t>
        </is>
      </c>
      <c r="C2375" s="2" t="inlineStr">
        <is>
          <t xml:space="preserve">2011/12</t>
        </is>
      </c>
      <c r="D2375">
        <v>0.0</v>
      </c>
      <c r="E2375">
        <v>18.11</v>
      </c>
      <c r="F2375">
        <v>24.1</v>
      </c>
      <c r="G2375">
        <v>14.51</v>
      </c>
      <c r="H2375">
        <v>0.06</v>
      </c>
      <c r="I2375">
        <v>0.0</v>
      </c>
      <c r="J2375">
        <v>18.62</v>
      </c>
      <c r="K2375">
        <v>24.66</v>
      </c>
      <c r="L2375">
        <v>14.33</v>
      </c>
      <c r="M2375">
        <v>0.0</v>
      </c>
      <c r="N2375">
        <v>0.0</v>
      </c>
      <c r="O2375">
        <v>18.92</v>
      </c>
      <c r="P2375">
        <v>23.82</v>
      </c>
      <c r="Q2375">
        <v>15.72</v>
      </c>
      <c r="R2375">
        <v>0.06</v>
      </c>
    </row>
    <row r="2376">
      <c r="A2376" s="9">
        <v>40907</v>
      </c>
      <c r="B2376" s="2" t="inlineStr">
        <is>
          <t xml:space="preserve">2011-12</t>
        </is>
      </c>
      <c r="C2376" s="2" t="inlineStr">
        <is>
          <t xml:space="preserve">2011/12</t>
        </is>
      </c>
      <c r="D2376">
        <v>0.0</v>
      </c>
      <c r="E2376">
        <v>18.84</v>
      </c>
      <c r="F2376">
        <v>24.44</v>
      </c>
      <c r="G2376">
        <v>14.66</v>
      </c>
      <c r="H2376">
        <v>0.08</v>
      </c>
      <c r="I2376">
        <v>0.0</v>
      </c>
      <c r="J2376">
        <v>19.28</v>
      </c>
      <c r="K2376">
        <v>24.9</v>
      </c>
      <c r="L2376">
        <v>14.91</v>
      </c>
      <c r="M2376">
        <v>0.1</v>
      </c>
      <c r="N2376">
        <v>0.0</v>
      </c>
      <c r="O2376">
        <v>19.48</v>
      </c>
      <c r="P2376">
        <v>24.14</v>
      </c>
      <c r="Q2376">
        <v>15.94</v>
      </c>
      <c r="R2376">
        <v>0.44</v>
      </c>
    </row>
    <row r="2377">
      <c r="A2377" s="9">
        <v>40908</v>
      </c>
      <c r="B2377" s="2" t="inlineStr">
        <is>
          <t xml:space="preserve">2011-12</t>
        </is>
      </c>
      <c r="C2377" s="2" t="inlineStr">
        <is>
          <t xml:space="preserve">2011/12</t>
        </is>
      </c>
      <c r="D2377">
        <v>0.0</v>
      </c>
      <c r="E2377">
        <v>19.31</v>
      </c>
      <c r="F2377">
        <v>24.88</v>
      </c>
      <c r="G2377">
        <v>14.98</v>
      </c>
      <c r="H2377">
        <v>0.26</v>
      </c>
      <c r="I2377">
        <v>0.0</v>
      </c>
      <c r="J2377">
        <v>19.87</v>
      </c>
      <c r="K2377">
        <v>25.17</v>
      </c>
      <c r="L2377">
        <v>16.03</v>
      </c>
      <c r="M2377">
        <v>0.38</v>
      </c>
      <c r="N2377">
        <v>0.209</v>
      </c>
      <c r="O2377">
        <v>20.04</v>
      </c>
      <c r="P2377">
        <v>24.47</v>
      </c>
      <c r="Q2377">
        <v>16.92</v>
      </c>
      <c r="R2377">
        <v>1.8</v>
      </c>
    </row>
    <row r="2378">
      <c r="A2378" s="9">
        <v>40909</v>
      </c>
      <c r="B2378" s="2" t="inlineStr">
        <is>
          <t xml:space="preserve">2012-01</t>
        </is>
      </c>
      <c r="C2378" s="2" t="inlineStr">
        <is>
          <t xml:space="preserve">2011/12</t>
        </is>
      </c>
      <c r="D2378">
        <v>0.0</v>
      </c>
      <c r="E2378">
        <v>19.21</v>
      </c>
      <c r="F2378">
        <v>24.27</v>
      </c>
      <c r="G2378">
        <v>15.2</v>
      </c>
      <c r="H2378">
        <v>0.54</v>
      </c>
      <c r="I2378">
        <v>0.0</v>
      </c>
      <c r="J2378">
        <v>19.55</v>
      </c>
      <c r="K2378">
        <v>23.48</v>
      </c>
      <c r="L2378">
        <v>16.66</v>
      </c>
      <c r="M2378">
        <v>0.75</v>
      </c>
      <c r="N2378">
        <v>0.08</v>
      </c>
      <c r="O2378">
        <v>19.84</v>
      </c>
      <c r="P2378">
        <v>22.9</v>
      </c>
      <c r="Q2378">
        <v>17.22</v>
      </c>
      <c r="R2378">
        <v>2.6</v>
      </c>
    </row>
    <row r="2379">
      <c r="A2379" s="9">
        <v>40910</v>
      </c>
      <c r="B2379" s="2" t="inlineStr">
        <is>
          <t xml:space="preserve">2012-01</t>
        </is>
      </c>
      <c r="C2379" s="2" t="inlineStr">
        <is>
          <t xml:space="preserve">2011/12</t>
        </is>
      </c>
      <c r="D2379">
        <v>0.0</v>
      </c>
      <c r="E2379">
        <v>19.14</v>
      </c>
      <c r="F2379">
        <v>23.84</v>
      </c>
      <c r="G2379">
        <v>16.11</v>
      </c>
      <c r="H2379">
        <v>1.58</v>
      </c>
      <c r="I2379">
        <v>0.0</v>
      </c>
      <c r="J2379">
        <v>19.78</v>
      </c>
      <c r="K2379">
        <v>23.56</v>
      </c>
      <c r="L2379">
        <v>17.18</v>
      </c>
      <c r="M2379">
        <v>2.05</v>
      </c>
      <c r="N2379">
        <v>1.035</v>
      </c>
      <c r="O2379">
        <v>19.83</v>
      </c>
      <c r="P2379">
        <v>23.24</v>
      </c>
      <c r="Q2379">
        <v>17.6</v>
      </c>
      <c r="R2379">
        <v>7.89</v>
      </c>
    </row>
    <row r="2380">
      <c r="A2380" s="9">
        <v>40911</v>
      </c>
      <c r="B2380" s="2" t="inlineStr">
        <is>
          <t xml:space="preserve">2012-01</t>
        </is>
      </c>
      <c r="C2380" s="2" t="inlineStr">
        <is>
          <t xml:space="preserve">2011/12</t>
        </is>
      </c>
      <c r="D2380">
        <v>0.0</v>
      </c>
      <c r="E2380">
        <v>17.37</v>
      </c>
      <c r="F2380">
        <v>21.29</v>
      </c>
      <c r="G2380">
        <v>14.08</v>
      </c>
      <c r="H2380">
        <v>3.09</v>
      </c>
      <c r="I2380">
        <v>1.82</v>
      </c>
      <c r="J2380">
        <v>17.01</v>
      </c>
      <c r="K2380">
        <v>20.67</v>
      </c>
      <c r="L2380">
        <v>14.34</v>
      </c>
      <c r="M2380">
        <v>3.84</v>
      </c>
      <c r="N2380">
        <v>7.196</v>
      </c>
      <c r="O2380">
        <v>17.13</v>
      </c>
      <c r="P2380">
        <v>20.34</v>
      </c>
      <c r="Q2380">
        <v>14.98</v>
      </c>
      <c r="R2380">
        <v>7.54</v>
      </c>
    </row>
    <row r="2381">
      <c r="A2381" s="9">
        <v>40912</v>
      </c>
      <c r="B2381" s="2" t="inlineStr">
        <is>
          <t xml:space="preserve">2012-01</t>
        </is>
      </c>
      <c r="C2381" s="2" t="inlineStr">
        <is>
          <t xml:space="preserve">2011/12</t>
        </is>
      </c>
      <c r="D2381">
        <v>0.0</v>
      </c>
      <c r="E2381">
        <v>15.15</v>
      </c>
      <c r="F2381">
        <v>19.1</v>
      </c>
      <c r="G2381">
        <v>12.9</v>
      </c>
      <c r="H2381">
        <v>1.69</v>
      </c>
      <c r="I2381">
        <v>0.367</v>
      </c>
      <c r="J2381">
        <v>15.6</v>
      </c>
      <c r="K2381">
        <v>18.94</v>
      </c>
      <c r="L2381">
        <v>13.83</v>
      </c>
      <c r="M2381">
        <v>1.1</v>
      </c>
      <c r="N2381">
        <v>1.846</v>
      </c>
      <c r="O2381">
        <v>15.75</v>
      </c>
      <c r="P2381">
        <v>17.98</v>
      </c>
      <c r="Q2381">
        <v>14.49</v>
      </c>
      <c r="R2381">
        <v>2.65</v>
      </c>
    </row>
    <row r="2382">
      <c r="A2382" s="9">
        <v>40913</v>
      </c>
      <c r="B2382" s="2" t="inlineStr">
        <is>
          <t xml:space="preserve">2012-01</t>
        </is>
      </c>
      <c r="C2382" s="2" t="inlineStr">
        <is>
          <t xml:space="preserve">2011/12</t>
        </is>
      </c>
      <c r="D2382">
        <v>0.0</v>
      </c>
      <c r="E2382">
        <v>15.36</v>
      </c>
      <c r="F2382">
        <v>20.36</v>
      </c>
      <c r="G2382">
        <v>12.61</v>
      </c>
      <c r="H2382">
        <v>0.89</v>
      </c>
      <c r="I2382">
        <v>0.0</v>
      </c>
      <c r="J2382">
        <v>15.79</v>
      </c>
      <c r="K2382">
        <v>19.72</v>
      </c>
      <c r="L2382">
        <v>13.68</v>
      </c>
      <c r="M2382">
        <v>0.31</v>
      </c>
      <c r="N2382">
        <v>0.19</v>
      </c>
      <c r="O2382">
        <v>16.06</v>
      </c>
      <c r="P2382">
        <v>19.24</v>
      </c>
      <c r="Q2382">
        <v>14.45</v>
      </c>
      <c r="R2382">
        <v>1.26</v>
      </c>
    </row>
    <row r="2383">
      <c r="A2383" s="9">
        <v>40914</v>
      </c>
      <c r="B2383" s="2" t="inlineStr">
        <is>
          <t xml:space="preserve">2012-01</t>
        </is>
      </c>
      <c r="C2383" s="2" t="inlineStr">
        <is>
          <t xml:space="preserve">2011/12</t>
        </is>
      </c>
      <c r="D2383">
        <v>0.0</v>
      </c>
      <c r="E2383">
        <v>16.48</v>
      </c>
      <c r="F2383">
        <v>22.44</v>
      </c>
      <c r="G2383">
        <v>12.4</v>
      </c>
      <c r="H2383">
        <v>0.0</v>
      </c>
      <c r="I2383">
        <v>0.0</v>
      </c>
      <c r="J2383">
        <v>16.52</v>
      </c>
      <c r="K2383">
        <v>22.01</v>
      </c>
      <c r="L2383">
        <v>12.86</v>
      </c>
      <c r="M2383">
        <v>0.01</v>
      </c>
      <c r="N2383">
        <v>0.0</v>
      </c>
      <c r="O2383">
        <v>16.7</v>
      </c>
      <c r="P2383">
        <v>21.13</v>
      </c>
      <c r="Q2383">
        <v>13.78</v>
      </c>
      <c r="R2383">
        <v>0.05</v>
      </c>
    </row>
    <row r="2384">
      <c r="A2384" s="9">
        <v>40915</v>
      </c>
      <c r="B2384" s="2" t="inlineStr">
        <is>
          <t xml:space="preserve">2012-01</t>
        </is>
      </c>
      <c r="C2384" s="2" t="inlineStr">
        <is>
          <t xml:space="preserve">2011/12</t>
        </is>
      </c>
      <c r="D2384">
        <v>0.0</v>
      </c>
      <c r="E2384">
        <v>18.41</v>
      </c>
      <c r="F2384">
        <v>24.27</v>
      </c>
      <c r="G2384">
        <v>13.67</v>
      </c>
      <c r="H2384">
        <v>0.1</v>
      </c>
      <c r="I2384">
        <v>0.0</v>
      </c>
      <c r="J2384">
        <v>18.4</v>
      </c>
      <c r="K2384">
        <v>24.69</v>
      </c>
      <c r="L2384">
        <v>13.46</v>
      </c>
      <c r="M2384">
        <v>0.0</v>
      </c>
      <c r="N2384">
        <v>0.0</v>
      </c>
      <c r="O2384">
        <v>18.49</v>
      </c>
      <c r="P2384">
        <v>23.95</v>
      </c>
      <c r="Q2384">
        <v>14.35</v>
      </c>
      <c r="R2384">
        <v>0.01</v>
      </c>
    </row>
    <row r="2385">
      <c r="A2385" s="9">
        <v>40916</v>
      </c>
      <c r="B2385" s="2" t="inlineStr">
        <is>
          <t xml:space="preserve">2012-01</t>
        </is>
      </c>
      <c r="C2385" s="2" t="inlineStr">
        <is>
          <t xml:space="preserve">2011/12</t>
        </is>
      </c>
      <c r="D2385">
        <v>0.0</v>
      </c>
      <c r="E2385">
        <v>19.56</v>
      </c>
      <c r="F2385">
        <v>24.88</v>
      </c>
      <c r="G2385">
        <v>15.52</v>
      </c>
      <c r="H2385">
        <v>0.3</v>
      </c>
      <c r="I2385">
        <v>0.0</v>
      </c>
      <c r="J2385">
        <v>20.0</v>
      </c>
      <c r="K2385">
        <v>25.55</v>
      </c>
      <c r="L2385">
        <v>15.62</v>
      </c>
      <c r="M2385">
        <v>0.01</v>
      </c>
      <c r="N2385">
        <v>0.0</v>
      </c>
      <c r="O2385">
        <v>20.03</v>
      </c>
      <c r="P2385">
        <v>24.88</v>
      </c>
      <c r="Q2385">
        <v>16.46</v>
      </c>
      <c r="R2385">
        <v>0.05</v>
      </c>
    </row>
    <row r="2386">
      <c r="A2386" s="9">
        <v>40917</v>
      </c>
      <c r="B2386" s="2" t="inlineStr">
        <is>
          <t xml:space="preserve">2012-01</t>
        </is>
      </c>
      <c r="C2386" s="2" t="inlineStr">
        <is>
          <t xml:space="preserve">2011/12</t>
        </is>
      </c>
      <c r="D2386">
        <v>0.0</v>
      </c>
      <c r="E2386">
        <v>20.15</v>
      </c>
      <c r="F2386">
        <v>26.07</v>
      </c>
      <c r="G2386">
        <v>15.19</v>
      </c>
      <c r="H2386">
        <v>0.01</v>
      </c>
      <c r="I2386">
        <v>0.0</v>
      </c>
      <c r="J2386">
        <v>21.26</v>
      </c>
      <c r="K2386">
        <v>26.32</v>
      </c>
      <c r="L2386">
        <v>16.76</v>
      </c>
      <c r="M2386">
        <v>0.0</v>
      </c>
      <c r="N2386">
        <v>0.0</v>
      </c>
      <c r="O2386">
        <v>21.13</v>
      </c>
      <c r="P2386">
        <v>26.35</v>
      </c>
      <c r="Q2386">
        <v>17.78</v>
      </c>
      <c r="R2386">
        <v>0.0</v>
      </c>
    </row>
    <row r="2387">
      <c r="A2387" s="9">
        <v>40918</v>
      </c>
      <c r="B2387" s="2" t="inlineStr">
        <is>
          <t xml:space="preserve">2012-01</t>
        </is>
      </c>
      <c r="C2387" s="2" t="inlineStr">
        <is>
          <t xml:space="preserve">2011/12</t>
        </is>
      </c>
      <c r="D2387">
        <v>0.0</v>
      </c>
      <c r="E2387">
        <v>19.97</v>
      </c>
      <c r="F2387">
        <v>26.4</v>
      </c>
      <c r="G2387">
        <v>14.74</v>
      </c>
      <c r="H2387">
        <v>0.0</v>
      </c>
      <c r="I2387">
        <v>0.0</v>
      </c>
      <c r="J2387">
        <v>21.1</v>
      </c>
      <c r="K2387">
        <v>26.93</v>
      </c>
      <c r="L2387">
        <v>16.84</v>
      </c>
      <c r="M2387">
        <v>0.0</v>
      </c>
      <c r="N2387">
        <v>0.0</v>
      </c>
      <c r="O2387">
        <v>21.35</v>
      </c>
      <c r="P2387">
        <v>26.5</v>
      </c>
      <c r="Q2387">
        <v>18.04</v>
      </c>
      <c r="R2387">
        <v>0.0</v>
      </c>
    </row>
    <row r="2388">
      <c r="A2388" s="9">
        <v>40919</v>
      </c>
      <c r="B2388" s="2" t="inlineStr">
        <is>
          <t xml:space="preserve">2012-01</t>
        </is>
      </c>
      <c r="C2388" s="2" t="inlineStr">
        <is>
          <t xml:space="preserve">2011/12</t>
        </is>
      </c>
      <c r="D2388">
        <v>0.0</v>
      </c>
      <c r="E2388">
        <v>19.44</v>
      </c>
      <c r="F2388">
        <v>25.5</v>
      </c>
      <c r="G2388">
        <v>15.18</v>
      </c>
      <c r="H2388">
        <v>0.0</v>
      </c>
      <c r="I2388">
        <v>0.0</v>
      </c>
      <c r="J2388">
        <v>20.05</v>
      </c>
      <c r="K2388">
        <v>25.16</v>
      </c>
      <c r="L2388">
        <v>16.61</v>
      </c>
      <c r="M2388">
        <v>0.0</v>
      </c>
      <c r="N2388">
        <v>0.0</v>
      </c>
      <c r="O2388">
        <v>20.42</v>
      </c>
      <c r="P2388">
        <v>24.94</v>
      </c>
      <c r="Q2388">
        <v>17.34</v>
      </c>
      <c r="R2388">
        <v>0.0</v>
      </c>
    </row>
    <row r="2389">
      <c r="A2389" s="9">
        <v>40920</v>
      </c>
      <c r="B2389" s="2" t="inlineStr">
        <is>
          <t xml:space="preserve">2012-01</t>
        </is>
      </c>
      <c r="C2389" s="2" t="inlineStr">
        <is>
          <t xml:space="preserve">2011/12</t>
        </is>
      </c>
      <c r="D2389">
        <v>0.0</v>
      </c>
      <c r="E2389">
        <v>19.73</v>
      </c>
      <c r="F2389">
        <v>25.97</v>
      </c>
      <c r="G2389">
        <v>14.95</v>
      </c>
      <c r="H2389">
        <v>0.06</v>
      </c>
      <c r="I2389">
        <v>0.0</v>
      </c>
      <c r="J2389">
        <v>20.27</v>
      </c>
      <c r="K2389">
        <v>26.03</v>
      </c>
      <c r="L2389">
        <v>16.01</v>
      </c>
      <c r="M2389">
        <v>0.35</v>
      </c>
      <c r="N2389">
        <v>0.0</v>
      </c>
      <c r="O2389">
        <v>20.42</v>
      </c>
      <c r="P2389">
        <v>25.3</v>
      </c>
      <c r="Q2389">
        <v>17.24</v>
      </c>
      <c r="R2389">
        <v>0.71</v>
      </c>
    </row>
    <row r="2390">
      <c r="A2390" s="9">
        <v>40921</v>
      </c>
      <c r="B2390" s="2" t="inlineStr">
        <is>
          <t xml:space="preserve">2012-01</t>
        </is>
      </c>
      <c r="C2390" s="2" t="inlineStr">
        <is>
          <t xml:space="preserve">2011/12</t>
        </is>
      </c>
      <c r="D2390">
        <v>0.0</v>
      </c>
      <c r="E2390">
        <v>19.7</v>
      </c>
      <c r="F2390">
        <v>25.23</v>
      </c>
      <c r="G2390">
        <v>16.32</v>
      </c>
      <c r="H2390">
        <v>0.3</v>
      </c>
      <c r="I2390">
        <v>0.174</v>
      </c>
      <c r="J2390">
        <v>19.87</v>
      </c>
      <c r="K2390">
        <v>24.64</v>
      </c>
      <c r="L2390">
        <v>16.93</v>
      </c>
      <c r="M2390">
        <v>1.29</v>
      </c>
      <c r="N2390">
        <v>0.703</v>
      </c>
      <c r="O2390">
        <v>19.84</v>
      </c>
      <c r="P2390">
        <v>23.69</v>
      </c>
      <c r="Q2390">
        <v>17.63</v>
      </c>
      <c r="R2390">
        <v>4.76</v>
      </c>
    </row>
    <row r="2391">
      <c r="A2391" s="9">
        <v>40922</v>
      </c>
      <c r="B2391" s="2" t="inlineStr">
        <is>
          <t xml:space="preserve">2012-01</t>
        </is>
      </c>
      <c r="C2391" s="2" t="inlineStr">
        <is>
          <t xml:space="preserve">2011/12</t>
        </is>
      </c>
      <c r="D2391">
        <v>0.0</v>
      </c>
      <c r="E2391">
        <v>19.32</v>
      </c>
      <c r="F2391">
        <v>24.98</v>
      </c>
      <c r="G2391">
        <v>15.84</v>
      </c>
      <c r="H2391">
        <v>0.43</v>
      </c>
      <c r="I2391">
        <v>0.272</v>
      </c>
      <c r="J2391">
        <v>19.17</v>
      </c>
      <c r="K2391">
        <v>23.5</v>
      </c>
      <c r="L2391">
        <v>16.5</v>
      </c>
      <c r="M2391">
        <v>1.69</v>
      </c>
      <c r="N2391">
        <v>1.118</v>
      </c>
      <c r="O2391">
        <v>19.42</v>
      </c>
      <c r="P2391">
        <v>22.98</v>
      </c>
      <c r="Q2391">
        <v>17.63</v>
      </c>
      <c r="R2391">
        <v>6.62</v>
      </c>
    </row>
    <row r="2392">
      <c r="A2392" s="9">
        <v>40923</v>
      </c>
      <c r="B2392" s="2" t="inlineStr">
        <is>
          <t xml:space="preserve">2012-01</t>
        </is>
      </c>
      <c r="C2392" s="2" t="inlineStr">
        <is>
          <t xml:space="preserve">2011/12</t>
        </is>
      </c>
      <c r="D2392">
        <v>0.0</v>
      </c>
      <c r="E2392">
        <v>18.95</v>
      </c>
      <c r="F2392">
        <v>24.5</v>
      </c>
      <c r="G2392">
        <v>15.03</v>
      </c>
      <c r="H2392">
        <v>0.08</v>
      </c>
      <c r="I2392">
        <v>0.0</v>
      </c>
      <c r="J2392">
        <v>19.14</v>
      </c>
      <c r="K2392">
        <v>23.73</v>
      </c>
      <c r="L2392">
        <v>16.13</v>
      </c>
      <c r="M2392">
        <v>0.22</v>
      </c>
      <c r="N2392">
        <v>0.0</v>
      </c>
      <c r="O2392">
        <v>19.57</v>
      </c>
      <c r="P2392">
        <v>23.53</v>
      </c>
      <c r="Q2392">
        <v>16.99</v>
      </c>
      <c r="R2392">
        <v>1.05</v>
      </c>
    </row>
    <row r="2393">
      <c r="A2393" s="9">
        <v>40924</v>
      </c>
      <c r="B2393" s="2" t="inlineStr">
        <is>
          <t xml:space="preserve">2012-01</t>
        </is>
      </c>
      <c r="C2393" s="2" t="inlineStr">
        <is>
          <t xml:space="preserve">2011/12</t>
        </is>
      </c>
      <c r="D2393">
        <v>0.0</v>
      </c>
      <c r="E2393">
        <v>19.11</v>
      </c>
      <c r="F2393">
        <v>24.59</v>
      </c>
      <c r="G2393">
        <v>15.1</v>
      </c>
      <c r="H2393">
        <v>0.52</v>
      </c>
      <c r="I2393">
        <v>0.448</v>
      </c>
      <c r="J2393">
        <v>19.4</v>
      </c>
      <c r="K2393">
        <v>23.88</v>
      </c>
      <c r="L2393">
        <v>16.26</v>
      </c>
      <c r="M2393">
        <v>1.48</v>
      </c>
      <c r="N2393">
        <v>0.822</v>
      </c>
      <c r="O2393">
        <v>19.54</v>
      </c>
      <c r="P2393">
        <v>23.24</v>
      </c>
      <c r="Q2393">
        <v>17.36</v>
      </c>
      <c r="R2393">
        <v>5.16</v>
      </c>
    </row>
    <row r="2394">
      <c r="A2394" s="9">
        <v>40925</v>
      </c>
      <c r="B2394" s="2" t="inlineStr">
        <is>
          <t xml:space="preserve">2012-01</t>
        </is>
      </c>
      <c r="C2394" s="2" t="inlineStr">
        <is>
          <t xml:space="preserve">2011/12</t>
        </is>
      </c>
      <c r="D2394">
        <v>0.0</v>
      </c>
      <c r="E2394">
        <v>19.39</v>
      </c>
      <c r="F2394">
        <v>25.4</v>
      </c>
      <c r="G2394">
        <v>14.99</v>
      </c>
      <c r="H2394">
        <v>0.23</v>
      </c>
      <c r="I2394">
        <v>0.241</v>
      </c>
      <c r="J2394">
        <v>19.59</v>
      </c>
      <c r="K2394">
        <v>25.08</v>
      </c>
      <c r="L2394">
        <v>15.95</v>
      </c>
      <c r="M2394">
        <v>1.38</v>
      </c>
      <c r="N2394">
        <v>0.975</v>
      </c>
      <c r="O2394">
        <v>19.42</v>
      </c>
      <c r="P2394">
        <v>23.81</v>
      </c>
      <c r="Q2394">
        <v>16.45</v>
      </c>
      <c r="R2394">
        <v>4.72</v>
      </c>
    </row>
    <row r="2395">
      <c r="A2395" s="9">
        <v>40926</v>
      </c>
      <c r="B2395" s="2" t="inlineStr">
        <is>
          <t xml:space="preserve">2012-01</t>
        </is>
      </c>
      <c r="C2395" s="2" t="inlineStr">
        <is>
          <t xml:space="preserve">2011/12</t>
        </is>
      </c>
      <c r="D2395">
        <v>0.0</v>
      </c>
      <c r="E2395">
        <v>18.99</v>
      </c>
      <c r="F2395">
        <v>25.19</v>
      </c>
      <c r="G2395">
        <v>15.16</v>
      </c>
      <c r="H2395">
        <v>0.01</v>
      </c>
      <c r="I2395">
        <v>0.107</v>
      </c>
      <c r="J2395">
        <v>19.37</v>
      </c>
      <c r="K2395">
        <v>24.91</v>
      </c>
      <c r="L2395">
        <v>15.6</v>
      </c>
      <c r="M2395">
        <v>0.05</v>
      </c>
      <c r="N2395">
        <v>0.162</v>
      </c>
      <c r="O2395">
        <v>19.36</v>
      </c>
      <c r="P2395">
        <v>24.19</v>
      </c>
      <c r="Q2395">
        <v>16.16</v>
      </c>
      <c r="R2395">
        <v>0.05</v>
      </c>
    </row>
    <row r="2396">
      <c r="A2396" s="9">
        <v>40927</v>
      </c>
      <c r="B2396" s="2" t="inlineStr">
        <is>
          <t xml:space="preserve">2012-01</t>
        </is>
      </c>
      <c r="C2396" s="2" t="inlineStr">
        <is>
          <t xml:space="preserve">2011/12</t>
        </is>
      </c>
      <c r="D2396">
        <v>0.0</v>
      </c>
      <c r="E2396">
        <v>18.46</v>
      </c>
      <c r="F2396">
        <v>25.0</v>
      </c>
      <c r="G2396">
        <v>14.25</v>
      </c>
      <c r="H2396">
        <v>0.01</v>
      </c>
      <c r="I2396">
        <v>0.0</v>
      </c>
      <c r="J2396">
        <v>18.62</v>
      </c>
      <c r="K2396">
        <v>24.14</v>
      </c>
      <c r="L2396">
        <v>14.45</v>
      </c>
      <c r="M2396">
        <v>0.0</v>
      </c>
      <c r="N2396">
        <v>0.0</v>
      </c>
      <c r="O2396">
        <v>18.68</v>
      </c>
      <c r="P2396">
        <v>23.45</v>
      </c>
      <c r="Q2396">
        <v>15.15</v>
      </c>
      <c r="R2396">
        <v>0.0</v>
      </c>
    </row>
    <row r="2397">
      <c r="A2397" s="9">
        <v>40928</v>
      </c>
      <c r="B2397" s="2" t="inlineStr">
        <is>
          <t xml:space="preserve">2012-01</t>
        </is>
      </c>
      <c r="C2397" s="2" t="inlineStr">
        <is>
          <t xml:space="preserve">2011/12</t>
        </is>
      </c>
      <c r="D2397">
        <v>0.0</v>
      </c>
      <c r="E2397">
        <v>18.74</v>
      </c>
      <c r="F2397">
        <v>25.67</v>
      </c>
      <c r="G2397">
        <v>13.31</v>
      </c>
      <c r="H2397">
        <v>0.03</v>
      </c>
      <c r="I2397">
        <v>0.0</v>
      </c>
      <c r="J2397">
        <v>18.6</v>
      </c>
      <c r="K2397">
        <v>24.68</v>
      </c>
      <c r="L2397">
        <v>14.34</v>
      </c>
      <c r="M2397">
        <v>0.0</v>
      </c>
      <c r="N2397">
        <v>0.0</v>
      </c>
      <c r="O2397">
        <v>18.77</v>
      </c>
      <c r="P2397">
        <v>23.9</v>
      </c>
      <c r="Q2397">
        <v>15.01</v>
      </c>
      <c r="R2397">
        <v>0.0</v>
      </c>
    </row>
    <row r="2398">
      <c r="A2398" s="9">
        <v>40929</v>
      </c>
      <c r="B2398" s="2" t="inlineStr">
        <is>
          <t xml:space="preserve">2012-01</t>
        </is>
      </c>
      <c r="C2398" s="2" t="inlineStr">
        <is>
          <t xml:space="preserve">2011/12</t>
        </is>
      </c>
      <c r="D2398">
        <v>0.0</v>
      </c>
      <c r="E2398">
        <v>19.65</v>
      </c>
      <c r="F2398">
        <v>26.15</v>
      </c>
      <c r="G2398">
        <v>13.87</v>
      </c>
      <c r="H2398">
        <v>0.06</v>
      </c>
      <c r="I2398">
        <v>0.0</v>
      </c>
      <c r="J2398">
        <v>19.91</v>
      </c>
      <c r="K2398">
        <v>26.39</v>
      </c>
      <c r="L2398">
        <v>14.8</v>
      </c>
      <c r="M2398">
        <v>0.0</v>
      </c>
      <c r="N2398">
        <v>0.0</v>
      </c>
      <c r="O2398">
        <v>19.85</v>
      </c>
      <c r="P2398">
        <v>25.35</v>
      </c>
      <c r="Q2398">
        <v>16.35</v>
      </c>
      <c r="R2398">
        <v>0.0</v>
      </c>
    </row>
    <row r="2399">
      <c r="A2399" s="9">
        <v>40930</v>
      </c>
      <c r="B2399" s="2" t="inlineStr">
        <is>
          <t xml:space="preserve">2012-01</t>
        </is>
      </c>
      <c r="C2399" s="2" t="inlineStr">
        <is>
          <t xml:space="preserve">2011/12</t>
        </is>
      </c>
      <c r="D2399">
        <v>0.0</v>
      </c>
      <c r="E2399">
        <v>19.74</v>
      </c>
      <c r="F2399">
        <v>26.84</v>
      </c>
      <c r="G2399">
        <v>15.13</v>
      </c>
      <c r="H2399">
        <v>0.05</v>
      </c>
      <c r="I2399">
        <v>0.0</v>
      </c>
      <c r="J2399">
        <v>20.62</v>
      </c>
      <c r="K2399">
        <v>26.63</v>
      </c>
      <c r="L2399">
        <v>16.45</v>
      </c>
      <c r="M2399">
        <v>0.03</v>
      </c>
      <c r="N2399">
        <v>0.0</v>
      </c>
      <c r="O2399">
        <v>20.5</v>
      </c>
      <c r="P2399">
        <v>25.71</v>
      </c>
      <c r="Q2399">
        <v>17.23</v>
      </c>
      <c r="R2399">
        <v>0.04</v>
      </c>
    </row>
    <row r="2400">
      <c r="A2400" s="9">
        <v>40931</v>
      </c>
      <c r="B2400" s="2" t="inlineStr">
        <is>
          <t xml:space="preserve">2012-01</t>
        </is>
      </c>
      <c r="C2400" s="2" t="inlineStr">
        <is>
          <t xml:space="preserve">2011/12</t>
        </is>
      </c>
      <c r="D2400">
        <v>0.0</v>
      </c>
      <c r="E2400">
        <v>19.59</v>
      </c>
      <c r="F2400">
        <v>26.7</v>
      </c>
      <c r="G2400">
        <v>13.66</v>
      </c>
      <c r="H2400">
        <v>0.08</v>
      </c>
      <c r="I2400">
        <v>0.0</v>
      </c>
      <c r="J2400">
        <v>20.48</v>
      </c>
      <c r="K2400">
        <v>26.7</v>
      </c>
      <c r="L2400">
        <v>15.95</v>
      </c>
      <c r="M2400">
        <v>0.09</v>
      </c>
      <c r="N2400">
        <v>0.065</v>
      </c>
      <c r="O2400">
        <v>20.18</v>
      </c>
      <c r="P2400">
        <v>25.4</v>
      </c>
      <c r="Q2400">
        <v>16.58</v>
      </c>
      <c r="R2400">
        <v>0.4</v>
      </c>
    </row>
    <row r="2401">
      <c r="A2401" s="9">
        <v>40932</v>
      </c>
      <c r="B2401" s="2" t="inlineStr">
        <is>
          <t xml:space="preserve">2012-01</t>
        </is>
      </c>
      <c r="C2401" s="2" t="inlineStr">
        <is>
          <t xml:space="preserve">2011/12</t>
        </is>
      </c>
      <c r="D2401">
        <v>0.0</v>
      </c>
      <c r="E2401">
        <v>20.08</v>
      </c>
      <c r="F2401">
        <v>26.96</v>
      </c>
      <c r="G2401">
        <v>14.98</v>
      </c>
      <c r="H2401">
        <v>0.0</v>
      </c>
      <c r="I2401">
        <v>0.0</v>
      </c>
      <c r="J2401">
        <v>20.38</v>
      </c>
      <c r="K2401">
        <v>25.96</v>
      </c>
      <c r="L2401">
        <v>16.23</v>
      </c>
      <c r="M2401">
        <v>0.01</v>
      </c>
      <c r="N2401">
        <v>0.0</v>
      </c>
      <c r="O2401">
        <v>20.39</v>
      </c>
      <c r="P2401">
        <v>25.03</v>
      </c>
      <c r="Q2401">
        <v>17.77</v>
      </c>
      <c r="R2401">
        <v>0.1</v>
      </c>
    </row>
    <row r="2402">
      <c r="A2402" s="9">
        <v>40933</v>
      </c>
      <c r="B2402" s="2" t="inlineStr">
        <is>
          <t xml:space="preserve">2012-01</t>
        </is>
      </c>
      <c r="C2402" s="2" t="inlineStr">
        <is>
          <t xml:space="preserve">2011/12</t>
        </is>
      </c>
      <c r="D2402">
        <v>0.0</v>
      </c>
      <c r="E2402">
        <v>20.65</v>
      </c>
      <c r="F2402">
        <v>27.09</v>
      </c>
      <c r="G2402">
        <v>15.43</v>
      </c>
      <c r="H2402">
        <v>0.01</v>
      </c>
      <c r="I2402">
        <v>0.0</v>
      </c>
      <c r="J2402">
        <v>21.12</v>
      </c>
      <c r="K2402">
        <v>27.38</v>
      </c>
      <c r="L2402">
        <v>16.15</v>
      </c>
      <c r="M2402">
        <v>0.02</v>
      </c>
      <c r="N2402">
        <v>0.0</v>
      </c>
      <c r="O2402">
        <v>21.12</v>
      </c>
      <c r="P2402">
        <v>26.3</v>
      </c>
      <c r="Q2402">
        <v>16.91</v>
      </c>
      <c r="R2402">
        <v>0.02</v>
      </c>
    </row>
    <row r="2403">
      <c r="A2403" s="9">
        <v>40934</v>
      </c>
      <c r="B2403" s="2" t="inlineStr">
        <is>
          <t xml:space="preserve">2012-01</t>
        </is>
      </c>
      <c r="C2403" s="2" t="inlineStr">
        <is>
          <t xml:space="preserve">2011/12</t>
        </is>
      </c>
      <c r="D2403">
        <v>0.284</v>
      </c>
      <c r="E2403">
        <v>20.69</v>
      </c>
      <c r="F2403">
        <v>27.18</v>
      </c>
      <c r="G2403">
        <v>14.96</v>
      </c>
      <c r="H2403">
        <v>0.33</v>
      </c>
      <c r="I2403">
        <v>0.236</v>
      </c>
      <c r="J2403">
        <v>21.6</v>
      </c>
      <c r="K2403">
        <v>27.06</v>
      </c>
      <c r="L2403">
        <v>16.76</v>
      </c>
      <c r="M2403">
        <v>0.27</v>
      </c>
      <c r="N2403">
        <v>0.107</v>
      </c>
      <c r="O2403">
        <v>21.12</v>
      </c>
      <c r="P2403">
        <v>26.76</v>
      </c>
      <c r="Q2403">
        <v>16.04</v>
      </c>
      <c r="R2403">
        <v>0.36</v>
      </c>
    </row>
    <row r="2404">
      <c r="A2404" s="9">
        <v>40935</v>
      </c>
      <c r="B2404" s="2" t="inlineStr">
        <is>
          <t xml:space="preserve">2012-01</t>
        </is>
      </c>
      <c r="C2404" s="2" t="inlineStr">
        <is>
          <t xml:space="preserve">2011/12</t>
        </is>
      </c>
      <c r="D2404">
        <v>0.025</v>
      </c>
      <c r="E2404">
        <v>19.69</v>
      </c>
      <c r="F2404">
        <v>26.79</v>
      </c>
      <c r="G2404">
        <v>14.73</v>
      </c>
      <c r="H2404">
        <v>0.07</v>
      </c>
      <c r="I2404">
        <v>0.038</v>
      </c>
      <c r="J2404">
        <v>20.55</v>
      </c>
      <c r="K2404">
        <v>25.32</v>
      </c>
      <c r="L2404">
        <v>17.19</v>
      </c>
      <c r="M2404">
        <v>0.2</v>
      </c>
      <c r="N2404">
        <v>0.13</v>
      </c>
      <c r="O2404">
        <v>20.16</v>
      </c>
      <c r="P2404">
        <v>24.49</v>
      </c>
      <c r="Q2404">
        <v>17.25</v>
      </c>
      <c r="R2404">
        <v>0.71</v>
      </c>
    </row>
    <row r="2405">
      <c r="A2405" s="9">
        <v>40936</v>
      </c>
      <c r="B2405" s="2" t="inlineStr">
        <is>
          <t xml:space="preserve">2012-01</t>
        </is>
      </c>
      <c r="C2405" s="2" t="inlineStr">
        <is>
          <t xml:space="preserve">2011/12</t>
        </is>
      </c>
      <c r="D2405">
        <v>0.0</v>
      </c>
      <c r="E2405">
        <v>19.55</v>
      </c>
      <c r="F2405">
        <v>26.02</v>
      </c>
      <c r="G2405">
        <v>14.55</v>
      </c>
      <c r="H2405">
        <v>1.22</v>
      </c>
      <c r="I2405">
        <v>0.032</v>
      </c>
      <c r="J2405">
        <v>19.88</v>
      </c>
      <c r="K2405">
        <v>25.23</v>
      </c>
      <c r="L2405">
        <v>15.7</v>
      </c>
      <c r="M2405">
        <v>1.75</v>
      </c>
      <c r="N2405">
        <v>0.143</v>
      </c>
      <c r="O2405">
        <v>19.72</v>
      </c>
      <c r="P2405">
        <v>24.11</v>
      </c>
      <c r="Q2405">
        <v>16.53</v>
      </c>
      <c r="R2405">
        <v>5.3</v>
      </c>
    </row>
    <row r="2406">
      <c r="A2406" s="9">
        <v>40937</v>
      </c>
      <c r="B2406" s="2" t="inlineStr">
        <is>
          <t xml:space="preserve">2012-01</t>
        </is>
      </c>
      <c r="C2406" s="2" t="inlineStr">
        <is>
          <t xml:space="preserve">2011/12</t>
        </is>
      </c>
      <c r="D2406">
        <v>0.363</v>
      </c>
      <c r="E2406">
        <v>19.17</v>
      </c>
      <c r="F2406">
        <v>24.95</v>
      </c>
      <c r="G2406">
        <v>15.65</v>
      </c>
      <c r="H2406">
        <v>1.48</v>
      </c>
      <c r="I2406">
        <v>2.927</v>
      </c>
      <c r="J2406">
        <v>19.45</v>
      </c>
      <c r="K2406">
        <v>23.77</v>
      </c>
      <c r="L2406">
        <v>16.61</v>
      </c>
      <c r="M2406">
        <v>6.85</v>
      </c>
      <c r="N2406">
        <v>5.065</v>
      </c>
      <c r="O2406">
        <v>19.2</v>
      </c>
      <c r="P2406">
        <v>22.06</v>
      </c>
      <c r="Q2406">
        <v>17.29</v>
      </c>
      <c r="R2406">
        <v>22.09</v>
      </c>
    </row>
    <row r="2407">
      <c r="A2407" s="9">
        <v>40938</v>
      </c>
      <c r="B2407" s="2" t="inlineStr">
        <is>
          <t xml:space="preserve">2012-01</t>
        </is>
      </c>
      <c r="C2407" s="2" t="inlineStr">
        <is>
          <t xml:space="preserve">2011/12</t>
        </is>
      </c>
      <c r="D2407">
        <v>0.0</v>
      </c>
      <c r="E2407">
        <v>19.2</v>
      </c>
      <c r="F2407">
        <v>25.59</v>
      </c>
      <c r="G2407">
        <v>14.82</v>
      </c>
      <c r="H2407">
        <v>0.21</v>
      </c>
      <c r="I2407">
        <v>0.0</v>
      </c>
      <c r="J2407">
        <v>18.57</v>
      </c>
      <c r="K2407">
        <v>23.2</v>
      </c>
      <c r="L2407">
        <v>15.38</v>
      </c>
      <c r="M2407">
        <v>0.35</v>
      </c>
      <c r="N2407">
        <v>0.05</v>
      </c>
      <c r="O2407">
        <v>18.62</v>
      </c>
      <c r="P2407">
        <v>22.27</v>
      </c>
      <c r="Q2407">
        <v>16.09</v>
      </c>
      <c r="R2407">
        <v>1.08</v>
      </c>
    </row>
    <row r="2408">
      <c r="A2408" s="9">
        <v>40939</v>
      </c>
      <c r="B2408" s="2" t="inlineStr">
        <is>
          <t xml:space="preserve">2012-01</t>
        </is>
      </c>
      <c r="C2408" s="2" t="inlineStr">
        <is>
          <t xml:space="preserve">2011/12</t>
        </is>
      </c>
      <c r="D2408">
        <v>0.14</v>
      </c>
      <c r="E2408">
        <v>18.12</v>
      </c>
      <c r="F2408">
        <v>22.3</v>
      </c>
      <c r="G2408">
        <v>15.62</v>
      </c>
      <c r="H2408">
        <v>0.92</v>
      </c>
      <c r="I2408">
        <v>1.832</v>
      </c>
      <c r="J2408">
        <v>19.04</v>
      </c>
      <c r="K2408">
        <v>23.8</v>
      </c>
      <c r="L2408">
        <v>16.17</v>
      </c>
      <c r="M2408">
        <v>2.42</v>
      </c>
      <c r="N2408">
        <v>2.912</v>
      </c>
      <c r="O2408">
        <v>18.54</v>
      </c>
      <c r="P2408">
        <v>21.81</v>
      </c>
      <c r="Q2408">
        <v>16.41</v>
      </c>
      <c r="R2408">
        <v>4.85</v>
      </c>
    </row>
    <row r="2409">
      <c r="A2409" s="9">
        <v>40940</v>
      </c>
      <c r="B2409" s="2" t="inlineStr">
        <is>
          <t xml:space="preserve">2012-02</t>
        </is>
      </c>
      <c r="C2409" s="2" t="inlineStr">
        <is>
          <t xml:space="preserve">2011/12</t>
        </is>
      </c>
      <c r="D2409">
        <v>0.0</v>
      </c>
      <c r="E2409">
        <v>19.1</v>
      </c>
      <c r="F2409">
        <v>25.85</v>
      </c>
      <c r="G2409">
        <v>14.17</v>
      </c>
      <c r="H2409">
        <v>1.15</v>
      </c>
      <c r="I2409">
        <v>0.92</v>
      </c>
      <c r="J2409">
        <v>19.1</v>
      </c>
      <c r="K2409">
        <v>23.7</v>
      </c>
      <c r="L2409">
        <v>15.87</v>
      </c>
      <c r="M2409">
        <v>2.48</v>
      </c>
      <c r="N2409">
        <v>1.598</v>
      </c>
      <c r="O2409">
        <v>19.11</v>
      </c>
      <c r="P2409">
        <v>22.27</v>
      </c>
      <c r="Q2409">
        <v>16.48</v>
      </c>
      <c r="R2409">
        <v>7.08</v>
      </c>
    </row>
    <row r="2410">
      <c r="A2410" s="9">
        <v>40941</v>
      </c>
      <c r="B2410" s="2" t="inlineStr">
        <is>
          <t xml:space="preserve">2012-02</t>
        </is>
      </c>
      <c r="C2410" s="2" t="inlineStr">
        <is>
          <t xml:space="preserve">2011/12</t>
        </is>
      </c>
      <c r="D2410">
        <v>0.04</v>
      </c>
      <c r="E2410">
        <v>19.09</v>
      </c>
      <c r="F2410">
        <v>25.06</v>
      </c>
      <c r="G2410">
        <v>15.46</v>
      </c>
      <c r="H2410">
        <v>1.15</v>
      </c>
      <c r="I2410">
        <v>1.281</v>
      </c>
      <c r="J2410">
        <v>18.93</v>
      </c>
      <c r="K2410">
        <v>22.35</v>
      </c>
      <c r="L2410">
        <v>16.69</v>
      </c>
      <c r="M2410">
        <v>3.44</v>
      </c>
      <c r="N2410">
        <v>2.421</v>
      </c>
      <c r="O2410">
        <v>19.55</v>
      </c>
      <c r="P2410">
        <v>23.18</v>
      </c>
      <c r="Q2410">
        <v>17.08</v>
      </c>
      <c r="R2410">
        <v>12.28</v>
      </c>
    </row>
    <row r="2411">
      <c r="A2411" s="9">
        <v>40942</v>
      </c>
      <c r="B2411" s="2" t="inlineStr">
        <is>
          <t xml:space="preserve">2012-02</t>
        </is>
      </c>
      <c r="C2411" s="2" t="inlineStr">
        <is>
          <t xml:space="preserve">2011/12</t>
        </is>
      </c>
      <c r="D2411">
        <v>0.0</v>
      </c>
      <c r="E2411">
        <v>19.39</v>
      </c>
      <c r="F2411">
        <v>25.84</v>
      </c>
      <c r="G2411">
        <v>15.68</v>
      </c>
      <c r="H2411">
        <v>0.95</v>
      </c>
      <c r="I2411">
        <v>0.556</v>
      </c>
      <c r="J2411">
        <v>19.92</v>
      </c>
      <c r="K2411">
        <v>25.35</v>
      </c>
      <c r="L2411">
        <v>15.97</v>
      </c>
      <c r="M2411">
        <v>0.91</v>
      </c>
      <c r="N2411">
        <v>0.474</v>
      </c>
      <c r="O2411">
        <v>19.59</v>
      </c>
      <c r="P2411">
        <v>23.85</v>
      </c>
      <c r="Q2411">
        <v>17.17</v>
      </c>
      <c r="R2411">
        <v>1.99</v>
      </c>
    </row>
    <row r="2412">
      <c r="A2412" s="9">
        <v>40943</v>
      </c>
      <c r="B2412" s="2" t="inlineStr">
        <is>
          <t xml:space="preserve">2012-02</t>
        </is>
      </c>
      <c r="C2412" s="2" t="inlineStr">
        <is>
          <t xml:space="preserve">2011/12</t>
        </is>
      </c>
      <c r="D2412">
        <v>0.0</v>
      </c>
      <c r="E2412">
        <v>20.13</v>
      </c>
      <c r="F2412">
        <v>27.41</v>
      </c>
      <c r="G2412">
        <v>14.42</v>
      </c>
      <c r="H2412">
        <v>1.82</v>
      </c>
      <c r="I2412">
        <v>0.105</v>
      </c>
      <c r="J2412">
        <v>20.25</v>
      </c>
      <c r="K2412">
        <v>25.9</v>
      </c>
      <c r="L2412">
        <v>15.99</v>
      </c>
      <c r="M2412">
        <v>0.45</v>
      </c>
      <c r="N2412">
        <v>0.0</v>
      </c>
      <c r="O2412">
        <v>19.8</v>
      </c>
      <c r="P2412">
        <v>24.42</v>
      </c>
      <c r="Q2412">
        <v>16.95</v>
      </c>
      <c r="R2412">
        <v>1.38</v>
      </c>
    </row>
    <row r="2413">
      <c r="A2413" s="9">
        <v>40944</v>
      </c>
      <c r="B2413" s="2" t="inlineStr">
        <is>
          <t xml:space="preserve">2012-02</t>
        </is>
      </c>
      <c r="C2413" s="2" t="inlineStr">
        <is>
          <t xml:space="preserve">2011/12</t>
        </is>
      </c>
      <c r="D2413">
        <v>0.0</v>
      </c>
      <c r="E2413">
        <v>21.16</v>
      </c>
      <c r="F2413">
        <v>27.11</v>
      </c>
      <c r="G2413">
        <v>17.43</v>
      </c>
      <c r="H2413">
        <v>1.28</v>
      </c>
      <c r="I2413">
        <v>0.709</v>
      </c>
      <c r="J2413">
        <v>20.15</v>
      </c>
      <c r="K2413">
        <v>25.82</v>
      </c>
      <c r="L2413">
        <v>16.51</v>
      </c>
      <c r="M2413">
        <v>1.92</v>
      </c>
      <c r="N2413">
        <v>1.247</v>
      </c>
      <c r="O2413">
        <v>19.76</v>
      </c>
      <c r="P2413">
        <v>24.43</v>
      </c>
      <c r="Q2413">
        <v>16.47</v>
      </c>
      <c r="R2413">
        <v>5.1</v>
      </c>
    </row>
    <row r="2414">
      <c r="A2414" s="9">
        <v>40945</v>
      </c>
      <c r="B2414" s="2" t="inlineStr">
        <is>
          <t xml:space="preserve">2012-02</t>
        </is>
      </c>
      <c r="C2414" s="2" t="inlineStr">
        <is>
          <t xml:space="preserve">2011/12</t>
        </is>
      </c>
      <c r="D2414">
        <v>0.053</v>
      </c>
      <c r="E2414">
        <v>20.15</v>
      </c>
      <c r="F2414">
        <v>26.17</v>
      </c>
      <c r="G2414">
        <v>16.45</v>
      </c>
      <c r="H2414">
        <v>1.93</v>
      </c>
      <c r="I2414">
        <v>2.03</v>
      </c>
      <c r="J2414">
        <v>19.77</v>
      </c>
      <c r="K2414">
        <v>24.88</v>
      </c>
      <c r="L2414">
        <v>16.59</v>
      </c>
      <c r="M2414">
        <v>1.95</v>
      </c>
      <c r="N2414">
        <v>3.191</v>
      </c>
      <c r="O2414">
        <v>19.18</v>
      </c>
      <c r="P2414">
        <v>23.26</v>
      </c>
      <c r="Q2414">
        <v>16.76</v>
      </c>
      <c r="R2414">
        <v>4.05</v>
      </c>
    </row>
    <row r="2415">
      <c r="A2415" s="9">
        <v>40946</v>
      </c>
      <c r="B2415" s="2" t="inlineStr">
        <is>
          <t xml:space="preserve">2012-02</t>
        </is>
      </c>
      <c r="C2415" s="2" t="inlineStr">
        <is>
          <t xml:space="preserve">2011/12</t>
        </is>
      </c>
      <c r="D2415">
        <v>0.143</v>
      </c>
      <c r="E2415">
        <v>19.99</v>
      </c>
      <c r="F2415">
        <v>26.31</v>
      </c>
      <c r="G2415">
        <v>15.75</v>
      </c>
      <c r="H2415">
        <v>0.92</v>
      </c>
      <c r="I2415">
        <v>0.352</v>
      </c>
      <c r="J2415">
        <v>18.86</v>
      </c>
      <c r="K2415">
        <v>23.19</v>
      </c>
      <c r="L2415">
        <v>16.35</v>
      </c>
      <c r="M2415">
        <v>1.14</v>
      </c>
      <c r="N2415">
        <v>0.649</v>
      </c>
      <c r="O2415">
        <v>18.5</v>
      </c>
      <c r="P2415">
        <v>22.5</v>
      </c>
      <c r="Q2415">
        <v>16.25</v>
      </c>
      <c r="R2415">
        <v>3.28</v>
      </c>
    </row>
    <row r="2416">
      <c r="A2416" s="9">
        <v>40947</v>
      </c>
      <c r="B2416" s="2" t="inlineStr">
        <is>
          <t xml:space="preserve">2012-02</t>
        </is>
      </c>
      <c r="C2416" s="2" t="inlineStr">
        <is>
          <t xml:space="preserve">2011/12</t>
        </is>
      </c>
      <c r="D2416">
        <v>0.062</v>
      </c>
      <c r="E2416">
        <v>19.77</v>
      </c>
      <c r="F2416">
        <v>24.88</v>
      </c>
      <c r="G2416">
        <v>16.41</v>
      </c>
      <c r="H2416">
        <v>0.08</v>
      </c>
      <c r="I2416">
        <v>0.162</v>
      </c>
      <c r="J2416">
        <v>19.89</v>
      </c>
      <c r="K2416">
        <v>25.47</v>
      </c>
      <c r="L2416">
        <v>16.23</v>
      </c>
      <c r="M2416">
        <v>0.18</v>
      </c>
      <c r="N2416">
        <v>0.132</v>
      </c>
      <c r="O2416">
        <v>19.31</v>
      </c>
      <c r="P2416">
        <v>24.24</v>
      </c>
      <c r="Q2416">
        <v>16.02</v>
      </c>
      <c r="R2416">
        <v>0.4</v>
      </c>
    </row>
    <row r="2417">
      <c r="A2417" s="9">
        <v>40948</v>
      </c>
      <c r="B2417" s="2" t="inlineStr">
        <is>
          <t xml:space="preserve">2012-02</t>
        </is>
      </c>
      <c r="C2417" s="2" t="inlineStr">
        <is>
          <t xml:space="preserve">2011/12</t>
        </is>
      </c>
      <c r="D2417">
        <v>0.0</v>
      </c>
      <c r="E2417">
        <v>21.08</v>
      </c>
      <c r="F2417">
        <v>27.89</v>
      </c>
      <c r="G2417">
        <v>16.31</v>
      </c>
      <c r="H2417">
        <v>0.16</v>
      </c>
      <c r="I2417">
        <v>0.361</v>
      </c>
      <c r="J2417">
        <v>20.67</v>
      </c>
      <c r="K2417">
        <v>26.51</v>
      </c>
      <c r="L2417">
        <v>16.39</v>
      </c>
      <c r="M2417">
        <v>0.37</v>
      </c>
      <c r="N2417">
        <v>0.566</v>
      </c>
      <c r="O2417">
        <v>19.81</v>
      </c>
      <c r="P2417">
        <v>24.72</v>
      </c>
      <c r="Q2417">
        <v>16.21</v>
      </c>
      <c r="R2417">
        <v>0.75</v>
      </c>
    </row>
    <row r="2418">
      <c r="A2418" s="9">
        <v>40949</v>
      </c>
      <c r="B2418" s="2" t="inlineStr">
        <is>
          <t xml:space="preserve">2012-02</t>
        </is>
      </c>
      <c r="C2418" s="2" t="inlineStr">
        <is>
          <t xml:space="preserve">2011/12</t>
        </is>
      </c>
      <c r="D2418">
        <v>0.0</v>
      </c>
      <c r="E2418">
        <v>21.42</v>
      </c>
      <c r="F2418">
        <v>28.89</v>
      </c>
      <c r="G2418">
        <v>16.54</v>
      </c>
      <c r="H2418">
        <v>0.07</v>
      </c>
      <c r="I2418">
        <v>0.04</v>
      </c>
      <c r="J2418">
        <v>20.89</v>
      </c>
      <c r="K2418">
        <v>26.69</v>
      </c>
      <c r="L2418">
        <v>16.7</v>
      </c>
      <c r="M2418">
        <v>0.3</v>
      </c>
      <c r="N2418">
        <v>0.19</v>
      </c>
      <c r="O2418">
        <v>19.85</v>
      </c>
      <c r="P2418">
        <v>24.59</v>
      </c>
      <c r="Q2418">
        <v>16.66</v>
      </c>
      <c r="R2418">
        <v>1.32</v>
      </c>
    </row>
    <row r="2419">
      <c r="A2419" s="9">
        <v>40950</v>
      </c>
      <c r="B2419" s="2" t="inlineStr">
        <is>
          <t xml:space="preserve">2012-02</t>
        </is>
      </c>
      <c r="C2419" s="2" t="inlineStr">
        <is>
          <t xml:space="preserve">2011/12</t>
        </is>
      </c>
      <c r="D2419">
        <v>0.0</v>
      </c>
      <c r="E2419">
        <v>20.67</v>
      </c>
      <c r="F2419">
        <v>27.37</v>
      </c>
      <c r="G2419">
        <v>16.67</v>
      </c>
      <c r="H2419">
        <v>0.11</v>
      </c>
      <c r="I2419">
        <v>0.0</v>
      </c>
      <c r="J2419">
        <v>19.94</v>
      </c>
      <c r="K2419">
        <v>25.15</v>
      </c>
      <c r="L2419">
        <v>16.47</v>
      </c>
      <c r="M2419">
        <v>0.38</v>
      </c>
      <c r="N2419">
        <v>0.0</v>
      </c>
      <c r="O2419">
        <v>19.6</v>
      </c>
      <c r="P2419">
        <v>23.65</v>
      </c>
      <c r="Q2419">
        <v>16.9</v>
      </c>
      <c r="R2419">
        <v>1.42</v>
      </c>
    </row>
    <row r="2420">
      <c r="A2420" s="9">
        <v>40951</v>
      </c>
      <c r="B2420" s="2" t="inlineStr">
        <is>
          <t xml:space="preserve">2012-02</t>
        </is>
      </c>
      <c r="C2420" s="2" t="inlineStr">
        <is>
          <t xml:space="preserve">2011/12</t>
        </is>
      </c>
      <c r="D2420">
        <v>0.098</v>
      </c>
      <c r="E2420">
        <v>20.32</v>
      </c>
      <c r="F2420">
        <v>27.02</v>
      </c>
      <c r="G2420">
        <v>15.58</v>
      </c>
      <c r="H2420">
        <v>5.43</v>
      </c>
      <c r="I2420">
        <v>5.65</v>
      </c>
      <c r="J2420">
        <v>19.83</v>
      </c>
      <c r="K2420">
        <v>26.36</v>
      </c>
      <c r="L2420">
        <v>15.37</v>
      </c>
      <c r="M2420">
        <v>8.28</v>
      </c>
      <c r="N2420">
        <v>9.132</v>
      </c>
      <c r="O2420">
        <v>19.34</v>
      </c>
      <c r="P2420">
        <v>24.59</v>
      </c>
      <c r="Q2420">
        <v>16.24</v>
      </c>
      <c r="R2420">
        <v>18.31</v>
      </c>
    </row>
    <row r="2421">
      <c r="A2421" s="9">
        <v>40952</v>
      </c>
      <c r="B2421" s="2" t="inlineStr">
        <is>
          <t xml:space="preserve">2012-02</t>
        </is>
      </c>
      <c r="C2421" s="2" t="inlineStr">
        <is>
          <t xml:space="preserve">2011/12</t>
        </is>
      </c>
      <c r="D2421">
        <v>0.814</v>
      </c>
      <c r="E2421">
        <v>19.97</v>
      </c>
      <c r="F2421">
        <v>26.32</v>
      </c>
      <c r="G2421">
        <v>15.63</v>
      </c>
      <c r="H2421">
        <v>3.81</v>
      </c>
      <c r="I2421">
        <v>3.032</v>
      </c>
      <c r="J2421">
        <v>19.82</v>
      </c>
      <c r="K2421">
        <v>25.36</v>
      </c>
      <c r="L2421">
        <v>15.76</v>
      </c>
      <c r="M2421">
        <v>3.09</v>
      </c>
      <c r="N2421">
        <v>4.599</v>
      </c>
      <c r="O2421">
        <v>18.93</v>
      </c>
      <c r="P2421">
        <v>23.74</v>
      </c>
      <c r="Q2421">
        <v>16.06</v>
      </c>
      <c r="R2421">
        <v>4.74</v>
      </c>
    </row>
    <row r="2422">
      <c r="A2422" s="9">
        <v>40953</v>
      </c>
      <c r="B2422" s="2" t="inlineStr">
        <is>
          <t xml:space="preserve">2012-02</t>
        </is>
      </c>
      <c r="C2422" s="2" t="inlineStr">
        <is>
          <t xml:space="preserve">2011/12</t>
        </is>
      </c>
      <c r="D2422">
        <v>0.0</v>
      </c>
      <c r="E2422">
        <v>21.59</v>
      </c>
      <c r="F2422">
        <v>29.71</v>
      </c>
      <c r="G2422">
        <v>15.54</v>
      </c>
      <c r="H2422">
        <v>0.0</v>
      </c>
      <c r="I2422">
        <v>0.15</v>
      </c>
      <c r="J2422">
        <v>22.05</v>
      </c>
      <c r="K2422">
        <v>29.06</v>
      </c>
      <c r="L2422">
        <v>16.13</v>
      </c>
      <c r="M2422">
        <v>0.14</v>
      </c>
      <c r="N2422">
        <v>0.0</v>
      </c>
      <c r="O2422">
        <v>20.77</v>
      </c>
      <c r="P2422">
        <v>26.89</v>
      </c>
      <c r="Q2422">
        <v>16.45</v>
      </c>
      <c r="R2422">
        <v>0.1</v>
      </c>
    </row>
    <row r="2423">
      <c r="A2423" s="9">
        <v>40954</v>
      </c>
      <c r="B2423" s="2" t="inlineStr">
        <is>
          <t xml:space="preserve">2012-02</t>
        </is>
      </c>
      <c r="C2423" s="2" t="inlineStr">
        <is>
          <t xml:space="preserve">2011/12</t>
        </is>
      </c>
      <c r="D2423">
        <v>0.541</v>
      </c>
      <c r="E2423">
        <v>21.99</v>
      </c>
      <c r="F2423">
        <v>29.57</v>
      </c>
      <c r="G2423">
        <v>15.97</v>
      </c>
      <c r="H2423">
        <v>0.22</v>
      </c>
      <c r="I2423">
        <v>0.0</v>
      </c>
      <c r="J2423">
        <v>22.47</v>
      </c>
      <c r="K2423">
        <v>29.14</v>
      </c>
      <c r="L2423">
        <v>16.9</v>
      </c>
      <c r="M2423">
        <v>0.01</v>
      </c>
      <c r="N2423">
        <v>0.0</v>
      </c>
      <c r="O2423">
        <v>21.28</v>
      </c>
      <c r="P2423">
        <v>26.61</v>
      </c>
      <c r="Q2423">
        <v>17.51</v>
      </c>
      <c r="R2423">
        <v>0.01</v>
      </c>
    </row>
    <row r="2424">
      <c r="A2424" s="9">
        <v>40955</v>
      </c>
      <c r="B2424" s="2" t="inlineStr">
        <is>
          <t xml:space="preserve">2012-02</t>
        </is>
      </c>
      <c r="C2424" s="2" t="inlineStr">
        <is>
          <t xml:space="preserve">2011/12</t>
        </is>
      </c>
      <c r="D2424">
        <v>0.0</v>
      </c>
      <c r="E2424">
        <v>22.17</v>
      </c>
      <c r="F2424">
        <v>29.68</v>
      </c>
      <c r="G2424">
        <v>16.0</v>
      </c>
      <c r="H2424">
        <v>0.07</v>
      </c>
      <c r="I2424">
        <v>0.0</v>
      </c>
      <c r="J2424">
        <v>22.65</v>
      </c>
      <c r="K2424">
        <v>28.58</v>
      </c>
      <c r="L2424">
        <v>17.87</v>
      </c>
      <c r="M2424">
        <v>0.23</v>
      </c>
      <c r="N2424">
        <v>0.0</v>
      </c>
      <c r="O2424">
        <v>21.43</v>
      </c>
      <c r="P2424">
        <v>26.11</v>
      </c>
      <c r="Q2424">
        <v>18.33</v>
      </c>
      <c r="R2424">
        <v>0.84</v>
      </c>
    </row>
    <row r="2425">
      <c r="A2425" s="9">
        <v>40956</v>
      </c>
      <c r="B2425" s="2" t="inlineStr">
        <is>
          <t xml:space="preserve">2012-02</t>
        </is>
      </c>
      <c r="C2425" s="2" t="inlineStr">
        <is>
          <t xml:space="preserve">2011/12</t>
        </is>
      </c>
      <c r="D2425">
        <v>0.0</v>
      </c>
      <c r="E2425">
        <v>22.02</v>
      </c>
      <c r="F2425">
        <v>29.38</v>
      </c>
      <c r="G2425">
        <v>16.76</v>
      </c>
      <c r="H2425">
        <v>0.12</v>
      </c>
      <c r="I2425">
        <v>0.0</v>
      </c>
      <c r="J2425">
        <v>22.34</v>
      </c>
      <c r="K2425">
        <v>28.1</v>
      </c>
      <c r="L2425">
        <v>18.06</v>
      </c>
      <c r="M2425">
        <v>0.92</v>
      </c>
      <c r="N2425">
        <v>0.537</v>
      </c>
      <c r="O2425">
        <v>20.92</v>
      </c>
      <c r="P2425">
        <v>25.63</v>
      </c>
      <c r="Q2425">
        <v>18.08</v>
      </c>
      <c r="R2425">
        <v>3.88</v>
      </c>
    </row>
    <row r="2426">
      <c r="A2426" s="9">
        <v>40957</v>
      </c>
      <c r="B2426" s="2" t="inlineStr">
        <is>
          <t xml:space="preserve">2012-02</t>
        </is>
      </c>
      <c r="C2426" s="2" t="inlineStr">
        <is>
          <t xml:space="preserve">2011/12</t>
        </is>
      </c>
      <c r="D2426">
        <v>0.0</v>
      </c>
      <c r="E2426">
        <v>22.37</v>
      </c>
      <c r="F2426">
        <v>29.89</v>
      </c>
      <c r="G2426">
        <v>15.73</v>
      </c>
      <c r="H2426">
        <v>0.14</v>
      </c>
      <c r="I2426">
        <v>0.0</v>
      </c>
      <c r="J2426">
        <v>22.44</v>
      </c>
      <c r="K2426">
        <v>28.58</v>
      </c>
      <c r="L2426">
        <v>17.39</v>
      </c>
      <c r="M2426">
        <v>0.0</v>
      </c>
      <c r="N2426">
        <v>0.0</v>
      </c>
      <c r="O2426">
        <v>22.23</v>
      </c>
      <c r="P2426">
        <v>27.53</v>
      </c>
      <c r="Q2426">
        <v>17.96</v>
      </c>
      <c r="R2426">
        <v>0.0</v>
      </c>
    </row>
    <row r="2427">
      <c r="A2427" s="9">
        <v>40958</v>
      </c>
      <c r="B2427" s="2" t="inlineStr">
        <is>
          <t xml:space="preserve">2012-02</t>
        </is>
      </c>
      <c r="C2427" s="2" t="inlineStr">
        <is>
          <t xml:space="preserve">2011/12</t>
        </is>
      </c>
      <c r="D2427">
        <v>0.0</v>
      </c>
      <c r="E2427">
        <v>22.79</v>
      </c>
      <c r="F2427">
        <v>31.02</v>
      </c>
      <c r="G2427">
        <v>15.89</v>
      </c>
      <c r="H2427">
        <v>0.0</v>
      </c>
      <c r="I2427">
        <v>0.0</v>
      </c>
      <c r="J2427">
        <v>23.03</v>
      </c>
      <c r="K2427">
        <v>29.24</v>
      </c>
      <c r="L2427">
        <v>17.43</v>
      </c>
      <c r="M2427">
        <v>0.0</v>
      </c>
      <c r="N2427">
        <v>0.0</v>
      </c>
      <c r="O2427">
        <v>22.1</v>
      </c>
      <c r="P2427">
        <v>27.27</v>
      </c>
      <c r="Q2427">
        <v>18.14</v>
      </c>
      <c r="R2427">
        <v>0.0</v>
      </c>
    </row>
    <row r="2428">
      <c r="A2428" s="9">
        <v>40959</v>
      </c>
      <c r="B2428" s="2" t="inlineStr">
        <is>
          <t xml:space="preserve">2012-02</t>
        </is>
      </c>
      <c r="C2428" s="2" t="inlineStr">
        <is>
          <t xml:space="preserve">2011/12</t>
        </is>
      </c>
      <c r="D2428">
        <v>0.0</v>
      </c>
      <c r="E2428">
        <v>21.96</v>
      </c>
      <c r="F2428">
        <v>30.01</v>
      </c>
      <c r="G2428">
        <v>15.22</v>
      </c>
      <c r="H2428">
        <v>0.03</v>
      </c>
      <c r="I2428">
        <v>0.0</v>
      </c>
      <c r="J2428">
        <v>21.83</v>
      </c>
      <c r="K2428">
        <v>28.42</v>
      </c>
      <c r="L2428">
        <v>16.28</v>
      </c>
      <c r="M2428">
        <v>0.17</v>
      </c>
      <c r="N2428">
        <v>0.0</v>
      </c>
      <c r="O2428">
        <v>20.73</v>
      </c>
      <c r="P2428">
        <v>25.65</v>
      </c>
      <c r="Q2428">
        <v>17.24</v>
      </c>
      <c r="R2428">
        <v>0.51</v>
      </c>
    </row>
    <row r="2429">
      <c r="A2429" s="9">
        <v>40960</v>
      </c>
      <c r="B2429" s="2" t="inlineStr">
        <is>
          <t xml:space="preserve">2012-02</t>
        </is>
      </c>
      <c r="C2429" s="2" t="inlineStr">
        <is>
          <t xml:space="preserve">2011/12</t>
        </is>
      </c>
      <c r="D2429">
        <v>0.0</v>
      </c>
      <c r="E2429">
        <v>21.6</v>
      </c>
      <c r="F2429">
        <v>29.1</v>
      </c>
      <c r="G2429">
        <v>15.72</v>
      </c>
      <c r="H2429">
        <v>0.27</v>
      </c>
      <c r="I2429">
        <v>0.0</v>
      </c>
      <c r="J2429">
        <v>21.6</v>
      </c>
      <c r="K2429">
        <v>28.09</v>
      </c>
      <c r="L2429">
        <v>17.07</v>
      </c>
      <c r="M2429">
        <v>1.34</v>
      </c>
      <c r="N2429">
        <v>0.599</v>
      </c>
      <c r="O2429">
        <v>20.38</v>
      </c>
      <c r="P2429">
        <v>24.82</v>
      </c>
      <c r="Q2429">
        <v>17.61</v>
      </c>
      <c r="R2429">
        <v>5.47</v>
      </c>
    </row>
    <row r="2430">
      <c r="A2430" s="9">
        <v>40961</v>
      </c>
      <c r="B2430" s="2" t="inlineStr">
        <is>
          <t xml:space="preserve">2012-02</t>
        </is>
      </c>
      <c r="C2430" s="2" t="inlineStr">
        <is>
          <t xml:space="preserve">2011/12</t>
        </is>
      </c>
      <c r="D2430">
        <v>0.101</v>
      </c>
      <c r="E2430">
        <v>21.88</v>
      </c>
      <c r="F2430">
        <v>30.3</v>
      </c>
      <c r="G2430">
        <v>15.85</v>
      </c>
      <c r="H2430">
        <v>0.15</v>
      </c>
      <c r="I2430">
        <v>0.0</v>
      </c>
      <c r="J2430">
        <v>21.76</v>
      </c>
      <c r="K2430">
        <v>28.37</v>
      </c>
      <c r="L2430">
        <v>16.67</v>
      </c>
      <c r="M2430">
        <v>0.42</v>
      </c>
      <c r="N2430">
        <v>0.3</v>
      </c>
      <c r="O2430">
        <v>20.28</v>
      </c>
      <c r="P2430">
        <v>25.34</v>
      </c>
      <c r="Q2430">
        <v>17.17</v>
      </c>
      <c r="R2430">
        <v>1.93</v>
      </c>
    </row>
    <row r="2431">
      <c r="A2431" s="9">
        <v>40962</v>
      </c>
      <c r="B2431" s="2" t="inlineStr">
        <is>
          <t xml:space="preserve">2012-02</t>
        </is>
      </c>
      <c r="C2431" s="2" t="inlineStr">
        <is>
          <t xml:space="preserve">2011/12</t>
        </is>
      </c>
      <c r="D2431">
        <v>0.0</v>
      </c>
      <c r="E2431">
        <v>22.43</v>
      </c>
      <c r="F2431">
        <v>31.24</v>
      </c>
      <c r="G2431">
        <v>15.94</v>
      </c>
      <c r="H2431">
        <v>0.0</v>
      </c>
      <c r="I2431">
        <v>0.0</v>
      </c>
      <c r="J2431">
        <v>22.33</v>
      </c>
      <c r="K2431">
        <v>30.11</v>
      </c>
      <c r="L2431">
        <v>16.34</v>
      </c>
      <c r="M2431">
        <v>0.0</v>
      </c>
      <c r="N2431">
        <v>0.0</v>
      </c>
      <c r="O2431">
        <v>21.53</v>
      </c>
      <c r="P2431">
        <v>27.59</v>
      </c>
      <c r="Q2431">
        <v>17.62</v>
      </c>
      <c r="R2431">
        <v>0.0</v>
      </c>
    </row>
    <row r="2432">
      <c r="A2432" s="9">
        <v>40963</v>
      </c>
      <c r="B2432" s="2" t="inlineStr">
        <is>
          <t xml:space="preserve">2012-02</t>
        </is>
      </c>
      <c r="C2432" s="2" t="inlineStr">
        <is>
          <t xml:space="preserve">2011/12</t>
        </is>
      </c>
      <c r="D2432">
        <v>0.0</v>
      </c>
      <c r="E2432">
        <v>22.46</v>
      </c>
      <c r="F2432">
        <v>31.71</v>
      </c>
      <c r="G2432">
        <v>14.85</v>
      </c>
      <c r="H2432">
        <v>0.0</v>
      </c>
      <c r="I2432">
        <v>0.0</v>
      </c>
      <c r="J2432">
        <v>22.75</v>
      </c>
      <c r="K2432">
        <v>30.97</v>
      </c>
      <c r="L2432">
        <v>16.15</v>
      </c>
      <c r="M2432">
        <v>0.0</v>
      </c>
      <c r="N2432">
        <v>0.0</v>
      </c>
      <c r="O2432">
        <v>21.03</v>
      </c>
      <c r="P2432">
        <v>28.1</v>
      </c>
      <c r="Q2432">
        <v>15.22</v>
      </c>
      <c r="R2432">
        <v>0.0</v>
      </c>
    </row>
    <row r="2433">
      <c r="A2433" s="9">
        <v>40964</v>
      </c>
      <c r="B2433" s="2" t="inlineStr">
        <is>
          <t xml:space="preserve">2012-02</t>
        </is>
      </c>
      <c r="C2433" s="2" t="inlineStr">
        <is>
          <t xml:space="preserve">2011/12</t>
        </is>
      </c>
      <c r="D2433">
        <v>0.0</v>
      </c>
      <c r="E2433">
        <v>21.77</v>
      </c>
      <c r="F2433">
        <v>29.76</v>
      </c>
      <c r="G2433">
        <v>15.15</v>
      </c>
      <c r="H2433">
        <v>0.0</v>
      </c>
      <c r="I2433">
        <v>0.0</v>
      </c>
      <c r="J2433">
        <v>21.68</v>
      </c>
      <c r="K2433">
        <v>28.1</v>
      </c>
      <c r="L2433">
        <v>16.95</v>
      </c>
      <c r="M2433">
        <v>0.0</v>
      </c>
      <c r="N2433">
        <v>0.0</v>
      </c>
      <c r="O2433">
        <v>20.4</v>
      </c>
      <c r="P2433">
        <v>25.56</v>
      </c>
      <c r="Q2433">
        <v>16.88</v>
      </c>
      <c r="R2433">
        <v>0.0</v>
      </c>
    </row>
    <row r="2434">
      <c r="A2434" s="9">
        <v>40965</v>
      </c>
      <c r="B2434" s="2" t="inlineStr">
        <is>
          <t xml:space="preserve">2012-02</t>
        </is>
      </c>
      <c r="C2434" s="2" t="inlineStr">
        <is>
          <t xml:space="preserve">2011/12</t>
        </is>
      </c>
      <c r="D2434">
        <v>0.0</v>
      </c>
      <c r="E2434">
        <v>21.69</v>
      </c>
      <c r="F2434">
        <v>29.62</v>
      </c>
      <c r="G2434">
        <v>15.55</v>
      </c>
      <c r="H2434">
        <v>0.14</v>
      </c>
      <c r="I2434">
        <v>0.0</v>
      </c>
      <c r="J2434">
        <v>20.67</v>
      </c>
      <c r="K2434">
        <v>26.96</v>
      </c>
      <c r="L2434">
        <v>16.33</v>
      </c>
      <c r="M2434">
        <v>0.37</v>
      </c>
      <c r="N2434">
        <v>0.0</v>
      </c>
      <c r="O2434">
        <v>19.74</v>
      </c>
      <c r="P2434">
        <v>24.35</v>
      </c>
      <c r="Q2434">
        <v>16.4</v>
      </c>
      <c r="R2434">
        <v>1.12</v>
      </c>
    </row>
    <row r="2435">
      <c r="A2435" s="9">
        <v>40966</v>
      </c>
      <c r="B2435" s="2" t="inlineStr">
        <is>
          <t xml:space="preserve">2012-02</t>
        </is>
      </c>
      <c r="C2435" s="2" t="inlineStr">
        <is>
          <t xml:space="preserve">2011/12</t>
        </is>
      </c>
      <c r="D2435">
        <v>0.0</v>
      </c>
      <c r="E2435">
        <v>21.29</v>
      </c>
      <c r="F2435">
        <v>28.78</v>
      </c>
      <c r="G2435">
        <v>16.07</v>
      </c>
      <c r="H2435">
        <v>0.48</v>
      </c>
      <c r="I2435">
        <v>0.0</v>
      </c>
      <c r="J2435">
        <v>20.96</v>
      </c>
      <c r="K2435">
        <v>27.13</v>
      </c>
      <c r="L2435">
        <v>17.11</v>
      </c>
      <c r="M2435">
        <v>2.36</v>
      </c>
      <c r="N2435">
        <v>1.252</v>
      </c>
      <c r="O2435">
        <v>20.11</v>
      </c>
      <c r="P2435">
        <v>24.17</v>
      </c>
      <c r="Q2435">
        <v>17.75</v>
      </c>
      <c r="R2435">
        <v>10.05</v>
      </c>
    </row>
    <row r="2436">
      <c r="A2436" s="9">
        <v>40967</v>
      </c>
      <c r="B2436" s="2" t="inlineStr">
        <is>
          <t xml:space="preserve">2012-02</t>
        </is>
      </c>
      <c r="C2436" s="2" t="inlineStr">
        <is>
          <t xml:space="preserve">2011/12</t>
        </is>
      </c>
      <c r="D2436">
        <v>0.0</v>
      </c>
      <c r="E2436">
        <v>20.85</v>
      </c>
      <c r="F2436">
        <v>28.11</v>
      </c>
      <c r="G2436">
        <v>15.74</v>
      </c>
      <c r="H2436">
        <v>0.24</v>
      </c>
      <c r="I2436">
        <v>0.0</v>
      </c>
      <c r="J2436">
        <v>21.02</v>
      </c>
      <c r="K2436">
        <v>27.55</v>
      </c>
      <c r="L2436">
        <v>16.73</v>
      </c>
      <c r="M2436">
        <v>0.12</v>
      </c>
      <c r="N2436">
        <v>0.061</v>
      </c>
      <c r="O2436">
        <v>20.16</v>
      </c>
      <c r="P2436">
        <v>24.74</v>
      </c>
      <c r="Q2436">
        <v>17.0</v>
      </c>
      <c r="R2436">
        <v>0.5</v>
      </c>
    </row>
    <row r="2437">
      <c r="A2437" s="9">
        <v>40968</v>
      </c>
      <c r="B2437" s="2" t="inlineStr">
        <is>
          <t xml:space="preserve">2012-02</t>
        </is>
      </c>
      <c r="C2437" s="2" t="inlineStr">
        <is>
          <t xml:space="preserve">2011/12</t>
        </is>
      </c>
      <c r="D2437">
        <v>0.0</v>
      </c>
      <c r="E2437">
        <v>20.93</v>
      </c>
      <c r="F2437">
        <v>28.67</v>
      </c>
      <c r="G2437">
        <v>14.52</v>
      </c>
      <c r="H2437">
        <v>0.21</v>
      </c>
      <c r="I2437">
        <v>0.0</v>
      </c>
      <c r="J2437">
        <v>21.27</v>
      </c>
      <c r="K2437">
        <v>28.06</v>
      </c>
      <c r="L2437">
        <v>16.25</v>
      </c>
      <c r="M2437">
        <v>0.07</v>
      </c>
      <c r="N2437">
        <v>0.0</v>
      </c>
      <c r="O2437">
        <v>20.04</v>
      </c>
      <c r="P2437">
        <v>24.92</v>
      </c>
      <c r="Q2437">
        <v>16.57</v>
      </c>
      <c r="R2437">
        <v>0.27</v>
      </c>
    </row>
    <row r="2438">
      <c r="A2438" s="9">
        <v>40969</v>
      </c>
      <c r="B2438" s="2" t="inlineStr">
        <is>
          <t xml:space="preserve">2012-03</t>
        </is>
      </c>
      <c r="C2438" s="2" t="inlineStr">
        <is>
          <t xml:space="preserve">2011/12</t>
        </is>
      </c>
      <c r="D2438">
        <v>0.0</v>
      </c>
      <c r="E2438">
        <v>20.82</v>
      </c>
      <c r="F2438">
        <v>29.79</v>
      </c>
      <c r="G2438">
        <v>13.37</v>
      </c>
      <c r="H2438">
        <v>0.12</v>
      </c>
      <c r="I2438">
        <v>0.0</v>
      </c>
      <c r="J2438">
        <v>21.61</v>
      </c>
      <c r="K2438">
        <v>29.29</v>
      </c>
      <c r="L2438">
        <v>16.5</v>
      </c>
      <c r="M2438">
        <v>0.07</v>
      </c>
      <c r="N2438">
        <v>0.053</v>
      </c>
      <c r="O2438">
        <v>19.91</v>
      </c>
      <c r="P2438">
        <v>25.1</v>
      </c>
      <c r="Q2438">
        <v>16.78</v>
      </c>
      <c r="R2438">
        <v>0.29</v>
      </c>
    </row>
    <row r="2439">
      <c r="A2439" s="9">
        <v>40970</v>
      </c>
      <c r="B2439" s="2" t="inlineStr">
        <is>
          <t xml:space="preserve">2012-03</t>
        </is>
      </c>
      <c r="C2439" s="2" t="inlineStr">
        <is>
          <t xml:space="preserve">2011/12</t>
        </is>
      </c>
      <c r="D2439">
        <v>0.0</v>
      </c>
      <c r="E2439">
        <v>21.92</v>
      </c>
      <c r="F2439">
        <v>31.09</v>
      </c>
      <c r="G2439">
        <v>14.11</v>
      </c>
      <c r="H2439">
        <v>0.03</v>
      </c>
      <c r="I2439">
        <v>0.0</v>
      </c>
      <c r="J2439">
        <v>22.37</v>
      </c>
      <c r="K2439">
        <v>30.83</v>
      </c>
      <c r="L2439">
        <v>15.41</v>
      </c>
      <c r="M2439">
        <v>0.0</v>
      </c>
      <c r="N2439">
        <v>0.0</v>
      </c>
      <c r="O2439">
        <v>20.6</v>
      </c>
      <c r="P2439">
        <v>27.38</v>
      </c>
      <c r="Q2439">
        <v>15.17</v>
      </c>
      <c r="R2439">
        <v>0.0</v>
      </c>
    </row>
    <row r="2440">
      <c r="A2440" s="9">
        <v>40971</v>
      </c>
      <c r="B2440" s="2" t="inlineStr">
        <is>
          <t xml:space="preserve">2012-03</t>
        </is>
      </c>
      <c r="C2440" s="2" t="inlineStr">
        <is>
          <t xml:space="preserve">2011/12</t>
        </is>
      </c>
      <c r="D2440">
        <v>0.0</v>
      </c>
      <c r="E2440">
        <v>23.23</v>
      </c>
      <c r="F2440">
        <v>32.38</v>
      </c>
      <c r="G2440">
        <v>15.61</v>
      </c>
      <c r="H2440">
        <v>0.01</v>
      </c>
      <c r="I2440">
        <v>0.0</v>
      </c>
      <c r="J2440">
        <v>23.47</v>
      </c>
      <c r="K2440">
        <v>31.43</v>
      </c>
      <c r="L2440">
        <v>16.17</v>
      </c>
      <c r="M2440">
        <v>0.0</v>
      </c>
      <c r="N2440">
        <v>0.0</v>
      </c>
      <c r="O2440">
        <v>22.22</v>
      </c>
      <c r="P2440">
        <v>29.32</v>
      </c>
      <c r="Q2440">
        <v>15.15</v>
      </c>
      <c r="R2440">
        <v>0.0</v>
      </c>
    </row>
    <row r="2441">
      <c r="A2441" s="9">
        <v>40972</v>
      </c>
      <c r="B2441" s="2" t="inlineStr">
        <is>
          <t xml:space="preserve">2012-03</t>
        </is>
      </c>
      <c r="C2441" s="2" t="inlineStr">
        <is>
          <t xml:space="preserve">2011/12</t>
        </is>
      </c>
      <c r="D2441">
        <v>0.0</v>
      </c>
      <c r="E2441">
        <v>22.43</v>
      </c>
      <c r="F2441">
        <v>29.45</v>
      </c>
      <c r="G2441">
        <v>17.01</v>
      </c>
      <c r="H2441">
        <v>0.53</v>
      </c>
      <c r="I2441">
        <v>1.975</v>
      </c>
      <c r="J2441">
        <v>21.59</v>
      </c>
      <c r="K2441">
        <v>26.92</v>
      </c>
      <c r="L2441">
        <v>17.24</v>
      </c>
      <c r="M2441">
        <v>2.52</v>
      </c>
      <c r="N2441">
        <v>3.034</v>
      </c>
      <c r="O2441">
        <v>20.67</v>
      </c>
      <c r="P2441">
        <v>25.23</v>
      </c>
      <c r="Q2441">
        <v>17.48</v>
      </c>
      <c r="R2441">
        <v>3.88</v>
      </c>
    </row>
    <row r="2442">
      <c r="A2442" s="9">
        <v>40973</v>
      </c>
      <c r="B2442" s="2" t="inlineStr">
        <is>
          <t xml:space="preserve">2012-03</t>
        </is>
      </c>
      <c r="C2442" s="2" t="inlineStr">
        <is>
          <t xml:space="preserve">2011/12</t>
        </is>
      </c>
      <c r="D2442">
        <v>0.962</v>
      </c>
      <c r="E2442">
        <v>20.69</v>
      </c>
      <c r="F2442">
        <v>27.69</v>
      </c>
      <c r="G2442">
        <v>16.77</v>
      </c>
      <c r="H2442">
        <v>5.6</v>
      </c>
      <c r="I2442">
        <v>11.211</v>
      </c>
      <c r="J2442">
        <v>19.19</v>
      </c>
      <c r="K2442">
        <v>23.93</v>
      </c>
      <c r="L2442">
        <v>15.19</v>
      </c>
      <c r="M2442">
        <v>12.51</v>
      </c>
      <c r="N2442">
        <v>17.612</v>
      </c>
      <c r="O2442">
        <v>19.55</v>
      </c>
      <c r="P2442">
        <v>23.97</v>
      </c>
      <c r="Q2442">
        <v>17.42</v>
      </c>
      <c r="R2442">
        <v>20.46</v>
      </c>
    </row>
    <row r="2443">
      <c r="A2443" s="9">
        <v>40974</v>
      </c>
      <c r="B2443" s="2" t="inlineStr">
        <is>
          <t xml:space="preserve">2012-03</t>
        </is>
      </c>
      <c r="C2443" s="2" t="inlineStr">
        <is>
          <t xml:space="preserve">2011/12</t>
        </is>
      </c>
      <c r="D2443">
        <v>3.364</v>
      </c>
      <c r="E2443">
        <v>20.67</v>
      </c>
      <c r="F2443">
        <v>27.4</v>
      </c>
      <c r="G2443">
        <v>16.65</v>
      </c>
      <c r="H2443">
        <v>2.93</v>
      </c>
      <c r="I2443">
        <v>4.69</v>
      </c>
      <c r="J2443">
        <v>19.78</v>
      </c>
      <c r="K2443">
        <v>25.81</v>
      </c>
      <c r="L2443">
        <v>16.12</v>
      </c>
      <c r="M2443">
        <v>4.36</v>
      </c>
      <c r="N2443">
        <v>5.446</v>
      </c>
      <c r="O2443">
        <v>19.44</v>
      </c>
      <c r="P2443">
        <v>24.43</v>
      </c>
      <c r="Q2443">
        <v>16.84</v>
      </c>
      <c r="R2443">
        <v>6.0</v>
      </c>
    </row>
    <row r="2444">
      <c r="A2444" s="9">
        <v>40975</v>
      </c>
      <c r="B2444" s="2" t="inlineStr">
        <is>
          <t xml:space="preserve">2012-03</t>
        </is>
      </c>
      <c r="C2444" s="2" t="inlineStr">
        <is>
          <t xml:space="preserve">2011/12</t>
        </is>
      </c>
      <c r="D2444">
        <v>0.0</v>
      </c>
      <c r="E2444">
        <v>20.67</v>
      </c>
      <c r="F2444">
        <v>28.4</v>
      </c>
      <c r="G2444">
        <v>14.83</v>
      </c>
      <c r="H2444">
        <v>0.32</v>
      </c>
      <c r="I2444">
        <v>1.093</v>
      </c>
      <c r="J2444">
        <v>20.44</v>
      </c>
      <c r="K2444">
        <v>26.93</v>
      </c>
      <c r="L2444">
        <v>16.17</v>
      </c>
      <c r="M2444">
        <v>0.66</v>
      </c>
      <c r="N2444">
        <v>1.665</v>
      </c>
      <c r="O2444">
        <v>19.82</v>
      </c>
      <c r="P2444">
        <v>24.3</v>
      </c>
      <c r="Q2444">
        <v>16.6</v>
      </c>
      <c r="R2444">
        <v>0.81</v>
      </c>
    </row>
    <row r="2445">
      <c r="A2445" s="9">
        <v>40976</v>
      </c>
      <c r="B2445" s="2" t="inlineStr">
        <is>
          <t xml:space="preserve">2012-03</t>
        </is>
      </c>
      <c r="C2445" s="2" t="inlineStr">
        <is>
          <t xml:space="preserve">2011/12</t>
        </is>
      </c>
      <c r="D2445">
        <v>0.0</v>
      </c>
      <c r="E2445">
        <v>20.8</v>
      </c>
      <c r="F2445">
        <v>29.43</v>
      </c>
      <c r="G2445">
        <v>13.79</v>
      </c>
      <c r="H2445">
        <v>0.44</v>
      </c>
      <c r="I2445">
        <v>0.0</v>
      </c>
      <c r="J2445">
        <v>20.93</v>
      </c>
      <c r="K2445">
        <v>28.24</v>
      </c>
      <c r="L2445">
        <v>15.86</v>
      </c>
      <c r="M2445">
        <v>0.14</v>
      </c>
      <c r="N2445">
        <v>0.0</v>
      </c>
      <c r="O2445">
        <v>19.89</v>
      </c>
      <c r="P2445">
        <v>24.93</v>
      </c>
      <c r="Q2445">
        <v>15.68</v>
      </c>
      <c r="R2445">
        <v>0.48</v>
      </c>
    </row>
    <row r="2446">
      <c r="A2446" s="9">
        <v>40977</v>
      </c>
      <c r="B2446" s="2" t="inlineStr">
        <is>
          <t xml:space="preserve">2012-03</t>
        </is>
      </c>
      <c r="C2446" s="2" t="inlineStr">
        <is>
          <t xml:space="preserve">2011/12</t>
        </is>
      </c>
      <c r="D2446">
        <v>0.0</v>
      </c>
      <c r="E2446">
        <v>21.14</v>
      </c>
      <c r="F2446">
        <v>29.19</v>
      </c>
      <c r="G2446">
        <v>14.26</v>
      </c>
      <c r="H2446">
        <v>0.44</v>
      </c>
      <c r="I2446">
        <v>0.027</v>
      </c>
      <c r="J2446">
        <v>21.26</v>
      </c>
      <c r="K2446">
        <v>28.4</v>
      </c>
      <c r="L2446">
        <v>16.82</v>
      </c>
      <c r="M2446">
        <v>0.68</v>
      </c>
      <c r="N2446">
        <v>0.123</v>
      </c>
      <c r="O2446">
        <v>20.2</v>
      </c>
      <c r="P2446">
        <v>25.07</v>
      </c>
      <c r="Q2446">
        <v>16.61</v>
      </c>
      <c r="R2446">
        <v>2.07</v>
      </c>
    </row>
    <row r="2447">
      <c r="A2447" s="9">
        <v>40978</v>
      </c>
      <c r="B2447" s="2" t="inlineStr">
        <is>
          <t xml:space="preserve">2012-03</t>
        </is>
      </c>
      <c r="C2447" s="2" t="inlineStr">
        <is>
          <t xml:space="preserve">2011/12</t>
        </is>
      </c>
      <c r="D2447">
        <v>0.0</v>
      </c>
      <c r="E2447">
        <v>21.75</v>
      </c>
      <c r="F2447">
        <v>29.94</v>
      </c>
      <c r="G2447">
        <v>15.58</v>
      </c>
      <c r="H2447">
        <v>0.87</v>
      </c>
      <c r="I2447">
        <v>0.28</v>
      </c>
      <c r="J2447">
        <v>21.41</v>
      </c>
      <c r="K2447">
        <v>27.83</v>
      </c>
      <c r="L2447">
        <v>17.36</v>
      </c>
      <c r="M2447">
        <v>2.07</v>
      </c>
      <c r="N2447">
        <v>1.148</v>
      </c>
      <c r="O2447">
        <v>20.35</v>
      </c>
      <c r="P2447">
        <v>24.94</v>
      </c>
      <c r="Q2447">
        <v>17.52</v>
      </c>
      <c r="R2447">
        <v>6.07</v>
      </c>
    </row>
    <row r="2448">
      <c r="A2448" s="9">
        <v>40979</v>
      </c>
      <c r="B2448" s="2" t="inlineStr">
        <is>
          <t xml:space="preserve">2012-03</t>
        </is>
      </c>
      <c r="C2448" s="2" t="inlineStr">
        <is>
          <t xml:space="preserve">2011/12</t>
        </is>
      </c>
      <c r="D2448">
        <v>0.034</v>
      </c>
      <c r="E2448">
        <v>21.67</v>
      </c>
      <c r="F2448">
        <v>30.02</v>
      </c>
      <c r="G2448">
        <v>15.35</v>
      </c>
      <c r="H2448">
        <v>0.41</v>
      </c>
      <c r="I2448">
        <v>1.314</v>
      </c>
      <c r="J2448">
        <v>21.17</v>
      </c>
      <c r="K2448">
        <v>27.81</v>
      </c>
      <c r="L2448">
        <v>16.63</v>
      </c>
      <c r="M2448">
        <v>0.86</v>
      </c>
      <c r="N2448">
        <v>2.087</v>
      </c>
      <c r="O2448">
        <v>20.06</v>
      </c>
      <c r="P2448">
        <v>25.02</v>
      </c>
      <c r="Q2448">
        <v>16.65</v>
      </c>
      <c r="R2448">
        <v>1.49</v>
      </c>
    </row>
    <row r="2449">
      <c r="A2449" s="9">
        <v>40980</v>
      </c>
      <c r="B2449" s="2" t="inlineStr">
        <is>
          <t xml:space="preserve">2012-03</t>
        </is>
      </c>
      <c r="C2449" s="2" t="inlineStr">
        <is>
          <t xml:space="preserve">2011/12</t>
        </is>
      </c>
      <c r="D2449">
        <v>0.0</v>
      </c>
      <c r="E2449">
        <v>21.78</v>
      </c>
      <c r="F2449">
        <v>30.26</v>
      </c>
      <c r="G2449">
        <v>14.65</v>
      </c>
      <c r="H2449">
        <v>0.08</v>
      </c>
      <c r="I2449">
        <v>0.053</v>
      </c>
      <c r="J2449">
        <v>21.34</v>
      </c>
      <c r="K2449">
        <v>28.27</v>
      </c>
      <c r="L2449">
        <v>16.91</v>
      </c>
      <c r="M2449">
        <v>0.51</v>
      </c>
      <c r="N2449">
        <v>0.246</v>
      </c>
      <c r="O2449">
        <v>20.07</v>
      </c>
      <c r="P2449">
        <v>25.13</v>
      </c>
      <c r="Q2449">
        <v>16.8</v>
      </c>
      <c r="R2449">
        <v>1.77</v>
      </c>
    </row>
    <row r="2450">
      <c r="A2450" s="9">
        <v>40981</v>
      </c>
      <c r="B2450" s="2" t="inlineStr">
        <is>
          <t xml:space="preserve">2012-03</t>
        </is>
      </c>
      <c r="C2450" s="2" t="inlineStr">
        <is>
          <t xml:space="preserve">2011/12</t>
        </is>
      </c>
      <c r="D2450">
        <v>0.0</v>
      </c>
      <c r="E2450">
        <v>21.95</v>
      </c>
      <c r="F2450">
        <v>30.3</v>
      </c>
      <c r="G2450">
        <v>14.95</v>
      </c>
      <c r="H2450">
        <v>0.07</v>
      </c>
      <c r="I2450">
        <v>0.097</v>
      </c>
      <c r="J2450">
        <v>21.5</v>
      </c>
      <c r="K2450">
        <v>28.49</v>
      </c>
      <c r="L2450">
        <v>16.88</v>
      </c>
      <c r="M2450">
        <v>0.64</v>
      </c>
      <c r="N2450">
        <v>0.446</v>
      </c>
      <c r="O2450">
        <v>20.16</v>
      </c>
      <c r="P2450">
        <v>24.93</v>
      </c>
      <c r="Q2450">
        <v>17.21</v>
      </c>
      <c r="R2450">
        <v>2.87</v>
      </c>
    </row>
    <row r="2451">
      <c r="A2451" s="9">
        <v>40982</v>
      </c>
      <c r="B2451" s="2" t="inlineStr">
        <is>
          <t xml:space="preserve">2012-03</t>
        </is>
      </c>
      <c r="C2451" s="2" t="inlineStr">
        <is>
          <t xml:space="preserve">2011/12</t>
        </is>
      </c>
      <c r="D2451">
        <v>0.0</v>
      </c>
      <c r="E2451">
        <v>21.95</v>
      </c>
      <c r="F2451">
        <v>29.58</v>
      </c>
      <c r="G2451">
        <v>15.79</v>
      </c>
      <c r="H2451">
        <v>0.08</v>
      </c>
      <c r="I2451">
        <v>0.0</v>
      </c>
      <c r="J2451">
        <v>21.67</v>
      </c>
      <c r="K2451">
        <v>28.81</v>
      </c>
      <c r="L2451">
        <v>16.65</v>
      </c>
      <c r="M2451">
        <v>0.27</v>
      </c>
      <c r="N2451">
        <v>0.0</v>
      </c>
      <c r="O2451">
        <v>20.53</v>
      </c>
      <c r="P2451">
        <v>25.44</v>
      </c>
      <c r="Q2451">
        <v>16.72</v>
      </c>
      <c r="R2451">
        <v>0.44</v>
      </c>
    </row>
    <row r="2452">
      <c r="A2452" s="9">
        <v>40983</v>
      </c>
      <c r="B2452" s="2" t="inlineStr">
        <is>
          <t xml:space="preserve">2012-03</t>
        </is>
      </c>
      <c r="C2452" s="2" t="inlineStr">
        <is>
          <t xml:space="preserve">2011/12</t>
        </is>
      </c>
      <c r="D2452">
        <v>0.307</v>
      </c>
      <c r="E2452">
        <v>21.47</v>
      </c>
      <c r="F2452">
        <v>29.37</v>
      </c>
      <c r="G2452">
        <v>16.0</v>
      </c>
      <c r="H2452">
        <v>0.25</v>
      </c>
      <c r="I2452">
        <v>0.971</v>
      </c>
      <c r="J2452">
        <v>20.61</v>
      </c>
      <c r="K2452">
        <v>27.26</v>
      </c>
      <c r="L2452">
        <v>16.5</v>
      </c>
      <c r="M2452">
        <v>0.67</v>
      </c>
      <c r="N2452">
        <v>1.176</v>
      </c>
      <c r="O2452">
        <v>19.6</v>
      </c>
      <c r="P2452">
        <v>24.43</v>
      </c>
      <c r="Q2452">
        <v>16.17</v>
      </c>
      <c r="R2452">
        <v>0.81</v>
      </c>
    </row>
    <row r="2453">
      <c r="A2453" s="9">
        <v>40984</v>
      </c>
      <c r="B2453" s="2" t="inlineStr">
        <is>
          <t xml:space="preserve">2012-03</t>
        </is>
      </c>
      <c r="C2453" s="2" t="inlineStr">
        <is>
          <t xml:space="preserve">2011/12</t>
        </is>
      </c>
      <c r="D2453">
        <v>0.0</v>
      </c>
      <c r="E2453">
        <v>21.59</v>
      </c>
      <c r="F2453">
        <v>29.99</v>
      </c>
      <c r="G2453">
        <v>15.28</v>
      </c>
      <c r="H2453">
        <v>0.01</v>
      </c>
      <c r="I2453">
        <v>0.0</v>
      </c>
      <c r="J2453">
        <v>20.09</v>
      </c>
      <c r="K2453">
        <v>27.21</v>
      </c>
      <c r="L2453">
        <v>14.55</v>
      </c>
      <c r="M2453">
        <v>0.09</v>
      </c>
      <c r="N2453">
        <v>0.0</v>
      </c>
      <c r="O2453">
        <v>19.16</v>
      </c>
      <c r="P2453">
        <v>24.52</v>
      </c>
      <c r="Q2453">
        <v>14.64</v>
      </c>
      <c r="R2453">
        <v>0.29</v>
      </c>
    </row>
    <row r="2454">
      <c r="A2454" s="9">
        <v>40985</v>
      </c>
      <c r="B2454" s="2" t="inlineStr">
        <is>
          <t xml:space="preserve">2012-03</t>
        </is>
      </c>
      <c r="C2454" s="2" t="inlineStr">
        <is>
          <t xml:space="preserve">2011/12</t>
        </is>
      </c>
      <c r="D2454">
        <v>0.0</v>
      </c>
      <c r="E2454">
        <v>22.65</v>
      </c>
      <c r="F2454">
        <v>30.84</v>
      </c>
      <c r="G2454">
        <v>15.78</v>
      </c>
      <c r="H2454">
        <v>0.05</v>
      </c>
      <c r="I2454">
        <v>0.04</v>
      </c>
      <c r="J2454">
        <v>21.87</v>
      </c>
      <c r="K2454">
        <v>29.09</v>
      </c>
      <c r="L2454">
        <v>16.25</v>
      </c>
      <c r="M2454">
        <v>0.2</v>
      </c>
      <c r="N2454">
        <v>0.162</v>
      </c>
      <c r="O2454">
        <v>20.15</v>
      </c>
      <c r="P2454">
        <v>25.84</v>
      </c>
      <c r="Q2454">
        <v>15.92</v>
      </c>
      <c r="R2454">
        <v>0.74</v>
      </c>
    </row>
    <row r="2455">
      <c r="A2455" s="9">
        <v>40986</v>
      </c>
      <c r="B2455" s="2" t="inlineStr">
        <is>
          <t xml:space="preserve">2012-03</t>
        </is>
      </c>
      <c r="C2455" s="2" t="inlineStr">
        <is>
          <t xml:space="preserve">2011/12</t>
        </is>
      </c>
      <c r="D2455">
        <v>0.0</v>
      </c>
      <c r="E2455">
        <v>23.14</v>
      </c>
      <c r="F2455">
        <v>31.33</v>
      </c>
      <c r="G2455">
        <v>16.86</v>
      </c>
      <c r="H2455">
        <v>0.05</v>
      </c>
      <c r="I2455">
        <v>0.0</v>
      </c>
      <c r="J2455">
        <v>22.84</v>
      </c>
      <c r="K2455">
        <v>30.02</v>
      </c>
      <c r="L2455">
        <v>16.92</v>
      </c>
      <c r="M2455">
        <v>0.04</v>
      </c>
      <c r="N2455">
        <v>0.0</v>
      </c>
      <c r="O2455">
        <v>21.07</v>
      </c>
      <c r="P2455">
        <v>26.82</v>
      </c>
      <c r="Q2455">
        <v>16.72</v>
      </c>
      <c r="R2455">
        <v>0.13</v>
      </c>
    </row>
    <row r="2456">
      <c r="A2456" s="9">
        <v>40987</v>
      </c>
      <c r="B2456" s="2" t="inlineStr">
        <is>
          <t xml:space="preserve">2012-03</t>
        </is>
      </c>
      <c r="C2456" s="2" t="inlineStr">
        <is>
          <t xml:space="preserve">2011/12</t>
        </is>
      </c>
      <c r="D2456">
        <v>0.0</v>
      </c>
      <c r="E2456">
        <v>23.15</v>
      </c>
      <c r="F2456">
        <v>30.71</v>
      </c>
      <c r="G2456">
        <v>16.72</v>
      </c>
      <c r="H2456">
        <v>0.01</v>
      </c>
      <c r="I2456">
        <v>0.0</v>
      </c>
      <c r="J2456">
        <v>23.36</v>
      </c>
      <c r="K2456">
        <v>30.44</v>
      </c>
      <c r="L2456">
        <v>16.89</v>
      </c>
      <c r="M2456">
        <v>0.15</v>
      </c>
      <c r="N2456">
        <v>0.061</v>
      </c>
      <c r="O2456">
        <v>21.08</v>
      </c>
      <c r="P2456">
        <v>26.8</v>
      </c>
      <c r="Q2456">
        <v>16.83</v>
      </c>
      <c r="R2456">
        <v>0.32</v>
      </c>
    </row>
    <row r="2457">
      <c r="A2457" s="9">
        <v>40988</v>
      </c>
      <c r="B2457" s="2" t="inlineStr">
        <is>
          <t xml:space="preserve">2012-03</t>
        </is>
      </c>
      <c r="C2457" s="2" t="inlineStr">
        <is>
          <t xml:space="preserve">2011/12</t>
        </is>
      </c>
      <c r="D2457">
        <v>0.0</v>
      </c>
      <c r="E2457">
        <v>23.82</v>
      </c>
      <c r="F2457">
        <v>31.97</v>
      </c>
      <c r="G2457">
        <v>16.5</v>
      </c>
      <c r="H2457">
        <v>0.0</v>
      </c>
      <c r="I2457">
        <v>0.402</v>
      </c>
      <c r="J2457">
        <v>23.18</v>
      </c>
      <c r="K2457">
        <v>30.29</v>
      </c>
      <c r="L2457">
        <v>18.34</v>
      </c>
      <c r="M2457">
        <v>0.42</v>
      </c>
      <c r="N2457">
        <v>0.0</v>
      </c>
      <c r="O2457">
        <v>22.62</v>
      </c>
      <c r="P2457">
        <v>29.3</v>
      </c>
      <c r="Q2457">
        <v>16.75</v>
      </c>
      <c r="R2457">
        <v>0.09</v>
      </c>
    </row>
    <row r="2458">
      <c r="A2458" s="9">
        <v>40989</v>
      </c>
      <c r="B2458" s="2" t="inlineStr">
        <is>
          <t xml:space="preserve">2012-03</t>
        </is>
      </c>
      <c r="C2458" s="2" t="inlineStr">
        <is>
          <t xml:space="preserve">2011/12</t>
        </is>
      </c>
      <c r="D2458">
        <v>0.0</v>
      </c>
      <c r="E2458">
        <v>24.0</v>
      </c>
      <c r="F2458">
        <v>32.09</v>
      </c>
      <c r="G2458">
        <v>16.69</v>
      </c>
      <c r="H2458">
        <v>0.0</v>
      </c>
      <c r="I2458">
        <v>0.0</v>
      </c>
      <c r="J2458">
        <v>23.8</v>
      </c>
      <c r="K2458">
        <v>31.67</v>
      </c>
      <c r="L2458">
        <v>16.26</v>
      </c>
      <c r="M2458">
        <v>0.05</v>
      </c>
      <c r="N2458">
        <v>0.0</v>
      </c>
      <c r="O2458">
        <v>22.91</v>
      </c>
      <c r="P2458">
        <v>29.41</v>
      </c>
      <c r="Q2458">
        <v>17.45</v>
      </c>
      <c r="R2458">
        <v>0.19</v>
      </c>
    </row>
    <row r="2459">
      <c r="A2459" s="9">
        <v>40990</v>
      </c>
      <c r="B2459" s="2" t="inlineStr">
        <is>
          <t xml:space="preserve">2012-03</t>
        </is>
      </c>
      <c r="C2459" s="2" t="inlineStr">
        <is>
          <t xml:space="preserve">2011/12</t>
        </is>
      </c>
      <c r="D2459">
        <v>0.0</v>
      </c>
      <c r="E2459">
        <v>23.9</v>
      </c>
      <c r="F2459">
        <v>31.44</v>
      </c>
      <c r="G2459">
        <v>17.5</v>
      </c>
      <c r="H2459">
        <v>0.06</v>
      </c>
      <c r="I2459">
        <v>0.055</v>
      </c>
      <c r="J2459">
        <v>24.08</v>
      </c>
      <c r="K2459">
        <v>30.74</v>
      </c>
      <c r="L2459">
        <v>18.29</v>
      </c>
      <c r="M2459">
        <v>0.44</v>
      </c>
      <c r="N2459">
        <v>0.255</v>
      </c>
      <c r="O2459">
        <v>22.69</v>
      </c>
      <c r="P2459">
        <v>27.81</v>
      </c>
      <c r="Q2459">
        <v>18.86</v>
      </c>
      <c r="R2459">
        <v>1.66</v>
      </c>
    </row>
    <row r="2460">
      <c r="A2460" s="9">
        <v>40991</v>
      </c>
      <c r="B2460" s="2" t="inlineStr">
        <is>
          <t xml:space="preserve">2012-03</t>
        </is>
      </c>
      <c r="C2460" s="2" t="inlineStr">
        <is>
          <t xml:space="preserve">2011/12</t>
        </is>
      </c>
      <c r="D2460">
        <v>0.0</v>
      </c>
      <c r="E2460">
        <v>22.22</v>
      </c>
      <c r="F2460">
        <v>30.05</v>
      </c>
      <c r="G2460">
        <v>16.57</v>
      </c>
      <c r="H2460">
        <v>0.0</v>
      </c>
      <c r="I2460">
        <v>0.0</v>
      </c>
      <c r="J2460">
        <v>23.61</v>
      </c>
      <c r="K2460">
        <v>30.29</v>
      </c>
      <c r="L2460">
        <v>18.91</v>
      </c>
      <c r="M2460">
        <v>0.02</v>
      </c>
      <c r="N2460">
        <v>0.0</v>
      </c>
      <c r="O2460">
        <v>21.48</v>
      </c>
      <c r="P2460">
        <v>26.77</v>
      </c>
      <c r="Q2460">
        <v>18.03</v>
      </c>
      <c r="R2460">
        <v>0.12</v>
      </c>
    </row>
    <row r="2461">
      <c r="A2461" s="9">
        <v>40992</v>
      </c>
      <c r="B2461" s="2" t="inlineStr">
        <is>
          <t xml:space="preserve">2012-03</t>
        </is>
      </c>
      <c r="C2461" s="2" t="inlineStr">
        <is>
          <t xml:space="preserve">2011/12</t>
        </is>
      </c>
      <c r="D2461">
        <v>0.0</v>
      </c>
      <c r="E2461">
        <v>23.41</v>
      </c>
      <c r="F2461">
        <v>31.66</v>
      </c>
      <c r="G2461">
        <v>15.85</v>
      </c>
      <c r="H2461">
        <v>0.0</v>
      </c>
      <c r="I2461">
        <v>0.0</v>
      </c>
      <c r="J2461">
        <v>23.06</v>
      </c>
      <c r="K2461">
        <v>29.86</v>
      </c>
      <c r="L2461">
        <v>17.76</v>
      </c>
      <c r="M2461">
        <v>0.02</v>
      </c>
      <c r="N2461">
        <v>0.0</v>
      </c>
      <c r="O2461">
        <v>21.52</v>
      </c>
      <c r="P2461">
        <v>27.31</v>
      </c>
      <c r="Q2461">
        <v>17.64</v>
      </c>
      <c r="R2461">
        <v>0.05</v>
      </c>
    </row>
    <row r="2462">
      <c r="A2462" s="9">
        <v>40993</v>
      </c>
      <c r="B2462" s="2" t="inlineStr">
        <is>
          <t xml:space="preserve">2012-03</t>
        </is>
      </c>
      <c r="C2462" s="2" t="inlineStr">
        <is>
          <t xml:space="preserve">2011/12</t>
        </is>
      </c>
      <c r="D2462">
        <v>0.0</v>
      </c>
      <c r="E2462">
        <v>23.19</v>
      </c>
      <c r="F2462">
        <v>29.93</v>
      </c>
      <c r="G2462">
        <v>18.41</v>
      </c>
      <c r="H2462">
        <v>0.0</v>
      </c>
      <c r="I2462">
        <v>0.0</v>
      </c>
      <c r="J2462">
        <v>22.33</v>
      </c>
      <c r="K2462">
        <v>28.02</v>
      </c>
      <c r="L2462">
        <v>18.57</v>
      </c>
      <c r="M2462">
        <v>0.0</v>
      </c>
      <c r="N2462">
        <v>0.0</v>
      </c>
      <c r="O2462">
        <v>20.81</v>
      </c>
      <c r="P2462">
        <v>24.78</v>
      </c>
      <c r="Q2462">
        <v>18.2</v>
      </c>
      <c r="R2462">
        <v>0.0</v>
      </c>
    </row>
    <row r="2463">
      <c r="A2463" s="9">
        <v>40994</v>
      </c>
      <c r="B2463" s="2" t="inlineStr">
        <is>
          <t xml:space="preserve">2012-03</t>
        </is>
      </c>
      <c r="C2463" s="2" t="inlineStr">
        <is>
          <t xml:space="preserve">2011/12</t>
        </is>
      </c>
      <c r="D2463">
        <v>0.0</v>
      </c>
      <c r="E2463">
        <v>23.17</v>
      </c>
      <c r="F2463">
        <v>31.18</v>
      </c>
      <c r="G2463">
        <v>16.8</v>
      </c>
      <c r="H2463">
        <v>0.05</v>
      </c>
      <c r="I2463">
        <v>0.0</v>
      </c>
      <c r="J2463">
        <v>22.67</v>
      </c>
      <c r="K2463">
        <v>30.53</v>
      </c>
      <c r="L2463">
        <v>17.01</v>
      </c>
      <c r="M2463">
        <v>0.07</v>
      </c>
      <c r="N2463">
        <v>0.0</v>
      </c>
      <c r="O2463">
        <v>21.02</v>
      </c>
      <c r="P2463">
        <v>27.06</v>
      </c>
      <c r="Q2463">
        <v>17.43</v>
      </c>
      <c r="R2463">
        <v>0.01</v>
      </c>
    </row>
    <row r="2464">
      <c r="A2464" s="9">
        <v>40995</v>
      </c>
      <c r="B2464" s="2" t="inlineStr">
        <is>
          <t xml:space="preserve">2012-03</t>
        </is>
      </c>
      <c r="C2464" s="2" t="inlineStr">
        <is>
          <t xml:space="preserve">2011/12</t>
        </is>
      </c>
      <c r="D2464">
        <v>0.112</v>
      </c>
      <c r="E2464">
        <v>23.16</v>
      </c>
      <c r="F2464">
        <v>32.01</v>
      </c>
      <c r="G2464">
        <v>16.48</v>
      </c>
      <c r="H2464">
        <v>0.16</v>
      </c>
      <c r="I2464">
        <v>0.229</v>
      </c>
      <c r="J2464">
        <v>22.16</v>
      </c>
      <c r="K2464">
        <v>30.8</v>
      </c>
      <c r="L2464">
        <v>15.32</v>
      </c>
      <c r="M2464">
        <v>0.16</v>
      </c>
      <c r="N2464">
        <v>0.0</v>
      </c>
      <c r="O2464">
        <v>20.51</v>
      </c>
      <c r="P2464">
        <v>26.75</v>
      </c>
      <c r="Q2464">
        <v>16.15</v>
      </c>
      <c r="R2464">
        <v>0.11</v>
      </c>
    </row>
    <row r="2465">
      <c r="A2465" s="9">
        <v>40996</v>
      </c>
      <c r="B2465" s="2" t="inlineStr">
        <is>
          <t xml:space="preserve">2012-03</t>
        </is>
      </c>
      <c r="C2465" s="2" t="inlineStr">
        <is>
          <t xml:space="preserve">2011/12</t>
        </is>
      </c>
      <c r="D2465">
        <v>0.0</v>
      </c>
      <c r="E2465">
        <v>23.24</v>
      </c>
      <c r="F2465">
        <v>31.91</v>
      </c>
      <c r="G2465">
        <v>15.52</v>
      </c>
      <c r="H2465">
        <v>0.02</v>
      </c>
      <c r="I2465">
        <v>0.0</v>
      </c>
      <c r="J2465">
        <v>21.87</v>
      </c>
      <c r="K2465">
        <v>29.5</v>
      </c>
      <c r="L2465">
        <v>16.48</v>
      </c>
      <c r="M2465">
        <v>0.01</v>
      </c>
      <c r="N2465">
        <v>0.0</v>
      </c>
      <c r="O2465">
        <v>20.35</v>
      </c>
      <c r="P2465">
        <v>26.0</v>
      </c>
      <c r="Q2465">
        <v>16.37</v>
      </c>
      <c r="R2465">
        <v>0.01</v>
      </c>
    </row>
    <row r="2466">
      <c r="A2466" s="9">
        <v>40997</v>
      </c>
      <c r="B2466" s="2" t="inlineStr">
        <is>
          <t xml:space="preserve">2012-03</t>
        </is>
      </c>
      <c r="C2466" s="2" t="inlineStr">
        <is>
          <t xml:space="preserve">2011/12</t>
        </is>
      </c>
      <c r="D2466">
        <v>0.074</v>
      </c>
      <c r="E2466">
        <v>24.09</v>
      </c>
      <c r="F2466">
        <v>32.26</v>
      </c>
      <c r="G2466">
        <v>17.21</v>
      </c>
      <c r="H2466">
        <v>0.5</v>
      </c>
      <c r="I2466">
        <v>0.0</v>
      </c>
      <c r="J2466">
        <v>23.47</v>
      </c>
      <c r="K2466">
        <v>31.73</v>
      </c>
      <c r="L2466">
        <v>16.49</v>
      </c>
      <c r="M2466">
        <v>0.25</v>
      </c>
      <c r="N2466">
        <v>0.0</v>
      </c>
      <c r="O2466">
        <v>21.57</v>
      </c>
      <c r="P2466">
        <v>27.67</v>
      </c>
      <c r="Q2466">
        <v>16.96</v>
      </c>
      <c r="R2466">
        <v>0.2</v>
      </c>
    </row>
    <row r="2467">
      <c r="A2467" s="9">
        <v>40998</v>
      </c>
      <c r="B2467" s="2" t="inlineStr">
        <is>
          <t xml:space="preserve">2012-03</t>
        </is>
      </c>
      <c r="C2467" s="2" t="inlineStr">
        <is>
          <t xml:space="preserve">2011/12</t>
        </is>
      </c>
      <c r="D2467">
        <v>1.829</v>
      </c>
      <c r="E2467">
        <v>24.75</v>
      </c>
      <c r="F2467">
        <v>32.56</v>
      </c>
      <c r="G2467">
        <v>17.44</v>
      </c>
      <c r="H2467">
        <v>0.72</v>
      </c>
      <c r="I2467">
        <v>1.478</v>
      </c>
      <c r="J2467">
        <v>24.68</v>
      </c>
      <c r="K2467">
        <v>32.34</v>
      </c>
      <c r="L2467">
        <v>17.98</v>
      </c>
      <c r="M2467">
        <v>1.16</v>
      </c>
      <c r="N2467">
        <v>0.676</v>
      </c>
      <c r="O2467">
        <v>23.22</v>
      </c>
      <c r="P2467">
        <v>29.88</v>
      </c>
      <c r="Q2467">
        <v>18.35</v>
      </c>
      <c r="R2467">
        <v>0.66</v>
      </c>
    </row>
    <row r="2468">
      <c r="A2468" s="9">
        <v>40999</v>
      </c>
      <c r="B2468" s="2" t="inlineStr">
        <is>
          <t xml:space="preserve">2012-03</t>
        </is>
      </c>
      <c r="C2468" s="2" t="inlineStr">
        <is>
          <t xml:space="preserve">2011/12</t>
        </is>
      </c>
      <c r="D2468">
        <v>1.484</v>
      </c>
      <c r="E2468">
        <v>26.0</v>
      </c>
      <c r="F2468">
        <v>34.25</v>
      </c>
      <c r="G2468">
        <v>18.62</v>
      </c>
      <c r="H2468">
        <v>1.19</v>
      </c>
      <c r="I2468">
        <v>0.03</v>
      </c>
      <c r="J2468">
        <v>26.05</v>
      </c>
      <c r="K2468">
        <v>33.09</v>
      </c>
      <c r="L2468">
        <v>20.11</v>
      </c>
      <c r="M2468">
        <v>0.35</v>
      </c>
      <c r="N2468">
        <v>0.031</v>
      </c>
      <c r="O2468">
        <v>24.24</v>
      </c>
      <c r="P2468">
        <v>30.92</v>
      </c>
      <c r="Q2468">
        <v>19.5</v>
      </c>
      <c r="R2468">
        <v>0.27</v>
      </c>
    </row>
    <row r="2469">
      <c r="A2469" s="9">
        <v>41000</v>
      </c>
      <c r="B2469" s="2" t="inlineStr">
        <is>
          <t xml:space="preserve">2012-04</t>
        </is>
      </c>
      <c r="C2469" s="2" t="inlineStr">
        <is>
          <t xml:space="preserve">2011/12</t>
        </is>
      </c>
      <c r="D2469">
        <v>11.443</v>
      </c>
      <c r="E2469">
        <v>23.83</v>
      </c>
      <c r="F2469">
        <v>30.0</v>
      </c>
      <c r="G2469">
        <v>19.29</v>
      </c>
      <c r="H2469">
        <v>5.38</v>
      </c>
      <c r="I2469">
        <v>1.428</v>
      </c>
      <c r="J2469">
        <v>24.78</v>
      </c>
      <c r="K2469">
        <v>31.52</v>
      </c>
      <c r="L2469">
        <v>20.43</v>
      </c>
      <c r="M2469">
        <v>1.11</v>
      </c>
      <c r="N2469">
        <v>0.714</v>
      </c>
      <c r="O2469">
        <v>23.17</v>
      </c>
      <c r="P2469">
        <v>27.99</v>
      </c>
      <c r="Q2469">
        <v>19.87</v>
      </c>
      <c r="R2469">
        <v>0.82</v>
      </c>
    </row>
    <row r="2470">
      <c r="A2470" s="9">
        <v>41001</v>
      </c>
      <c r="B2470" s="2" t="inlineStr">
        <is>
          <t xml:space="preserve">2012-04</t>
        </is>
      </c>
      <c r="C2470" s="2" t="inlineStr">
        <is>
          <t xml:space="preserve">2011/12</t>
        </is>
      </c>
      <c r="D2470">
        <v>0.778</v>
      </c>
      <c r="E2470">
        <v>23.92</v>
      </c>
      <c r="F2470">
        <v>29.97</v>
      </c>
      <c r="G2470">
        <v>19.91</v>
      </c>
      <c r="H2470">
        <v>1.25</v>
      </c>
      <c r="I2470">
        <v>0.0</v>
      </c>
      <c r="J2470">
        <v>25.55</v>
      </c>
      <c r="K2470">
        <v>33.03</v>
      </c>
      <c r="L2470">
        <v>19.8</v>
      </c>
      <c r="M2470">
        <v>0.02</v>
      </c>
      <c r="N2470">
        <v>0.0</v>
      </c>
      <c r="O2470">
        <v>24.96</v>
      </c>
      <c r="P2470">
        <v>31.99</v>
      </c>
      <c r="Q2470">
        <v>19.58</v>
      </c>
      <c r="R2470">
        <v>0.01</v>
      </c>
    </row>
    <row r="2471">
      <c r="A2471" s="9">
        <v>41002</v>
      </c>
      <c r="B2471" s="2" t="inlineStr">
        <is>
          <t xml:space="preserve">2012-04</t>
        </is>
      </c>
      <c r="C2471" s="2" t="inlineStr">
        <is>
          <t xml:space="preserve">2011/12</t>
        </is>
      </c>
      <c r="D2471">
        <v>0.805</v>
      </c>
      <c r="E2471">
        <v>25.49</v>
      </c>
      <c r="F2471">
        <v>33.22</v>
      </c>
      <c r="G2471">
        <v>18.78</v>
      </c>
      <c r="H2471">
        <v>3.12</v>
      </c>
      <c r="I2471">
        <v>0.0</v>
      </c>
      <c r="J2471">
        <v>24.79</v>
      </c>
      <c r="K2471">
        <v>31.38</v>
      </c>
      <c r="L2471">
        <v>18.83</v>
      </c>
      <c r="M2471">
        <v>3.59</v>
      </c>
      <c r="N2471">
        <v>0.0</v>
      </c>
      <c r="O2471">
        <v>24.97</v>
      </c>
      <c r="P2471">
        <v>31.56</v>
      </c>
      <c r="Q2471">
        <v>19.08</v>
      </c>
      <c r="R2471">
        <v>4.09</v>
      </c>
    </row>
    <row r="2472">
      <c r="A2472" s="9">
        <v>41003</v>
      </c>
      <c r="B2472" s="2" t="inlineStr">
        <is>
          <t xml:space="preserve">2012-04</t>
        </is>
      </c>
      <c r="C2472" s="2" t="inlineStr">
        <is>
          <t xml:space="preserve">2011/12</t>
        </is>
      </c>
      <c r="D2472">
        <v>16.978</v>
      </c>
      <c r="E2472">
        <v>25.05</v>
      </c>
      <c r="F2472">
        <v>31.13</v>
      </c>
      <c r="G2472">
        <v>20.07</v>
      </c>
      <c r="H2472">
        <v>11.29</v>
      </c>
      <c r="I2472">
        <v>16.688</v>
      </c>
      <c r="J2472">
        <v>24.21</v>
      </c>
      <c r="K2472">
        <v>30.25</v>
      </c>
      <c r="L2472">
        <v>19.27</v>
      </c>
      <c r="M2472">
        <v>12.13</v>
      </c>
      <c r="N2472">
        <v>15.981</v>
      </c>
      <c r="O2472">
        <v>24.64</v>
      </c>
      <c r="P2472">
        <v>30.14</v>
      </c>
      <c r="Q2472">
        <v>19.75</v>
      </c>
      <c r="R2472">
        <v>10.78</v>
      </c>
    </row>
    <row r="2473">
      <c r="A2473" s="9">
        <v>41004</v>
      </c>
      <c r="B2473" s="2" t="inlineStr">
        <is>
          <t xml:space="preserve">2012-04</t>
        </is>
      </c>
      <c r="C2473" s="2" t="inlineStr">
        <is>
          <t xml:space="preserve">2011/12</t>
        </is>
      </c>
      <c r="D2473">
        <v>0.956</v>
      </c>
      <c r="E2473">
        <v>25.42</v>
      </c>
      <c r="F2473">
        <v>32.7</v>
      </c>
      <c r="G2473">
        <v>19.18</v>
      </c>
      <c r="H2473">
        <v>0.54</v>
      </c>
      <c r="I2473">
        <v>0.088</v>
      </c>
      <c r="J2473">
        <v>24.94</v>
      </c>
      <c r="K2473">
        <v>32.64</v>
      </c>
      <c r="L2473">
        <v>19.52</v>
      </c>
      <c r="M2473">
        <v>0.17</v>
      </c>
      <c r="N2473">
        <v>0.073</v>
      </c>
      <c r="O2473">
        <v>24.93</v>
      </c>
      <c r="P2473">
        <v>31.84</v>
      </c>
      <c r="Q2473">
        <v>19.68</v>
      </c>
      <c r="R2473">
        <v>0.11</v>
      </c>
    </row>
    <row r="2474">
      <c r="A2474" s="9">
        <v>41005</v>
      </c>
      <c r="B2474" s="2" t="inlineStr">
        <is>
          <t xml:space="preserve">2012-04</t>
        </is>
      </c>
      <c r="C2474" s="2" t="inlineStr">
        <is>
          <t xml:space="preserve">2011/12</t>
        </is>
      </c>
      <c r="D2474">
        <v>0.0</v>
      </c>
      <c r="E2474">
        <v>25.27</v>
      </c>
      <c r="F2474">
        <v>31.82</v>
      </c>
      <c r="G2474">
        <v>20.27</v>
      </c>
      <c r="H2474">
        <v>0.0</v>
      </c>
      <c r="I2474">
        <v>0.0</v>
      </c>
      <c r="J2474">
        <v>24.66</v>
      </c>
      <c r="K2474">
        <v>31.23</v>
      </c>
      <c r="L2474">
        <v>19.8</v>
      </c>
      <c r="M2474">
        <v>0.0</v>
      </c>
      <c r="N2474">
        <v>0.0</v>
      </c>
      <c r="O2474">
        <v>23.63</v>
      </c>
      <c r="P2474">
        <v>28.52</v>
      </c>
      <c r="Q2474">
        <v>20.05</v>
      </c>
      <c r="R2474">
        <v>0.0</v>
      </c>
    </row>
    <row r="2475">
      <c r="A2475" s="9">
        <v>41006</v>
      </c>
      <c r="B2475" s="2" t="inlineStr">
        <is>
          <t xml:space="preserve">2012-04</t>
        </is>
      </c>
      <c r="C2475" s="2" t="inlineStr">
        <is>
          <t xml:space="preserve">2011/12</t>
        </is>
      </c>
      <c r="D2475">
        <v>0.0</v>
      </c>
      <c r="E2475">
        <v>23.88</v>
      </c>
      <c r="F2475">
        <v>30.23</v>
      </c>
      <c r="G2475">
        <v>18.47</v>
      </c>
      <c r="H2475">
        <v>0.0</v>
      </c>
      <c r="I2475">
        <v>0.0</v>
      </c>
      <c r="J2475">
        <v>23.9</v>
      </c>
      <c r="K2475">
        <v>30.18</v>
      </c>
      <c r="L2475">
        <v>19.55</v>
      </c>
      <c r="M2475">
        <v>0.0</v>
      </c>
      <c r="N2475">
        <v>0.0</v>
      </c>
      <c r="O2475">
        <v>22.68</v>
      </c>
      <c r="P2475">
        <v>27.63</v>
      </c>
      <c r="Q2475">
        <v>19.6</v>
      </c>
      <c r="R2475">
        <v>0.0</v>
      </c>
    </row>
    <row r="2476">
      <c r="A2476" s="9">
        <v>41007</v>
      </c>
      <c r="B2476" s="2" t="inlineStr">
        <is>
          <t xml:space="preserve">2012-04</t>
        </is>
      </c>
      <c r="C2476" s="2" t="inlineStr">
        <is>
          <t xml:space="preserve">2011/12</t>
        </is>
      </c>
      <c r="D2476">
        <v>0.0</v>
      </c>
      <c r="E2476">
        <v>24.57</v>
      </c>
      <c r="F2476">
        <v>32.64</v>
      </c>
      <c r="G2476">
        <v>18.68</v>
      </c>
      <c r="H2476">
        <v>0.0</v>
      </c>
      <c r="I2476">
        <v>0.0</v>
      </c>
      <c r="J2476">
        <v>23.96</v>
      </c>
      <c r="K2476">
        <v>31.96</v>
      </c>
      <c r="L2476">
        <v>18.25</v>
      </c>
      <c r="M2476">
        <v>0.01</v>
      </c>
      <c r="N2476">
        <v>0.0</v>
      </c>
      <c r="O2476">
        <v>22.74</v>
      </c>
      <c r="P2476">
        <v>28.68</v>
      </c>
      <c r="Q2476">
        <v>18.94</v>
      </c>
      <c r="R2476">
        <v>0.0</v>
      </c>
    </row>
    <row r="2477">
      <c r="A2477" s="9">
        <v>41008</v>
      </c>
      <c r="B2477" s="2" t="inlineStr">
        <is>
          <t xml:space="preserve">2012-04</t>
        </is>
      </c>
      <c r="C2477" s="2" t="inlineStr">
        <is>
          <t xml:space="preserve">2011/12</t>
        </is>
      </c>
      <c r="D2477">
        <v>0.035</v>
      </c>
      <c r="E2477">
        <v>23.29</v>
      </c>
      <c r="F2477">
        <v>31.66</v>
      </c>
      <c r="G2477">
        <v>17.08</v>
      </c>
      <c r="H2477">
        <v>0.08</v>
      </c>
      <c r="I2477">
        <v>0.0</v>
      </c>
      <c r="J2477">
        <v>22.84</v>
      </c>
      <c r="K2477">
        <v>30.57</v>
      </c>
      <c r="L2477">
        <v>16.97</v>
      </c>
      <c r="M2477">
        <v>0.11</v>
      </c>
      <c r="N2477">
        <v>0.0</v>
      </c>
      <c r="O2477">
        <v>21.68</v>
      </c>
      <c r="P2477">
        <v>27.32</v>
      </c>
      <c r="Q2477">
        <v>17.9</v>
      </c>
      <c r="R2477">
        <v>0.23</v>
      </c>
    </row>
    <row r="2478">
      <c r="A2478" s="9">
        <v>41009</v>
      </c>
      <c r="B2478" s="2" t="inlineStr">
        <is>
          <t xml:space="preserve">2012-04</t>
        </is>
      </c>
      <c r="C2478" s="2" t="inlineStr">
        <is>
          <t xml:space="preserve">2011/12</t>
        </is>
      </c>
      <c r="D2478">
        <v>0.0</v>
      </c>
      <c r="E2478">
        <v>22.23</v>
      </c>
      <c r="F2478">
        <v>30.56</v>
      </c>
      <c r="G2478">
        <v>14.18</v>
      </c>
      <c r="H2478">
        <v>0.02</v>
      </c>
      <c r="I2478">
        <v>0.402</v>
      </c>
      <c r="J2478">
        <v>21.83</v>
      </c>
      <c r="K2478">
        <v>28.7</v>
      </c>
      <c r="L2478">
        <v>17.05</v>
      </c>
      <c r="M2478">
        <v>0.27</v>
      </c>
      <c r="N2478">
        <v>0.628</v>
      </c>
      <c r="O2478">
        <v>20.53</v>
      </c>
      <c r="P2478">
        <v>25.78</v>
      </c>
      <c r="Q2478">
        <v>15.76</v>
      </c>
      <c r="R2478">
        <v>0.43</v>
      </c>
    </row>
    <row r="2479">
      <c r="A2479" s="9">
        <v>41010</v>
      </c>
      <c r="B2479" s="2" t="inlineStr">
        <is>
          <t xml:space="preserve">2012-04</t>
        </is>
      </c>
      <c r="C2479" s="2" t="inlineStr">
        <is>
          <t xml:space="preserve">2011/12</t>
        </is>
      </c>
      <c r="D2479">
        <v>0.0</v>
      </c>
      <c r="E2479">
        <v>22.64</v>
      </c>
      <c r="F2479">
        <v>28.8</v>
      </c>
      <c r="G2479">
        <v>18.41</v>
      </c>
      <c r="H2479">
        <v>0.28</v>
      </c>
      <c r="I2479">
        <v>0.0</v>
      </c>
      <c r="J2479">
        <v>22.46</v>
      </c>
      <c r="K2479">
        <v>28.41</v>
      </c>
      <c r="L2479">
        <v>16.86</v>
      </c>
      <c r="M2479">
        <v>0.0</v>
      </c>
      <c r="N2479">
        <v>0.0</v>
      </c>
      <c r="O2479">
        <v>21.11</v>
      </c>
      <c r="P2479">
        <v>26.25</v>
      </c>
      <c r="Q2479">
        <v>17.03</v>
      </c>
      <c r="R2479">
        <v>0.02</v>
      </c>
    </row>
    <row r="2480">
      <c r="A2480" s="9">
        <v>41011</v>
      </c>
      <c r="B2480" s="2" t="inlineStr">
        <is>
          <t xml:space="preserve">2012-04</t>
        </is>
      </c>
      <c r="C2480" s="2" t="inlineStr">
        <is>
          <t xml:space="preserve">2011/12</t>
        </is>
      </c>
      <c r="D2480">
        <v>0.381</v>
      </c>
      <c r="E2480">
        <v>23.4</v>
      </c>
      <c r="F2480">
        <v>30.96</v>
      </c>
      <c r="G2480">
        <v>18.13</v>
      </c>
      <c r="H2480">
        <v>2.79</v>
      </c>
      <c r="I2480">
        <v>0.0</v>
      </c>
      <c r="J2480">
        <v>23.84</v>
      </c>
      <c r="K2480">
        <v>30.71</v>
      </c>
      <c r="L2480">
        <v>17.79</v>
      </c>
      <c r="M2480">
        <v>0.3</v>
      </c>
      <c r="N2480">
        <v>0.0</v>
      </c>
      <c r="O2480">
        <v>22.05</v>
      </c>
      <c r="P2480">
        <v>28.28</v>
      </c>
      <c r="Q2480">
        <v>17.92</v>
      </c>
      <c r="R2480">
        <v>0.15</v>
      </c>
    </row>
    <row r="2481">
      <c r="A2481" s="9">
        <v>41012</v>
      </c>
      <c r="B2481" s="2" t="inlineStr">
        <is>
          <t xml:space="preserve">2012-04</t>
        </is>
      </c>
      <c r="C2481" s="2" t="inlineStr">
        <is>
          <t xml:space="preserve">2011/12</t>
        </is>
      </c>
      <c r="D2481">
        <v>15.591</v>
      </c>
      <c r="E2481">
        <v>22.72</v>
      </c>
      <c r="F2481">
        <v>30.29</v>
      </c>
      <c r="G2481">
        <v>16.38</v>
      </c>
      <c r="H2481">
        <v>11.81</v>
      </c>
      <c r="I2481">
        <v>3.307</v>
      </c>
      <c r="J2481">
        <v>23.54</v>
      </c>
      <c r="K2481">
        <v>30.7</v>
      </c>
      <c r="L2481">
        <v>17.87</v>
      </c>
      <c r="M2481">
        <v>3.46</v>
      </c>
      <c r="N2481">
        <v>1.354</v>
      </c>
      <c r="O2481">
        <v>22.27</v>
      </c>
      <c r="P2481">
        <v>29.15</v>
      </c>
      <c r="Q2481">
        <v>17.11</v>
      </c>
      <c r="R2481">
        <v>2.18</v>
      </c>
    </row>
    <row r="2482">
      <c r="A2482" s="9">
        <v>41013</v>
      </c>
      <c r="B2482" s="2" t="inlineStr">
        <is>
          <t xml:space="preserve">2012-04</t>
        </is>
      </c>
      <c r="C2482" s="2" t="inlineStr">
        <is>
          <t xml:space="preserve">2011/12</t>
        </is>
      </c>
      <c r="D2482">
        <v>9.364</v>
      </c>
      <c r="E2482">
        <v>23.05</v>
      </c>
      <c r="F2482">
        <v>29.64</v>
      </c>
      <c r="G2482">
        <v>17.38</v>
      </c>
      <c r="H2482">
        <v>5.84</v>
      </c>
      <c r="I2482">
        <v>2.414</v>
      </c>
      <c r="J2482">
        <v>23.97</v>
      </c>
      <c r="K2482">
        <v>30.11</v>
      </c>
      <c r="L2482">
        <v>19.72</v>
      </c>
      <c r="M2482">
        <v>3.07</v>
      </c>
      <c r="N2482">
        <v>6.152</v>
      </c>
      <c r="O2482">
        <v>22.93</v>
      </c>
      <c r="P2482">
        <v>29.14</v>
      </c>
      <c r="Q2482">
        <v>19.03</v>
      </c>
      <c r="R2482">
        <v>3.26</v>
      </c>
    </row>
    <row r="2483">
      <c r="A2483" s="9">
        <v>41014</v>
      </c>
      <c r="B2483" s="2" t="inlineStr">
        <is>
          <t xml:space="preserve">2012-04</t>
        </is>
      </c>
      <c r="C2483" s="2" t="inlineStr">
        <is>
          <t xml:space="preserve">2011/12</t>
        </is>
      </c>
      <c r="D2483">
        <v>2.566</v>
      </c>
      <c r="E2483">
        <v>23.49</v>
      </c>
      <c r="F2483">
        <v>29.66</v>
      </c>
      <c r="G2483">
        <v>18.08</v>
      </c>
      <c r="H2483">
        <v>1.52</v>
      </c>
      <c r="I2483">
        <v>3.003</v>
      </c>
      <c r="J2483">
        <v>24.25</v>
      </c>
      <c r="K2483">
        <v>29.68</v>
      </c>
      <c r="L2483">
        <v>20.23</v>
      </c>
      <c r="M2483">
        <v>3.17</v>
      </c>
      <c r="N2483">
        <v>0.316</v>
      </c>
      <c r="O2483">
        <v>23.0</v>
      </c>
      <c r="P2483">
        <v>27.85</v>
      </c>
      <c r="Q2483">
        <v>19.65</v>
      </c>
      <c r="R2483">
        <v>2.62</v>
      </c>
    </row>
    <row r="2484">
      <c r="A2484" s="9">
        <v>41015</v>
      </c>
      <c r="B2484" s="2" t="inlineStr">
        <is>
          <t xml:space="preserve">2012-04</t>
        </is>
      </c>
      <c r="C2484" s="2" t="inlineStr">
        <is>
          <t xml:space="preserve">2011/12</t>
        </is>
      </c>
      <c r="D2484">
        <v>2.429</v>
      </c>
      <c r="E2484">
        <v>24.14</v>
      </c>
      <c r="F2484">
        <v>30.94</v>
      </c>
      <c r="G2484">
        <v>18.54</v>
      </c>
      <c r="H2484">
        <v>2.2</v>
      </c>
      <c r="I2484">
        <v>5.107</v>
      </c>
      <c r="J2484">
        <v>23.62</v>
      </c>
      <c r="K2484">
        <v>28.69</v>
      </c>
      <c r="L2484">
        <v>20.32</v>
      </c>
      <c r="M2484">
        <v>3.88</v>
      </c>
      <c r="N2484">
        <v>7.12</v>
      </c>
      <c r="O2484">
        <v>23.5</v>
      </c>
      <c r="P2484">
        <v>29.83</v>
      </c>
      <c r="Q2484">
        <v>18.56</v>
      </c>
      <c r="R2484">
        <v>3.74</v>
      </c>
    </row>
    <row r="2485">
      <c r="A2485" s="9">
        <v>41016</v>
      </c>
      <c r="B2485" s="2" t="inlineStr">
        <is>
          <t xml:space="preserve">2012-04</t>
        </is>
      </c>
      <c r="C2485" s="2" t="inlineStr">
        <is>
          <t xml:space="preserve">2011/12</t>
        </is>
      </c>
      <c r="D2485">
        <v>0.315</v>
      </c>
      <c r="E2485">
        <v>24.26</v>
      </c>
      <c r="F2485">
        <v>31.24</v>
      </c>
      <c r="G2485">
        <v>18.49</v>
      </c>
      <c r="H2485">
        <v>2.67</v>
      </c>
      <c r="I2485">
        <v>2.242</v>
      </c>
      <c r="J2485">
        <v>22.61</v>
      </c>
      <c r="K2485">
        <v>26.11</v>
      </c>
      <c r="L2485">
        <v>20.69</v>
      </c>
      <c r="M2485">
        <v>3.85</v>
      </c>
      <c r="N2485">
        <v>3.074</v>
      </c>
      <c r="O2485">
        <v>23.4</v>
      </c>
      <c r="P2485">
        <v>29.0</v>
      </c>
      <c r="Q2485">
        <v>19.55</v>
      </c>
      <c r="R2485">
        <v>4.45</v>
      </c>
    </row>
    <row r="2486">
      <c r="A2486" s="9">
        <v>41017</v>
      </c>
      <c r="B2486" s="2" t="inlineStr">
        <is>
          <t xml:space="preserve">2012-04</t>
        </is>
      </c>
      <c r="C2486" s="2" t="inlineStr">
        <is>
          <t xml:space="preserve">2011/12</t>
        </is>
      </c>
      <c r="D2486">
        <v>6.853</v>
      </c>
      <c r="E2486">
        <v>23.22</v>
      </c>
      <c r="F2486">
        <v>29.44</v>
      </c>
      <c r="G2486">
        <v>19.76</v>
      </c>
      <c r="H2486">
        <v>8.48</v>
      </c>
      <c r="I2486">
        <v>5.056</v>
      </c>
      <c r="J2486">
        <v>22.98</v>
      </c>
      <c r="K2486">
        <v>27.27</v>
      </c>
      <c r="L2486">
        <v>19.77</v>
      </c>
      <c r="M2486">
        <v>5.46</v>
      </c>
      <c r="N2486">
        <v>6.415</v>
      </c>
      <c r="O2486">
        <v>22.75</v>
      </c>
      <c r="P2486">
        <v>26.77</v>
      </c>
      <c r="Q2486">
        <v>20.4</v>
      </c>
      <c r="R2486">
        <v>10.17</v>
      </c>
    </row>
    <row r="2487">
      <c r="A2487" s="9">
        <v>41018</v>
      </c>
      <c r="B2487" s="2" t="inlineStr">
        <is>
          <t xml:space="preserve">2012-04</t>
        </is>
      </c>
      <c r="C2487" s="2" t="inlineStr">
        <is>
          <t xml:space="preserve">2011/12</t>
        </is>
      </c>
      <c r="D2487">
        <v>6.821</v>
      </c>
      <c r="E2487">
        <v>23.02</v>
      </c>
      <c r="F2487">
        <v>28.71</v>
      </c>
      <c r="G2487">
        <v>19.08</v>
      </c>
      <c r="H2487">
        <v>5.79</v>
      </c>
      <c r="I2487">
        <v>1.074</v>
      </c>
      <c r="J2487">
        <v>23.9</v>
      </c>
      <c r="K2487">
        <v>30.26</v>
      </c>
      <c r="L2487">
        <v>19.96</v>
      </c>
      <c r="M2487">
        <v>1.31</v>
      </c>
      <c r="N2487">
        <v>1.238</v>
      </c>
      <c r="O2487">
        <v>22.96</v>
      </c>
      <c r="P2487">
        <v>28.58</v>
      </c>
      <c r="Q2487">
        <v>19.46</v>
      </c>
      <c r="R2487">
        <v>0.66</v>
      </c>
    </row>
    <row r="2488">
      <c r="A2488" s="9">
        <v>41019</v>
      </c>
      <c r="B2488" s="2" t="inlineStr">
        <is>
          <t xml:space="preserve">2012-04</t>
        </is>
      </c>
      <c r="C2488" s="2" t="inlineStr">
        <is>
          <t xml:space="preserve">2011/12</t>
        </is>
      </c>
      <c r="D2488">
        <v>4.258</v>
      </c>
      <c r="E2488">
        <v>24.43</v>
      </c>
      <c r="F2488">
        <v>32.05</v>
      </c>
      <c r="G2488">
        <v>17.91</v>
      </c>
      <c r="H2488">
        <v>3.59</v>
      </c>
      <c r="I2488">
        <v>1.909</v>
      </c>
      <c r="J2488">
        <v>24.77</v>
      </c>
      <c r="K2488">
        <v>32.92</v>
      </c>
      <c r="L2488">
        <v>18.49</v>
      </c>
      <c r="M2488">
        <v>1.34</v>
      </c>
      <c r="N2488">
        <v>0.0</v>
      </c>
      <c r="O2488">
        <v>24.66</v>
      </c>
      <c r="P2488">
        <v>32.09</v>
      </c>
      <c r="Q2488">
        <v>18.33</v>
      </c>
      <c r="R2488">
        <v>0.4</v>
      </c>
    </row>
    <row r="2489">
      <c r="A2489" s="9">
        <v>41020</v>
      </c>
      <c r="B2489" s="2" t="inlineStr">
        <is>
          <t xml:space="preserve">2012-04</t>
        </is>
      </c>
      <c r="C2489" s="2" t="inlineStr">
        <is>
          <t xml:space="preserve">2011/12</t>
        </is>
      </c>
      <c r="D2489">
        <v>1.231</v>
      </c>
      <c r="E2489">
        <v>25.75</v>
      </c>
      <c r="F2489">
        <v>33.64</v>
      </c>
      <c r="G2489">
        <v>18.99</v>
      </c>
      <c r="H2489">
        <v>4.18</v>
      </c>
      <c r="I2489">
        <v>1.403</v>
      </c>
      <c r="J2489">
        <v>25.55</v>
      </c>
      <c r="K2489">
        <v>33.09</v>
      </c>
      <c r="L2489">
        <v>19.63</v>
      </c>
      <c r="M2489">
        <v>5.52</v>
      </c>
      <c r="N2489">
        <v>1.61</v>
      </c>
      <c r="O2489">
        <v>24.96</v>
      </c>
      <c r="P2489">
        <v>31.79</v>
      </c>
      <c r="Q2489">
        <v>19.66</v>
      </c>
      <c r="R2489">
        <v>5.21</v>
      </c>
    </row>
    <row r="2490">
      <c r="A2490" s="9">
        <v>41021</v>
      </c>
      <c r="B2490" s="2" t="inlineStr">
        <is>
          <t xml:space="preserve">2012-04</t>
        </is>
      </c>
      <c r="C2490" s="2" t="inlineStr">
        <is>
          <t xml:space="preserve">2011/12</t>
        </is>
      </c>
      <c r="D2490">
        <v>6.897</v>
      </c>
      <c r="E2490">
        <v>22.06</v>
      </c>
      <c r="F2490">
        <v>27.68</v>
      </c>
      <c r="G2490">
        <v>16.66</v>
      </c>
      <c r="H2490">
        <v>3.27</v>
      </c>
      <c r="I2490">
        <v>6.057</v>
      </c>
      <c r="J2490">
        <v>22.52</v>
      </c>
      <c r="K2490">
        <v>28.99</v>
      </c>
      <c r="L2490">
        <v>17.98</v>
      </c>
      <c r="M2490">
        <v>1.15</v>
      </c>
      <c r="N2490">
        <v>8.096</v>
      </c>
      <c r="O2490">
        <v>21.51</v>
      </c>
      <c r="P2490">
        <v>26.63</v>
      </c>
      <c r="Q2490">
        <v>17.7</v>
      </c>
      <c r="R2490">
        <v>0.86</v>
      </c>
    </row>
    <row r="2491">
      <c r="A2491" s="9">
        <v>41022</v>
      </c>
      <c r="B2491" s="2" t="inlineStr">
        <is>
          <t xml:space="preserve">2012-04</t>
        </is>
      </c>
      <c r="C2491" s="2" t="inlineStr">
        <is>
          <t xml:space="preserve">2011/12</t>
        </is>
      </c>
      <c r="D2491">
        <v>0.0</v>
      </c>
      <c r="E2491">
        <v>20.0</v>
      </c>
      <c r="F2491">
        <v>27.71</v>
      </c>
      <c r="G2491">
        <v>14.23</v>
      </c>
      <c r="H2491">
        <v>0.25</v>
      </c>
      <c r="I2491">
        <v>0.0</v>
      </c>
      <c r="J2491">
        <v>20.33</v>
      </c>
      <c r="K2491">
        <v>26.78</v>
      </c>
      <c r="L2491">
        <v>16.13</v>
      </c>
      <c r="M2491">
        <v>0.0</v>
      </c>
      <c r="N2491">
        <v>0.0</v>
      </c>
      <c r="O2491">
        <v>19.6</v>
      </c>
      <c r="P2491">
        <v>25.42</v>
      </c>
      <c r="Q2491">
        <v>15.65</v>
      </c>
      <c r="R2491">
        <v>0.01</v>
      </c>
    </row>
    <row r="2492">
      <c r="A2492" s="9">
        <v>41023</v>
      </c>
      <c r="B2492" s="2" t="inlineStr">
        <is>
          <t xml:space="preserve">2012-04</t>
        </is>
      </c>
      <c r="C2492" s="2" t="inlineStr">
        <is>
          <t xml:space="preserve">2011/12</t>
        </is>
      </c>
      <c r="D2492">
        <v>0.0</v>
      </c>
      <c r="E2492">
        <v>19.4</v>
      </c>
      <c r="F2492">
        <v>27.24</v>
      </c>
      <c r="G2492">
        <v>13.17</v>
      </c>
      <c r="H2492">
        <v>0.08</v>
      </c>
      <c r="I2492">
        <v>0.0</v>
      </c>
      <c r="J2492">
        <v>19.95</v>
      </c>
      <c r="K2492">
        <v>26.66</v>
      </c>
      <c r="L2492">
        <v>14.68</v>
      </c>
      <c r="M2492">
        <v>0.0</v>
      </c>
      <c r="N2492">
        <v>0.0</v>
      </c>
      <c r="O2492">
        <v>18.91</v>
      </c>
      <c r="P2492">
        <v>24.73</v>
      </c>
      <c r="Q2492">
        <v>14.61</v>
      </c>
      <c r="R2492">
        <v>0.0</v>
      </c>
    </row>
    <row r="2493">
      <c r="A2493" s="9">
        <v>41024</v>
      </c>
      <c r="B2493" s="2" t="inlineStr">
        <is>
          <t xml:space="preserve">2012-04</t>
        </is>
      </c>
      <c r="C2493" s="2" t="inlineStr">
        <is>
          <t xml:space="preserve">2011/12</t>
        </is>
      </c>
      <c r="D2493">
        <v>0.0</v>
      </c>
      <c r="E2493">
        <v>20.77</v>
      </c>
      <c r="F2493">
        <v>29.05</v>
      </c>
      <c r="G2493">
        <v>14.01</v>
      </c>
      <c r="H2493">
        <v>0.0</v>
      </c>
      <c r="I2493">
        <v>0.0</v>
      </c>
      <c r="J2493">
        <v>20.67</v>
      </c>
      <c r="K2493">
        <v>28.67</v>
      </c>
      <c r="L2493">
        <v>13.92</v>
      </c>
      <c r="M2493">
        <v>0.0</v>
      </c>
      <c r="N2493">
        <v>0.0</v>
      </c>
      <c r="O2493">
        <v>19.41</v>
      </c>
      <c r="P2493">
        <v>26.11</v>
      </c>
      <c r="Q2493">
        <v>13.32</v>
      </c>
      <c r="R2493">
        <v>0.0</v>
      </c>
    </row>
    <row r="2494">
      <c r="A2494" s="9">
        <v>41025</v>
      </c>
      <c r="B2494" s="2" t="inlineStr">
        <is>
          <t xml:space="preserve">2012-04</t>
        </is>
      </c>
      <c r="C2494" s="2" t="inlineStr">
        <is>
          <t xml:space="preserve">2011/12</t>
        </is>
      </c>
      <c r="D2494">
        <v>0.0</v>
      </c>
      <c r="E2494">
        <v>21.98</v>
      </c>
      <c r="F2494">
        <v>29.78</v>
      </c>
      <c r="G2494">
        <v>15.71</v>
      </c>
      <c r="H2494">
        <v>0.0</v>
      </c>
      <c r="I2494">
        <v>0.0</v>
      </c>
      <c r="J2494">
        <v>22.2</v>
      </c>
      <c r="K2494">
        <v>30.44</v>
      </c>
      <c r="L2494">
        <v>15.18</v>
      </c>
      <c r="M2494">
        <v>0.0</v>
      </c>
      <c r="N2494">
        <v>0.0</v>
      </c>
      <c r="O2494">
        <v>20.9</v>
      </c>
      <c r="P2494">
        <v>27.77</v>
      </c>
      <c r="Q2494">
        <v>15.73</v>
      </c>
      <c r="R2494">
        <v>0.0</v>
      </c>
    </row>
    <row r="2495">
      <c r="A2495" s="9">
        <v>41026</v>
      </c>
      <c r="B2495" s="2" t="inlineStr">
        <is>
          <t xml:space="preserve">2012-04</t>
        </is>
      </c>
      <c r="C2495" s="2" t="inlineStr">
        <is>
          <t xml:space="preserve">2011/12</t>
        </is>
      </c>
      <c r="D2495">
        <v>0.0</v>
      </c>
      <c r="E2495">
        <v>23.34</v>
      </c>
      <c r="F2495">
        <v>30.82</v>
      </c>
      <c r="G2495">
        <v>16.81</v>
      </c>
      <c r="H2495">
        <v>1.13</v>
      </c>
      <c r="I2495">
        <v>0.0</v>
      </c>
      <c r="J2495">
        <v>23.64</v>
      </c>
      <c r="K2495">
        <v>30.76</v>
      </c>
      <c r="L2495">
        <v>16.6</v>
      </c>
      <c r="M2495">
        <v>0.02</v>
      </c>
      <c r="N2495">
        <v>0.0</v>
      </c>
      <c r="O2495">
        <v>22.21</v>
      </c>
      <c r="P2495">
        <v>28.79</v>
      </c>
      <c r="Q2495">
        <v>17.0</v>
      </c>
      <c r="R2495">
        <v>0.01</v>
      </c>
    </row>
    <row r="2496">
      <c r="A2496" s="9">
        <v>41027</v>
      </c>
      <c r="B2496" s="2" t="inlineStr">
        <is>
          <t xml:space="preserve">2012-04</t>
        </is>
      </c>
      <c r="C2496" s="2" t="inlineStr">
        <is>
          <t xml:space="preserve">2011/12</t>
        </is>
      </c>
      <c r="D2496">
        <v>3.699</v>
      </c>
      <c r="E2496">
        <v>24.39</v>
      </c>
      <c r="F2496">
        <v>32.05</v>
      </c>
      <c r="G2496">
        <v>17.75</v>
      </c>
      <c r="H2496">
        <v>2.67</v>
      </c>
      <c r="I2496">
        <v>0.0</v>
      </c>
      <c r="J2496">
        <v>25.47</v>
      </c>
      <c r="K2496">
        <v>33.1</v>
      </c>
      <c r="L2496">
        <v>18.64</v>
      </c>
      <c r="M2496">
        <v>0.02</v>
      </c>
      <c r="N2496">
        <v>0.0</v>
      </c>
      <c r="O2496">
        <v>23.85</v>
      </c>
      <c r="P2496">
        <v>30.48</v>
      </c>
      <c r="Q2496">
        <v>18.48</v>
      </c>
      <c r="R2496">
        <v>0.02</v>
      </c>
    </row>
    <row r="2497">
      <c r="A2497" s="9">
        <v>41028</v>
      </c>
      <c r="B2497" s="2" t="inlineStr">
        <is>
          <t xml:space="preserve">2012-04</t>
        </is>
      </c>
      <c r="C2497" s="2" t="inlineStr">
        <is>
          <t xml:space="preserve">2011/12</t>
        </is>
      </c>
      <c r="D2497">
        <v>0.0</v>
      </c>
      <c r="E2497">
        <v>25.68</v>
      </c>
      <c r="F2497">
        <v>33.7</v>
      </c>
      <c r="G2497">
        <v>18.37</v>
      </c>
      <c r="H2497">
        <v>0.16</v>
      </c>
      <c r="I2497">
        <v>0.0</v>
      </c>
      <c r="J2497">
        <v>25.97</v>
      </c>
      <c r="K2497">
        <v>33.83</v>
      </c>
      <c r="L2497">
        <v>18.8</v>
      </c>
      <c r="M2497">
        <v>0.0</v>
      </c>
      <c r="N2497">
        <v>0.0</v>
      </c>
      <c r="O2497">
        <v>25.07</v>
      </c>
      <c r="P2497">
        <v>32.51</v>
      </c>
      <c r="Q2497">
        <v>19.37</v>
      </c>
      <c r="R2497">
        <v>0.0</v>
      </c>
    </row>
    <row r="2498">
      <c r="A2498" s="9">
        <v>41029</v>
      </c>
      <c r="B2498" s="2" t="inlineStr">
        <is>
          <t xml:space="preserve">2012-04</t>
        </is>
      </c>
      <c r="C2498" s="2" t="inlineStr">
        <is>
          <t xml:space="preserve">2011/12</t>
        </is>
      </c>
      <c r="D2498">
        <v>1.097</v>
      </c>
      <c r="E2498">
        <v>24.63</v>
      </c>
      <c r="F2498">
        <v>31.41</v>
      </c>
      <c r="G2498">
        <v>19.57</v>
      </c>
      <c r="H2498">
        <v>1.49</v>
      </c>
      <c r="I2498">
        <v>0.0</v>
      </c>
      <c r="J2498">
        <v>25.62</v>
      </c>
      <c r="K2498">
        <v>33.22</v>
      </c>
      <c r="L2498">
        <v>19.75</v>
      </c>
      <c r="M2498">
        <v>0.01</v>
      </c>
      <c r="N2498">
        <v>0.0</v>
      </c>
      <c r="O2498">
        <v>24.66</v>
      </c>
      <c r="P2498">
        <v>31.2</v>
      </c>
      <c r="Q2498">
        <v>20.17</v>
      </c>
      <c r="R2498">
        <v>0.01</v>
      </c>
    </row>
    <row r="2499">
      <c r="A2499" s="9">
        <v>41030</v>
      </c>
      <c r="B2499" s="2" t="inlineStr">
        <is>
          <t xml:space="preserve">2012-05</t>
        </is>
      </c>
      <c r="C2499" s="2" t="inlineStr">
        <is>
          <t xml:space="preserve">2011/12</t>
        </is>
      </c>
      <c r="D2499">
        <v>1.25</v>
      </c>
      <c r="E2499">
        <v>23.99</v>
      </c>
      <c r="F2499">
        <v>28.84</v>
      </c>
      <c r="G2499">
        <v>20.06</v>
      </c>
      <c r="H2499">
        <v>0.59</v>
      </c>
      <c r="I2499">
        <v>0.0</v>
      </c>
      <c r="J2499">
        <v>25.61</v>
      </c>
      <c r="K2499">
        <v>32.09</v>
      </c>
      <c r="L2499">
        <v>20.1</v>
      </c>
      <c r="M2499">
        <v>0.0</v>
      </c>
      <c r="N2499">
        <v>0.0</v>
      </c>
      <c r="O2499">
        <v>24.02</v>
      </c>
      <c r="P2499">
        <v>29.14</v>
      </c>
      <c r="Q2499">
        <v>20.65</v>
      </c>
      <c r="R2499">
        <v>0.0</v>
      </c>
    </row>
    <row r="2500">
      <c r="A2500" s="9">
        <v>41031</v>
      </c>
      <c r="B2500" s="2" t="inlineStr">
        <is>
          <t xml:space="preserve">2012-05</t>
        </is>
      </c>
      <c r="C2500" s="2" t="inlineStr">
        <is>
          <t xml:space="preserve">2011/12</t>
        </is>
      </c>
      <c r="D2500">
        <v>0.055</v>
      </c>
      <c r="E2500">
        <v>24.76</v>
      </c>
      <c r="F2500">
        <v>29.97</v>
      </c>
      <c r="G2500">
        <v>20.03</v>
      </c>
      <c r="H2500">
        <v>0.2</v>
      </c>
      <c r="I2500">
        <v>0.0</v>
      </c>
      <c r="J2500">
        <v>25.4</v>
      </c>
      <c r="K2500">
        <v>30.36</v>
      </c>
      <c r="L2500">
        <v>21.39</v>
      </c>
      <c r="M2500">
        <v>0.01</v>
      </c>
      <c r="N2500">
        <v>0.0</v>
      </c>
      <c r="O2500">
        <v>24.39</v>
      </c>
      <c r="P2500">
        <v>29.42</v>
      </c>
      <c r="Q2500">
        <v>20.72</v>
      </c>
      <c r="R2500">
        <v>0.01</v>
      </c>
    </row>
    <row r="2501">
      <c r="A2501" s="9">
        <v>41032</v>
      </c>
      <c r="B2501" s="2" t="inlineStr">
        <is>
          <t xml:space="preserve">2012-05</t>
        </is>
      </c>
      <c r="C2501" s="2" t="inlineStr">
        <is>
          <t xml:space="preserve">2011/12</t>
        </is>
      </c>
      <c r="D2501">
        <v>0.0</v>
      </c>
      <c r="E2501">
        <v>24.55</v>
      </c>
      <c r="F2501">
        <v>29.78</v>
      </c>
      <c r="G2501">
        <v>20.18</v>
      </c>
      <c r="H2501">
        <v>0.62</v>
      </c>
      <c r="I2501">
        <v>0.0</v>
      </c>
      <c r="J2501">
        <v>23.62</v>
      </c>
      <c r="K2501">
        <v>27.99</v>
      </c>
      <c r="L2501">
        <v>20.62</v>
      </c>
      <c r="M2501">
        <v>0.02</v>
      </c>
      <c r="N2501">
        <v>0.0</v>
      </c>
      <c r="O2501">
        <v>23.42</v>
      </c>
      <c r="P2501">
        <v>27.0</v>
      </c>
      <c r="Q2501">
        <v>21.32</v>
      </c>
      <c r="R2501">
        <v>0.04</v>
      </c>
    </row>
    <row r="2502">
      <c r="A2502" s="9">
        <v>41033</v>
      </c>
      <c r="B2502" s="2" t="inlineStr">
        <is>
          <t xml:space="preserve">2012-05</t>
        </is>
      </c>
      <c r="C2502" s="2" t="inlineStr">
        <is>
          <t xml:space="preserve">2011/12</t>
        </is>
      </c>
      <c r="D2502">
        <v>0.07</v>
      </c>
      <c r="E2502">
        <v>24.61</v>
      </c>
      <c r="F2502">
        <v>31.09</v>
      </c>
      <c r="G2502">
        <v>19.15</v>
      </c>
      <c r="H2502">
        <v>1.05</v>
      </c>
      <c r="I2502">
        <v>0.0</v>
      </c>
      <c r="J2502">
        <v>24.74</v>
      </c>
      <c r="K2502">
        <v>31.03</v>
      </c>
      <c r="L2502">
        <v>19.65</v>
      </c>
      <c r="M2502">
        <v>0.38</v>
      </c>
      <c r="N2502">
        <v>0.0</v>
      </c>
      <c r="O2502">
        <v>24.0</v>
      </c>
      <c r="P2502">
        <v>28.78</v>
      </c>
      <c r="Q2502">
        <v>20.63</v>
      </c>
      <c r="R2502">
        <v>0.32</v>
      </c>
    </row>
    <row r="2503">
      <c r="A2503" s="9">
        <v>41034</v>
      </c>
      <c r="B2503" s="2" t="inlineStr">
        <is>
          <t xml:space="preserve">2012-05</t>
        </is>
      </c>
      <c r="C2503" s="2" t="inlineStr">
        <is>
          <t xml:space="preserve">2011/12</t>
        </is>
      </c>
      <c r="D2503">
        <v>4.271</v>
      </c>
      <c r="E2503">
        <v>24.27</v>
      </c>
      <c r="F2503">
        <v>30.18</v>
      </c>
      <c r="G2503">
        <v>19.72</v>
      </c>
      <c r="H2503">
        <v>3.38</v>
      </c>
      <c r="I2503">
        <v>0.787</v>
      </c>
      <c r="J2503">
        <v>24.49</v>
      </c>
      <c r="K2503">
        <v>30.34</v>
      </c>
      <c r="L2503">
        <v>20.37</v>
      </c>
      <c r="M2503">
        <v>1.61</v>
      </c>
      <c r="N2503">
        <v>0.818</v>
      </c>
      <c r="O2503">
        <v>24.31</v>
      </c>
      <c r="P2503">
        <v>30.19</v>
      </c>
      <c r="Q2503">
        <v>20.1</v>
      </c>
      <c r="R2503">
        <v>0.89</v>
      </c>
    </row>
    <row r="2504">
      <c r="A2504" s="9">
        <v>41035</v>
      </c>
      <c r="B2504" s="2" t="inlineStr">
        <is>
          <t xml:space="preserve">2012-05</t>
        </is>
      </c>
      <c r="C2504" s="2" t="inlineStr">
        <is>
          <t xml:space="preserve">2011/12</t>
        </is>
      </c>
      <c r="D2504">
        <v>9.345</v>
      </c>
      <c r="E2504">
        <v>23.25</v>
      </c>
      <c r="F2504">
        <v>28.24</v>
      </c>
      <c r="G2504">
        <v>20.02</v>
      </c>
      <c r="H2504">
        <v>7.77</v>
      </c>
      <c r="I2504">
        <v>7.44</v>
      </c>
      <c r="J2504">
        <v>24.21</v>
      </c>
      <c r="K2504">
        <v>29.43</v>
      </c>
      <c r="L2504">
        <v>20.34</v>
      </c>
      <c r="M2504">
        <v>2.99</v>
      </c>
      <c r="N2504">
        <v>0.371</v>
      </c>
      <c r="O2504">
        <v>23.93</v>
      </c>
      <c r="P2504">
        <v>29.17</v>
      </c>
      <c r="Q2504">
        <v>20.45</v>
      </c>
      <c r="R2504">
        <v>0.97</v>
      </c>
    </row>
    <row r="2505">
      <c r="A2505" s="9">
        <v>41036</v>
      </c>
      <c r="B2505" s="2" t="inlineStr">
        <is>
          <t xml:space="preserve">2012-05</t>
        </is>
      </c>
      <c r="C2505" s="2" t="inlineStr">
        <is>
          <t xml:space="preserve">2011/12</t>
        </is>
      </c>
      <c r="D2505">
        <v>0.74</v>
      </c>
      <c r="E2505">
        <v>24.4</v>
      </c>
      <c r="F2505">
        <v>30.96</v>
      </c>
      <c r="G2505">
        <v>19.88</v>
      </c>
      <c r="H2505">
        <v>0.42</v>
      </c>
      <c r="I2505">
        <v>0.0</v>
      </c>
      <c r="J2505">
        <v>26.11</v>
      </c>
      <c r="K2505">
        <v>34.04</v>
      </c>
      <c r="L2505">
        <v>19.74</v>
      </c>
      <c r="M2505">
        <v>0.25</v>
      </c>
      <c r="N2505">
        <v>0.0</v>
      </c>
      <c r="O2505">
        <v>25.83</v>
      </c>
      <c r="P2505">
        <v>33.19</v>
      </c>
      <c r="Q2505">
        <v>19.29</v>
      </c>
      <c r="R2505">
        <v>0.02</v>
      </c>
    </row>
    <row r="2506">
      <c r="A2506" s="9">
        <v>41037</v>
      </c>
      <c r="B2506" s="2" t="inlineStr">
        <is>
          <t xml:space="preserve">2012-05</t>
        </is>
      </c>
      <c r="C2506" s="2" t="inlineStr">
        <is>
          <t xml:space="preserve">2011/12</t>
        </is>
      </c>
      <c r="D2506">
        <v>0.08</v>
      </c>
      <c r="E2506">
        <v>25.83</v>
      </c>
      <c r="F2506">
        <v>33.5</v>
      </c>
      <c r="G2506">
        <v>19.86</v>
      </c>
      <c r="H2506">
        <v>0.33</v>
      </c>
      <c r="I2506">
        <v>0.689</v>
      </c>
      <c r="J2506">
        <v>25.91</v>
      </c>
      <c r="K2506">
        <v>33.24</v>
      </c>
      <c r="L2506">
        <v>20.33</v>
      </c>
      <c r="M2506">
        <v>0.97</v>
      </c>
      <c r="N2506">
        <v>0.0</v>
      </c>
      <c r="O2506">
        <v>26.62</v>
      </c>
      <c r="P2506">
        <v>34.13</v>
      </c>
      <c r="Q2506">
        <v>20.19</v>
      </c>
      <c r="R2506">
        <v>0.17</v>
      </c>
    </row>
    <row r="2507">
      <c r="A2507" s="9">
        <v>41038</v>
      </c>
      <c r="B2507" s="2" t="inlineStr">
        <is>
          <t xml:space="preserve">2012-05</t>
        </is>
      </c>
      <c r="C2507" s="2" t="inlineStr">
        <is>
          <t xml:space="preserve">2011/12</t>
        </is>
      </c>
      <c r="D2507">
        <v>0.095</v>
      </c>
      <c r="E2507">
        <v>25.36</v>
      </c>
      <c r="F2507">
        <v>32.37</v>
      </c>
      <c r="G2507">
        <v>20.28</v>
      </c>
      <c r="H2507">
        <v>1.1</v>
      </c>
      <c r="I2507">
        <v>1.096</v>
      </c>
      <c r="J2507">
        <v>26.05</v>
      </c>
      <c r="K2507">
        <v>33.6</v>
      </c>
      <c r="L2507">
        <v>20.09</v>
      </c>
      <c r="M2507">
        <v>1.29</v>
      </c>
      <c r="N2507">
        <v>0.0</v>
      </c>
      <c r="O2507">
        <v>26.45</v>
      </c>
      <c r="P2507">
        <v>33.99</v>
      </c>
      <c r="Q2507">
        <v>20.5</v>
      </c>
      <c r="R2507">
        <v>0.4</v>
      </c>
    </row>
    <row r="2508">
      <c r="A2508" s="9">
        <v>41039</v>
      </c>
      <c r="B2508" s="2" t="inlineStr">
        <is>
          <t xml:space="preserve">2012-05</t>
        </is>
      </c>
      <c r="C2508" s="2" t="inlineStr">
        <is>
          <t xml:space="preserve">2011/12</t>
        </is>
      </c>
      <c r="D2508">
        <v>0.592</v>
      </c>
      <c r="E2508">
        <v>24.73</v>
      </c>
      <c r="F2508">
        <v>30.81</v>
      </c>
      <c r="G2508">
        <v>20.76</v>
      </c>
      <c r="H2508">
        <v>0.44</v>
      </c>
      <c r="I2508">
        <v>2.213</v>
      </c>
      <c r="J2508">
        <v>25.56</v>
      </c>
      <c r="K2508">
        <v>33.32</v>
      </c>
      <c r="L2508">
        <v>19.81</v>
      </c>
      <c r="M2508">
        <v>2.63</v>
      </c>
      <c r="N2508">
        <v>0.0</v>
      </c>
      <c r="O2508">
        <v>25.73</v>
      </c>
      <c r="P2508">
        <v>32.67</v>
      </c>
      <c r="Q2508">
        <v>20.59</v>
      </c>
      <c r="R2508">
        <v>0.24</v>
      </c>
    </row>
    <row r="2509">
      <c r="A2509" s="9">
        <v>41040</v>
      </c>
      <c r="B2509" s="2" t="inlineStr">
        <is>
          <t xml:space="preserve">2012-05</t>
        </is>
      </c>
      <c r="C2509" s="2" t="inlineStr">
        <is>
          <t xml:space="preserve">2011/12</t>
        </is>
      </c>
      <c r="D2509">
        <v>0.0</v>
      </c>
      <c r="E2509">
        <v>25.78</v>
      </c>
      <c r="F2509">
        <v>33.91</v>
      </c>
      <c r="G2509">
        <v>17.77</v>
      </c>
      <c r="H2509">
        <v>0.0</v>
      </c>
      <c r="I2509">
        <v>0.0</v>
      </c>
      <c r="J2509">
        <v>25.93</v>
      </c>
      <c r="K2509">
        <v>31.61</v>
      </c>
      <c r="L2509">
        <v>21.45</v>
      </c>
      <c r="M2509">
        <v>0.04</v>
      </c>
      <c r="N2509">
        <v>0.0</v>
      </c>
      <c r="O2509">
        <v>26.21</v>
      </c>
      <c r="P2509">
        <v>33.64</v>
      </c>
      <c r="Q2509">
        <v>20.71</v>
      </c>
      <c r="R2509">
        <v>0.02</v>
      </c>
    </row>
    <row r="2510">
      <c r="A2510" s="9">
        <v>41041</v>
      </c>
      <c r="B2510" s="2" t="inlineStr">
        <is>
          <t xml:space="preserve">2012-05</t>
        </is>
      </c>
      <c r="C2510" s="2" t="inlineStr">
        <is>
          <t xml:space="preserve">2011/12</t>
        </is>
      </c>
      <c r="D2510">
        <v>0.0</v>
      </c>
      <c r="E2510">
        <v>25.34</v>
      </c>
      <c r="F2510">
        <v>32.19</v>
      </c>
      <c r="G2510">
        <v>18.87</v>
      </c>
      <c r="H2510">
        <v>2.08</v>
      </c>
      <c r="I2510">
        <v>0.162</v>
      </c>
      <c r="J2510">
        <v>26.5</v>
      </c>
      <c r="K2510">
        <v>33.68</v>
      </c>
      <c r="L2510">
        <v>20.48</v>
      </c>
      <c r="M2510">
        <v>2.06</v>
      </c>
      <c r="N2510">
        <v>0.083</v>
      </c>
      <c r="O2510">
        <v>25.49</v>
      </c>
      <c r="P2510">
        <v>32.62</v>
      </c>
      <c r="Q2510">
        <v>20.07</v>
      </c>
      <c r="R2510">
        <v>1.55</v>
      </c>
    </row>
    <row r="2511">
      <c r="A2511" s="9">
        <v>41042</v>
      </c>
      <c r="B2511" s="2" t="inlineStr">
        <is>
          <t xml:space="preserve">2012-05</t>
        </is>
      </c>
      <c r="C2511" s="2" t="inlineStr">
        <is>
          <t xml:space="preserve">2011/12</t>
        </is>
      </c>
      <c r="D2511">
        <v>5.356</v>
      </c>
      <c r="E2511">
        <v>24.17</v>
      </c>
      <c r="F2511">
        <v>30.12</v>
      </c>
      <c r="G2511">
        <v>19.9</v>
      </c>
      <c r="H2511">
        <v>5.15</v>
      </c>
      <c r="I2511">
        <v>5.922</v>
      </c>
      <c r="J2511">
        <v>23.74</v>
      </c>
      <c r="K2511">
        <v>27.44</v>
      </c>
      <c r="L2511">
        <v>21.0</v>
      </c>
      <c r="M2511">
        <v>5.07</v>
      </c>
      <c r="N2511">
        <v>1.838</v>
      </c>
      <c r="O2511">
        <v>23.21</v>
      </c>
      <c r="P2511">
        <v>26.39</v>
      </c>
      <c r="Q2511">
        <v>21.35</v>
      </c>
      <c r="R2511">
        <v>5.39</v>
      </c>
    </row>
    <row r="2512">
      <c r="A2512" s="9">
        <v>41043</v>
      </c>
      <c r="B2512" s="2" t="inlineStr">
        <is>
          <t xml:space="preserve">2012-05</t>
        </is>
      </c>
      <c r="C2512" s="2" t="inlineStr">
        <is>
          <t xml:space="preserve">2011/12</t>
        </is>
      </c>
      <c r="D2512">
        <v>1.459</v>
      </c>
      <c r="E2512">
        <v>23.57</v>
      </c>
      <c r="F2512">
        <v>29.6</v>
      </c>
      <c r="G2512">
        <v>19.66</v>
      </c>
      <c r="H2512">
        <v>4.54</v>
      </c>
      <c r="I2512">
        <v>0.182</v>
      </c>
      <c r="J2512">
        <v>24.63</v>
      </c>
      <c r="K2512">
        <v>31.21</v>
      </c>
      <c r="L2512">
        <v>20.02</v>
      </c>
      <c r="M2512">
        <v>4.58</v>
      </c>
      <c r="N2512">
        <v>0.182</v>
      </c>
      <c r="O2512">
        <v>23.91</v>
      </c>
      <c r="P2512">
        <v>29.39</v>
      </c>
      <c r="Q2512">
        <v>20.55</v>
      </c>
      <c r="R2512">
        <v>4.91</v>
      </c>
    </row>
    <row r="2513">
      <c r="A2513" s="9">
        <v>41044</v>
      </c>
      <c r="B2513" s="2" t="inlineStr">
        <is>
          <t xml:space="preserve">2012-05</t>
        </is>
      </c>
      <c r="C2513" s="2" t="inlineStr">
        <is>
          <t xml:space="preserve">2011/12</t>
        </is>
      </c>
      <c r="D2513">
        <v>4.985</v>
      </c>
      <c r="E2513">
        <v>23.04</v>
      </c>
      <c r="F2513">
        <v>29.07</v>
      </c>
      <c r="G2513">
        <v>19.19</v>
      </c>
      <c r="H2513">
        <v>14.78</v>
      </c>
      <c r="I2513">
        <v>17.492</v>
      </c>
      <c r="J2513">
        <v>22.63</v>
      </c>
      <c r="K2513">
        <v>25.18</v>
      </c>
      <c r="L2513">
        <v>20.95</v>
      </c>
      <c r="M2513">
        <v>15.78</v>
      </c>
      <c r="N2513">
        <v>23.033</v>
      </c>
      <c r="O2513">
        <v>22.88</v>
      </c>
      <c r="P2513">
        <v>26.21</v>
      </c>
      <c r="Q2513">
        <v>20.83</v>
      </c>
      <c r="R2513">
        <v>15.79</v>
      </c>
    </row>
    <row r="2514">
      <c r="A2514" s="9">
        <v>41045</v>
      </c>
      <c r="B2514" s="2" t="inlineStr">
        <is>
          <t xml:space="preserve">2012-05</t>
        </is>
      </c>
      <c r="C2514" s="2" t="inlineStr">
        <is>
          <t xml:space="preserve">2011/12</t>
        </is>
      </c>
      <c r="D2514">
        <v>11.14</v>
      </c>
      <c r="E2514">
        <v>21.91</v>
      </c>
      <c r="F2514">
        <v>25.92</v>
      </c>
      <c r="G2514">
        <v>19.96</v>
      </c>
      <c r="H2514">
        <v>13.08</v>
      </c>
      <c r="I2514">
        <v>17.95</v>
      </c>
      <c r="J2514">
        <v>22.76</v>
      </c>
      <c r="K2514">
        <v>26.53</v>
      </c>
      <c r="L2514">
        <v>19.6</v>
      </c>
      <c r="M2514">
        <v>15.51</v>
      </c>
      <c r="N2514">
        <v>20.129</v>
      </c>
      <c r="O2514">
        <v>22.58</v>
      </c>
      <c r="P2514">
        <v>26.11</v>
      </c>
      <c r="Q2514">
        <v>20.53</v>
      </c>
      <c r="R2514">
        <v>16.32</v>
      </c>
    </row>
    <row r="2515">
      <c r="A2515" s="9">
        <v>41046</v>
      </c>
      <c r="B2515" s="2" t="inlineStr">
        <is>
          <t xml:space="preserve">2012-05</t>
        </is>
      </c>
      <c r="C2515" s="2" t="inlineStr">
        <is>
          <t xml:space="preserve">2011/12</t>
        </is>
      </c>
      <c r="D2515">
        <v>9.633</v>
      </c>
      <c r="E2515">
        <v>22.15</v>
      </c>
      <c r="F2515">
        <v>26.73</v>
      </c>
      <c r="G2515">
        <v>19.67</v>
      </c>
      <c r="H2515">
        <v>7.99</v>
      </c>
      <c r="I2515">
        <v>5.868</v>
      </c>
      <c r="J2515">
        <v>22.26</v>
      </c>
      <c r="K2515">
        <v>25.0</v>
      </c>
      <c r="L2515">
        <v>19.74</v>
      </c>
      <c r="M2515">
        <v>5.16</v>
      </c>
      <c r="N2515">
        <v>4.758</v>
      </c>
      <c r="O2515">
        <v>22.25</v>
      </c>
      <c r="P2515">
        <v>24.81</v>
      </c>
      <c r="Q2515">
        <v>20.28</v>
      </c>
      <c r="R2515">
        <v>4.4</v>
      </c>
    </row>
    <row r="2516">
      <c r="A2516" s="9">
        <v>41047</v>
      </c>
      <c r="B2516" s="2" t="inlineStr">
        <is>
          <t xml:space="preserve">2012-05</t>
        </is>
      </c>
      <c r="C2516" s="2" t="inlineStr">
        <is>
          <t xml:space="preserve">2011/12</t>
        </is>
      </c>
      <c r="D2516">
        <v>3.551</v>
      </c>
      <c r="E2516">
        <v>22.6</v>
      </c>
      <c r="F2516">
        <v>27.45</v>
      </c>
      <c r="G2516">
        <v>19.26</v>
      </c>
      <c r="H2516">
        <v>8.59</v>
      </c>
      <c r="I2516">
        <v>2.093</v>
      </c>
      <c r="J2516">
        <v>23.09</v>
      </c>
      <c r="K2516">
        <v>27.58</v>
      </c>
      <c r="L2516">
        <v>19.45</v>
      </c>
      <c r="M2516">
        <v>1.42</v>
      </c>
      <c r="N2516">
        <v>3.046</v>
      </c>
      <c r="O2516">
        <v>22.74</v>
      </c>
      <c r="P2516">
        <v>27.02</v>
      </c>
      <c r="Q2516">
        <v>20.1</v>
      </c>
      <c r="R2516">
        <v>2.04</v>
      </c>
    </row>
    <row r="2517">
      <c r="A2517" s="9">
        <v>41048</v>
      </c>
      <c r="B2517" s="2" t="inlineStr">
        <is>
          <t xml:space="preserve">2012-05</t>
        </is>
      </c>
      <c r="C2517" s="2" t="inlineStr">
        <is>
          <t xml:space="preserve">2011/12</t>
        </is>
      </c>
      <c r="D2517">
        <v>20.3</v>
      </c>
      <c r="E2517">
        <v>21.89</v>
      </c>
      <c r="F2517">
        <v>24.76</v>
      </c>
      <c r="G2517">
        <v>19.71</v>
      </c>
      <c r="H2517">
        <v>16.03</v>
      </c>
      <c r="I2517">
        <v>7.767</v>
      </c>
      <c r="J2517">
        <v>21.47</v>
      </c>
      <c r="K2517">
        <v>24.61</v>
      </c>
      <c r="L2517">
        <v>18.76</v>
      </c>
      <c r="M2517">
        <v>13.52</v>
      </c>
      <c r="N2517">
        <v>8.64</v>
      </c>
      <c r="O2517">
        <v>21.97</v>
      </c>
      <c r="P2517">
        <v>24.52</v>
      </c>
      <c r="Q2517">
        <v>19.82</v>
      </c>
      <c r="R2517">
        <v>13.55</v>
      </c>
    </row>
    <row r="2518">
      <c r="A2518" s="9">
        <v>41049</v>
      </c>
      <c r="B2518" s="2" t="inlineStr">
        <is>
          <t xml:space="preserve">2012-05</t>
        </is>
      </c>
      <c r="C2518" s="2" t="inlineStr">
        <is>
          <t xml:space="preserve">2011/12</t>
        </is>
      </c>
      <c r="D2518">
        <v>3.866</v>
      </c>
      <c r="E2518">
        <v>22.49</v>
      </c>
      <c r="F2518">
        <v>28.33</v>
      </c>
      <c r="G2518">
        <v>18.53</v>
      </c>
      <c r="H2518">
        <v>7.2</v>
      </c>
      <c r="I2518">
        <v>13.829</v>
      </c>
      <c r="J2518">
        <v>22.6</v>
      </c>
      <c r="K2518">
        <v>27.93</v>
      </c>
      <c r="L2518">
        <v>18.28</v>
      </c>
      <c r="M2518">
        <v>17.64</v>
      </c>
      <c r="N2518">
        <v>47.704</v>
      </c>
      <c r="O2518">
        <v>22.22</v>
      </c>
      <c r="P2518">
        <v>25.88</v>
      </c>
      <c r="Q2518">
        <v>19.52</v>
      </c>
      <c r="R2518">
        <v>21.53</v>
      </c>
    </row>
    <row r="2519">
      <c r="A2519" s="9">
        <v>41050</v>
      </c>
      <c r="B2519" s="2" t="inlineStr">
        <is>
          <t xml:space="preserve">2012-05</t>
        </is>
      </c>
      <c r="C2519" s="2" t="inlineStr">
        <is>
          <t xml:space="preserve">2011/12</t>
        </is>
      </c>
      <c r="D2519">
        <v>12.776</v>
      </c>
      <c r="E2519">
        <v>22.62</v>
      </c>
      <c r="F2519">
        <v>27.88</v>
      </c>
      <c r="G2519">
        <v>19.3</v>
      </c>
      <c r="H2519">
        <v>14.62</v>
      </c>
      <c r="I2519">
        <v>6.891</v>
      </c>
      <c r="J2519">
        <v>22.13</v>
      </c>
      <c r="K2519">
        <v>24.8</v>
      </c>
      <c r="L2519">
        <v>20.16</v>
      </c>
      <c r="M2519">
        <v>7.12</v>
      </c>
      <c r="N2519">
        <v>5.143</v>
      </c>
      <c r="O2519">
        <v>22.41</v>
      </c>
      <c r="P2519">
        <v>25.84</v>
      </c>
      <c r="Q2519">
        <v>19.98</v>
      </c>
      <c r="R2519">
        <v>6.43</v>
      </c>
    </row>
    <row r="2520">
      <c r="A2520" s="9">
        <v>41051</v>
      </c>
      <c r="B2520" s="2" t="inlineStr">
        <is>
          <t xml:space="preserve">2012-05</t>
        </is>
      </c>
      <c r="C2520" s="2" t="inlineStr">
        <is>
          <t xml:space="preserve">2011/12</t>
        </is>
      </c>
      <c r="D2520">
        <v>0.701</v>
      </c>
      <c r="E2520">
        <v>22.78</v>
      </c>
      <c r="F2520">
        <v>27.99</v>
      </c>
      <c r="G2520">
        <v>19.86</v>
      </c>
      <c r="H2520">
        <v>4.23</v>
      </c>
      <c r="I2520">
        <v>1.932</v>
      </c>
      <c r="J2520">
        <v>22.64</v>
      </c>
      <c r="K2520">
        <v>27.72</v>
      </c>
      <c r="L2520">
        <v>18.71</v>
      </c>
      <c r="M2520">
        <v>3.52</v>
      </c>
      <c r="N2520">
        <v>1.951</v>
      </c>
      <c r="O2520">
        <v>22.84</v>
      </c>
      <c r="P2520">
        <v>27.85</v>
      </c>
      <c r="Q2520">
        <v>18.95</v>
      </c>
      <c r="R2520">
        <v>8.78</v>
      </c>
    </row>
    <row r="2521">
      <c r="A2521" s="9">
        <v>41052</v>
      </c>
      <c r="B2521" s="2" t="inlineStr">
        <is>
          <t xml:space="preserve">2012-05</t>
        </is>
      </c>
      <c r="C2521" s="2" t="inlineStr">
        <is>
          <t xml:space="preserve">2011/12</t>
        </is>
      </c>
      <c r="D2521">
        <v>19.634</v>
      </c>
      <c r="E2521">
        <v>22.56</v>
      </c>
      <c r="F2521">
        <v>27.46</v>
      </c>
      <c r="G2521">
        <v>19.07</v>
      </c>
      <c r="H2521">
        <v>10.54</v>
      </c>
      <c r="I2521">
        <v>8.778</v>
      </c>
      <c r="J2521">
        <v>23.57</v>
      </c>
      <c r="K2521">
        <v>28.71</v>
      </c>
      <c r="L2521">
        <v>19.54</v>
      </c>
      <c r="M2521">
        <v>7.53</v>
      </c>
      <c r="N2521">
        <v>5.144</v>
      </c>
      <c r="O2521">
        <v>23.93</v>
      </c>
      <c r="P2521">
        <v>29.66</v>
      </c>
      <c r="Q2521">
        <v>19.08</v>
      </c>
      <c r="R2521">
        <v>5.26</v>
      </c>
    </row>
    <row r="2522">
      <c r="A2522" s="9">
        <v>41053</v>
      </c>
      <c r="B2522" s="2" t="inlineStr">
        <is>
          <t xml:space="preserve">2012-05</t>
        </is>
      </c>
      <c r="C2522" s="2" t="inlineStr">
        <is>
          <t xml:space="preserve">2011/12</t>
        </is>
      </c>
      <c r="D2522">
        <v>4.486</v>
      </c>
      <c r="E2522">
        <v>23.27</v>
      </c>
      <c r="F2522">
        <v>28.6</v>
      </c>
      <c r="G2522">
        <v>19.04</v>
      </c>
      <c r="H2522">
        <v>3.06</v>
      </c>
      <c r="I2522">
        <v>2.06</v>
      </c>
      <c r="J2522">
        <v>23.7</v>
      </c>
      <c r="K2522">
        <v>28.65</v>
      </c>
      <c r="L2522">
        <v>19.73</v>
      </c>
      <c r="M2522">
        <v>2.41</v>
      </c>
      <c r="N2522">
        <v>0.693</v>
      </c>
      <c r="O2522">
        <v>24.25</v>
      </c>
      <c r="P2522">
        <v>29.45</v>
      </c>
      <c r="Q2522">
        <v>19.84</v>
      </c>
      <c r="R2522">
        <v>1.65</v>
      </c>
    </row>
    <row r="2523">
      <c r="A2523" s="9">
        <v>41054</v>
      </c>
      <c r="B2523" s="2" t="inlineStr">
        <is>
          <t xml:space="preserve">2012-05</t>
        </is>
      </c>
      <c r="C2523" s="2" t="inlineStr">
        <is>
          <t xml:space="preserve">2011/12</t>
        </is>
      </c>
      <c r="D2523">
        <v>21.268</v>
      </c>
      <c r="E2523">
        <v>22.89</v>
      </c>
      <c r="F2523">
        <v>27.49</v>
      </c>
      <c r="G2523">
        <v>19.09</v>
      </c>
      <c r="H2523">
        <v>12.66</v>
      </c>
      <c r="I2523">
        <v>9.074</v>
      </c>
      <c r="J2523">
        <v>23.21</v>
      </c>
      <c r="K2523">
        <v>27.09</v>
      </c>
      <c r="L2523">
        <v>20.07</v>
      </c>
      <c r="M2523">
        <v>9.64</v>
      </c>
      <c r="N2523">
        <v>4.499</v>
      </c>
      <c r="O2523">
        <v>23.62</v>
      </c>
      <c r="P2523">
        <v>27.01</v>
      </c>
      <c r="Q2523">
        <v>21.28</v>
      </c>
      <c r="R2523">
        <v>6.36</v>
      </c>
    </row>
    <row r="2524">
      <c r="A2524" s="9">
        <v>41055</v>
      </c>
      <c r="B2524" s="2" t="inlineStr">
        <is>
          <t xml:space="preserve">2012-05</t>
        </is>
      </c>
      <c r="C2524" s="2" t="inlineStr">
        <is>
          <t xml:space="preserve">2011/12</t>
        </is>
      </c>
      <c r="D2524">
        <v>29.549</v>
      </c>
      <c r="E2524">
        <v>22.69</v>
      </c>
      <c r="F2524">
        <v>26.43</v>
      </c>
      <c r="G2524">
        <v>19.7</v>
      </c>
      <c r="H2524">
        <v>18.16</v>
      </c>
      <c r="I2524">
        <v>15.941</v>
      </c>
      <c r="J2524">
        <v>23.4</v>
      </c>
      <c r="K2524">
        <v>27.43</v>
      </c>
      <c r="L2524">
        <v>20.45</v>
      </c>
      <c r="M2524">
        <v>21.83</v>
      </c>
      <c r="N2524">
        <v>8.988</v>
      </c>
      <c r="O2524">
        <v>23.37</v>
      </c>
      <c r="P2524">
        <v>26.38</v>
      </c>
      <c r="Q2524">
        <v>21.16</v>
      </c>
      <c r="R2524">
        <v>16.05</v>
      </c>
    </row>
    <row r="2525">
      <c r="A2525" s="9">
        <v>41056</v>
      </c>
      <c r="B2525" s="2" t="inlineStr">
        <is>
          <t xml:space="preserve">2012-05</t>
        </is>
      </c>
      <c r="C2525" s="2" t="inlineStr">
        <is>
          <t xml:space="preserve">2011/12</t>
        </is>
      </c>
      <c r="D2525">
        <v>12.829</v>
      </c>
      <c r="E2525">
        <v>22.2</v>
      </c>
      <c r="F2525">
        <v>26.9</v>
      </c>
      <c r="G2525">
        <v>19.11</v>
      </c>
      <c r="H2525">
        <v>7.53</v>
      </c>
      <c r="I2525">
        <v>23.566</v>
      </c>
      <c r="J2525">
        <v>22.5</v>
      </c>
      <c r="K2525">
        <v>25.74</v>
      </c>
      <c r="L2525">
        <v>20.04</v>
      </c>
      <c r="M2525">
        <v>13.98</v>
      </c>
      <c r="N2525">
        <v>26.129</v>
      </c>
      <c r="O2525">
        <v>23.07</v>
      </c>
      <c r="P2525">
        <v>27.1</v>
      </c>
      <c r="Q2525">
        <v>20.45</v>
      </c>
      <c r="R2525">
        <v>14.5</v>
      </c>
    </row>
    <row r="2526">
      <c r="A2526" s="9">
        <v>41057</v>
      </c>
      <c r="B2526" s="2" t="inlineStr">
        <is>
          <t xml:space="preserve">2012-05</t>
        </is>
      </c>
      <c r="C2526" s="2" t="inlineStr">
        <is>
          <t xml:space="preserve">2011/12</t>
        </is>
      </c>
      <c r="D2526">
        <v>1.347</v>
      </c>
      <c r="E2526">
        <v>20.96</v>
      </c>
      <c r="F2526">
        <v>25.84</v>
      </c>
      <c r="G2526">
        <v>16.7</v>
      </c>
      <c r="H2526">
        <v>3.61</v>
      </c>
      <c r="I2526">
        <v>2.652</v>
      </c>
      <c r="J2526">
        <v>22.08</v>
      </c>
      <c r="K2526">
        <v>25.87</v>
      </c>
      <c r="L2526">
        <v>18.81</v>
      </c>
      <c r="M2526">
        <v>2.63</v>
      </c>
      <c r="N2526">
        <v>3.933</v>
      </c>
      <c r="O2526">
        <v>22.12</v>
      </c>
      <c r="P2526">
        <v>25.67</v>
      </c>
      <c r="Q2526">
        <v>19.78</v>
      </c>
      <c r="R2526">
        <v>3.76</v>
      </c>
    </row>
    <row r="2527">
      <c r="A2527" s="9">
        <v>41058</v>
      </c>
      <c r="B2527" s="2" t="inlineStr">
        <is>
          <t xml:space="preserve">2012-05</t>
        </is>
      </c>
      <c r="C2527" s="2" t="inlineStr">
        <is>
          <t xml:space="preserve">2011/12</t>
        </is>
      </c>
      <c r="D2527">
        <v>9.979</v>
      </c>
      <c r="E2527">
        <v>22.07</v>
      </c>
      <c r="F2527">
        <v>27.47</v>
      </c>
      <c r="G2527">
        <v>16.84</v>
      </c>
      <c r="H2527">
        <v>8.15</v>
      </c>
      <c r="I2527">
        <v>14.799</v>
      </c>
      <c r="J2527">
        <v>22.34</v>
      </c>
      <c r="K2527">
        <v>26.75</v>
      </c>
      <c r="L2527">
        <v>18.7</v>
      </c>
      <c r="M2527">
        <v>12.91</v>
      </c>
      <c r="N2527">
        <v>21.455</v>
      </c>
      <c r="O2527">
        <v>22.32</v>
      </c>
      <c r="P2527">
        <v>26.72</v>
      </c>
      <c r="Q2527">
        <v>19.09</v>
      </c>
      <c r="R2527">
        <v>12.55</v>
      </c>
    </row>
    <row r="2528">
      <c r="A2528" s="9">
        <v>41059</v>
      </c>
      <c r="B2528" s="2" t="inlineStr">
        <is>
          <t xml:space="preserve">2012-05</t>
        </is>
      </c>
      <c r="C2528" s="2" t="inlineStr">
        <is>
          <t xml:space="preserve">2011/12</t>
        </is>
      </c>
      <c r="D2528">
        <v>3.47</v>
      </c>
      <c r="E2528">
        <v>22.47</v>
      </c>
      <c r="F2528">
        <v>26.29</v>
      </c>
      <c r="G2528">
        <v>19.58</v>
      </c>
      <c r="H2528">
        <v>11.04</v>
      </c>
      <c r="I2528">
        <v>10.728</v>
      </c>
      <c r="J2528">
        <v>23.21</v>
      </c>
      <c r="K2528">
        <v>28.08</v>
      </c>
      <c r="L2528">
        <v>18.75</v>
      </c>
      <c r="M2528">
        <v>11.04</v>
      </c>
      <c r="N2528">
        <v>15.276</v>
      </c>
      <c r="O2528">
        <v>23.47</v>
      </c>
      <c r="P2528">
        <v>27.86</v>
      </c>
      <c r="Q2528">
        <v>19.43</v>
      </c>
      <c r="R2528">
        <v>10.81</v>
      </c>
    </row>
    <row r="2529">
      <c r="A2529" s="9">
        <v>41060</v>
      </c>
      <c r="B2529" s="2" t="inlineStr">
        <is>
          <t xml:space="preserve">2012-05</t>
        </is>
      </c>
      <c r="C2529" s="2" t="inlineStr">
        <is>
          <t xml:space="preserve">2011/12</t>
        </is>
      </c>
      <c r="D2529">
        <v>28.36</v>
      </c>
      <c r="E2529">
        <v>21.79</v>
      </c>
      <c r="F2529">
        <v>25.47</v>
      </c>
      <c r="G2529">
        <v>19.0</v>
      </c>
      <c r="H2529">
        <v>20.97</v>
      </c>
      <c r="I2529">
        <v>8.744</v>
      </c>
      <c r="J2529">
        <v>22.93</v>
      </c>
      <c r="K2529">
        <v>27.14</v>
      </c>
      <c r="L2529">
        <v>19.75</v>
      </c>
      <c r="M2529">
        <v>5.5</v>
      </c>
      <c r="N2529">
        <v>13.301</v>
      </c>
      <c r="O2529">
        <v>23.63</v>
      </c>
      <c r="P2529">
        <v>27.61</v>
      </c>
      <c r="Q2529">
        <v>20.1</v>
      </c>
      <c r="R2529">
        <v>5.69</v>
      </c>
    </row>
    <row r="2530">
      <c r="A2530" s="9">
        <v>41061</v>
      </c>
      <c r="B2530" s="2" t="inlineStr">
        <is>
          <t xml:space="preserve">2012-06</t>
        </is>
      </c>
      <c r="C2530" s="2" t="inlineStr">
        <is>
          <t xml:space="preserve">2011/12</t>
        </is>
      </c>
      <c r="D2530">
        <v>3.083</v>
      </c>
      <c r="E2530">
        <v>21.97</v>
      </c>
      <c r="F2530">
        <v>25.68</v>
      </c>
      <c r="G2530">
        <v>18.32</v>
      </c>
      <c r="H2530">
        <v>3.36</v>
      </c>
      <c r="I2530">
        <v>4.869</v>
      </c>
      <c r="J2530">
        <v>21.97</v>
      </c>
      <c r="K2530">
        <v>25.02</v>
      </c>
      <c r="L2530">
        <v>19.98</v>
      </c>
      <c r="M2530">
        <v>4.38</v>
      </c>
      <c r="N2530">
        <v>6.977</v>
      </c>
      <c r="O2530">
        <v>23.15</v>
      </c>
      <c r="P2530">
        <v>26.52</v>
      </c>
      <c r="Q2530">
        <v>20.38</v>
      </c>
      <c r="R2530">
        <v>4.82</v>
      </c>
    </row>
    <row r="2531">
      <c r="A2531" s="9">
        <v>41062</v>
      </c>
      <c r="B2531" s="2" t="inlineStr">
        <is>
          <t xml:space="preserve">2012-06</t>
        </is>
      </c>
      <c r="C2531" s="2" t="inlineStr">
        <is>
          <t xml:space="preserve">2011/12</t>
        </is>
      </c>
      <c r="D2531">
        <v>0.0</v>
      </c>
      <c r="E2531">
        <v>22.99</v>
      </c>
      <c r="F2531">
        <v>27.57</v>
      </c>
      <c r="G2531">
        <v>18.78</v>
      </c>
      <c r="H2531">
        <v>4.53</v>
      </c>
      <c r="I2531">
        <v>0.0</v>
      </c>
      <c r="J2531">
        <v>23.06</v>
      </c>
      <c r="K2531">
        <v>27.66</v>
      </c>
      <c r="L2531">
        <v>18.67</v>
      </c>
      <c r="M2531">
        <v>0.91</v>
      </c>
      <c r="N2531">
        <v>0.0</v>
      </c>
      <c r="O2531">
        <v>23.16</v>
      </c>
      <c r="P2531">
        <v>27.24</v>
      </c>
      <c r="Q2531">
        <v>19.93</v>
      </c>
      <c r="R2531">
        <v>1.26</v>
      </c>
    </row>
    <row r="2532">
      <c r="A2532" s="9">
        <v>41063</v>
      </c>
      <c r="B2532" s="2" t="inlineStr">
        <is>
          <t xml:space="preserve">2012-06</t>
        </is>
      </c>
      <c r="C2532" s="2" t="inlineStr">
        <is>
          <t xml:space="preserve">2011/12</t>
        </is>
      </c>
      <c r="D2532">
        <v>5.516</v>
      </c>
      <c r="E2532">
        <v>22.5</v>
      </c>
      <c r="F2532">
        <v>26.35</v>
      </c>
      <c r="G2532">
        <v>19.09</v>
      </c>
      <c r="H2532">
        <v>6.16</v>
      </c>
      <c r="I2532">
        <v>0.0</v>
      </c>
      <c r="J2532">
        <v>23.36</v>
      </c>
      <c r="K2532">
        <v>27.48</v>
      </c>
      <c r="L2532">
        <v>20.35</v>
      </c>
      <c r="M2532">
        <v>2.23</v>
      </c>
      <c r="N2532">
        <v>1.3</v>
      </c>
      <c r="O2532">
        <v>23.96</v>
      </c>
      <c r="P2532">
        <v>28.63</v>
      </c>
      <c r="Q2532">
        <v>20.77</v>
      </c>
      <c r="R2532">
        <v>2.8</v>
      </c>
    </row>
    <row r="2533">
      <c r="A2533" s="9">
        <v>41064</v>
      </c>
      <c r="B2533" s="2" t="inlineStr">
        <is>
          <t xml:space="preserve">2012-06</t>
        </is>
      </c>
      <c r="C2533" s="2" t="inlineStr">
        <is>
          <t xml:space="preserve">2011/12</t>
        </is>
      </c>
      <c r="D2533">
        <v>6.838</v>
      </c>
      <c r="E2533">
        <v>22.3</v>
      </c>
      <c r="F2533">
        <v>25.56</v>
      </c>
      <c r="G2533">
        <v>19.57</v>
      </c>
      <c r="H2533">
        <v>5.02</v>
      </c>
      <c r="I2533">
        <v>4.196</v>
      </c>
      <c r="J2533">
        <v>23.7</v>
      </c>
      <c r="K2533">
        <v>28.33</v>
      </c>
      <c r="L2533">
        <v>19.92</v>
      </c>
      <c r="M2533">
        <v>11.54</v>
      </c>
      <c r="N2533">
        <v>3.016</v>
      </c>
      <c r="O2533">
        <v>23.79</v>
      </c>
      <c r="P2533">
        <v>27.81</v>
      </c>
      <c r="Q2533">
        <v>21.2</v>
      </c>
      <c r="R2533">
        <v>11.8</v>
      </c>
    </row>
    <row r="2534">
      <c r="A2534" s="9">
        <v>41065</v>
      </c>
      <c r="B2534" s="2" t="inlineStr">
        <is>
          <t xml:space="preserve">2012-06</t>
        </is>
      </c>
      <c r="C2534" s="2" t="inlineStr">
        <is>
          <t xml:space="preserve">2011/12</t>
        </is>
      </c>
      <c r="D2534">
        <v>14.519</v>
      </c>
      <c r="E2534">
        <v>21.74</v>
      </c>
      <c r="F2534">
        <v>26.23</v>
      </c>
      <c r="G2534">
        <v>18.88</v>
      </c>
      <c r="H2534">
        <v>8.27</v>
      </c>
      <c r="I2534">
        <v>31.436</v>
      </c>
      <c r="J2534">
        <v>23.36</v>
      </c>
      <c r="K2534">
        <v>28.02</v>
      </c>
      <c r="L2534">
        <v>20.57</v>
      </c>
      <c r="M2534">
        <v>18.54</v>
      </c>
      <c r="N2534">
        <v>41.876</v>
      </c>
      <c r="O2534">
        <v>24.09</v>
      </c>
      <c r="P2534">
        <v>29.11</v>
      </c>
      <c r="Q2534">
        <v>20.58</v>
      </c>
      <c r="R2534">
        <v>17.56</v>
      </c>
    </row>
    <row r="2535">
      <c r="A2535" s="9">
        <v>41066</v>
      </c>
      <c r="B2535" s="2" t="inlineStr">
        <is>
          <t xml:space="preserve">2012-06</t>
        </is>
      </c>
      <c r="C2535" s="2" t="inlineStr">
        <is>
          <t xml:space="preserve">2011/12</t>
        </is>
      </c>
      <c r="D2535">
        <v>1.799</v>
      </c>
      <c r="E2535">
        <v>22.18</v>
      </c>
      <c r="F2535">
        <v>26.41</v>
      </c>
      <c r="G2535">
        <v>18.57</v>
      </c>
      <c r="H2535">
        <v>0.92</v>
      </c>
      <c r="I2535">
        <v>1.338</v>
      </c>
      <c r="J2535">
        <v>22.97</v>
      </c>
      <c r="K2535">
        <v>27.58</v>
      </c>
      <c r="L2535">
        <v>19.5</v>
      </c>
      <c r="M2535">
        <v>0.99</v>
      </c>
      <c r="N2535">
        <v>0.526</v>
      </c>
      <c r="O2535">
        <v>24.08</v>
      </c>
      <c r="P2535">
        <v>29.13</v>
      </c>
      <c r="Q2535">
        <v>19.83</v>
      </c>
      <c r="R2535">
        <v>0.91</v>
      </c>
    </row>
    <row r="2536">
      <c r="A2536" s="9">
        <v>41067</v>
      </c>
      <c r="B2536" s="2" t="inlineStr">
        <is>
          <t xml:space="preserve">2012-06</t>
        </is>
      </c>
      <c r="C2536" s="2" t="inlineStr">
        <is>
          <t xml:space="preserve">2011/12</t>
        </is>
      </c>
      <c r="D2536">
        <v>0.297</v>
      </c>
      <c r="E2536">
        <v>23.59</v>
      </c>
      <c r="F2536">
        <v>28.15</v>
      </c>
      <c r="G2536">
        <v>19.41</v>
      </c>
      <c r="H2536">
        <v>0.23</v>
      </c>
      <c r="I2536">
        <v>0.0</v>
      </c>
      <c r="J2536">
        <v>23.62</v>
      </c>
      <c r="K2536">
        <v>27.52</v>
      </c>
      <c r="L2536">
        <v>19.7</v>
      </c>
      <c r="M2536">
        <v>0.07</v>
      </c>
      <c r="N2536">
        <v>0.0</v>
      </c>
      <c r="O2536">
        <v>24.27</v>
      </c>
      <c r="P2536">
        <v>28.58</v>
      </c>
      <c r="Q2536">
        <v>20.03</v>
      </c>
      <c r="R2536">
        <v>0.1</v>
      </c>
    </row>
    <row r="2537">
      <c r="A2537" s="9">
        <v>41068</v>
      </c>
      <c r="B2537" s="2" t="inlineStr">
        <is>
          <t xml:space="preserve">2012-06</t>
        </is>
      </c>
      <c r="C2537" s="2" t="inlineStr">
        <is>
          <t xml:space="preserve">2011/12</t>
        </is>
      </c>
      <c r="D2537">
        <v>0.269</v>
      </c>
      <c r="E2537">
        <v>23.4</v>
      </c>
      <c r="F2537">
        <v>28.32</v>
      </c>
      <c r="G2537">
        <v>19.84</v>
      </c>
      <c r="H2537">
        <v>1.74</v>
      </c>
      <c r="I2537">
        <v>0.0</v>
      </c>
      <c r="J2537">
        <v>23.32</v>
      </c>
      <c r="K2537">
        <v>26.85</v>
      </c>
      <c r="L2537">
        <v>20.62</v>
      </c>
      <c r="M2537">
        <v>1.06</v>
      </c>
      <c r="N2537">
        <v>0.0</v>
      </c>
      <c r="O2537">
        <v>24.07</v>
      </c>
      <c r="P2537">
        <v>27.28</v>
      </c>
      <c r="Q2537">
        <v>22.13</v>
      </c>
      <c r="R2537">
        <v>0.77</v>
      </c>
    </row>
    <row r="2538">
      <c r="A2538" s="9">
        <v>41069</v>
      </c>
      <c r="B2538" s="2" t="inlineStr">
        <is>
          <t xml:space="preserve">2012-06</t>
        </is>
      </c>
      <c r="C2538" s="2" t="inlineStr">
        <is>
          <t xml:space="preserve">2011/12</t>
        </is>
      </c>
      <c r="D2538">
        <v>13.08</v>
      </c>
      <c r="E2538">
        <v>22.6</v>
      </c>
      <c r="F2538">
        <v>27.45</v>
      </c>
      <c r="G2538">
        <v>18.47</v>
      </c>
      <c r="H2538">
        <v>8.88</v>
      </c>
      <c r="I2538">
        <v>3.664</v>
      </c>
      <c r="J2538">
        <v>23.99</v>
      </c>
      <c r="K2538">
        <v>27.48</v>
      </c>
      <c r="L2538">
        <v>21.34</v>
      </c>
      <c r="M2538">
        <v>3.87</v>
      </c>
      <c r="N2538">
        <v>1.486</v>
      </c>
      <c r="O2538">
        <v>24.23</v>
      </c>
      <c r="P2538">
        <v>28.27</v>
      </c>
      <c r="Q2538">
        <v>21.78</v>
      </c>
      <c r="R2538">
        <v>2.54</v>
      </c>
    </row>
    <row r="2539">
      <c r="A2539" s="9">
        <v>41070</v>
      </c>
      <c r="B2539" s="2" t="inlineStr">
        <is>
          <t xml:space="preserve">2012-06</t>
        </is>
      </c>
      <c r="C2539" s="2" t="inlineStr">
        <is>
          <t xml:space="preserve">2011/12</t>
        </is>
      </c>
      <c r="D2539">
        <v>12.988</v>
      </c>
      <c r="E2539">
        <v>22.22</v>
      </c>
      <c r="F2539">
        <v>25.97</v>
      </c>
      <c r="G2539">
        <v>18.88</v>
      </c>
      <c r="H2539">
        <v>10.39</v>
      </c>
      <c r="I2539">
        <v>7.034</v>
      </c>
      <c r="J2539">
        <v>23.92</v>
      </c>
      <c r="K2539">
        <v>27.3</v>
      </c>
      <c r="L2539">
        <v>21.73</v>
      </c>
      <c r="M2539">
        <v>7.32</v>
      </c>
      <c r="N2539">
        <v>5.579</v>
      </c>
      <c r="O2539">
        <v>23.79</v>
      </c>
      <c r="P2539">
        <v>27.19</v>
      </c>
      <c r="Q2539">
        <v>21.65</v>
      </c>
      <c r="R2539">
        <v>6.38</v>
      </c>
    </row>
    <row r="2540">
      <c r="A2540" s="9">
        <v>41071</v>
      </c>
      <c r="B2540" s="2" t="inlineStr">
        <is>
          <t xml:space="preserve">2012-06</t>
        </is>
      </c>
      <c r="C2540" s="2" t="inlineStr">
        <is>
          <t xml:space="preserve">2011/12</t>
        </is>
      </c>
      <c r="D2540">
        <v>3.015</v>
      </c>
      <c r="E2540">
        <v>22.26</v>
      </c>
      <c r="F2540">
        <v>28.0</v>
      </c>
      <c r="G2540">
        <v>18.17</v>
      </c>
      <c r="H2540">
        <v>0.79</v>
      </c>
      <c r="I2540">
        <v>6.135</v>
      </c>
      <c r="J2540">
        <v>22.7</v>
      </c>
      <c r="K2540">
        <v>25.89</v>
      </c>
      <c r="L2540">
        <v>20.09</v>
      </c>
      <c r="M2540">
        <v>3.63</v>
      </c>
      <c r="N2540">
        <v>7.017</v>
      </c>
      <c r="O2540">
        <v>23.0</v>
      </c>
      <c r="P2540">
        <v>26.5</v>
      </c>
      <c r="Q2540">
        <v>20.73</v>
      </c>
      <c r="R2540">
        <v>3.12</v>
      </c>
    </row>
    <row r="2541">
      <c r="A2541" s="9">
        <v>41072</v>
      </c>
      <c r="B2541" s="2" t="inlineStr">
        <is>
          <t xml:space="preserve">2012-06</t>
        </is>
      </c>
      <c r="C2541" s="2" t="inlineStr">
        <is>
          <t xml:space="preserve">2011/12</t>
        </is>
      </c>
      <c r="D2541">
        <v>0.0</v>
      </c>
      <c r="E2541">
        <v>21.56</v>
      </c>
      <c r="F2541">
        <v>27.44</v>
      </c>
      <c r="G2541">
        <v>16.32</v>
      </c>
      <c r="H2541">
        <v>0.05</v>
      </c>
      <c r="I2541">
        <v>0.0</v>
      </c>
      <c r="J2541">
        <v>22.66</v>
      </c>
      <c r="K2541">
        <v>27.85</v>
      </c>
      <c r="L2541">
        <v>18.79</v>
      </c>
      <c r="M2541">
        <v>0.01</v>
      </c>
      <c r="N2541">
        <v>0.0</v>
      </c>
      <c r="O2541">
        <v>22.89</v>
      </c>
      <c r="P2541">
        <v>27.58</v>
      </c>
      <c r="Q2541">
        <v>19.43</v>
      </c>
      <c r="R2541">
        <v>0.08</v>
      </c>
    </row>
    <row r="2542">
      <c r="A2542" s="9">
        <v>41073</v>
      </c>
      <c r="B2542" s="2" t="inlineStr">
        <is>
          <t xml:space="preserve">2012-06</t>
        </is>
      </c>
      <c r="C2542" s="2" t="inlineStr">
        <is>
          <t xml:space="preserve">2011/12</t>
        </is>
      </c>
      <c r="D2542">
        <v>0.22</v>
      </c>
      <c r="E2542">
        <v>21.81</v>
      </c>
      <c r="F2542">
        <v>26.69</v>
      </c>
      <c r="G2542">
        <v>17.76</v>
      </c>
      <c r="H2542">
        <v>0.82</v>
      </c>
      <c r="I2542">
        <v>0.0</v>
      </c>
      <c r="J2542">
        <v>21.8</v>
      </c>
      <c r="K2542">
        <v>26.09</v>
      </c>
      <c r="L2542">
        <v>18.36</v>
      </c>
      <c r="M2542">
        <v>0.32</v>
      </c>
      <c r="N2542">
        <v>0.0</v>
      </c>
      <c r="O2542">
        <v>22.08</v>
      </c>
      <c r="P2542">
        <v>26.15</v>
      </c>
      <c r="Q2542">
        <v>19.05</v>
      </c>
      <c r="R2542">
        <v>0.34</v>
      </c>
    </row>
    <row r="2543">
      <c r="A2543" s="9">
        <v>41074</v>
      </c>
      <c r="B2543" s="2" t="inlineStr">
        <is>
          <t xml:space="preserve">2012-06</t>
        </is>
      </c>
      <c r="C2543" s="2" t="inlineStr">
        <is>
          <t xml:space="preserve">2011/12</t>
        </is>
      </c>
      <c r="D2543">
        <v>4.976</v>
      </c>
      <c r="E2543">
        <v>21.67</v>
      </c>
      <c r="F2543">
        <v>26.55</v>
      </c>
      <c r="G2543">
        <v>16.92</v>
      </c>
      <c r="H2543">
        <v>5.81</v>
      </c>
      <c r="I2543">
        <v>0.376</v>
      </c>
      <c r="J2543">
        <v>22.71</v>
      </c>
      <c r="K2543">
        <v>27.16</v>
      </c>
      <c r="L2543">
        <v>19.49</v>
      </c>
      <c r="M2543">
        <v>6.39</v>
      </c>
      <c r="N2543">
        <v>1.228</v>
      </c>
      <c r="O2543">
        <v>23.44</v>
      </c>
      <c r="P2543">
        <v>28.36</v>
      </c>
      <c r="Q2543">
        <v>19.81</v>
      </c>
      <c r="R2543">
        <v>11.53</v>
      </c>
    </row>
    <row r="2544">
      <c r="A2544" s="9">
        <v>41075</v>
      </c>
      <c r="B2544" s="2" t="inlineStr">
        <is>
          <t xml:space="preserve">2012-06</t>
        </is>
      </c>
      <c r="C2544" s="2" t="inlineStr">
        <is>
          <t xml:space="preserve">2011/12</t>
        </is>
      </c>
      <c r="D2544">
        <v>11.271</v>
      </c>
      <c r="E2544">
        <v>22.17</v>
      </c>
      <c r="F2544">
        <v>26.57</v>
      </c>
      <c r="G2544">
        <v>18.25</v>
      </c>
      <c r="H2544">
        <v>8.19</v>
      </c>
      <c r="I2544">
        <v>7.105</v>
      </c>
      <c r="J2544">
        <v>23.1</v>
      </c>
      <c r="K2544">
        <v>28.48</v>
      </c>
      <c r="L2544">
        <v>18.62</v>
      </c>
      <c r="M2544">
        <v>5.14</v>
      </c>
      <c r="N2544">
        <v>6.781</v>
      </c>
      <c r="O2544">
        <v>23.48</v>
      </c>
      <c r="P2544">
        <v>28.88</v>
      </c>
      <c r="Q2544">
        <v>19.55</v>
      </c>
      <c r="R2544">
        <v>9.77</v>
      </c>
    </row>
    <row r="2545">
      <c r="A2545" s="9">
        <v>41076</v>
      </c>
      <c r="B2545" s="2" t="inlineStr">
        <is>
          <t xml:space="preserve">2012-06</t>
        </is>
      </c>
      <c r="C2545" s="2" t="inlineStr">
        <is>
          <t xml:space="preserve">2011/12</t>
        </is>
      </c>
      <c r="D2545">
        <v>8.414</v>
      </c>
      <c r="E2545">
        <v>21.95</v>
      </c>
      <c r="F2545">
        <v>25.97</v>
      </c>
      <c r="G2545">
        <v>18.77</v>
      </c>
      <c r="H2545">
        <v>5.35</v>
      </c>
      <c r="I2545">
        <v>3.928</v>
      </c>
      <c r="J2545">
        <v>23.08</v>
      </c>
      <c r="K2545">
        <v>28.05</v>
      </c>
      <c r="L2545">
        <v>18.69</v>
      </c>
      <c r="M2545">
        <v>5.13</v>
      </c>
      <c r="N2545">
        <v>2.369</v>
      </c>
      <c r="O2545">
        <v>23.05</v>
      </c>
      <c r="P2545">
        <v>26.89</v>
      </c>
      <c r="Q2545">
        <v>20.91</v>
      </c>
      <c r="R2545">
        <v>6.59</v>
      </c>
    </row>
    <row r="2546">
      <c r="A2546" s="9">
        <v>41077</v>
      </c>
      <c r="B2546" s="2" t="inlineStr">
        <is>
          <t xml:space="preserve">2012-06</t>
        </is>
      </c>
      <c r="C2546" s="2" t="inlineStr">
        <is>
          <t xml:space="preserve">2011/12</t>
        </is>
      </c>
      <c r="D2546">
        <v>1.786</v>
      </c>
      <c r="E2546">
        <v>21.62</v>
      </c>
      <c r="F2546">
        <v>25.44</v>
      </c>
      <c r="G2546">
        <v>19.38</v>
      </c>
      <c r="H2546">
        <v>7.93</v>
      </c>
      <c r="I2546">
        <v>3.104</v>
      </c>
      <c r="J2546">
        <v>22.64</v>
      </c>
      <c r="K2546">
        <v>26.57</v>
      </c>
      <c r="L2546">
        <v>19.68</v>
      </c>
      <c r="M2546">
        <v>4.73</v>
      </c>
      <c r="N2546">
        <v>4.393</v>
      </c>
      <c r="O2546">
        <v>22.85</v>
      </c>
      <c r="P2546">
        <v>26.91</v>
      </c>
      <c r="Q2546">
        <v>20.23</v>
      </c>
      <c r="R2546">
        <v>6.92</v>
      </c>
    </row>
    <row r="2547">
      <c r="A2547" s="9">
        <v>41078</v>
      </c>
      <c r="B2547" s="2" t="inlineStr">
        <is>
          <t xml:space="preserve">2012-06</t>
        </is>
      </c>
      <c r="C2547" s="2" t="inlineStr">
        <is>
          <t xml:space="preserve">2011/12</t>
        </is>
      </c>
      <c r="D2547">
        <v>16.174</v>
      </c>
      <c r="E2547">
        <v>21.03</v>
      </c>
      <c r="F2547">
        <v>24.12</v>
      </c>
      <c r="G2547">
        <v>19.23</v>
      </c>
      <c r="H2547">
        <v>10.73</v>
      </c>
      <c r="I2547">
        <v>8.436</v>
      </c>
      <c r="J2547">
        <v>21.36</v>
      </c>
      <c r="K2547">
        <v>24.81</v>
      </c>
      <c r="L2547">
        <v>19.48</v>
      </c>
      <c r="M2547">
        <v>9.18</v>
      </c>
      <c r="N2547">
        <v>8.318</v>
      </c>
      <c r="O2547">
        <v>21.88</v>
      </c>
      <c r="P2547">
        <v>24.98</v>
      </c>
      <c r="Q2547">
        <v>19.95</v>
      </c>
      <c r="R2547">
        <v>9.31</v>
      </c>
    </row>
    <row r="2548">
      <c r="A2548" s="9">
        <v>41079</v>
      </c>
      <c r="B2548" s="2" t="inlineStr">
        <is>
          <t xml:space="preserve">2012-06</t>
        </is>
      </c>
      <c r="C2548" s="2" t="inlineStr">
        <is>
          <t xml:space="preserve">2011/12</t>
        </is>
      </c>
      <c r="D2548">
        <v>5.294</v>
      </c>
      <c r="E2548">
        <v>22.0</v>
      </c>
      <c r="F2548">
        <v>26.91</v>
      </c>
      <c r="G2548">
        <v>17.48</v>
      </c>
      <c r="H2548">
        <v>2.17</v>
      </c>
      <c r="I2548">
        <v>6.345</v>
      </c>
      <c r="J2548">
        <v>21.66</v>
      </c>
      <c r="K2548">
        <v>25.31</v>
      </c>
      <c r="L2548">
        <v>19.1</v>
      </c>
      <c r="M2548">
        <v>4.49</v>
      </c>
      <c r="N2548">
        <v>0.897</v>
      </c>
      <c r="O2548">
        <v>23.23</v>
      </c>
      <c r="P2548">
        <v>28.58</v>
      </c>
      <c r="Q2548">
        <v>19.15</v>
      </c>
      <c r="R2548">
        <v>1.39</v>
      </c>
    </row>
    <row r="2549">
      <c r="A2549" s="9">
        <v>41080</v>
      </c>
      <c r="B2549" s="2" t="inlineStr">
        <is>
          <t xml:space="preserve">2012-06</t>
        </is>
      </c>
      <c r="C2549" s="2" t="inlineStr">
        <is>
          <t xml:space="preserve">2011/12</t>
        </is>
      </c>
      <c r="D2549">
        <v>0.587</v>
      </c>
      <c r="E2549">
        <v>22.88</v>
      </c>
      <c r="F2549">
        <v>28.24</v>
      </c>
      <c r="G2549">
        <v>17.6</v>
      </c>
      <c r="H2549">
        <v>0.48</v>
      </c>
      <c r="I2549">
        <v>2.454</v>
      </c>
      <c r="J2549">
        <v>23.03</v>
      </c>
      <c r="K2549">
        <v>28.18</v>
      </c>
      <c r="L2549">
        <v>18.8</v>
      </c>
      <c r="M2549">
        <v>2.52</v>
      </c>
      <c r="N2549">
        <v>0.488</v>
      </c>
      <c r="O2549">
        <v>24.04</v>
      </c>
      <c r="P2549">
        <v>29.5</v>
      </c>
      <c r="Q2549">
        <v>19.32</v>
      </c>
      <c r="R2549">
        <v>2.98</v>
      </c>
    </row>
    <row r="2550">
      <c r="A2550" s="9">
        <v>41081</v>
      </c>
      <c r="B2550" s="2" t="inlineStr">
        <is>
          <t xml:space="preserve">2012-06</t>
        </is>
      </c>
      <c r="C2550" s="2" t="inlineStr">
        <is>
          <t xml:space="preserve">2011/12</t>
        </is>
      </c>
      <c r="D2550">
        <v>0.0</v>
      </c>
      <c r="E2550">
        <v>23.43</v>
      </c>
      <c r="F2550">
        <v>27.45</v>
      </c>
      <c r="G2550">
        <v>19.91</v>
      </c>
      <c r="H2550">
        <v>2.84</v>
      </c>
      <c r="I2550">
        <v>0.0</v>
      </c>
      <c r="J2550">
        <v>22.91</v>
      </c>
      <c r="K2550">
        <v>26.45</v>
      </c>
      <c r="L2550">
        <v>20.01</v>
      </c>
      <c r="M2550">
        <v>9.38</v>
      </c>
      <c r="N2550">
        <v>0.0</v>
      </c>
      <c r="O2550">
        <v>23.58</v>
      </c>
      <c r="P2550">
        <v>26.94</v>
      </c>
      <c r="Q2550">
        <v>20.66</v>
      </c>
      <c r="R2550">
        <v>13.63</v>
      </c>
    </row>
    <row r="2551">
      <c r="A2551" s="9">
        <v>41082</v>
      </c>
      <c r="B2551" s="2" t="inlineStr">
        <is>
          <t xml:space="preserve">2012-06</t>
        </is>
      </c>
      <c r="C2551" s="2" t="inlineStr">
        <is>
          <t xml:space="preserve">2011/12</t>
        </is>
      </c>
      <c r="D2551">
        <v>0.719</v>
      </c>
      <c r="E2551">
        <v>23.05</v>
      </c>
      <c r="F2551">
        <v>28.02</v>
      </c>
      <c r="G2551">
        <v>19.2</v>
      </c>
      <c r="H2551">
        <v>1.92</v>
      </c>
      <c r="I2551">
        <v>15.474</v>
      </c>
      <c r="J2551">
        <v>22.72</v>
      </c>
      <c r="K2551">
        <v>27.17</v>
      </c>
      <c r="L2551">
        <v>19.79</v>
      </c>
      <c r="M2551">
        <v>10.02</v>
      </c>
      <c r="N2551">
        <v>40.775</v>
      </c>
      <c r="O2551">
        <v>23.32</v>
      </c>
      <c r="P2551">
        <v>27.45</v>
      </c>
      <c r="Q2551">
        <v>20.27</v>
      </c>
      <c r="R2551">
        <v>11.02</v>
      </c>
    </row>
    <row r="2552">
      <c r="A2552" s="9">
        <v>41083</v>
      </c>
      <c r="B2552" s="2" t="inlineStr">
        <is>
          <t xml:space="preserve">2012-06</t>
        </is>
      </c>
      <c r="C2552" s="2" t="inlineStr">
        <is>
          <t xml:space="preserve">2011/12</t>
        </is>
      </c>
      <c r="D2552">
        <v>1.203</v>
      </c>
      <c r="E2552">
        <v>21.76</v>
      </c>
      <c r="F2552">
        <v>25.92</v>
      </c>
      <c r="G2552">
        <v>18.49</v>
      </c>
      <c r="H2552">
        <v>1.04</v>
      </c>
      <c r="I2552">
        <v>0.0</v>
      </c>
      <c r="J2552">
        <v>21.65</v>
      </c>
      <c r="K2552">
        <v>25.45</v>
      </c>
      <c r="L2552">
        <v>18.93</v>
      </c>
      <c r="M2552">
        <v>0.3</v>
      </c>
      <c r="N2552">
        <v>0.0</v>
      </c>
      <c r="O2552">
        <v>23.01</v>
      </c>
      <c r="P2552">
        <v>27.89</v>
      </c>
      <c r="Q2552">
        <v>19.77</v>
      </c>
      <c r="R2552">
        <v>0.72</v>
      </c>
    </row>
    <row r="2553">
      <c r="A2553" s="9">
        <v>41084</v>
      </c>
      <c r="B2553" s="2" t="inlineStr">
        <is>
          <t xml:space="preserve">2012-06</t>
        </is>
      </c>
      <c r="C2553" s="2" t="inlineStr">
        <is>
          <t xml:space="preserve">2011/12</t>
        </is>
      </c>
      <c r="D2553">
        <v>0.475</v>
      </c>
      <c r="E2553">
        <v>22.96</v>
      </c>
      <c r="F2553">
        <v>28.61</v>
      </c>
      <c r="G2553">
        <v>18.14</v>
      </c>
      <c r="H2553">
        <v>0.46</v>
      </c>
      <c r="I2553">
        <v>0.844</v>
      </c>
      <c r="J2553">
        <v>22.86</v>
      </c>
      <c r="K2553">
        <v>28.4</v>
      </c>
      <c r="L2553">
        <v>18.18</v>
      </c>
      <c r="M2553">
        <v>0.64</v>
      </c>
      <c r="N2553">
        <v>0.0</v>
      </c>
      <c r="O2553">
        <v>23.63</v>
      </c>
      <c r="P2553">
        <v>29.0</v>
      </c>
      <c r="Q2553">
        <v>18.6</v>
      </c>
      <c r="R2553">
        <v>1.08</v>
      </c>
    </row>
    <row r="2554">
      <c r="A2554" s="9">
        <v>41085</v>
      </c>
      <c r="B2554" s="2" t="inlineStr">
        <is>
          <t xml:space="preserve">2012-06</t>
        </is>
      </c>
      <c r="C2554" s="2" t="inlineStr">
        <is>
          <t xml:space="preserve">2011/12</t>
        </is>
      </c>
      <c r="D2554">
        <v>0.125</v>
      </c>
      <c r="E2554">
        <v>22.88</v>
      </c>
      <c r="F2554">
        <v>28.32</v>
      </c>
      <c r="G2554">
        <v>18.52</v>
      </c>
      <c r="H2554">
        <v>1.88</v>
      </c>
      <c r="I2554">
        <v>0.0</v>
      </c>
      <c r="J2554">
        <v>23.14</v>
      </c>
      <c r="K2554">
        <v>28.14</v>
      </c>
      <c r="L2554">
        <v>18.96</v>
      </c>
      <c r="M2554">
        <v>1.28</v>
      </c>
      <c r="N2554">
        <v>0.0</v>
      </c>
      <c r="O2554">
        <v>24.18</v>
      </c>
      <c r="P2554">
        <v>29.47</v>
      </c>
      <c r="Q2554">
        <v>19.88</v>
      </c>
      <c r="R2554">
        <v>4.97</v>
      </c>
    </row>
    <row r="2555">
      <c r="A2555" s="9">
        <v>41086</v>
      </c>
      <c r="B2555" s="2" t="inlineStr">
        <is>
          <t xml:space="preserve">2012-06</t>
        </is>
      </c>
      <c r="C2555" s="2" t="inlineStr">
        <is>
          <t xml:space="preserve">2011/12</t>
        </is>
      </c>
      <c r="D2555">
        <v>0.924</v>
      </c>
      <c r="E2555">
        <v>22.81</v>
      </c>
      <c r="F2555">
        <v>28.64</v>
      </c>
      <c r="G2555">
        <v>18.42</v>
      </c>
      <c r="H2555">
        <v>2.56</v>
      </c>
      <c r="I2555">
        <v>0.449</v>
      </c>
      <c r="J2555">
        <v>23.05</v>
      </c>
      <c r="K2555">
        <v>27.44</v>
      </c>
      <c r="L2555">
        <v>19.97</v>
      </c>
      <c r="M2555">
        <v>2.7</v>
      </c>
      <c r="N2555">
        <v>2.08</v>
      </c>
      <c r="O2555">
        <v>23.71</v>
      </c>
      <c r="P2555">
        <v>28.64</v>
      </c>
      <c r="Q2555">
        <v>20.3</v>
      </c>
      <c r="R2555">
        <v>6.86</v>
      </c>
    </row>
    <row r="2556">
      <c r="A2556" s="9">
        <v>41087</v>
      </c>
      <c r="B2556" s="2" t="inlineStr">
        <is>
          <t xml:space="preserve">2012-06</t>
        </is>
      </c>
      <c r="C2556" s="2" t="inlineStr">
        <is>
          <t xml:space="preserve">2011/12</t>
        </is>
      </c>
      <c r="D2556">
        <v>0.43</v>
      </c>
      <c r="E2556">
        <v>23.24</v>
      </c>
      <c r="F2556">
        <v>28.71</v>
      </c>
      <c r="G2556">
        <v>18.19</v>
      </c>
      <c r="H2556">
        <v>0.66</v>
      </c>
      <c r="I2556">
        <v>1.572</v>
      </c>
      <c r="J2556">
        <v>23.35</v>
      </c>
      <c r="K2556">
        <v>28.27</v>
      </c>
      <c r="L2556">
        <v>19.52</v>
      </c>
      <c r="M2556">
        <v>1.19</v>
      </c>
      <c r="N2556">
        <v>1.073</v>
      </c>
      <c r="O2556">
        <v>24.19</v>
      </c>
      <c r="P2556">
        <v>29.5</v>
      </c>
      <c r="Q2556">
        <v>20.02</v>
      </c>
      <c r="R2556">
        <v>0.74</v>
      </c>
    </row>
    <row r="2557">
      <c r="A2557" s="9">
        <v>41088</v>
      </c>
      <c r="B2557" s="2" t="inlineStr">
        <is>
          <t xml:space="preserve">2012-06</t>
        </is>
      </c>
      <c r="C2557" s="2" t="inlineStr">
        <is>
          <t xml:space="preserve">2011/12</t>
        </is>
      </c>
      <c r="D2557">
        <v>0.266</v>
      </c>
      <c r="E2557">
        <v>23.33</v>
      </c>
      <c r="F2557">
        <v>28.12</v>
      </c>
      <c r="G2557">
        <v>19.24</v>
      </c>
      <c r="H2557">
        <v>1.53</v>
      </c>
      <c r="I2557">
        <v>0.0</v>
      </c>
      <c r="J2557">
        <v>23.55</v>
      </c>
      <c r="K2557">
        <v>27.59</v>
      </c>
      <c r="L2557">
        <v>19.78</v>
      </c>
      <c r="M2557">
        <v>0.77</v>
      </c>
      <c r="N2557">
        <v>0.362</v>
      </c>
      <c r="O2557">
        <v>23.87</v>
      </c>
      <c r="P2557">
        <v>27.6</v>
      </c>
      <c r="Q2557">
        <v>20.8</v>
      </c>
      <c r="R2557">
        <v>1.53</v>
      </c>
    </row>
    <row r="2558">
      <c r="A2558" s="9">
        <v>41089</v>
      </c>
      <c r="B2558" s="2" t="inlineStr">
        <is>
          <t xml:space="preserve">2012-06</t>
        </is>
      </c>
      <c r="C2558" s="2" t="inlineStr">
        <is>
          <t xml:space="preserve">2011/12</t>
        </is>
      </c>
      <c r="D2558">
        <v>0.156</v>
      </c>
      <c r="E2558">
        <v>21.95</v>
      </c>
      <c r="F2558">
        <v>27.26</v>
      </c>
      <c r="G2558">
        <v>17.74</v>
      </c>
      <c r="H2558">
        <v>0.38</v>
      </c>
      <c r="I2558">
        <v>0.839</v>
      </c>
      <c r="J2558">
        <v>23.82</v>
      </c>
      <c r="K2558">
        <v>28.2</v>
      </c>
      <c r="L2558">
        <v>20.22</v>
      </c>
      <c r="M2558">
        <v>2.28</v>
      </c>
      <c r="N2558">
        <v>1.364</v>
      </c>
      <c r="O2558">
        <v>23.66</v>
      </c>
      <c r="P2558">
        <v>28.56</v>
      </c>
      <c r="Q2558">
        <v>20.54</v>
      </c>
      <c r="R2558">
        <v>2.28</v>
      </c>
    </row>
    <row r="2559">
      <c r="A2559" s="9">
        <v>41090</v>
      </c>
      <c r="B2559" s="2" t="inlineStr">
        <is>
          <t xml:space="preserve">2012-06</t>
        </is>
      </c>
      <c r="C2559" s="2" t="inlineStr">
        <is>
          <t xml:space="preserve">2011/12</t>
        </is>
      </c>
      <c r="D2559">
        <v>0.0</v>
      </c>
      <c r="E2559">
        <v>21.46</v>
      </c>
      <c r="F2559">
        <v>27.41</v>
      </c>
      <c r="G2559">
        <v>16.72</v>
      </c>
      <c r="H2559">
        <v>0.46</v>
      </c>
      <c r="I2559">
        <v>2.908</v>
      </c>
      <c r="J2559">
        <v>23.25</v>
      </c>
      <c r="K2559">
        <v>27.85</v>
      </c>
      <c r="L2559">
        <v>19.86</v>
      </c>
      <c r="M2559">
        <v>1.86</v>
      </c>
      <c r="N2559">
        <v>0.0</v>
      </c>
      <c r="O2559">
        <v>22.72</v>
      </c>
      <c r="P2559">
        <v>27.63</v>
      </c>
      <c r="Q2559">
        <v>19.36</v>
      </c>
      <c r="R2559">
        <v>1.46</v>
      </c>
    </row>
    <row r="2560">
      <c r="A2560" s="9">
        <v>41091</v>
      </c>
      <c r="B2560" s="2" t="inlineStr">
        <is>
          <t xml:space="preserve">2012-07</t>
        </is>
      </c>
      <c r="C2560" s="2" t="inlineStr">
        <is>
          <t xml:space="preserve">2012/13</t>
        </is>
      </c>
      <c r="D2560">
        <v>0.74</v>
      </c>
      <c r="E2560">
        <v>21.83</v>
      </c>
      <c r="F2560">
        <v>26.88</v>
      </c>
      <c r="G2560">
        <v>17.8</v>
      </c>
      <c r="H2560">
        <v>1.35</v>
      </c>
      <c r="I2560">
        <v>3.941</v>
      </c>
      <c r="J2560">
        <v>22.41</v>
      </c>
      <c r="K2560">
        <v>25.64</v>
      </c>
      <c r="L2560">
        <v>20.02</v>
      </c>
      <c r="M2560">
        <v>3.17</v>
      </c>
      <c r="N2560">
        <v>0.0</v>
      </c>
      <c r="O2560">
        <v>22.65</v>
      </c>
      <c r="P2560">
        <v>26.16</v>
      </c>
      <c r="Q2560">
        <v>20.4</v>
      </c>
      <c r="R2560">
        <v>1.17</v>
      </c>
    </row>
    <row r="2561">
      <c r="A2561" s="9">
        <v>41092</v>
      </c>
      <c r="B2561" s="2" t="inlineStr">
        <is>
          <t xml:space="preserve">2012-07</t>
        </is>
      </c>
      <c r="C2561" s="2" t="inlineStr">
        <is>
          <t xml:space="preserve">2012/13</t>
        </is>
      </c>
      <c r="D2561">
        <v>1.125</v>
      </c>
      <c r="E2561">
        <v>22.56</v>
      </c>
      <c r="F2561">
        <v>28.83</v>
      </c>
      <c r="G2561">
        <v>16.89</v>
      </c>
      <c r="H2561">
        <v>3.26</v>
      </c>
      <c r="I2561">
        <v>0.0</v>
      </c>
      <c r="J2561">
        <v>22.85</v>
      </c>
      <c r="K2561">
        <v>27.14</v>
      </c>
      <c r="L2561">
        <v>20.0</v>
      </c>
      <c r="M2561">
        <v>1.2</v>
      </c>
      <c r="N2561">
        <v>0.0</v>
      </c>
      <c r="O2561">
        <v>22.92</v>
      </c>
      <c r="P2561">
        <v>27.06</v>
      </c>
      <c r="Q2561">
        <v>20.04</v>
      </c>
      <c r="R2561">
        <v>0.76</v>
      </c>
    </row>
    <row r="2562">
      <c r="A2562" s="9">
        <v>41093</v>
      </c>
      <c r="B2562" s="2" t="inlineStr">
        <is>
          <t xml:space="preserve">2012-07</t>
        </is>
      </c>
      <c r="C2562" s="2" t="inlineStr">
        <is>
          <t xml:space="preserve">2012/13</t>
        </is>
      </c>
      <c r="D2562">
        <v>6.459</v>
      </c>
      <c r="E2562">
        <v>22.1</v>
      </c>
      <c r="F2562">
        <v>26.66</v>
      </c>
      <c r="G2562">
        <v>18.45</v>
      </c>
      <c r="H2562">
        <v>4.34</v>
      </c>
      <c r="I2562">
        <v>2.572</v>
      </c>
      <c r="J2562">
        <v>23.11</v>
      </c>
      <c r="K2562">
        <v>27.44</v>
      </c>
      <c r="L2562">
        <v>20.18</v>
      </c>
      <c r="M2562">
        <v>3.84</v>
      </c>
      <c r="N2562">
        <v>1.227</v>
      </c>
      <c r="O2562">
        <v>22.82</v>
      </c>
      <c r="P2562">
        <v>26.09</v>
      </c>
      <c r="Q2562">
        <v>20.93</v>
      </c>
      <c r="R2562">
        <v>10.36</v>
      </c>
    </row>
    <row r="2563">
      <c r="A2563" s="9">
        <v>41094</v>
      </c>
      <c r="B2563" s="2" t="inlineStr">
        <is>
          <t xml:space="preserve">2012-07</t>
        </is>
      </c>
      <c r="C2563" s="2" t="inlineStr">
        <is>
          <t xml:space="preserve">2012/13</t>
        </is>
      </c>
      <c r="D2563">
        <v>0.0</v>
      </c>
      <c r="E2563">
        <v>21.9</v>
      </c>
      <c r="F2563">
        <v>27.37</v>
      </c>
      <c r="G2563">
        <v>17.17</v>
      </c>
      <c r="H2563">
        <v>2.33</v>
      </c>
      <c r="I2563">
        <v>4.699</v>
      </c>
      <c r="J2563">
        <v>21.82</v>
      </c>
      <c r="K2563">
        <v>25.08</v>
      </c>
      <c r="L2563">
        <v>19.57</v>
      </c>
      <c r="M2563">
        <v>14.13</v>
      </c>
      <c r="N2563">
        <v>3.936</v>
      </c>
      <c r="O2563">
        <v>22.19</v>
      </c>
      <c r="P2563">
        <v>25.58</v>
      </c>
      <c r="Q2563">
        <v>20.01</v>
      </c>
      <c r="R2563">
        <v>23.66</v>
      </c>
    </row>
    <row r="2564">
      <c r="A2564" s="9">
        <v>41095</v>
      </c>
      <c r="B2564" s="2" t="inlineStr">
        <is>
          <t xml:space="preserve">2012-07</t>
        </is>
      </c>
      <c r="C2564" s="2" t="inlineStr">
        <is>
          <t xml:space="preserve">2012/13</t>
        </is>
      </c>
      <c r="D2564">
        <v>4.748</v>
      </c>
      <c r="E2564">
        <v>21.47</v>
      </c>
      <c r="F2564">
        <v>27.08</v>
      </c>
      <c r="G2564">
        <v>17.75</v>
      </c>
      <c r="H2564">
        <v>4.84</v>
      </c>
      <c r="I2564">
        <v>10.166</v>
      </c>
      <c r="J2564">
        <v>22.02</v>
      </c>
      <c r="K2564">
        <v>26.52</v>
      </c>
      <c r="L2564">
        <v>18.55</v>
      </c>
      <c r="M2564">
        <v>3.36</v>
      </c>
      <c r="N2564">
        <v>14.286</v>
      </c>
      <c r="O2564">
        <v>22.2</v>
      </c>
      <c r="P2564">
        <v>26.27</v>
      </c>
      <c r="Q2564">
        <v>19.56</v>
      </c>
      <c r="R2564">
        <v>5.88</v>
      </c>
    </row>
    <row r="2565">
      <c r="A2565" s="9">
        <v>41096</v>
      </c>
      <c r="B2565" s="2" t="inlineStr">
        <is>
          <t xml:space="preserve">2012-07</t>
        </is>
      </c>
      <c r="C2565" s="2" t="inlineStr">
        <is>
          <t xml:space="preserve">2012/13</t>
        </is>
      </c>
      <c r="D2565">
        <v>0.0</v>
      </c>
      <c r="E2565">
        <v>21.39</v>
      </c>
      <c r="F2565">
        <v>27.58</v>
      </c>
      <c r="G2565">
        <v>16.27</v>
      </c>
      <c r="H2565">
        <v>0.61</v>
      </c>
      <c r="I2565">
        <v>0.264</v>
      </c>
      <c r="J2565">
        <v>22.05</v>
      </c>
      <c r="K2565">
        <v>26.63</v>
      </c>
      <c r="L2565">
        <v>18.22</v>
      </c>
      <c r="M2565">
        <v>0.62</v>
      </c>
      <c r="N2565">
        <v>0.432</v>
      </c>
      <c r="O2565">
        <v>22.13</v>
      </c>
      <c r="P2565">
        <v>26.21</v>
      </c>
      <c r="Q2565">
        <v>19.24</v>
      </c>
      <c r="R2565">
        <v>1.28</v>
      </c>
    </row>
    <row r="2566">
      <c r="A2566" s="9">
        <v>41097</v>
      </c>
      <c r="B2566" s="2" t="inlineStr">
        <is>
          <t xml:space="preserve">2012-07</t>
        </is>
      </c>
      <c r="C2566" s="2" t="inlineStr">
        <is>
          <t xml:space="preserve">2012/13</t>
        </is>
      </c>
      <c r="D2566">
        <v>2.21</v>
      </c>
      <c r="E2566">
        <v>20.84</v>
      </c>
      <c r="F2566">
        <v>25.0</v>
      </c>
      <c r="G2566">
        <v>17.51</v>
      </c>
      <c r="H2566">
        <v>10.94</v>
      </c>
      <c r="I2566">
        <v>5.522</v>
      </c>
      <c r="J2566">
        <v>21.91</v>
      </c>
      <c r="K2566">
        <v>26.27</v>
      </c>
      <c r="L2566">
        <v>18.55</v>
      </c>
      <c r="M2566">
        <v>9.85</v>
      </c>
      <c r="N2566">
        <v>9.246</v>
      </c>
      <c r="O2566">
        <v>21.87</v>
      </c>
      <c r="P2566">
        <v>25.62</v>
      </c>
      <c r="Q2566">
        <v>19.56</v>
      </c>
      <c r="R2566">
        <v>9.45</v>
      </c>
    </row>
    <row r="2567">
      <c r="A2567" s="9">
        <v>41098</v>
      </c>
      <c r="B2567" s="2" t="inlineStr">
        <is>
          <t xml:space="preserve">2012-07</t>
        </is>
      </c>
      <c r="C2567" s="2" t="inlineStr">
        <is>
          <t xml:space="preserve">2012/13</t>
        </is>
      </c>
      <c r="D2567">
        <v>13.071</v>
      </c>
      <c r="E2567">
        <v>21.2</v>
      </c>
      <c r="F2567">
        <v>25.4</v>
      </c>
      <c r="G2567">
        <v>18.19</v>
      </c>
      <c r="H2567">
        <v>4.56</v>
      </c>
      <c r="I2567">
        <v>10.86</v>
      </c>
      <c r="J2567">
        <v>21.69</v>
      </c>
      <c r="K2567">
        <v>25.78</v>
      </c>
      <c r="L2567">
        <v>18.34</v>
      </c>
      <c r="M2567">
        <v>5.68</v>
      </c>
      <c r="N2567">
        <v>11.804</v>
      </c>
      <c r="O2567">
        <v>21.86</v>
      </c>
      <c r="P2567">
        <v>26.14</v>
      </c>
      <c r="Q2567">
        <v>19.12</v>
      </c>
      <c r="R2567">
        <v>6.41</v>
      </c>
    </row>
    <row r="2568">
      <c r="A2568" s="9">
        <v>41099</v>
      </c>
      <c r="B2568" s="2" t="inlineStr">
        <is>
          <t xml:space="preserve">2012-07</t>
        </is>
      </c>
      <c r="C2568" s="2" t="inlineStr">
        <is>
          <t xml:space="preserve">2012/13</t>
        </is>
      </c>
      <c r="D2568">
        <v>0.844</v>
      </c>
      <c r="E2568">
        <v>21.85</v>
      </c>
      <c r="F2568">
        <v>27.43</v>
      </c>
      <c r="G2568">
        <v>17.02</v>
      </c>
      <c r="H2568">
        <v>1.53</v>
      </c>
      <c r="I2568">
        <v>0.0</v>
      </c>
      <c r="J2568">
        <v>22.68</v>
      </c>
      <c r="K2568">
        <v>27.73</v>
      </c>
      <c r="L2568">
        <v>18.75</v>
      </c>
      <c r="M2568">
        <v>0.83</v>
      </c>
      <c r="N2568">
        <v>0.0</v>
      </c>
      <c r="O2568">
        <v>22.57</v>
      </c>
      <c r="P2568">
        <v>26.87</v>
      </c>
      <c r="Q2568">
        <v>19.49</v>
      </c>
      <c r="R2568">
        <v>2.78</v>
      </c>
    </row>
    <row r="2569">
      <c r="A2569" s="9">
        <v>41100</v>
      </c>
      <c r="B2569" s="2" t="inlineStr">
        <is>
          <t xml:space="preserve">2012-07</t>
        </is>
      </c>
      <c r="C2569" s="2" t="inlineStr">
        <is>
          <t xml:space="preserve">2012/13</t>
        </is>
      </c>
      <c r="D2569">
        <v>4.947</v>
      </c>
      <c r="E2569">
        <v>21.65</v>
      </c>
      <c r="F2569">
        <v>26.1</v>
      </c>
      <c r="G2569">
        <v>18.18</v>
      </c>
      <c r="H2569">
        <v>9.1</v>
      </c>
      <c r="I2569">
        <v>4.882</v>
      </c>
      <c r="J2569">
        <v>21.89</v>
      </c>
      <c r="K2569">
        <v>25.13</v>
      </c>
      <c r="L2569">
        <v>19.58</v>
      </c>
      <c r="M2569">
        <v>18.9</v>
      </c>
      <c r="N2569">
        <v>2.352</v>
      </c>
      <c r="O2569">
        <v>22.2</v>
      </c>
      <c r="P2569">
        <v>25.4</v>
      </c>
      <c r="Q2569">
        <v>20.59</v>
      </c>
      <c r="R2569">
        <v>17.73</v>
      </c>
    </row>
    <row r="2570">
      <c r="A2570" s="9">
        <v>41101</v>
      </c>
      <c r="B2570" s="2" t="inlineStr">
        <is>
          <t xml:space="preserve">2012-07</t>
        </is>
      </c>
      <c r="C2570" s="2" t="inlineStr">
        <is>
          <t xml:space="preserve">2012/13</t>
        </is>
      </c>
      <c r="D2570">
        <v>7.318</v>
      </c>
      <c r="E2570">
        <v>22.09</v>
      </c>
      <c r="F2570">
        <v>27.28</v>
      </c>
      <c r="G2570">
        <v>18.07</v>
      </c>
      <c r="H2570">
        <v>5.25</v>
      </c>
      <c r="I2570">
        <v>25.906</v>
      </c>
      <c r="J2570">
        <v>22.4</v>
      </c>
      <c r="K2570">
        <v>26.23</v>
      </c>
      <c r="L2570">
        <v>18.92</v>
      </c>
      <c r="M2570">
        <v>14.87</v>
      </c>
      <c r="N2570">
        <v>34.475</v>
      </c>
      <c r="O2570">
        <v>22.69</v>
      </c>
      <c r="P2570">
        <v>26.85</v>
      </c>
      <c r="Q2570">
        <v>19.84</v>
      </c>
      <c r="R2570">
        <v>14.46</v>
      </c>
    </row>
    <row r="2571">
      <c r="A2571" s="9">
        <v>41102</v>
      </c>
      <c r="B2571" s="2" t="inlineStr">
        <is>
          <t xml:space="preserve">2012-07</t>
        </is>
      </c>
      <c r="C2571" s="2" t="inlineStr">
        <is>
          <t xml:space="preserve">2012/13</t>
        </is>
      </c>
      <c r="D2571">
        <v>3.614</v>
      </c>
      <c r="E2571">
        <v>21.83</v>
      </c>
      <c r="F2571">
        <v>27.56</v>
      </c>
      <c r="G2571">
        <v>17.12</v>
      </c>
      <c r="H2571">
        <v>3.84</v>
      </c>
      <c r="I2571">
        <v>7.837</v>
      </c>
      <c r="J2571">
        <v>22.92</v>
      </c>
      <c r="K2571">
        <v>27.43</v>
      </c>
      <c r="L2571">
        <v>19.22</v>
      </c>
      <c r="M2571">
        <v>2.67</v>
      </c>
      <c r="N2571">
        <v>11.752</v>
      </c>
      <c r="O2571">
        <v>22.89</v>
      </c>
      <c r="P2571">
        <v>27.19</v>
      </c>
      <c r="Q2571">
        <v>20.52</v>
      </c>
      <c r="R2571">
        <v>3.96</v>
      </c>
    </row>
    <row r="2572">
      <c r="A2572" s="9">
        <v>41103</v>
      </c>
      <c r="B2572" s="2" t="inlineStr">
        <is>
          <t xml:space="preserve">2012-07</t>
        </is>
      </c>
      <c r="C2572" s="2" t="inlineStr">
        <is>
          <t xml:space="preserve">2012/13</t>
        </is>
      </c>
      <c r="D2572">
        <v>0.162</v>
      </c>
      <c r="E2572">
        <v>22.02</v>
      </c>
      <c r="F2572">
        <v>28.19</v>
      </c>
      <c r="G2572">
        <v>17.1</v>
      </c>
      <c r="H2572">
        <v>0.28</v>
      </c>
      <c r="I2572">
        <v>0.105</v>
      </c>
      <c r="J2572">
        <v>22.45</v>
      </c>
      <c r="K2572">
        <v>26.47</v>
      </c>
      <c r="L2572">
        <v>19.3</v>
      </c>
      <c r="M2572">
        <v>0.52</v>
      </c>
      <c r="N2572">
        <v>0.273</v>
      </c>
      <c r="O2572">
        <v>22.73</v>
      </c>
      <c r="P2572">
        <v>27.03</v>
      </c>
      <c r="Q2572">
        <v>20.2</v>
      </c>
      <c r="R2572">
        <v>1.4</v>
      </c>
    </row>
    <row r="2573">
      <c r="A2573" s="9">
        <v>41104</v>
      </c>
      <c r="B2573" s="2" t="inlineStr">
        <is>
          <t xml:space="preserve">2012-07</t>
        </is>
      </c>
      <c r="C2573" s="2" t="inlineStr">
        <is>
          <t xml:space="preserve">2012/13</t>
        </is>
      </c>
      <c r="D2573">
        <v>0.0</v>
      </c>
      <c r="E2573">
        <v>21.7</v>
      </c>
      <c r="F2573">
        <v>27.56</v>
      </c>
      <c r="G2573">
        <v>16.3</v>
      </c>
      <c r="H2573">
        <v>0.06</v>
      </c>
      <c r="I2573">
        <v>0.085</v>
      </c>
      <c r="J2573">
        <v>23.03</v>
      </c>
      <c r="K2573">
        <v>28.2</v>
      </c>
      <c r="L2573">
        <v>18.33</v>
      </c>
      <c r="M2573">
        <v>0.14</v>
      </c>
      <c r="N2573">
        <v>0.171</v>
      </c>
      <c r="O2573">
        <v>22.87</v>
      </c>
      <c r="P2573">
        <v>27.65</v>
      </c>
      <c r="Q2573">
        <v>19.75</v>
      </c>
      <c r="R2573">
        <v>0.4</v>
      </c>
    </row>
    <row r="2574">
      <c r="A2574" s="9">
        <v>41105</v>
      </c>
      <c r="B2574" s="2" t="inlineStr">
        <is>
          <t xml:space="preserve">2012-07</t>
        </is>
      </c>
      <c r="C2574" s="2" t="inlineStr">
        <is>
          <t xml:space="preserve">2012/13</t>
        </is>
      </c>
      <c r="D2574">
        <v>0.0</v>
      </c>
      <c r="E2574">
        <v>22.7</v>
      </c>
      <c r="F2574">
        <v>29.35</v>
      </c>
      <c r="G2574">
        <v>17.31</v>
      </c>
      <c r="H2574">
        <v>0.22</v>
      </c>
      <c r="I2574">
        <v>0.0</v>
      </c>
      <c r="J2574">
        <v>22.59</v>
      </c>
      <c r="K2574">
        <v>26.94</v>
      </c>
      <c r="L2574">
        <v>18.37</v>
      </c>
      <c r="M2574">
        <v>0.05</v>
      </c>
      <c r="N2574">
        <v>0.0</v>
      </c>
      <c r="O2574">
        <v>22.69</v>
      </c>
      <c r="P2574">
        <v>27.18</v>
      </c>
      <c r="Q2574">
        <v>19.24</v>
      </c>
      <c r="R2574">
        <v>0.11</v>
      </c>
    </row>
    <row r="2575">
      <c r="A2575" s="9">
        <v>41106</v>
      </c>
      <c r="B2575" s="2" t="inlineStr">
        <is>
          <t xml:space="preserve">2012-07</t>
        </is>
      </c>
      <c r="C2575" s="2" t="inlineStr">
        <is>
          <t xml:space="preserve">2012/13</t>
        </is>
      </c>
      <c r="D2575">
        <v>0.0</v>
      </c>
      <c r="E2575">
        <v>22.75</v>
      </c>
      <c r="F2575">
        <v>28.12</v>
      </c>
      <c r="G2575">
        <v>18.45</v>
      </c>
      <c r="H2575">
        <v>0.05</v>
      </c>
      <c r="I2575">
        <v>0.12</v>
      </c>
      <c r="J2575">
        <v>22.81</v>
      </c>
      <c r="K2575">
        <v>26.98</v>
      </c>
      <c r="L2575">
        <v>18.98</v>
      </c>
      <c r="M2575">
        <v>0.3</v>
      </c>
      <c r="N2575">
        <v>0.164</v>
      </c>
      <c r="O2575">
        <v>22.76</v>
      </c>
      <c r="P2575">
        <v>26.65</v>
      </c>
      <c r="Q2575">
        <v>20.01</v>
      </c>
      <c r="R2575">
        <v>1.29</v>
      </c>
    </row>
    <row r="2576">
      <c r="A2576" s="9">
        <v>41107</v>
      </c>
      <c r="B2576" s="2" t="inlineStr">
        <is>
          <t xml:space="preserve">2012-07</t>
        </is>
      </c>
      <c r="C2576" s="2" t="inlineStr">
        <is>
          <t xml:space="preserve">2012/13</t>
        </is>
      </c>
      <c r="D2576">
        <v>0.805</v>
      </c>
      <c r="E2576">
        <v>22.35</v>
      </c>
      <c r="F2576">
        <v>27.33</v>
      </c>
      <c r="G2576">
        <v>17.97</v>
      </c>
      <c r="H2576">
        <v>2.69</v>
      </c>
      <c r="I2576">
        <v>0.048</v>
      </c>
      <c r="J2576">
        <v>22.91</v>
      </c>
      <c r="K2576">
        <v>27.23</v>
      </c>
      <c r="L2576">
        <v>19.49</v>
      </c>
      <c r="M2576">
        <v>0.89</v>
      </c>
      <c r="N2576">
        <v>0.132</v>
      </c>
      <c r="O2576">
        <v>22.68</v>
      </c>
      <c r="P2576">
        <v>26.02</v>
      </c>
      <c r="Q2576">
        <v>20.45</v>
      </c>
      <c r="R2576">
        <v>1.53</v>
      </c>
    </row>
    <row r="2577">
      <c r="A2577" s="9">
        <v>41108</v>
      </c>
      <c r="B2577" s="2" t="inlineStr">
        <is>
          <t xml:space="preserve">2012-07</t>
        </is>
      </c>
      <c r="C2577" s="2" t="inlineStr">
        <is>
          <t xml:space="preserve">2012/13</t>
        </is>
      </c>
      <c r="D2577">
        <v>2.281</v>
      </c>
      <c r="E2577">
        <v>22.17</v>
      </c>
      <c r="F2577">
        <v>27.28</v>
      </c>
      <c r="G2577">
        <v>18.03</v>
      </c>
      <c r="H2577">
        <v>1.92</v>
      </c>
      <c r="I2577">
        <v>1.848</v>
      </c>
      <c r="J2577">
        <v>22.51</v>
      </c>
      <c r="K2577">
        <v>26.72</v>
      </c>
      <c r="L2577">
        <v>19.49</v>
      </c>
      <c r="M2577">
        <v>4.74</v>
      </c>
      <c r="N2577">
        <v>2.64</v>
      </c>
      <c r="O2577">
        <v>22.39</v>
      </c>
      <c r="P2577">
        <v>25.76</v>
      </c>
      <c r="Q2577">
        <v>20.21</v>
      </c>
      <c r="R2577">
        <v>5.32</v>
      </c>
    </row>
    <row r="2578">
      <c r="A2578" s="9">
        <v>41109</v>
      </c>
      <c r="B2578" s="2" t="inlineStr">
        <is>
          <t xml:space="preserve">2012-07</t>
        </is>
      </c>
      <c r="C2578" s="2" t="inlineStr">
        <is>
          <t xml:space="preserve">2012/13</t>
        </is>
      </c>
      <c r="D2578">
        <v>1.24</v>
      </c>
      <c r="E2578">
        <v>22.85</v>
      </c>
      <c r="F2578">
        <v>28.8</v>
      </c>
      <c r="G2578">
        <v>18.57</v>
      </c>
      <c r="H2578">
        <v>1.38</v>
      </c>
      <c r="I2578">
        <v>5.611</v>
      </c>
      <c r="J2578">
        <v>22.55</v>
      </c>
      <c r="K2578">
        <v>26.9</v>
      </c>
      <c r="L2578">
        <v>19.47</v>
      </c>
      <c r="M2578">
        <v>2.21</v>
      </c>
      <c r="N2578">
        <v>5.486</v>
      </c>
      <c r="O2578">
        <v>22.58</v>
      </c>
      <c r="P2578">
        <v>26.54</v>
      </c>
      <c r="Q2578">
        <v>20.25</v>
      </c>
      <c r="R2578">
        <v>2.35</v>
      </c>
    </row>
    <row r="2579">
      <c r="A2579" s="9">
        <v>41110</v>
      </c>
      <c r="B2579" s="2" t="inlineStr">
        <is>
          <t xml:space="preserve">2012-07</t>
        </is>
      </c>
      <c r="C2579" s="2" t="inlineStr">
        <is>
          <t xml:space="preserve">2012/13</t>
        </is>
      </c>
      <c r="D2579">
        <v>0.061</v>
      </c>
      <c r="E2579">
        <v>22.25</v>
      </c>
      <c r="F2579">
        <v>28.39</v>
      </c>
      <c r="G2579">
        <v>17.39</v>
      </c>
      <c r="H2579">
        <v>1.86</v>
      </c>
      <c r="I2579">
        <v>0.0</v>
      </c>
      <c r="J2579">
        <v>22.37</v>
      </c>
      <c r="K2579">
        <v>26.31</v>
      </c>
      <c r="L2579">
        <v>19.16</v>
      </c>
      <c r="M2579">
        <v>2.1</v>
      </c>
      <c r="N2579">
        <v>0.119</v>
      </c>
      <c r="O2579">
        <v>22.66</v>
      </c>
      <c r="P2579">
        <v>26.59</v>
      </c>
      <c r="Q2579">
        <v>20.07</v>
      </c>
      <c r="R2579">
        <v>5.89</v>
      </c>
    </row>
    <row r="2580">
      <c r="A2580" s="9">
        <v>41111</v>
      </c>
      <c r="B2580" s="2" t="inlineStr">
        <is>
          <t xml:space="preserve">2012-07</t>
        </is>
      </c>
      <c r="C2580" s="2" t="inlineStr">
        <is>
          <t xml:space="preserve">2012/13</t>
        </is>
      </c>
      <c r="D2580">
        <v>0.187</v>
      </c>
      <c r="E2580">
        <v>22.76</v>
      </c>
      <c r="F2580">
        <v>28.97</v>
      </c>
      <c r="G2580">
        <v>17.95</v>
      </c>
      <c r="H2580">
        <v>1.71</v>
      </c>
      <c r="I2580">
        <v>2.618</v>
      </c>
      <c r="J2580">
        <v>22.5</v>
      </c>
      <c r="K2580">
        <v>26.39</v>
      </c>
      <c r="L2580">
        <v>19.61</v>
      </c>
      <c r="M2580">
        <v>5.95</v>
      </c>
      <c r="N2580">
        <v>3.43</v>
      </c>
      <c r="O2580">
        <v>22.44</v>
      </c>
      <c r="P2580">
        <v>26.04</v>
      </c>
      <c r="Q2580">
        <v>20.14</v>
      </c>
      <c r="R2580">
        <v>14.73</v>
      </c>
    </row>
    <row r="2581">
      <c r="A2581" s="9">
        <v>41112</v>
      </c>
      <c r="B2581" s="2" t="inlineStr">
        <is>
          <t xml:space="preserve">2012-07</t>
        </is>
      </c>
      <c r="C2581" s="2" t="inlineStr">
        <is>
          <t xml:space="preserve">2012/13</t>
        </is>
      </c>
      <c r="D2581">
        <v>2.404</v>
      </c>
      <c r="E2581">
        <v>22.64</v>
      </c>
      <c r="F2581">
        <v>28.81</v>
      </c>
      <c r="G2581">
        <v>18.19</v>
      </c>
      <c r="H2581">
        <v>3.68</v>
      </c>
      <c r="I2581">
        <v>6.048</v>
      </c>
      <c r="J2581">
        <v>22.04</v>
      </c>
      <c r="K2581">
        <v>25.0</v>
      </c>
      <c r="L2581">
        <v>19.88</v>
      </c>
      <c r="M2581">
        <v>10.35</v>
      </c>
      <c r="N2581">
        <v>9.832</v>
      </c>
      <c r="O2581">
        <v>22.28</v>
      </c>
      <c r="P2581">
        <v>25.7</v>
      </c>
      <c r="Q2581">
        <v>20.49</v>
      </c>
      <c r="R2581">
        <v>11.52</v>
      </c>
    </row>
    <row r="2582">
      <c r="A2582" s="9">
        <v>41113</v>
      </c>
      <c r="B2582" s="2" t="inlineStr">
        <is>
          <t xml:space="preserve">2012-07</t>
        </is>
      </c>
      <c r="C2582" s="2" t="inlineStr">
        <is>
          <t xml:space="preserve">2012/13</t>
        </is>
      </c>
      <c r="D2582">
        <v>0.879</v>
      </c>
      <c r="E2582">
        <v>22.45</v>
      </c>
      <c r="F2582">
        <v>27.57</v>
      </c>
      <c r="G2582">
        <v>18.73</v>
      </c>
      <c r="H2582">
        <v>2.58</v>
      </c>
      <c r="I2582">
        <v>16.474</v>
      </c>
      <c r="J2582">
        <v>22.63</v>
      </c>
      <c r="K2582">
        <v>27.48</v>
      </c>
      <c r="L2582">
        <v>19.37</v>
      </c>
      <c r="M2582">
        <v>12.42</v>
      </c>
      <c r="N2582">
        <v>17.012</v>
      </c>
      <c r="O2582">
        <v>22.67</v>
      </c>
      <c r="P2582">
        <v>26.24</v>
      </c>
      <c r="Q2582">
        <v>20.29</v>
      </c>
      <c r="R2582">
        <v>13.64</v>
      </c>
    </row>
    <row r="2583">
      <c r="A2583" s="9">
        <v>41114</v>
      </c>
      <c r="B2583" s="2" t="inlineStr">
        <is>
          <t xml:space="preserve">2012-07</t>
        </is>
      </c>
      <c r="C2583" s="2" t="inlineStr">
        <is>
          <t xml:space="preserve">2012/13</t>
        </is>
      </c>
      <c r="D2583">
        <v>2.17</v>
      </c>
      <c r="E2583">
        <v>23.08</v>
      </c>
      <c r="F2583">
        <v>29.5</v>
      </c>
      <c r="G2583">
        <v>18.58</v>
      </c>
      <c r="H2583">
        <v>0.96</v>
      </c>
      <c r="I2583">
        <v>9.163</v>
      </c>
      <c r="J2583">
        <v>22.62</v>
      </c>
      <c r="K2583">
        <v>26.97</v>
      </c>
      <c r="L2583">
        <v>19.14</v>
      </c>
      <c r="M2583">
        <v>6.04</v>
      </c>
      <c r="N2583">
        <v>12.867</v>
      </c>
      <c r="O2583">
        <v>22.69</v>
      </c>
      <c r="P2583">
        <v>26.92</v>
      </c>
      <c r="Q2583">
        <v>19.92</v>
      </c>
      <c r="R2583">
        <v>7.21</v>
      </c>
    </row>
    <row r="2584">
      <c r="A2584" s="9">
        <v>41115</v>
      </c>
      <c r="B2584" s="2" t="inlineStr">
        <is>
          <t xml:space="preserve">2012-07</t>
        </is>
      </c>
      <c r="C2584" s="2" t="inlineStr">
        <is>
          <t xml:space="preserve">2012/13</t>
        </is>
      </c>
      <c r="D2584">
        <v>0.0</v>
      </c>
      <c r="E2584">
        <v>22.96</v>
      </c>
      <c r="F2584">
        <v>30.33</v>
      </c>
      <c r="G2584">
        <v>17.01</v>
      </c>
      <c r="H2584">
        <v>0.2</v>
      </c>
      <c r="I2584">
        <v>0.2</v>
      </c>
      <c r="J2584">
        <v>22.91</v>
      </c>
      <c r="K2584">
        <v>27.91</v>
      </c>
      <c r="L2584">
        <v>19.16</v>
      </c>
      <c r="M2584">
        <v>0.99</v>
      </c>
      <c r="N2584">
        <v>0.759</v>
      </c>
      <c r="O2584">
        <v>22.8</v>
      </c>
      <c r="P2584">
        <v>27.39</v>
      </c>
      <c r="Q2584">
        <v>19.99</v>
      </c>
      <c r="R2584">
        <v>3.12</v>
      </c>
    </row>
    <row r="2585">
      <c r="A2585" s="9">
        <v>41116</v>
      </c>
      <c r="B2585" s="2" t="inlineStr">
        <is>
          <t xml:space="preserve">2012-07</t>
        </is>
      </c>
      <c r="C2585" s="2" t="inlineStr">
        <is>
          <t xml:space="preserve">2012/13</t>
        </is>
      </c>
      <c r="D2585">
        <v>0.0</v>
      </c>
      <c r="E2585">
        <v>23.21</v>
      </c>
      <c r="F2585">
        <v>29.24</v>
      </c>
      <c r="G2585">
        <v>18.04</v>
      </c>
      <c r="H2585">
        <v>0.74</v>
      </c>
      <c r="I2585">
        <v>0.059</v>
      </c>
      <c r="J2585">
        <v>22.91</v>
      </c>
      <c r="K2585">
        <v>27.55</v>
      </c>
      <c r="L2585">
        <v>18.38</v>
      </c>
      <c r="M2585">
        <v>0.38</v>
      </c>
      <c r="N2585">
        <v>0.248</v>
      </c>
      <c r="O2585">
        <v>22.82</v>
      </c>
      <c r="P2585">
        <v>27.32</v>
      </c>
      <c r="Q2585">
        <v>19.05</v>
      </c>
      <c r="R2585">
        <v>1.27</v>
      </c>
    </row>
    <row r="2586">
      <c r="A2586" s="9">
        <v>41117</v>
      </c>
      <c r="B2586" s="2" t="inlineStr">
        <is>
          <t xml:space="preserve">2012-07</t>
        </is>
      </c>
      <c r="C2586" s="2" t="inlineStr">
        <is>
          <t xml:space="preserve">2012/13</t>
        </is>
      </c>
      <c r="D2586">
        <v>0.0</v>
      </c>
      <c r="E2586">
        <v>23.08</v>
      </c>
      <c r="F2586">
        <v>28.79</v>
      </c>
      <c r="G2586">
        <v>18.59</v>
      </c>
      <c r="H2586">
        <v>0.4</v>
      </c>
      <c r="I2586">
        <v>0.0</v>
      </c>
      <c r="J2586">
        <v>22.9</v>
      </c>
      <c r="K2586">
        <v>26.31</v>
      </c>
      <c r="L2586">
        <v>20.28</v>
      </c>
      <c r="M2586">
        <v>0.04</v>
      </c>
      <c r="N2586">
        <v>0.0</v>
      </c>
      <c r="O2586">
        <v>23.33</v>
      </c>
      <c r="P2586">
        <v>26.68</v>
      </c>
      <c r="Q2586">
        <v>21.34</v>
      </c>
      <c r="R2586">
        <v>0.17</v>
      </c>
    </row>
    <row r="2587">
      <c r="A2587" s="9">
        <v>41118</v>
      </c>
      <c r="B2587" s="2" t="inlineStr">
        <is>
          <t xml:space="preserve">2012-07</t>
        </is>
      </c>
      <c r="C2587" s="2" t="inlineStr">
        <is>
          <t xml:space="preserve">2012/13</t>
        </is>
      </c>
      <c r="D2587">
        <v>0.0</v>
      </c>
      <c r="E2587">
        <v>22.44</v>
      </c>
      <c r="F2587">
        <v>29.05</v>
      </c>
      <c r="G2587">
        <v>17.21</v>
      </c>
      <c r="H2587">
        <v>0.62</v>
      </c>
      <c r="I2587">
        <v>0.0</v>
      </c>
      <c r="J2587">
        <v>22.42</v>
      </c>
      <c r="K2587">
        <v>26.44</v>
      </c>
      <c r="L2587">
        <v>19.32</v>
      </c>
      <c r="M2587">
        <v>0.5</v>
      </c>
      <c r="N2587">
        <v>0.0</v>
      </c>
      <c r="O2587">
        <v>22.71</v>
      </c>
      <c r="P2587">
        <v>26.48</v>
      </c>
      <c r="Q2587">
        <v>20.09</v>
      </c>
      <c r="R2587">
        <v>1.91</v>
      </c>
    </row>
    <row r="2588">
      <c r="A2588" s="9">
        <v>41119</v>
      </c>
      <c r="B2588" s="2" t="inlineStr">
        <is>
          <t xml:space="preserve">2012-07</t>
        </is>
      </c>
      <c r="C2588" s="2" t="inlineStr">
        <is>
          <t xml:space="preserve">2012/13</t>
        </is>
      </c>
      <c r="D2588">
        <v>0.67</v>
      </c>
      <c r="E2588">
        <v>22.49</v>
      </c>
      <c r="F2588">
        <v>29.48</v>
      </c>
      <c r="G2588">
        <v>17.1</v>
      </c>
      <c r="H2588">
        <v>3.71</v>
      </c>
      <c r="I2588">
        <v>2.051</v>
      </c>
      <c r="J2588">
        <v>22.37</v>
      </c>
      <c r="K2588">
        <v>26.86</v>
      </c>
      <c r="L2588">
        <v>18.47</v>
      </c>
      <c r="M2588">
        <v>3.13</v>
      </c>
      <c r="N2588">
        <v>3.264</v>
      </c>
      <c r="O2588">
        <v>22.05</v>
      </c>
      <c r="P2588">
        <v>26.25</v>
      </c>
      <c r="Q2588">
        <v>18.76</v>
      </c>
      <c r="R2588">
        <v>6.66</v>
      </c>
    </row>
    <row r="2589">
      <c r="A2589" s="9">
        <v>41120</v>
      </c>
      <c r="B2589" s="2" t="inlineStr">
        <is>
          <t xml:space="preserve">2012-07</t>
        </is>
      </c>
      <c r="C2589" s="2" t="inlineStr">
        <is>
          <t xml:space="preserve">2012/13</t>
        </is>
      </c>
      <c r="D2589">
        <v>0.384</v>
      </c>
      <c r="E2589">
        <v>23.06</v>
      </c>
      <c r="F2589">
        <v>28.67</v>
      </c>
      <c r="G2589">
        <v>18.69</v>
      </c>
      <c r="H2589">
        <v>2.09</v>
      </c>
      <c r="I2589">
        <v>0.132</v>
      </c>
      <c r="J2589">
        <v>22.57</v>
      </c>
      <c r="K2589">
        <v>27.06</v>
      </c>
      <c r="L2589">
        <v>18.43</v>
      </c>
      <c r="M2589">
        <v>3.91</v>
      </c>
      <c r="N2589">
        <v>0.517</v>
      </c>
      <c r="O2589">
        <v>22.17</v>
      </c>
      <c r="P2589">
        <v>25.85</v>
      </c>
      <c r="Q2589">
        <v>19.46</v>
      </c>
      <c r="R2589">
        <v>4.49</v>
      </c>
    </row>
    <row r="2590">
      <c r="A2590" s="9">
        <v>41121</v>
      </c>
      <c r="B2590" s="2" t="inlineStr">
        <is>
          <t xml:space="preserve">2012-07</t>
        </is>
      </c>
      <c r="C2590" s="2" t="inlineStr">
        <is>
          <t xml:space="preserve">2012/13</t>
        </is>
      </c>
      <c r="D2590">
        <v>1.206</v>
      </c>
      <c r="E2590">
        <v>23.37</v>
      </c>
      <c r="F2590">
        <v>30.16</v>
      </c>
      <c r="G2590">
        <v>18.37</v>
      </c>
      <c r="H2590">
        <v>1.52</v>
      </c>
      <c r="I2590">
        <v>9.223</v>
      </c>
      <c r="J2590">
        <v>22.88</v>
      </c>
      <c r="K2590">
        <v>28.08</v>
      </c>
      <c r="L2590">
        <v>18.81</v>
      </c>
      <c r="M2590">
        <v>5.17</v>
      </c>
      <c r="N2590">
        <v>13.876</v>
      </c>
      <c r="O2590">
        <v>22.64</v>
      </c>
      <c r="P2590">
        <v>27.07</v>
      </c>
      <c r="Q2590">
        <v>19.49</v>
      </c>
      <c r="R2590">
        <v>5.74</v>
      </c>
    </row>
    <row r="2591">
      <c r="A2591" s="9">
        <v>41122</v>
      </c>
      <c r="B2591" s="2" t="inlineStr">
        <is>
          <t xml:space="preserve">2012-08</t>
        </is>
      </c>
      <c r="C2591" s="2" t="inlineStr">
        <is>
          <t xml:space="preserve">2012/13</t>
        </is>
      </c>
      <c r="D2591">
        <v>0.619</v>
      </c>
      <c r="E2591">
        <v>23.1</v>
      </c>
      <c r="F2591">
        <v>29.95</v>
      </c>
      <c r="G2591">
        <v>17.83</v>
      </c>
      <c r="H2591">
        <v>1.36</v>
      </c>
      <c r="I2591">
        <v>0.602</v>
      </c>
      <c r="J2591">
        <v>23.24</v>
      </c>
      <c r="K2591">
        <v>28.26</v>
      </c>
      <c r="L2591">
        <v>18.89</v>
      </c>
      <c r="M2591">
        <v>0.77</v>
      </c>
      <c r="N2591">
        <v>0.351</v>
      </c>
      <c r="O2591">
        <v>22.94</v>
      </c>
      <c r="P2591">
        <v>27.41</v>
      </c>
      <c r="Q2591">
        <v>19.86</v>
      </c>
      <c r="R2591">
        <v>0.68</v>
      </c>
    </row>
    <row r="2592">
      <c r="A2592" s="9">
        <v>41123</v>
      </c>
      <c r="B2592" s="2" t="inlineStr">
        <is>
          <t xml:space="preserve">2012-08</t>
        </is>
      </c>
      <c r="C2592" s="2" t="inlineStr">
        <is>
          <t xml:space="preserve">2012/13</t>
        </is>
      </c>
      <c r="D2592">
        <v>3.83</v>
      </c>
      <c r="E2592">
        <v>24.04</v>
      </c>
      <c r="F2592">
        <v>30.73</v>
      </c>
      <c r="G2592">
        <v>19.5</v>
      </c>
      <c r="H2592">
        <v>5.45</v>
      </c>
      <c r="I2592">
        <v>1.824</v>
      </c>
      <c r="J2592">
        <v>23.09</v>
      </c>
      <c r="K2592">
        <v>27.4</v>
      </c>
      <c r="L2592">
        <v>18.94</v>
      </c>
      <c r="M2592">
        <v>6.85</v>
      </c>
      <c r="N2592">
        <v>1.007</v>
      </c>
      <c r="O2592">
        <v>22.67</v>
      </c>
      <c r="P2592">
        <v>26.9</v>
      </c>
      <c r="Q2592">
        <v>19.74</v>
      </c>
      <c r="R2592">
        <v>5.94</v>
      </c>
    </row>
    <row r="2593">
      <c r="A2593" s="9">
        <v>41124</v>
      </c>
      <c r="B2593" s="2" t="inlineStr">
        <is>
          <t xml:space="preserve">2012-08</t>
        </is>
      </c>
      <c r="C2593" s="2" t="inlineStr">
        <is>
          <t xml:space="preserve">2012/13</t>
        </is>
      </c>
      <c r="D2593">
        <v>8.819</v>
      </c>
      <c r="E2593">
        <v>23.42</v>
      </c>
      <c r="F2593">
        <v>29.74</v>
      </c>
      <c r="G2593">
        <v>19.4</v>
      </c>
      <c r="H2593">
        <v>6.79</v>
      </c>
      <c r="I2593">
        <v>15.995</v>
      </c>
      <c r="J2593">
        <v>23.75</v>
      </c>
      <c r="K2593">
        <v>28.27</v>
      </c>
      <c r="L2593">
        <v>19.68</v>
      </c>
      <c r="M2593">
        <v>14.62</v>
      </c>
      <c r="N2593">
        <v>9.94</v>
      </c>
      <c r="O2593">
        <v>23.52</v>
      </c>
      <c r="P2593">
        <v>28.07</v>
      </c>
      <c r="Q2593">
        <v>20.13</v>
      </c>
      <c r="R2593">
        <v>18.36</v>
      </c>
    </row>
    <row r="2594">
      <c r="A2594" s="9">
        <v>41125</v>
      </c>
      <c r="B2594" s="2" t="inlineStr">
        <is>
          <t xml:space="preserve">2012-08</t>
        </is>
      </c>
      <c r="C2594" s="2" t="inlineStr">
        <is>
          <t xml:space="preserve">2012/13</t>
        </is>
      </c>
      <c r="D2594">
        <v>2.08</v>
      </c>
      <c r="E2594">
        <v>22.75</v>
      </c>
      <c r="F2594">
        <v>28.74</v>
      </c>
      <c r="G2594">
        <v>18.08</v>
      </c>
      <c r="H2594">
        <v>2.81</v>
      </c>
      <c r="I2594">
        <v>13.41</v>
      </c>
      <c r="J2594">
        <v>23.39</v>
      </c>
      <c r="K2594">
        <v>27.42</v>
      </c>
      <c r="L2594">
        <v>19.82</v>
      </c>
      <c r="M2594">
        <v>11.75</v>
      </c>
      <c r="N2594">
        <v>6.665</v>
      </c>
      <c r="O2594">
        <v>23.45</v>
      </c>
      <c r="P2594">
        <v>27.54</v>
      </c>
      <c r="Q2594">
        <v>20.75</v>
      </c>
      <c r="R2594">
        <v>7.56</v>
      </c>
    </row>
    <row r="2595">
      <c r="A2595" s="9">
        <v>41126</v>
      </c>
      <c r="B2595" s="2" t="inlineStr">
        <is>
          <t xml:space="preserve">2012-08</t>
        </is>
      </c>
      <c r="C2595" s="2" t="inlineStr">
        <is>
          <t xml:space="preserve">2012/13</t>
        </is>
      </c>
      <c r="D2595">
        <v>0.0</v>
      </c>
      <c r="E2595">
        <v>23.5</v>
      </c>
      <c r="F2595">
        <v>31.08</v>
      </c>
      <c r="G2595">
        <v>16.62</v>
      </c>
      <c r="H2595">
        <v>0.41</v>
      </c>
      <c r="I2595">
        <v>3.143</v>
      </c>
      <c r="J2595">
        <v>23.81</v>
      </c>
      <c r="K2595">
        <v>28.73</v>
      </c>
      <c r="L2595">
        <v>20.38</v>
      </c>
      <c r="M2595">
        <v>1.91</v>
      </c>
      <c r="N2595">
        <v>0.322</v>
      </c>
      <c r="O2595">
        <v>23.4</v>
      </c>
      <c r="P2595">
        <v>28.21</v>
      </c>
      <c r="Q2595">
        <v>20.4</v>
      </c>
      <c r="R2595">
        <v>1.64</v>
      </c>
    </row>
    <row r="2596">
      <c r="A2596" s="9">
        <v>41127</v>
      </c>
      <c r="B2596" s="2" t="inlineStr">
        <is>
          <t xml:space="preserve">2012-08</t>
        </is>
      </c>
      <c r="C2596" s="2" t="inlineStr">
        <is>
          <t xml:space="preserve">2012/13</t>
        </is>
      </c>
      <c r="D2596">
        <v>0.0</v>
      </c>
      <c r="E2596">
        <v>22.97</v>
      </c>
      <c r="F2596">
        <v>29.12</v>
      </c>
      <c r="G2596">
        <v>18.59</v>
      </c>
      <c r="H2596">
        <v>0.47</v>
      </c>
      <c r="I2596">
        <v>0.0</v>
      </c>
      <c r="J2596">
        <v>22.44</v>
      </c>
      <c r="K2596">
        <v>27.21</v>
      </c>
      <c r="L2596">
        <v>18.93</v>
      </c>
      <c r="M2596">
        <v>0.12</v>
      </c>
      <c r="N2596">
        <v>0.0</v>
      </c>
      <c r="O2596">
        <v>22.55</v>
      </c>
      <c r="P2596">
        <v>26.8</v>
      </c>
      <c r="Q2596">
        <v>19.37</v>
      </c>
      <c r="R2596">
        <v>0.5</v>
      </c>
    </row>
    <row r="2597">
      <c r="A2597" s="9">
        <v>41128</v>
      </c>
      <c r="B2597" s="2" t="inlineStr">
        <is>
          <t xml:space="preserve">2012-08</t>
        </is>
      </c>
      <c r="C2597" s="2" t="inlineStr">
        <is>
          <t xml:space="preserve">2012/13</t>
        </is>
      </c>
      <c r="D2597">
        <v>2.739</v>
      </c>
      <c r="E2597">
        <v>22.16</v>
      </c>
      <c r="F2597">
        <v>26.23</v>
      </c>
      <c r="G2597">
        <v>18.96</v>
      </c>
      <c r="H2597">
        <v>15.25</v>
      </c>
      <c r="I2597">
        <v>0.426</v>
      </c>
      <c r="J2597">
        <v>22.84</v>
      </c>
      <c r="K2597">
        <v>27.33</v>
      </c>
      <c r="L2597">
        <v>19.06</v>
      </c>
      <c r="M2597">
        <v>3.09</v>
      </c>
      <c r="N2597">
        <v>0.688</v>
      </c>
      <c r="O2597">
        <v>22.1</v>
      </c>
      <c r="P2597">
        <v>25.6</v>
      </c>
      <c r="Q2597">
        <v>19.53</v>
      </c>
      <c r="R2597">
        <v>3.85</v>
      </c>
    </row>
    <row r="2598">
      <c r="A2598" s="9">
        <v>41129</v>
      </c>
      <c r="B2598" s="2" t="inlineStr">
        <is>
          <t xml:space="preserve">2012-08</t>
        </is>
      </c>
      <c r="C2598" s="2" t="inlineStr">
        <is>
          <t xml:space="preserve">2012/13</t>
        </is>
      </c>
      <c r="D2598">
        <v>33.135</v>
      </c>
      <c r="E2598">
        <v>20.95</v>
      </c>
      <c r="F2598">
        <v>24.08</v>
      </c>
      <c r="G2598">
        <v>18.25</v>
      </c>
      <c r="H2598">
        <v>20.31</v>
      </c>
      <c r="I2598">
        <v>5.876</v>
      </c>
      <c r="J2598">
        <v>21.42</v>
      </c>
      <c r="K2598">
        <v>24.75</v>
      </c>
      <c r="L2598">
        <v>18.9</v>
      </c>
      <c r="M2598">
        <v>4.67</v>
      </c>
      <c r="N2598">
        <v>5.781</v>
      </c>
      <c r="O2598">
        <v>21.77</v>
      </c>
      <c r="P2598">
        <v>24.65</v>
      </c>
      <c r="Q2598">
        <v>18.92</v>
      </c>
      <c r="R2598">
        <v>5.11</v>
      </c>
    </row>
    <row r="2599">
      <c r="A2599" s="9">
        <v>41130</v>
      </c>
      <c r="B2599" s="2" t="inlineStr">
        <is>
          <t xml:space="preserve">2012-08</t>
        </is>
      </c>
      <c r="C2599" s="2" t="inlineStr">
        <is>
          <t xml:space="preserve">2012/13</t>
        </is>
      </c>
      <c r="D2599">
        <v>3.966</v>
      </c>
      <c r="E2599">
        <v>22.09</v>
      </c>
      <c r="F2599">
        <v>27.75</v>
      </c>
      <c r="G2599">
        <v>17.21</v>
      </c>
      <c r="H2599">
        <v>4.92</v>
      </c>
      <c r="I2599">
        <v>2.434</v>
      </c>
      <c r="J2599">
        <v>21.49</v>
      </c>
      <c r="K2599">
        <v>25.68</v>
      </c>
      <c r="L2599">
        <v>18.38</v>
      </c>
      <c r="M2599">
        <v>9.0</v>
      </c>
      <c r="N2599">
        <v>0.449</v>
      </c>
      <c r="O2599">
        <v>22.94</v>
      </c>
      <c r="P2599">
        <v>27.7</v>
      </c>
      <c r="Q2599">
        <v>19.0</v>
      </c>
      <c r="R2599">
        <v>9.54</v>
      </c>
    </row>
    <row r="2600">
      <c r="A2600" s="9">
        <v>41131</v>
      </c>
      <c r="B2600" s="2" t="inlineStr">
        <is>
          <t xml:space="preserve">2012-08</t>
        </is>
      </c>
      <c r="C2600" s="2" t="inlineStr">
        <is>
          <t xml:space="preserve">2012/13</t>
        </is>
      </c>
      <c r="D2600">
        <v>4.242</v>
      </c>
      <c r="E2600">
        <v>22.02</v>
      </c>
      <c r="F2600">
        <v>25.57</v>
      </c>
      <c r="G2600">
        <v>19.32</v>
      </c>
      <c r="H2600">
        <v>3.03</v>
      </c>
      <c r="I2600">
        <v>16.988</v>
      </c>
      <c r="J2600">
        <v>22.04</v>
      </c>
      <c r="K2600">
        <v>25.71</v>
      </c>
      <c r="L2600">
        <v>18.94</v>
      </c>
      <c r="M2600">
        <v>9.95</v>
      </c>
      <c r="N2600">
        <v>25.138</v>
      </c>
      <c r="O2600">
        <v>22.13</v>
      </c>
      <c r="P2600">
        <v>24.91</v>
      </c>
      <c r="Q2600">
        <v>19.97</v>
      </c>
      <c r="R2600">
        <v>8.53</v>
      </c>
    </row>
    <row r="2601">
      <c r="A2601" s="9">
        <v>41132</v>
      </c>
      <c r="B2601" s="2" t="inlineStr">
        <is>
          <t xml:space="preserve">2012-08</t>
        </is>
      </c>
      <c r="C2601" s="2" t="inlineStr">
        <is>
          <t xml:space="preserve">2012/13</t>
        </is>
      </c>
      <c r="D2601">
        <v>5.46</v>
      </c>
      <c r="E2601">
        <v>21.49</v>
      </c>
      <c r="F2601">
        <v>25.02</v>
      </c>
      <c r="G2601">
        <v>19.48</v>
      </c>
      <c r="H2601">
        <v>6.29</v>
      </c>
      <c r="I2601">
        <v>5.585</v>
      </c>
      <c r="J2601">
        <v>22.31</v>
      </c>
      <c r="K2601">
        <v>26.27</v>
      </c>
      <c r="L2601">
        <v>19.47</v>
      </c>
      <c r="M2601">
        <v>5.95</v>
      </c>
      <c r="N2601">
        <v>4.893</v>
      </c>
      <c r="O2601">
        <v>22.37</v>
      </c>
      <c r="P2601">
        <v>26.33</v>
      </c>
      <c r="Q2601">
        <v>19.35</v>
      </c>
      <c r="R2601">
        <v>6.23</v>
      </c>
    </row>
    <row r="2602">
      <c r="A2602" s="9">
        <v>41133</v>
      </c>
      <c r="B2602" s="2" t="inlineStr">
        <is>
          <t xml:space="preserve">2012-08</t>
        </is>
      </c>
      <c r="C2602" s="2" t="inlineStr">
        <is>
          <t xml:space="preserve">2012/13</t>
        </is>
      </c>
      <c r="D2602">
        <v>4.474</v>
      </c>
      <c r="E2602">
        <v>22.89</v>
      </c>
      <c r="F2602">
        <v>28.87</v>
      </c>
      <c r="G2602">
        <v>18.28</v>
      </c>
      <c r="H2602">
        <v>2.95</v>
      </c>
      <c r="I2602">
        <v>4.532</v>
      </c>
      <c r="J2602">
        <v>22.92</v>
      </c>
      <c r="K2602">
        <v>27.32</v>
      </c>
      <c r="L2602">
        <v>19.08</v>
      </c>
      <c r="M2602">
        <v>3.84</v>
      </c>
      <c r="N2602">
        <v>4.361</v>
      </c>
      <c r="O2602">
        <v>23.29</v>
      </c>
      <c r="P2602">
        <v>27.33</v>
      </c>
      <c r="Q2602">
        <v>20.62</v>
      </c>
      <c r="R2602">
        <v>3.25</v>
      </c>
    </row>
    <row r="2603">
      <c r="A2603" s="9">
        <v>41134</v>
      </c>
      <c r="B2603" s="2" t="inlineStr">
        <is>
          <t xml:space="preserve">2012-08</t>
        </is>
      </c>
      <c r="C2603" s="2" t="inlineStr">
        <is>
          <t xml:space="preserve">2012/13</t>
        </is>
      </c>
      <c r="D2603">
        <v>2.503</v>
      </c>
      <c r="E2603">
        <v>22.54</v>
      </c>
      <c r="F2603">
        <v>29.17</v>
      </c>
      <c r="G2603">
        <v>17.33</v>
      </c>
      <c r="H2603">
        <v>0.47</v>
      </c>
      <c r="I2603">
        <v>1.954</v>
      </c>
      <c r="J2603">
        <v>23.9</v>
      </c>
      <c r="K2603">
        <v>29.0</v>
      </c>
      <c r="L2603">
        <v>19.66</v>
      </c>
      <c r="M2603">
        <v>0.85</v>
      </c>
      <c r="N2603">
        <v>1.356</v>
      </c>
      <c r="O2603">
        <v>23.26</v>
      </c>
      <c r="P2603">
        <v>28.28</v>
      </c>
      <c r="Q2603">
        <v>19.4</v>
      </c>
      <c r="R2603">
        <v>1.42</v>
      </c>
    </row>
    <row r="2604">
      <c r="A2604" s="9">
        <v>41135</v>
      </c>
      <c r="B2604" s="2" t="inlineStr">
        <is>
          <t xml:space="preserve">2012-08</t>
        </is>
      </c>
      <c r="C2604" s="2" t="inlineStr">
        <is>
          <t xml:space="preserve">2012/13</t>
        </is>
      </c>
      <c r="D2604">
        <v>0.0</v>
      </c>
      <c r="E2604">
        <v>22.55</v>
      </c>
      <c r="F2604">
        <v>28.85</v>
      </c>
      <c r="G2604">
        <v>17.59</v>
      </c>
      <c r="H2604">
        <v>1.05</v>
      </c>
      <c r="I2604">
        <v>0.105</v>
      </c>
      <c r="J2604">
        <v>22.55</v>
      </c>
      <c r="K2604">
        <v>27.37</v>
      </c>
      <c r="L2604">
        <v>18.25</v>
      </c>
      <c r="M2604">
        <v>1.77</v>
      </c>
      <c r="N2604">
        <v>0.4</v>
      </c>
      <c r="O2604">
        <v>22.42</v>
      </c>
      <c r="P2604">
        <v>26.35</v>
      </c>
      <c r="Q2604">
        <v>19.22</v>
      </c>
      <c r="R2604">
        <v>2.95</v>
      </c>
    </row>
    <row r="2605">
      <c r="A2605" s="9">
        <v>41136</v>
      </c>
      <c r="B2605" s="2" t="inlineStr">
        <is>
          <t xml:space="preserve">2012-08</t>
        </is>
      </c>
      <c r="C2605" s="2" t="inlineStr">
        <is>
          <t xml:space="preserve">2012/13</t>
        </is>
      </c>
      <c r="D2605">
        <v>10.41</v>
      </c>
      <c r="E2605">
        <v>21.14</v>
      </c>
      <c r="F2605">
        <v>25.18</v>
      </c>
      <c r="G2605">
        <v>18.78</v>
      </c>
      <c r="H2605">
        <v>14.84</v>
      </c>
      <c r="I2605">
        <v>11.969</v>
      </c>
      <c r="J2605">
        <v>21.38</v>
      </c>
      <c r="K2605">
        <v>24.9</v>
      </c>
      <c r="L2605">
        <v>18.79</v>
      </c>
      <c r="M2605">
        <v>28.29</v>
      </c>
      <c r="N2605">
        <v>13.719</v>
      </c>
      <c r="O2605">
        <v>21.45</v>
      </c>
      <c r="P2605">
        <v>24.57</v>
      </c>
      <c r="Q2605">
        <v>19.03</v>
      </c>
      <c r="R2605">
        <v>35.65</v>
      </c>
    </row>
    <row r="2606">
      <c r="A2606" s="9">
        <v>41137</v>
      </c>
      <c r="B2606" s="2" t="inlineStr">
        <is>
          <t xml:space="preserve">2012-08</t>
        </is>
      </c>
      <c r="C2606" s="2" t="inlineStr">
        <is>
          <t xml:space="preserve">2012/13</t>
        </is>
      </c>
      <c r="D2606">
        <v>22.216</v>
      </c>
      <c r="E2606">
        <v>21.75</v>
      </c>
      <c r="F2606">
        <v>26.98</v>
      </c>
      <c r="G2606">
        <v>17.42</v>
      </c>
      <c r="H2606">
        <v>14.37</v>
      </c>
      <c r="I2606">
        <v>42.442</v>
      </c>
      <c r="J2606">
        <v>22.22</v>
      </c>
      <c r="K2606">
        <v>26.5</v>
      </c>
      <c r="L2606">
        <v>18.48</v>
      </c>
      <c r="M2606">
        <v>28.35</v>
      </c>
      <c r="N2606">
        <v>62.024</v>
      </c>
      <c r="O2606">
        <v>22.74</v>
      </c>
      <c r="P2606">
        <v>27.66</v>
      </c>
      <c r="Q2606">
        <v>18.83</v>
      </c>
      <c r="R2606">
        <v>25.97</v>
      </c>
    </row>
    <row r="2607">
      <c r="A2607" s="9">
        <v>41138</v>
      </c>
      <c r="B2607" s="2" t="inlineStr">
        <is>
          <t xml:space="preserve">2012-08</t>
        </is>
      </c>
      <c r="C2607" s="2" t="inlineStr">
        <is>
          <t xml:space="preserve">2012/13</t>
        </is>
      </c>
      <c r="D2607">
        <v>5.617</v>
      </c>
      <c r="E2607">
        <v>23.05</v>
      </c>
      <c r="F2607">
        <v>28.77</v>
      </c>
      <c r="G2607">
        <v>18.68</v>
      </c>
      <c r="H2607">
        <v>6.53</v>
      </c>
      <c r="I2607">
        <v>22.793</v>
      </c>
      <c r="J2607">
        <v>23.5</v>
      </c>
      <c r="K2607">
        <v>28.41</v>
      </c>
      <c r="L2607">
        <v>19.68</v>
      </c>
      <c r="M2607">
        <v>30.63</v>
      </c>
      <c r="N2607">
        <v>32.966</v>
      </c>
      <c r="O2607">
        <v>23.72</v>
      </c>
      <c r="P2607">
        <v>27.94</v>
      </c>
      <c r="Q2607">
        <v>20.1</v>
      </c>
      <c r="R2607">
        <v>34.35</v>
      </c>
    </row>
    <row r="2608">
      <c r="A2608" s="9">
        <v>41139</v>
      </c>
      <c r="B2608" s="2" t="inlineStr">
        <is>
          <t xml:space="preserve">2012-08</t>
        </is>
      </c>
      <c r="C2608" s="2" t="inlineStr">
        <is>
          <t xml:space="preserve">2012/13</t>
        </is>
      </c>
      <c r="D2608">
        <v>5.021</v>
      </c>
      <c r="E2608">
        <v>22.55</v>
      </c>
      <c r="F2608">
        <v>27.63</v>
      </c>
      <c r="G2608">
        <v>18.42</v>
      </c>
      <c r="H2608">
        <v>6.19</v>
      </c>
      <c r="I2608">
        <v>40.413</v>
      </c>
      <c r="J2608">
        <v>23.08</v>
      </c>
      <c r="K2608">
        <v>27.51</v>
      </c>
      <c r="L2608">
        <v>19.38</v>
      </c>
      <c r="M2608">
        <v>22.83</v>
      </c>
      <c r="N2608">
        <v>60.756</v>
      </c>
      <c r="O2608">
        <v>23.53</v>
      </c>
      <c r="P2608">
        <v>27.31</v>
      </c>
      <c r="Q2608">
        <v>20.98</v>
      </c>
      <c r="R2608">
        <v>23.03</v>
      </c>
    </row>
    <row r="2609">
      <c r="A2609" s="9">
        <v>41140</v>
      </c>
      <c r="B2609" s="2" t="inlineStr">
        <is>
          <t xml:space="preserve">2012-08</t>
        </is>
      </c>
      <c r="C2609" s="2" t="inlineStr">
        <is>
          <t xml:space="preserve">2012/13</t>
        </is>
      </c>
      <c r="D2609">
        <v>5.187</v>
      </c>
      <c r="E2609">
        <v>22.4</v>
      </c>
      <c r="F2609">
        <v>28.5</v>
      </c>
      <c r="G2609">
        <v>17.21</v>
      </c>
      <c r="H2609">
        <v>2.8</v>
      </c>
      <c r="I2609">
        <v>12.109</v>
      </c>
      <c r="J2609">
        <v>22.22</v>
      </c>
      <c r="K2609">
        <v>26.3</v>
      </c>
      <c r="L2609">
        <v>19.55</v>
      </c>
      <c r="M2609">
        <v>5.71</v>
      </c>
      <c r="N2609">
        <v>16.161</v>
      </c>
      <c r="O2609">
        <v>23.53</v>
      </c>
      <c r="P2609">
        <v>27.8</v>
      </c>
      <c r="Q2609">
        <v>19.62</v>
      </c>
      <c r="R2609">
        <v>6.05</v>
      </c>
    </row>
    <row r="2610">
      <c r="A2610" s="9">
        <v>41141</v>
      </c>
      <c r="B2610" s="2" t="inlineStr">
        <is>
          <t xml:space="preserve">2012-08</t>
        </is>
      </c>
      <c r="C2610" s="2" t="inlineStr">
        <is>
          <t xml:space="preserve">2012/13</t>
        </is>
      </c>
      <c r="D2610">
        <v>7.636</v>
      </c>
      <c r="E2610">
        <v>23.02</v>
      </c>
      <c r="F2610">
        <v>28.48</v>
      </c>
      <c r="G2610">
        <v>18.44</v>
      </c>
      <c r="H2610">
        <v>5.63</v>
      </c>
      <c r="I2610">
        <v>2.531</v>
      </c>
      <c r="J2610">
        <v>22.81</v>
      </c>
      <c r="K2610">
        <v>27.19</v>
      </c>
      <c r="L2610">
        <v>19.06</v>
      </c>
      <c r="M2610">
        <v>5.31</v>
      </c>
      <c r="N2610">
        <v>1.059</v>
      </c>
      <c r="O2610">
        <v>23.28</v>
      </c>
      <c r="P2610">
        <v>27.65</v>
      </c>
      <c r="Q2610">
        <v>19.63</v>
      </c>
      <c r="R2610">
        <v>4.62</v>
      </c>
    </row>
    <row r="2611">
      <c r="A2611" s="9">
        <v>41142</v>
      </c>
      <c r="B2611" s="2" t="inlineStr">
        <is>
          <t xml:space="preserve">2012-08</t>
        </is>
      </c>
      <c r="C2611" s="2" t="inlineStr">
        <is>
          <t xml:space="preserve">2012/13</t>
        </is>
      </c>
      <c r="D2611">
        <v>13.111</v>
      </c>
      <c r="E2611">
        <v>22.4</v>
      </c>
      <c r="F2611">
        <v>27.25</v>
      </c>
      <c r="G2611">
        <v>18.53</v>
      </c>
      <c r="H2611">
        <v>9.85</v>
      </c>
      <c r="I2611">
        <v>25.098</v>
      </c>
      <c r="J2611">
        <v>22.79</v>
      </c>
      <c r="K2611">
        <v>26.61</v>
      </c>
      <c r="L2611">
        <v>19.85</v>
      </c>
      <c r="M2611">
        <v>21.95</v>
      </c>
      <c r="N2611">
        <v>29.784</v>
      </c>
      <c r="O2611">
        <v>23.25</v>
      </c>
      <c r="P2611">
        <v>27.06</v>
      </c>
      <c r="Q2611">
        <v>20.03</v>
      </c>
      <c r="R2611">
        <v>19.9</v>
      </c>
    </row>
    <row r="2612">
      <c r="A2612" s="9">
        <v>41143</v>
      </c>
      <c r="B2612" s="2" t="inlineStr">
        <is>
          <t xml:space="preserve">2012-08</t>
        </is>
      </c>
      <c r="C2612" s="2" t="inlineStr">
        <is>
          <t xml:space="preserve">2012/13</t>
        </is>
      </c>
      <c r="D2612">
        <v>7.674</v>
      </c>
      <c r="E2612">
        <v>21.97</v>
      </c>
      <c r="F2612">
        <v>26.46</v>
      </c>
      <c r="G2612">
        <v>18.63</v>
      </c>
      <c r="H2612">
        <v>5.59</v>
      </c>
      <c r="I2612">
        <v>12.529</v>
      </c>
      <c r="J2612">
        <v>22.3</v>
      </c>
      <c r="K2612">
        <v>26.41</v>
      </c>
      <c r="L2612">
        <v>20.0</v>
      </c>
      <c r="M2612">
        <v>11.12</v>
      </c>
      <c r="N2612">
        <v>10.198</v>
      </c>
      <c r="O2612">
        <v>22.65</v>
      </c>
      <c r="P2612">
        <v>26.33</v>
      </c>
      <c r="Q2612">
        <v>20.95</v>
      </c>
      <c r="R2612">
        <v>8.44</v>
      </c>
    </row>
    <row r="2613">
      <c r="A2613" s="9">
        <v>41144</v>
      </c>
      <c r="B2613" s="2" t="inlineStr">
        <is>
          <t xml:space="preserve">2012-08</t>
        </is>
      </c>
      <c r="C2613" s="2" t="inlineStr">
        <is>
          <t xml:space="preserve">2012/13</t>
        </is>
      </c>
      <c r="D2613">
        <v>9.728</v>
      </c>
      <c r="E2613">
        <v>22.36</v>
      </c>
      <c r="F2613">
        <v>28.07</v>
      </c>
      <c r="G2613">
        <v>17.36</v>
      </c>
      <c r="H2613">
        <v>4.68</v>
      </c>
      <c r="I2613">
        <v>4.908</v>
      </c>
      <c r="J2613">
        <v>22.12</v>
      </c>
      <c r="K2613">
        <v>24.43</v>
      </c>
      <c r="L2613">
        <v>20.1</v>
      </c>
      <c r="M2613">
        <v>3.87</v>
      </c>
      <c r="N2613">
        <v>1.689</v>
      </c>
      <c r="O2613">
        <v>22.49</v>
      </c>
      <c r="P2613">
        <v>25.82</v>
      </c>
      <c r="Q2613">
        <v>20.54</v>
      </c>
      <c r="R2613">
        <v>3.7</v>
      </c>
    </row>
    <row r="2614">
      <c r="A2614" s="9">
        <v>41145</v>
      </c>
      <c r="B2614" s="2" t="inlineStr">
        <is>
          <t xml:space="preserve">2012-08</t>
        </is>
      </c>
      <c r="C2614" s="2" t="inlineStr">
        <is>
          <t xml:space="preserve">2012/13</t>
        </is>
      </c>
      <c r="D2614">
        <v>1.262</v>
      </c>
      <c r="E2614">
        <v>22.1</v>
      </c>
      <c r="F2614">
        <v>27.21</v>
      </c>
      <c r="G2614">
        <v>19.29</v>
      </c>
      <c r="H2614">
        <v>2.37</v>
      </c>
      <c r="I2614">
        <v>1.976</v>
      </c>
      <c r="J2614">
        <v>21.82</v>
      </c>
      <c r="K2614">
        <v>25.21</v>
      </c>
      <c r="L2614">
        <v>18.51</v>
      </c>
      <c r="M2614">
        <v>2.77</v>
      </c>
      <c r="N2614">
        <v>1.281</v>
      </c>
      <c r="O2614">
        <v>22.24</v>
      </c>
      <c r="P2614">
        <v>25.84</v>
      </c>
      <c r="Q2614">
        <v>19.84</v>
      </c>
      <c r="R2614">
        <v>6.43</v>
      </c>
    </row>
    <row r="2615">
      <c r="A2615" s="9">
        <v>41146</v>
      </c>
      <c r="B2615" s="2" t="inlineStr">
        <is>
          <t xml:space="preserve">2012-08</t>
        </is>
      </c>
      <c r="C2615" s="2" t="inlineStr">
        <is>
          <t xml:space="preserve">2012/13</t>
        </is>
      </c>
      <c r="D2615">
        <v>0.805</v>
      </c>
      <c r="E2615">
        <v>23.09</v>
      </c>
      <c r="F2615">
        <v>28.87</v>
      </c>
      <c r="G2615">
        <v>18.51</v>
      </c>
      <c r="H2615">
        <v>1.59</v>
      </c>
      <c r="I2615">
        <v>0.383</v>
      </c>
      <c r="J2615">
        <v>22.87</v>
      </c>
      <c r="K2615">
        <v>27.79</v>
      </c>
      <c r="L2615">
        <v>18.05</v>
      </c>
      <c r="M2615">
        <v>1.1</v>
      </c>
      <c r="N2615">
        <v>0.0</v>
      </c>
      <c r="O2615">
        <v>22.88</v>
      </c>
      <c r="P2615">
        <v>27.62</v>
      </c>
      <c r="Q2615">
        <v>19.77</v>
      </c>
      <c r="R2615">
        <v>0.54</v>
      </c>
    </row>
    <row r="2616">
      <c r="A2616" s="9">
        <v>41147</v>
      </c>
      <c r="B2616" s="2" t="inlineStr">
        <is>
          <t xml:space="preserve">2012-08</t>
        </is>
      </c>
      <c r="C2616" s="2" t="inlineStr">
        <is>
          <t xml:space="preserve">2012/13</t>
        </is>
      </c>
      <c r="D2616">
        <v>11.473</v>
      </c>
      <c r="E2616">
        <v>22.14</v>
      </c>
      <c r="F2616">
        <v>26.09</v>
      </c>
      <c r="G2616">
        <v>19.08</v>
      </c>
      <c r="H2616">
        <v>10.86</v>
      </c>
      <c r="I2616">
        <v>5.308</v>
      </c>
      <c r="J2616">
        <v>22.56</v>
      </c>
      <c r="K2616">
        <v>26.25</v>
      </c>
      <c r="L2616">
        <v>19.37</v>
      </c>
      <c r="M2616">
        <v>11.0</v>
      </c>
      <c r="N2616">
        <v>3.275</v>
      </c>
      <c r="O2616">
        <v>22.79</v>
      </c>
      <c r="P2616">
        <v>27.01</v>
      </c>
      <c r="Q2616">
        <v>19.92</v>
      </c>
      <c r="R2616">
        <v>8.88</v>
      </c>
    </row>
    <row r="2617">
      <c r="A2617" s="9">
        <v>41148</v>
      </c>
      <c r="B2617" s="2" t="inlineStr">
        <is>
          <t xml:space="preserve">2012-08</t>
        </is>
      </c>
      <c r="C2617" s="2" t="inlineStr">
        <is>
          <t xml:space="preserve">2012/13</t>
        </is>
      </c>
      <c r="D2617">
        <v>28.606</v>
      </c>
      <c r="E2617">
        <v>22.96</v>
      </c>
      <c r="F2617">
        <v>27.92</v>
      </c>
      <c r="G2617">
        <v>19.11</v>
      </c>
      <c r="H2617">
        <v>15.35</v>
      </c>
      <c r="I2617">
        <v>28.812</v>
      </c>
      <c r="J2617">
        <v>22.56</v>
      </c>
      <c r="K2617">
        <v>26.52</v>
      </c>
      <c r="L2617">
        <v>19.26</v>
      </c>
      <c r="M2617">
        <v>21.93</v>
      </c>
      <c r="N2617">
        <v>32.337</v>
      </c>
      <c r="O2617">
        <v>22.57</v>
      </c>
      <c r="P2617">
        <v>27.27</v>
      </c>
      <c r="Q2617">
        <v>18.1</v>
      </c>
      <c r="R2617">
        <v>18.66</v>
      </c>
    </row>
    <row r="2618">
      <c r="A2618" s="9">
        <v>41149</v>
      </c>
      <c r="B2618" s="2" t="inlineStr">
        <is>
          <t xml:space="preserve">2012-08</t>
        </is>
      </c>
      <c r="C2618" s="2" t="inlineStr">
        <is>
          <t xml:space="preserve">2012/13</t>
        </is>
      </c>
      <c r="D2618">
        <v>23.645</v>
      </c>
      <c r="E2618">
        <v>22.4</v>
      </c>
      <c r="F2618">
        <v>26.41</v>
      </c>
      <c r="G2618">
        <v>19.59</v>
      </c>
      <c r="H2618">
        <v>24.34</v>
      </c>
      <c r="I2618">
        <v>30.446</v>
      </c>
      <c r="J2618">
        <v>22.79</v>
      </c>
      <c r="K2618">
        <v>26.28</v>
      </c>
      <c r="L2618">
        <v>20.85</v>
      </c>
      <c r="M2618">
        <v>38.59</v>
      </c>
      <c r="N2618">
        <v>28.283</v>
      </c>
      <c r="O2618">
        <v>22.73</v>
      </c>
      <c r="P2618">
        <v>25.92</v>
      </c>
      <c r="Q2618">
        <v>20.9</v>
      </c>
      <c r="R2618">
        <v>33.95</v>
      </c>
    </row>
    <row r="2619">
      <c r="A2619" s="9">
        <v>41150</v>
      </c>
      <c r="B2619" s="2" t="inlineStr">
        <is>
          <t xml:space="preserve">2012-08</t>
        </is>
      </c>
      <c r="C2619" s="2" t="inlineStr">
        <is>
          <t xml:space="preserve">2012/13</t>
        </is>
      </c>
      <c r="D2619">
        <v>15.072</v>
      </c>
      <c r="E2619">
        <v>21.32</v>
      </c>
      <c r="F2619">
        <v>25.68</v>
      </c>
      <c r="G2619">
        <v>18.1</v>
      </c>
      <c r="H2619">
        <v>11.79</v>
      </c>
      <c r="I2619">
        <v>44.647</v>
      </c>
      <c r="J2619">
        <v>22.36</v>
      </c>
      <c r="K2619">
        <v>25.75</v>
      </c>
      <c r="L2619">
        <v>19.57</v>
      </c>
      <c r="M2619">
        <v>26.12</v>
      </c>
      <c r="N2619">
        <v>63.037</v>
      </c>
      <c r="O2619">
        <v>22.57</v>
      </c>
      <c r="P2619">
        <v>25.39</v>
      </c>
      <c r="Q2619">
        <v>20.32</v>
      </c>
      <c r="R2619">
        <v>25.96</v>
      </c>
    </row>
    <row r="2620">
      <c r="A2620" s="9">
        <v>41151</v>
      </c>
      <c r="B2620" s="2" t="inlineStr">
        <is>
          <t xml:space="preserve">2012-08</t>
        </is>
      </c>
      <c r="C2620" s="2" t="inlineStr">
        <is>
          <t xml:space="preserve">2012/13</t>
        </is>
      </c>
      <c r="D2620">
        <v>5.821</v>
      </c>
      <c r="E2620">
        <v>21.57</v>
      </c>
      <c r="F2620">
        <v>26.94</v>
      </c>
      <c r="G2620">
        <v>17.53</v>
      </c>
      <c r="H2620">
        <v>11.2</v>
      </c>
      <c r="I2620">
        <v>5.275</v>
      </c>
      <c r="J2620">
        <v>22.85</v>
      </c>
      <c r="K2620">
        <v>27.13</v>
      </c>
      <c r="L2620">
        <v>19.49</v>
      </c>
      <c r="M2620">
        <v>6.98</v>
      </c>
      <c r="N2620">
        <v>5.178</v>
      </c>
      <c r="O2620">
        <v>22.89</v>
      </c>
      <c r="P2620">
        <v>26.57</v>
      </c>
      <c r="Q2620">
        <v>20.11</v>
      </c>
      <c r="R2620">
        <v>6.6</v>
      </c>
    </row>
    <row r="2621">
      <c r="A2621" s="9">
        <v>41152</v>
      </c>
      <c r="B2621" s="2" t="inlineStr">
        <is>
          <t xml:space="preserve">2012-08</t>
        </is>
      </c>
      <c r="C2621" s="2" t="inlineStr">
        <is>
          <t xml:space="preserve">2012/13</t>
        </is>
      </c>
      <c r="D2621">
        <v>15.279</v>
      </c>
      <c r="E2621">
        <v>21.18</v>
      </c>
      <c r="F2621">
        <v>27.02</v>
      </c>
      <c r="G2621">
        <v>17.43</v>
      </c>
      <c r="H2621">
        <v>6.65</v>
      </c>
      <c r="I2621">
        <v>9.302</v>
      </c>
      <c r="J2621">
        <v>22.72</v>
      </c>
      <c r="K2621">
        <v>27.19</v>
      </c>
      <c r="L2621">
        <v>19.45</v>
      </c>
      <c r="M2621">
        <v>8.57</v>
      </c>
      <c r="N2621">
        <v>9.008</v>
      </c>
      <c r="O2621">
        <v>22.89</v>
      </c>
      <c r="P2621">
        <v>26.74</v>
      </c>
      <c r="Q2621">
        <v>20.05</v>
      </c>
      <c r="R2621">
        <v>6.94</v>
      </c>
    </row>
    <row r="2622">
      <c r="A2622" s="9">
        <v>41153</v>
      </c>
      <c r="B2622" s="2" t="inlineStr">
        <is>
          <t xml:space="preserve">2012-09</t>
        </is>
      </c>
      <c r="C2622" s="2" t="inlineStr">
        <is>
          <t xml:space="preserve">2012/13</t>
        </is>
      </c>
      <c r="D2622">
        <v>1.994</v>
      </c>
      <c r="E2622">
        <v>21.65</v>
      </c>
      <c r="F2622">
        <v>27.18</v>
      </c>
      <c r="G2622">
        <v>17.14</v>
      </c>
      <c r="H2622">
        <v>1.73</v>
      </c>
      <c r="I2622">
        <v>5.953</v>
      </c>
      <c r="J2622">
        <v>21.95</v>
      </c>
      <c r="K2622">
        <v>25.5</v>
      </c>
      <c r="L2622">
        <v>18.86</v>
      </c>
      <c r="M2622">
        <v>1.82</v>
      </c>
      <c r="N2622">
        <v>8.475</v>
      </c>
      <c r="O2622">
        <v>22.4</v>
      </c>
      <c r="P2622">
        <v>25.98</v>
      </c>
      <c r="Q2622">
        <v>20.24</v>
      </c>
      <c r="R2622">
        <v>2.54</v>
      </c>
    </row>
    <row r="2623">
      <c r="A2623" s="9">
        <v>41154</v>
      </c>
      <c r="B2623" s="2" t="inlineStr">
        <is>
          <t xml:space="preserve">2012-09</t>
        </is>
      </c>
      <c r="C2623" s="2" t="inlineStr">
        <is>
          <t xml:space="preserve">2012/13</t>
        </is>
      </c>
      <c r="D2623">
        <v>2.002</v>
      </c>
      <c r="E2623">
        <v>21.92</v>
      </c>
      <c r="F2623">
        <v>27.55</v>
      </c>
      <c r="G2623">
        <v>17.39</v>
      </c>
      <c r="H2623">
        <v>0.69</v>
      </c>
      <c r="I2623">
        <v>0.375</v>
      </c>
      <c r="J2623">
        <v>22.47</v>
      </c>
      <c r="K2623">
        <v>26.91</v>
      </c>
      <c r="L2623">
        <v>18.39</v>
      </c>
      <c r="M2623">
        <v>0.57</v>
      </c>
      <c r="N2623">
        <v>0.376</v>
      </c>
      <c r="O2623">
        <v>22.55</v>
      </c>
      <c r="P2623">
        <v>27.15</v>
      </c>
      <c r="Q2623">
        <v>19.19</v>
      </c>
      <c r="R2623">
        <v>1.03</v>
      </c>
    </row>
    <row r="2624">
      <c r="A2624" s="9">
        <v>41155</v>
      </c>
      <c r="B2624" s="2" t="inlineStr">
        <is>
          <t xml:space="preserve">2012-09</t>
        </is>
      </c>
      <c r="C2624" s="2" t="inlineStr">
        <is>
          <t xml:space="preserve">2012/13</t>
        </is>
      </c>
      <c r="D2624">
        <v>1.332</v>
      </c>
      <c r="E2624">
        <v>21.96</v>
      </c>
      <c r="F2624">
        <v>27.07</v>
      </c>
      <c r="G2624">
        <v>17.21</v>
      </c>
      <c r="H2624">
        <v>1.49</v>
      </c>
      <c r="I2624">
        <v>0.0</v>
      </c>
      <c r="J2624">
        <v>22.24</v>
      </c>
      <c r="K2624">
        <v>26.25</v>
      </c>
      <c r="L2624">
        <v>18.32</v>
      </c>
      <c r="M2624">
        <v>0.37</v>
      </c>
      <c r="N2624">
        <v>0.0</v>
      </c>
      <c r="O2624">
        <v>22.67</v>
      </c>
      <c r="P2624">
        <v>27.14</v>
      </c>
      <c r="Q2624">
        <v>19.41</v>
      </c>
      <c r="R2624">
        <v>0.37</v>
      </c>
    </row>
    <row r="2625">
      <c r="A2625" s="9">
        <v>41156</v>
      </c>
      <c r="B2625" s="2" t="inlineStr">
        <is>
          <t xml:space="preserve">2012-09</t>
        </is>
      </c>
      <c r="C2625" s="2" t="inlineStr">
        <is>
          <t xml:space="preserve">2012/13</t>
        </is>
      </c>
      <c r="D2625">
        <v>3.267</v>
      </c>
      <c r="E2625">
        <v>22.7</v>
      </c>
      <c r="F2625">
        <v>28.22</v>
      </c>
      <c r="G2625">
        <v>17.69</v>
      </c>
      <c r="H2625">
        <v>1.33</v>
      </c>
      <c r="I2625">
        <v>1.566</v>
      </c>
      <c r="J2625">
        <v>22.79</v>
      </c>
      <c r="K2625">
        <v>26.72</v>
      </c>
      <c r="L2625">
        <v>19.93</v>
      </c>
      <c r="M2625">
        <v>1.14</v>
      </c>
      <c r="N2625">
        <v>0.687</v>
      </c>
      <c r="O2625">
        <v>23.45</v>
      </c>
      <c r="P2625">
        <v>28.07</v>
      </c>
      <c r="Q2625">
        <v>20.13</v>
      </c>
      <c r="R2625">
        <v>0.69</v>
      </c>
    </row>
    <row r="2626">
      <c r="A2626" s="9">
        <v>41157</v>
      </c>
      <c r="B2626" s="2" t="inlineStr">
        <is>
          <t xml:space="preserve">2012-09</t>
        </is>
      </c>
      <c r="C2626" s="2" t="inlineStr">
        <is>
          <t xml:space="preserve">2012/13</t>
        </is>
      </c>
      <c r="D2626">
        <v>1.389</v>
      </c>
      <c r="E2626">
        <v>22.7</v>
      </c>
      <c r="F2626">
        <v>27.74</v>
      </c>
      <c r="G2626">
        <v>18.27</v>
      </c>
      <c r="H2626">
        <v>2.16</v>
      </c>
      <c r="I2626">
        <v>0.0</v>
      </c>
      <c r="J2626">
        <v>23.01</v>
      </c>
      <c r="K2626">
        <v>27.5</v>
      </c>
      <c r="L2626">
        <v>19.67</v>
      </c>
      <c r="M2626">
        <v>0.8</v>
      </c>
      <c r="N2626">
        <v>0.0</v>
      </c>
      <c r="O2626">
        <v>23.4</v>
      </c>
      <c r="P2626">
        <v>27.84</v>
      </c>
      <c r="Q2626">
        <v>19.34</v>
      </c>
      <c r="R2626">
        <v>0.14</v>
      </c>
    </row>
    <row r="2627">
      <c r="A2627" s="9">
        <v>41158</v>
      </c>
      <c r="B2627" s="2" t="inlineStr">
        <is>
          <t xml:space="preserve">2012-09</t>
        </is>
      </c>
      <c r="C2627" s="2" t="inlineStr">
        <is>
          <t xml:space="preserve">2012/13</t>
        </is>
      </c>
      <c r="D2627">
        <v>1.609</v>
      </c>
      <c r="E2627">
        <v>22.86</v>
      </c>
      <c r="F2627">
        <v>27.85</v>
      </c>
      <c r="G2627">
        <v>18.64</v>
      </c>
      <c r="H2627">
        <v>6.67</v>
      </c>
      <c r="I2627">
        <v>1.559</v>
      </c>
      <c r="J2627">
        <v>23.06</v>
      </c>
      <c r="K2627">
        <v>26.9</v>
      </c>
      <c r="L2627">
        <v>19.83</v>
      </c>
      <c r="M2627">
        <v>4.17</v>
      </c>
      <c r="N2627">
        <v>0.0</v>
      </c>
      <c r="O2627">
        <v>23.09</v>
      </c>
      <c r="P2627">
        <v>26.61</v>
      </c>
      <c r="Q2627">
        <v>20.55</v>
      </c>
      <c r="R2627">
        <v>2.53</v>
      </c>
    </row>
    <row r="2628">
      <c r="A2628" s="9">
        <v>41159</v>
      </c>
      <c r="B2628" s="2" t="inlineStr">
        <is>
          <t xml:space="preserve">2012-09</t>
        </is>
      </c>
      <c r="C2628" s="2" t="inlineStr">
        <is>
          <t xml:space="preserve">2012/13</t>
        </is>
      </c>
      <c r="D2628">
        <v>25.251</v>
      </c>
      <c r="E2628">
        <v>22.45</v>
      </c>
      <c r="F2628">
        <v>27.05</v>
      </c>
      <c r="G2628">
        <v>19.17</v>
      </c>
      <c r="H2628">
        <v>12.22</v>
      </c>
      <c r="I2628">
        <v>11.527</v>
      </c>
      <c r="J2628">
        <v>23.19</v>
      </c>
      <c r="K2628">
        <v>27.27</v>
      </c>
      <c r="L2628">
        <v>19.93</v>
      </c>
      <c r="M2628">
        <v>10.48</v>
      </c>
      <c r="N2628">
        <v>8.36</v>
      </c>
      <c r="O2628">
        <v>23.07</v>
      </c>
      <c r="P2628">
        <v>26.82</v>
      </c>
      <c r="Q2628">
        <v>20.03</v>
      </c>
      <c r="R2628">
        <v>8.23</v>
      </c>
    </row>
    <row r="2629">
      <c r="A2629" s="9">
        <v>41160</v>
      </c>
      <c r="B2629" s="2" t="inlineStr">
        <is>
          <t xml:space="preserve">2012-09</t>
        </is>
      </c>
      <c r="C2629" s="2" t="inlineStr">
        <is>
          <t xml:space="preserve">2012/13</t>
        </is>
      </c>
      <c r="D2629">
        <v>7.557</v>
      </c>
      <c r="E2629">
        <v>21.44</v>
      </c>
      <c r="F2629">
        <v>26.34</v>
      </c>
      <c r="G2629">
        <v>17.47</v>
      </c>
      <c r="H2629">
        <v>7.84</v>
      </c>
      <c r="I2629">
        <v>12.837</v>
      </c>
      <c r="J2629">
        <v>22.64</v>
      </c>
      <c r="K2629">
        <v>27.75</v>
      </c>
      <c r="L2629">
        <v>18.22</v>
      </c>
      <c r="M2629">
        <v>13.28</v>
      </c>
      <c r="N2629">
        <v>12.229</v>
      </c>
      <c r="O2629">
        <v>22.44</v>
      </c>
      <c r="P2629">
        <v>26.29</v>
      </c>
      <c r="Q2629">
        <v>19.37</v>
      </c>
      <c r="R2629">
        <v>11.87</v>
      </c>
    </row>
    <row r="2630">
      <c r="A2630" s="9">
        <v>41161</v>
      </c>
      <c r="B2630" s="2" t="inlineStr">
        <is>
          <t xml:space="preserve">2012-09</t>
        </is>
      </c>
      <c r="C2630" s="2" t="inlineStr">
        <is>
          <t xml:space="preserve">2012/13</t>
        </is>
      </c>
      <c r="D2630">
        <v>10.618</v>
      </c>
      <c r="E2630">
        <v>20.81</v>
      </c>
      <c r="F2630">
        <v>25.47</v>
      </c>
      <c r="G2630">
        <v>17.22</v>
      </c>
      <c r="H2630">
        <v>7.56</v>
      </c>
      <c r="I2630">
        <v>20.679</v>
      </c>
      <c r="J2630">
        <v>21.34</v>
      </c>
      <c r="K2630">
        <v>23.82</v>
      </c>
      <c r="L2630">
        <v>19.26</v>
      </c>
      <c r="M2630">
        <v>16.61</v>
      </c>
      <c r="N2630">
        <v>25.834</v>
      </c>
      <c r="O2630">
        <v>21.96</v>
      </c>
      <c r="P2630">
        <v>25.1</v>
      </c>
      <c r="Q2630">
        <v>19.85</v>
      </c>
      <c r="R2630">
        <v>15.68</v>
      </c>
    </row>
    <row r="2631">
      <c r="A2631" s="9">
        <v>41162</v>
      </c>
      <c r="B2631" s="2" t="inlineStr">
        <is>
          <t xml:space="preserve">2012-09</t>
        </is>
      </c>
      <c r="C2631" s="2" t="inlineStr">
        <is>
          <t xml:space="preserve">2012/13</t>
        </is>
      </c>
      <c r="D2631">
        <v>7.821</v>
      </c>
      <c r="E2631">
        <v>21.79</v>
      </c>
      <c r="F2631">
        <v>27.72</v>
      </c>
      <c r="G2631">
        <v>16.39</v>
      </c>
      <c r="H2631">
        <v>5.44</v>
      </c>
      <c r="I2631">
        <v>6.6</v>
      </c>
      <c r="J2631">
        <v>22.9</v>
      </c>
      <c r="K2631">
        <v>27.88</v>
      </c>
      <c r="L2631">
        <v>18.79</v>
      </c>
      <c r="M2631">
        <v>7.37</v>
      </c>
      <c r="N2631">
        <v>6.626</v>
      </c>
      <c r="O2631">
        <v>22.76</v>
      </c>
      <c r="P2631">
        <v>27.97</v>
      </c>
      <c r="Q2631">
        <v>18.89</v>
      </c>
      <c r="R2631">
        <v>5.62</v>
      </c>
    </row>
    <row r="2632">
      <c r="A2632" s="9">
        <v>41163</v>
      </c>
      <c r="B2632" s="2" t="inlineStr">
        <is>
          <t xml:space="preserve">2012-09</t>
        </is>
      </c>
      <c r="C2632" s="2" t="inlineStr">
        <is>
          <t xml:space="preserve">2012/13</t>
        </is>
      </c>
      <c r="D2632">
        <v>5.577</v>
      </c>
      <c r="E2632">
        <v>21.94</v>
      </c>
      <c r="F2632">
        <v>27.95</v>
      </c>
      <c r="G2632">
        <v>17.43</v>
      </c>
      <c r="H2632">
        <v>1.51</v>
      </c>
      <c r="I2632">
        <v>7.373</v>
      </c>
      <c r="J2632">
        <v>22.27</v>
      </c>
      <c r="K2632">
        <v>26.43</v>
      </c>
      <c r="L2632">
        <v>18.81</v>
      </c>
      <c r="M2632">
        <v>4.14</v>
      </c>
      <c r="N2632">
        <v>6.754</v>
      </c>
      <c r="O2632">
        <v>22.35</v>
      </c>
      <c r="P2632">
        <v>25.86</v>
      </c>
      <c r="Q2632">
        <v>20.0</v>
      </c>
      <c r="R2632">
        <v>5.92</v>
      </c>
    </row>
    <row r="2633">
      <c r="A2633" s="9">
        <v>41164</v>
      </c>
      <c r="B2633" s="2" t="inlineStr">
        <is>
          <t xml:space="preserve">2012-09</t>
        </is>
      </c>
      <c r="C2633" s="2" t="inlineStr">
        <is>
          <t xml:space="preserve">2012/13</t>
        </is>
      </c>
      <c r="D2633">
        <v>0.0</v>
      </c>
      <c r="E2633">
        <v>21.11</v>
      </c>
      <c r="F2633">
        <v>27.24</v>
      </c>
      <c r="G2633">
        <v>16.17</v>
      </c>
      <c r="H2633">
        <v>0.86</v>
      </c>
      <c r="I2633">
        <v>0.778</v>
      </c>
      <c r="J2633">
        <v>21.72</v>
      </c>
      <c r="K2633">
        <v>26.7</v>
      </c>
      <c r="L2633">
        <v>17.8</v>
      </c>
      <c r="M2633">
        <v>3.83</v>
      </c>
      <c r="N2633">
        <v>2.954</v>
      </c>
      <c r="O2633">
        <v>21.69</v>
      </c>
      <c r="P2633">
        <v>26.02</v>
      </c>
      <c r="Q2633">
        <v>18.64</v>
      </c>
      <c r="R2633">
        <v>14.36</v>
      </c>
    </row>
    <row r="2634">
      <c r="A2634" s="9">
        <v>41165</v>
      </c>
      <c r="B2634" s="2" t="inlineStr">
        <is>
          <t xml:space="preserve">2012-09</t>
        </is>
      </c>
      <c r="C2634" s="2" t="inlineStr">
        <is>
          <t xml:space="preserve">2012/13</t>
        </is>
      </c>
      <c r="D2634">
        <v>0.507</v>
      </c>
      <c r="E2634">
        <v>20.73</v>
      </c>
      <c r="F2634">
        <v>25.3</v>
      </c>
      <c r="G2634">
        <v>17.37</v>
      </c>
      <c r="H2634">
        <v>0.75</v>
      </c>
      <c r="I2634">
        <v>0.129</v>
      </c>
      <c r="J2634">
        <v>21.24</v>
      </c>
      <c r="K2634">
        <v>26.12</v>
      </c>
      <c r="L2634">
        <v>17.08</v>
      </c>
      <c r="M2634">
        <v>0.72</v>
      </c>
      <c r="N2634">
        <v>0.492</v>
      </c>
      <c r="O2634">
        <v>21.42</v>
      </c>
      <c r="P2634">
        <v>25.83</v>
      </c>
      <c r="Q2634">
        <v>17.93</v>
      </c>
      <c r="R2634">
        <v>2.63</v>
      </c>
    </row>
    <row r="2635">
      <c r="A2635" s="9">
        <v>41166</v>
      </c>
      <c r="B2635" s="2" t="inlineStr">
        <is>
          <t xml:space="preserve">2012-09</t>
        </is>
      </c>
      <c r="C2635" s="2" t="inlineStr">
        <is>
          <t xml:space="preserve">2012/13</t>
        </is>
      </c>
      <c r="D2635">
        <v>0.0</v>
      </c>
      <c r="E2635">
        <v>22.37</v>
      </c>
      <c r="F2635">
        <v>28.02</v>
      </c>
      <c r="G2635">
        <v>17.62</v>
      </c>
      <c r="H2635">
        <v>0.17</v>
      </c>
      <c r="I2635">
        <v>0.0</v>
      </c>
      <c r="J2635">
        <v>22.13</v>
      </c>
      <c r="K2635">
        <v>26.8</v>
      </c>
      <c r="L2635">
        <v>17.67</v>
      </c>
      <c r="M2635">
        <v>0.46</v>
      </c>
      <c r="N2635">
        <v>0.0</v>
      </c>
      <c r="O2635">
        <v>22.4</v>
      </c>
      <c r="P2635">
        <v>26.94</v>
      </c>
      <c r="Q2635">
        <v>18.72</v>
      </c>
      <c r="R2635">
        <v>1.62</v>
      </c>
    </row>
    <row r="2636">
      <c r="A2636" s="9">
        <v>41167</v>
      </c>
      <c r="B2636" s="2" t="inlineStr">
        <is>
          <t xml:space="preserve">2012-09</t>
        </is>
      </c>
      <c r="C2636" s="2" t="inlineStr">
        <is>
          <t xml:space="preserve">2012/13</t>
        </is>
      </c>
      <c r="D2636">
        <v>0.0</v>
      </c>
      <c r="E2636">
        <v>22.18</v>
      </c>
      <c r="F2636">
        <v>26.73</v>
      </c>
      <c r="G2636">
        <v>18.12</v>
      </c>
      <c r="H2636">
        <v>0.49</v>
      </c>
      <c r="I2636">
        <v>1.101</v>
      </c>
      <c r="J2636">
        <v>22.45</v>
      </c>
      <c r="K2636">
        <v>26.45</v>
      </c>
      <c r="L2636">
        <v>19.25</v>
      </c>
      <c r="M2636">
        <v>3.01</v>
      </c>
      <c r="N2636">
        <v>1.674</v>
      </c>
      <c r="O2636">
        <v>22.82</v>
      </c>
      <c r="P2636">
        <v>26.83</v>
      </c>
      <c r="Q2636">
        <v>20.09</v>
      </c>
      <c r="R2636">
        <v>3.32</v>
      </c>
    </row>
    <row r="2637">
      <c r="A2637" s="9">
        <v>41168</v>
      </c>
      <c r="B2637" s="2" t="inlineStr">
        <is>
          <t xml:space="preserve">2012-09</t>
        </is>
      </c>
      <c r="C2637" s="2" t="inlineStr">
        <is>
          <t xml:space="preserve">2012/13</t>
        </is>
      </c>
      <c r="D2637">
        <v>0.407</v>
      </c>
      <c r="E2637">
        <v>22.04</v>
      </c>
      <c r="F2637">
        <v>27.6</v>
      </c>
      <c r="G2637">
        <v>17.0</v>
      </c>
      <c r="H2637">
        <v>4.72</v>
      </c>
      <c r="I2637">
        <v>10.429</v>
      </c>
      <c r="J2637">
        <v>22.53</v>
      </c>
      <c r="K2637">
        <v>26.21</v>
      </c>
      <c r="L2637">
        <v>19.8</v>
      </c>
      <c r="M2637">
        <v>8.88</v>
      </c>
      <c r="N2637">
        <v>16.061</v>
      </c>
      <c r="O2637">
        <v>22.62</v>
      </c>
      <c r="P2637">
        <v>25.84</v>
      </c>
      <c r="Q2637">
        <v>20.58</v>
      </c>
      <c r="R2637">
        <v>11.65</v>
      </c>
    </row>
    <row r="2638">
      <c r="A2638" s="9">
        <v>41169</v>
      </c>
      <c r="B2638" s="2" t="inlineStr">
        <is>
          <t xml:space="preserve">2012-09</t>
        </is>
      </c>
      <c r="C2638" s="2" t="inlineStr">
        <is>
          <t xml:space="preserve">2012/13</t>
        </is>
      </c>
      <c r="D2638">
        <v>4.386</v>
      </c>
      <c r="E2638">
        <v>22.17</v>
      </c>
      <c r="F2638">
        <v>27.84</v>
      </c>
      <c r="G2638">
        <v>17.33</v>
      </c>
      <c r="H2638">
        <v>4.86</v>
      </c>
      <c r="I2638">
        <v>5.366</v>
      </c>
      <c r="J2638">
        <v>22.29</v>
      </c>
      <c r="K2638">
        <v>26.87</v>
      </c>
      <c r="L2638">
        <v>18.89</v>
      </c>
      <c r="M2638">
        <v>3.73</v>
      </c>
      <c r="N2638">
        <v>7.308</v>
      </c>
      <c r="O2638">
        <v>23.03</v>
      </c>
      <c r="P2638">
        <v>27.68</v>
      </c>
      <c r="Q2638">
        <v>20.02</v>
      </c>
      <c r="R2638">
        <v>4.05</v>
      </c>
    </row>
    <row r="2639">
      <c r="A2639" s="9">
        <v>41170</v>
      </c>
      <c r="B2639" s="2" t="inlineStr">
        <is>
          <t xml:space="preserve">2012-09</t>
        </is>
      </c>
      <c r="C2639" s="2" t="inlineStr">
        <is>
          <t xml:space="preserve">2012/13</t>
        </is>
      </c>
      <c r="D2639">
        <v>1.502</v>
      </c>
      <c r="E2639">
        <v>22.18</v>
      </c>
      <c r="F2639">
        <v>26.9</v>
      </c>
      <c r="G2639">
        <v>17.67</v>
      </c>
      <c r="H2639">
        <v>0.79</v>
      </c>
      <c r="I2639">
        <v>0.285</v>
      </c>
      <c r="J2639">
        <v>21.67</v>
      </c>
      <c r="K2639">
        <v>26.67</v>
      </c>
      <c r="L2639">
        <v>18.06</v>
      </c>
      <c r="M2639">
        <v>0.3</v>
      </c>
      <c r="N2639">
        <v>0.215</v>
      </c>
      <c r="O2639">
        <v>23.24</v>
      </c>
      <c r="P2639">
        <v>28.31</v>
      </c>
      <c r="Q2639">
        <v>18.45</v>
      </c>
      <c r="R2639">
        <v>0.26</v>
      </c>
    </row>
    <row r="2640">
      <c r="A2640" s="9">
        <v>41171</v>
      </c>
      <c r="B2640" s="2" t="inlineStr">
        <is>
          <t xml:space="preserve">2012-09</t>
        </is>
      </c>
      <c r="C2640" s="2" t="inlineStr">
        <is>
          <t xml:space="preserve">2012/13</t>
        </is>
      </c>
      <c r="D2640">
        <v>0.0</v>
      </c>
      <c r="E2640">
        <v>22.56</v>
      </c>
      <c r="F2640">
        <v>27.85</v>
      </c>
      <c r="G2640">
        <v>17.77</v>
      </c>
      <c r="H2640">
        <v>0.68</v>
      </c>
      <c r="I2640">
        <v>0.0</v>
      </c>
      <c r="J2640">
        <v>22.17</v>
      </c>
      <c r="K2640">
        <v>26.31</v>
      </c>
      <c r="L2640">
        <v>17.88</v>
      </c>
      <c r="M2640">
        <v>1.82</v>
      </c>
      <c r="N2640">
        <v>0.0</v>
      </c>
      <c r="O2640">
        <v>22.87</v>
      </c>
      <c r="P2640">
        <v>26.1</v>
      </c>
      <c r="Q2640">
        <v>20.68</v>
      </c>
      <c r="R2640">
        <v>3.04</v>
      </c>
    </row>
    <row r="2641">
      <c r="A2641" s="9">
        <v>41172</v>
      </c>
      <c r="B2641" s="2" t="inlineStr">
        <is>
          <t xml:space="preserve">2012-09</t>
        </is>
      </c>
      <c r="C2641" s="2" t="inlineStr">
        <is>
          <t xml:space="preserve">2012/13</t>
        </is>
      </c>
      <c r="D2641">
        <v>1.169</v>
      </c>
      <c r="E2641">
        <v>22.21</v>
      </c>
      <c r="F2641">
        <v>27.8</v>
      </c>
      <c r="G2641">
        <v>17.37</v>
      </c>
      <c r="H2641">
        <v>3.14</v>
      </c>
      <c r="I2641">
        <v>3.036</v>
      </c>
      <c r="J2641">
        <v>21.54</v>
      </c>
      <c r="K2641">
        <v>24.84</v>
      </c>
      <c r="L2641">
        <v>19.22</v>
      </c>
      <c r="M2641">
        <v>2.11</v>
      </c>
      <c r="N2641">
        <v>4.352</v>
      </c>
      <c r="O2641">
        <v>21.94</v>
      </c>
      <c r="P2641">
        <v>24.64</v>
      </c>
      <c r="Q2641">
        <v>19.96</v>
      </c>
      <c r="R2641">
        <v>3.71</v>
      </c>
    </row>
    <row r="2642">
      <c r="A2642" s="9">
        <v>41173</v>
      </c>
      <c r="B2642" s="2" t="inlineStr">
        <is>
          <t xml:space="preserve">2012-09</t>
        </is>
      </c>
      <c r="C2642" s="2" t="inlineStr">
        <is>
          <t xml:space="preserve">2012/13</t>
        </is>
      </c>
      <c r="D2642">
        <v>4.021</v>
      </c>
      <c r="E2642">
        <v>21.88</v>
      </c>
      <c r="F2642">
        <v>27.5</v>
      </c>
      <c r="G2642">
        <v>17.82</v>
      </c>
      <c r="H2642">
        <v>18.48</v>
      </c>
      <c r="I2642">
        <v>0.61</v>
      </c>
      <c r="J2642">
        <v>21.15</v>
      </c>
      <c r="K2642">
        <v>23.87</v>
      </c>
      <c r="L2642">
        <v>19.33</v>
      </c>
      <c r="M2642">
        <v>7.99</v>
      </c>
      <c r="N2642">
        <v>0.752</v>
      </c>
      <c r="O2642">
        <v>22.04</v>
      </c>
      <c r="P2642">
        <v>24.8</v>
      </c>
      <c r="Q2642">
        <v>20.79</v>
      </c>
      <c r="R2642">
        <v>7.65</v>
      </c>
    </row>
    <row r="2643">
      <c r="A2643" s="9">
        <v>41174</v>
      </c>
      <c r="B2643" s="2" t="inlineStr">
        <is>
          <t xml:space="preserve">2012-09</t>
        </is>
      </c>
      <c r="C2643" s="2" t="inlineStr">
        <is>
          <t xml:space="preserve">2012/13</t>
        </is>
      </c>
      <c r="D2643">
        <v>16.098</v>
      </c>
      <c r="E2643">
        <v>21.88</v>
      </c>
      <c r="F2643">
        <v>27.3</v>
      </c>
      <c r="G2643">
        <v>18.0</v>
      </c>
      <c r="H2643">
        <v>11.81</v>
      </c>
      <c r="I2643">
        <v>18.05</v>
      </c>
      <c r="J2643">
        <v>22.49</v>
      </c>
      <c r="K2643">
        <v>26.48</v>
      </c>
      <c r="L2643">
        <v>19.27</v>
      </c>
      <c r="M2643">
        <v>16.75</v>
      </c>
      <c r="N2643">
        <v>15.127</v>
      </c>
      <c r="O2643">
        <v>22.47</v>
      </c>
      <c r="P2643">
        <v>26.12</v>
      </c>
      <c r="Q2643">
        <v>19.98</v>
      </c>
      <c r="R2643">
        <v>15.56</v>
      </c>
    </row>
    <row r="2644">
      <c r="A2644" s="9">
        <v>41175</v>
      </c>
      <c r="B2644" s="2" t="inlineStr">
        <is>
          <t xml:space="preserve">2012-09</t>
        </is>
      </c>
      <c r="C2644" s="2" t="inlineStr">
        <is>
          <t xml:space="preserve">2012/13</t>
        </is>
      </c>
      <c r="D2644">
        <v>1.995</v>
      </c>
      <c r="E2644">
        <v>21.38</v>
      </c>
      <c r="F2644">
        <v>26.34</v>
      </c>
      <c r="G2644">
        <v>16.79</v>
      </c>
      <c r="H2644">
        <v>3.09</v>
      </c>
      <c r="I2644">
        <v>12.676</v>
      </c>
      <c r="J2644">
        <v>22.59</v>
      </c>
      <c r="K2644">
        <v>26.41</v>
      </c>
      <c r="L2644">
        <v>19.52</v>
      </c>
      <c r="M2644">
        <v>5.83</v>
      </c>
      <c r="N2644">
        <v>18.521</v>
      </c>
      <c r="O2644">
        <v>22.22</v>
      </c>
      <c r="P2644">
        <v>26.02</v>
      </c>
      <c r="Q2644">
        <v>19.83</v>
      </c>
      <c r="R2644">
        <v>8.44</v>
      </c>
    </row>
    <row r="2645">
      <c r="A2645" s="9">
        <v>41176</v>
      </c>
      <c r="B2645" s="2" t="inlineStr">
        <is>
          <t xml:space="preserve">2012-09</t>
        </is>
      </c>
      <c r="C2645" s="2" t="inlineStr">
        <is>
          <t xml:space="preserve">2012/13</t>
        </is>
      </c>
      <c r="D2645">
        <v>3.06</v>
      </c>
      <c r="E2645">
        <v>22.12</v>
      </c>
      <c r="F2645">
        <v>26.82</v>
      </c>
      <c r="G2645">
        <v>18.51</v>
      </c>
      <c r="H2645">
        <v>6.01</v>
      </c>
      <c r="I2645">
        <v>0.303</v>
      </c>
      <c r="J2645">
        <v>22.02</v>
      </c>
      <c r="K2645">
        <v>25.6</v>
      </c>
      <c r="L2645">
        <v>19.1</v>
      </c>
      <c r="M2645">
        <v>2.83</v>
      </c>
      <c r="N2645">
        <v>0.476</v>
      </c>
      <c r="O2645">
        <v>22.15</v>
      </c>
      <c r="P2645">
        <v>25.36</v>
      </c>
      <c r="Q2645">
        <v>20.08</v>
      </c>
      <c r="R2645">
        <v>3.87</v>
      </c>
    </row>
    <row r="2646">
      <c r="A2646" s="9">
        <v>41177</v>
      </c>
      <c r="B2646" s="2" t="inlineStr">
        <is>
          <t xml:space="preserve">2012-09</t>
        </is>
      </c>
      <c r="C2646" s="2" t="inlineStr">
        <is>
          <t xml:space="preserve">2012/13</t>
        </is>
      </c>
      <c r="D2646">
        <v>5.836</v>
      </c>
      <c r="E2646">
        <v>21.69</v>
      </c>
      <c r="F2646">
        <v>25.73</v>
      </c>
      <c r="G2646">
        <v>19.1</v>
      </c>
      <c r="H2646">
        <v>5.44</v>
      </c>
      <c r="I2646">
        <v>4.824</v>
      </c>
      <c r="J2646">
        <v>22.72</v>
      </c>
      <c r="K2646">
        <v>27.08</v>
      </c>
      <c r="L2646">
        <v>20.06</v>
      </c>
      <c r="M2646">
        <v>9.89</v>
      </c>
      <c r="N2646">
        <v>4.88</v>
      </c>
      <c r="O2646">
        <v>22.16</v>
      </c>
      <c r="P2646">
        <v>25.29</v>
      </c>
      <c r="Q2646">
        <v>20.13</v>
      </c>
      <c r="R2646">
        <v>8.72</v>
      </c>
    </row>
    <row r="2647">
      <c r="A2647" s="9">
        <v>41178</v>
      </c>
      <c r="B2647" s="2" t="inlineStr">
        <is>
          <t xml:space="preserve">2012-09</t>
        </is>
      </c>
      <c r="C2647" s="2" t="inlineStr">
        <is>
          <t xml:space="preserve">2012/13</t>
        </is>
      </c>
      <c r="D2647">
        <v>17.495</v>
      </c>
      <c r="E2647">
        <v>21.57</v>
      </c>
      <c r="F2647">
        <v>26.14</v>
      </c>
      <c r="G2647">
        <v>17.88</v>
      </c>
      <c r="H2647">
        <v>8.36</v>
      </c>
      <c r="I2647">
        <v>23.681</v>
      </c>
      <c r="J2647">
        <v>22.39</v>
      </c>
      <c r="K2647">
        <v>26.22</v>
      </c>
      <c r="L2647">
        <v>19.56</v>
      </c>
      <c r="M2647">
        <v>12.96</v>
      </c>
      <c r="N2647">
        <v>28.496</v>
      </c>
      <c r="O2647">
        <v>22.15</v>
      </c>
      <c r="P2647">
        <v>25.21</v>
      </c>
      <c r="Q2647">
        <v>20.21</v>
      </c>
      <c r="R2647">
        <v>12.43</v>
      </c>
    </row>
    <row r="2648">
      <c r="A2648" s="9">
        <v>41179</v>
      </c>
      <c r="B2648" s="2" t="inlineStr">
        <is>
          <t xml:space="preserve">2012-09</t>
        </is>
      </c>
      <c r="C2648" s="2" t="inlineStr">
        <is>
          <t xml:space="preserve">2012/13</t>
        </is>
      </c>
      <c r="D2648">
        <v>0.347</v>
      </c>
      <c r="E2648">
        <v>20.96</v>
      </c>
      <c r="F2648">
        <v>24.36</v>
      </c>
      <c r="G2648">
        <v>18.26</v>
      </c>
      <c r="H2648">
        <v>1.65</v>
      </c>
      <c r="I2648">
        <v>0.0</v>
      </c>
      <c r="J2648">
        <v>21.25</v>
      </c>
      <c r="K2648">
        <v>24.5</v>
      </c>
      <c r="L2648">
        <v>18.44</v>
      </c>
      <c r="M2648">
        <v>0.41</v>
      </c>
      <c r="N2648">
        <v>0.0</v>
      </c>
      <c r="O2648">
        <v>21.42</v>
      </c>
      <c r="P2648">
        <v>23.81</v>
      </c>
      <c r="Q2648">
        <v>19.69</v>
      </c>
      <c r="R2648">
        <v>0.63</v>
      </c>
    </row>
    <row r="2649">
      <c r="A2649" s="9">
        <v>41180</v>
      </c>
      <c r="B2649" s="2" t="inlineStr">
        <is>
          <t xml:space="preserve">2012-09</t>
        </is>
      </c>
      <c r="C2649" s="2" t="inlineStr">
        <is>
          <t xml:space="preserve">2012/13</t>
        </is>
      </c>
      <c r="D2649">
        <v>0.701</v>
      </c>
      <c r="E2649">
        <v>21.75</v>
      </c>
      <c r="F2649">
        <v>27.24</v>
      </c>
      <c r="G2649">
        <v>18.32</v>
      </c>
      <c r="H2649">
        <v>0.45</v>
      </c>
      <c r="I2649">
        <v>0.427</v>
      </c>
      <c r="J2649">
        <v>21.66</v>
      </c>
      <c r="K2649">
        <v>26.63</v>
      </c>
      <c r="L2649">
        <v>17.52</v>
      </c>
      <c r="M2649">
        <v>0.25</v>
      </c>
      <c r="N2649">
        <v>0.0</v>
      </c>
      <c r="O2649">
        <v>21.94</v>
      </c>
      <c r="P2649">
        <v>26.18</v>
      </c>
      <c r="Q2649">
        <v>19.0</v>
      </c>
      <c r="R2649">
        <v>0.07</v>
      </c>
    </row>
    <row r="2650">
      <c r="A2650" s="9">
        <v>41181</v>
      </c>
      <c r="B2650" s="2" t="inlineStr">
        <is>
          <t xml:space="preserve">2012-09</t>
        </is>
      </c>
      <c r="C2650" s="2" t="inlineStr">
        <is>
          <t xml:space="preserve">2012/13</t>
        </is>
      </c>
      <c r="D2650">
        <v>0.0</v>
      </c>
      <c r="E2650">
        <v>22.22</v>
      </c>
      <c r="F2650">
        <v>27.68</v>
      </c>
      <c r="G2650">
        <v>17.9</v>
      </c>
      <c r="H2650">
        <v>0.36</v>
      </c>
      <c r="I2650">
        <v>0.0</v>
      </c>
      <c r="J2650">
        <v>22.48</v>
      </c>
      <c r="K2650">
        <v>27.35</v>
      </c>
      <c r="L2650">
        <v>17.78</v>
      </c>
      <c r="M2650">
        <v>0.13</v>
      </c>
      <c r="N2650">
        <v>0.0</v>
      </c>
      <c r="O2650">
        <v>22.47</v>
      </c>
      <c r="P2650">
        <v>27.27</v>
      </c>
      <c r="Q2650">
        <v>18.93</v>
      </c>
      <c r="R2650">
        <v>0.18</v>
      </c>
    </row>
    <row r="2651">
      <c r="A2651" s="9">
        <v>41182</v>
      </c>
      <c r="B2651" s="2" t="inlineStr">
        <is>
          <t xml:space="preserve">2012-09</t>
        </is>
      </c>
      <c r="C2651" s="2" t="inlineStr">
        <is>
          <t xml:space="preserve">2012/13</t>
        </is>
      </c>
      <c r="D2651">
        <v>3.74</v>
      </c>
      <c r="E2651">
        <v>21.19</v>
      </c>
      <c r="F2651">
        <v>25.37</v>
      </c>
      <c r="G2651">
        <v>18.47</v>
      </c>
      <c r="H2651">
        <v>5.23</v>
      </c>
      <c r="I2651">
        <v>0.895</v>
      </c>
      <c r="J2651">
        <v>22.84</v>
      </c>
      <c r="K2651">
        <v>27.58</v>
      </c>
      <c r="L2651">
        <v>18.64</v>
      </c>
      <c r="M2651">
        <v>2.99</v>
      </c>
      <c r="N2651">
        <v>0.401</v>
      </c>
      <c r="O2651">
        <v>23.34</v>
      </c>
      <c r="P2651">
        <v>28.27</v>
      </c>
      <c r="Q2651">
        <v>19.46</v>
      </c>
      <c r="R2651">
        <v>2.51</v>
      </c>
    </row>
    <row r="2652">
      <c r="A2652" s="9">
        <v>41183</v>
      </c>
      <c r="B2652" s="2" t="inlineStr">
        <is>
          <t xml:space="preserve">2012-10</t>
        </is>
      </c>
      <c r="C2652" s="2" t="inlineStr">
        <is>
          <t xml:space="preserve">2012/13</t>
        </is>
      </c>
      <c r="D2652">
        <v>18.03</v>
      </c>
      <c r="E2652">
        <v>21.31</v>
      </c>
      <c r="F2652">
        <v>25.94</v>
      </c>
      <c r="G2652">
        <v>17.79</v>
      </c>
      <c r="H2652">
        <v>11.73</v>
      </c>
      <c r="I2652">
        <v>9.997</v>
      </c>
      <c r="J2652">
        <v>22.29</v>
      </c>
      <c r="K2652">
        <v>26.7</v>
      </c>
      <c r="L2652">
        <v>18.98</v>
      </c>
      <c r="M2652">
        <v>7.51</v>
      </c>
      <c r="N2652">
        <v>10.905</v>
      </c>
      <c r="O2652">
        <v>22.83</v>
      </c>
      <c r="P2652">
        <v>26.16</v>
      </c>
      <c r="Q2652">
        <v>20.77</v>
      </c>
      <c r="R2652">
        <v>6.26</v>
      </c>
    </row>
    <row r="2653">
      <c r="A2653" s="9">
        <v>41184</v>
      </c>
      <c r="B2653" s="2" t="inlineStr">
        <is>
          <t xml:space="preserve">2012-10</t>
        </is>
      </c>
      <c r="C2653" s="2" t="inlineStr">
        <is>
          <t xml:space="preserve">2012/13</t>
        </is>
      </c>
      <c r="D2653">
        <v>4.297</v>
      </c>
      <c r="E2653">
        <v>21.35</v>
      </c>
      <c r="F2653">
        <v>26.18</v>
      </c>
      <c r="G2653">
        <v>17.97</v>
      </c>
      <c r="H2653">
        <v>7.35</v>
      </c>
      <c r="I2653">
        <v>4.375</v>
      </c>
      <c r="J2653">
        <v>21.54</v>
      </c>
      <c r="K2653">
        <v>25.71</v>
      </c>
      <c r="L2653">
        <v>18.22</v>
      </c>
      <c r="M2653">
        <v>5.6</v>
      </c>
      <c r="N2653">
        <v>3.745</v>
      </c>
      <c r="O2653">
        <v>22.46</v>
      </c>
      <c r="P2653">
        <v>26.73</v>
      </c>
      <c r="Q2653">
        <v>19.33</v>
      </c>
      <c r="R2653">
        <v>7.0</v>
      </c>
    </row>
    <row r="2654">
      <c r="A2654" s="9">
        <v>41185</v>
      </c>
      <c r="B2654" s="2" t="inlineStr">
        <is>
          <t xml:space="preserve">2012-10</t>
        </is>
      </c>
      <c r="C2654" s="2" t="inlineStr">
        <is>
          <t xml:space="preserve">2012/13</t>
        </is>
      </c>
      <c r="D2654">
        <v>4.38</v>
      </c>
      <c r="E2654">
        <v>21.45</v>
      </c>
      <c r="F2654">
        <v>26.85</v>
      </c>
      <c r="G2654">
        <v>17.62</v>
      </c>
      <c r="H2654">
        <v>4.09</v>
      </c>
      <c r="I2654">
        <v>3.56</v>
      </c>
      <c r="J2654">
        <v>21.55</v>
      </c>
      <c r="K2654">
        <v>25.76</v>
      </c>
      <c r="L2654">
        <v>18.14</v>
      </c>
      <c r="M2654">
        <v>4.81</v>
      </c>
      <c r="N2654">
        <v>4.62</v>
      </c>
      <c r="O2654">
        <v>21.84</v>
      </c>
      <c r="P2654">
        <v>25.11</v>
      </c>
      <c r="Q2654">
        <v>19.73</v>
      </c>
      <c r="R2654">
        <v>5.55</v>
      </c>
    </row>
    <row r="2655">
      <c r="A2655" s="9">
        <v>41186</v>
      </c>
      <c r="B2655" s="2" t="inlineStr">
        <is>
          <t xml:space="preserve">2012-10</t>
        </is>
      </c>
      <c r="C2655" s="2" t="inlineStr">
        <is>
          <t xml:space="preserve">2012/13</t>
        </is>
      </c>
      <c r="D2655">
        <v>7.065</v>
      </c>
      <c r="E2655">
        <v>21.58</v>
      </c>
      <c r="F2655">
        <v>26.52</v>
      </c>
      <c r="G2655">
        <v>18.11</v>
      </c>
      <c r="H2655">
        <v>5.33</v>
      </c>
      <c r="I2655">
        <v>7.696</v>
      </c>
      <c r="J2655">
        <v>21.83</v>
      </c>
      <c r="K2655">
        <v>25.85</v>
      </c>
      <c r="L2655">
        <v>18.85</v>
      </c>
      <c r="M2655">
        <v>4.95</v>
      </c>
      <c r="N2655">
        <v>9.449</v>
      </c>
      <c r="O2655">
        <v>22.0</v>
      </c>
      <c r="P2655">
        <v>25.66</v>
      </c>
      <c r="Q2655">
        <v>19.78</v>
      </c>
      <c r="R2655">
        <v>5.0</v>
      </c>
    </row>
    <row r="2656">
      <c r="A2656" s="9">
        <v>41187</v>
      </c>
      <c r="B2656" s="2" t="inlineStr">
        <is>
          <t xml:space="preserve">2012-10</t>
        </is>
      </c>
      <c r="C2656" s="2" t="inlineStr">
        <is>
          <t xml:space="preserve">2012/13</t>
        </is>
      </c>
      <c r="D2656">
        <v>1.091</v>
      </c>
      <c r="E2656">
        <v>21.4</v>
      </c>
      <c r="F2656">
        <v>25.78</v>
      </c>
      <c r="G2656">
        <v>18.33</v>
      </c>
      <c r="H2656">
        <v>3.58</v>
      </c>
      <c r="I2656">
        <v>0.0</v>
      </c>
      <c r="J2656">
        <v>21.44</v>
      </c>
      <c r="K2656">
        <v>25.54</v>
      </c>
      <c r="L2656">
        <v>18.68</v>
      </c>
      <c r="M2656">
        <v>0.04</v>
      </c>
      <c r="N2656">
        <v>0.0</v>
      </c>
      <c r="O2656">
        <v>21.84</v>
      </c>
      <c r="P2656">
        <v>25.07</v>
      </c>
      <c r="Q2656">
        <v>19.72</v>
      </c>
      <c r="R2656">
        <v>0.07</v>
      </c>
    </row>
    <row r="2657">
      <c r="A2657" s="9">
        <v>41188</v>
      </c>
      <c r="B2657" s="2" t="inlineStr">
        <is>
          <t xml:space="preserve">2012-10</t>
        </is>
      </c>
      <c r="C2657" s="2" t="inlineStr">
        <is>
          <t xml:space="preserve">2012/13</t>
        </is>
      </c>
      <c r="D2657">
        <v>0.386</v>
      </c>
      <c r="E2657">
        <v>21.43</v>
      </c>
      <c r="F2657">
        <v>25.66</v>
      </c>
      <c r="G2657">
        <v>18.65</v>
      </c>
      <c r="H2657">
        <v>0.84</v>
      </c>
      <c r="I2657">
        <v>0.0</v>
      </c>
      <c r="J2657">
        <v>21.01</v>
      </c>
      <c r="K2657">
        <v>24.81</v>
      </c>
      <c r="L2657">
        <v>17.61</v>
      </c>
      <c r="M2657">
        <v>1.49</v>
      </c>
      <c r="N2657">
        <v>0.337</v>
      </c>
      <c r="O2657">
        <v>21.3</v>
      </c>
      <c r="P2657">
        <v>24.39</v>
      </c>
      <c r="Q2657">
        <v>19.03</v>
      </c>
      <c r="R2657">
        <v>1.77</v>
      </c>
    </row>
    <row r="2658">
      <c r="A2658" s="9">
        <v>41189</v>
      </c>
      <c r="B2658" s="2" t="inlineStr">
        <is>
          <t xml:space="preserve">2012-10</t>
        </is>
      </c>
      <c r="C2658" s="2" t="inlineStr">
        <is>
          <t xml:space="preserve">2012/13</t>
        </is>
      </c>
      <c r="D2658">
        <v>1.519</v>
      </c>
      <c r="E2658">
        <v>21.51</v>
      </c>
      <c r="F2658">
        <v>26.31</v>
      </c>
      <c r="G2658">
        <v>18.19</v>
      </c>
      <c r="H2658">
        <v>4.0</v>
      </c>
      <c r="I2658">
        <v>3.984</v>
      </c>
      <c r="J2658">
        <v>21.16</v>
      </c>
      <c r="K2658">
        <v>24.45</v>
      </c>
      <c r="L2658">
        <v>18.58</v>
      </c>
      <c r="M2658">
        <v>8.49</v>
      </c>
      <c r="N2658">
        <v>6.166</v>
      </c>
      <c r="O2658">
        <v>21.65</v>
      </c>
      <c r="P2658">
        <v>24.98</v>
      </c>
      <c r="Q2658">
        <v>19.42</v>
      </c>
      <c r="R2658">
        <v>6.95</v>
      </c>
    </row>
    <row r="2659">
      <c r="A2659" s="9">
        <v>41190</v>
      </c>
      <c r="B2659" s="2" t="inlineStr">
        <is>
          <t xml:space="preserve">2012-10</t>
        </is>
      </c>
      <c r="C2659" s="2" t="inlineStr">
        <is>
          <t xml:space="preserve">2012/13</t>
        </is>
      </c>
      <c r="D2659">
        <v>9.398</v>
      </c>
      <c r="E2659">
        <v>21.78</v>
      </c>
      <c r="F2659">
        <v>27.24</v>
      </c>
      <c r="G2659">
        <v>17.64</v>
      </c>
      <c r="H2659">
        <v>6.64</v>
      </c>
      <c r="I2659">
        <v>17.806</v>
      </c>
      <c r="J2659">
        <v>21.5</v>
      </c>
      <c r="K2659">
        <v>24.99</v>
      </c>
      <c r="L2659">
        <v>18.81</v>
      </c>
      <c r="M2659">
        <v>13.02</v>
      </c>
      <c r="N2659">
        <v>19.971</v>
      </c>
      <c r="O2659">
        <v>22.24</v>
      </c>
      <c r="P2659">
        <v>26.35</v>
      </c>
      <c r="Q2659">
        <v>19.8</v>
      </c>
      <c r="R2659">
        <v>11.04</v>
      </c>
    </row>
    <row r="2660">
      <c r="A2660" s="9">
        <v>41191</v>
      </c>
      <c r="B2660" s="2" t="inlineStr">
        <is>
          <t xml:space="preserve">2012-10</t>
        </is>
      </c>
      <c r="C2660" s="2" t="inlineStr">
        <is>
          <t xml:space="preserve">2012/13</t>
        </is>
      </c>
      <c r="D2660">
        <v>13.205</v>
      </c>
      <c r="E2660">
        <v>21.43</v>
      </c>
      <c r="F2660">
        <v>26.16</v>
      </c>
      <c r="G2660">
        <v>18.5</v>
      </c>
      <c r="H2660">
        <v>12.96</v>
      </c>
      <c r="I2660">
        <v>10.681</v>
      </c>
      <c r="J2660">
        <v>21.7</v>
      </c>
      <c r="K2660">
        <v>25.94</v>
      </c>
      <c r="L2660">
        <v>18.51</v>
      </c>
      <c r="M2660">
        <v>13.45</v>
      </c>
      <c r="N2660">
        <v>5.108</v>
      </c>
      <c r="O2660">
        <v>22.14</v>
      </c>
      <c r="P2660">
        <v>26.25</v>
      </c>
      <c r="Q2660">
        <v>19.38</v>
      </c>
      <c r="R2660">
        <v>11.41</v>
      </c>
    </row>
    <row r="2661">
      <c r="A2661" s="9">
        <v>41192</v>
      </c>
      <c r="B2661" s="2" t="inlineStr">
        <is>
          <t xml:space="preserve">2012-10</t>
        </is>
      </c>
      <c r="C2661" s="2" t="inlineStr">
        <is>
          <t xml:space="preserve">2012/13</t>
        </is>
      </c>
      <c r="D2661">
        <v>18.878</v>
      </c>
      <c r="E2661">
        <v>21.14</v>
      </c>
      <c r="F2661">
        <v>25.59</v>
      </c>
      <c r="G2661">
        <v>17.66</v>
      </c>
      <c r="H2661">
        <v>17.82</v>
      </c>
      <c r="I2661">
        <v>22.5</v>
      </c>
      <c r="J2661">
        <v>21.54</v>
      </c>
      <c r="K2661">
        <v>24.1</v>
      </c>
      <c r="L2661">
        <v>20.15</v>
      </c>
      <c r="M2661">
        <v>18.94</v>
      </c>
      <c r="N2661">
        <v>27.603</v>
      </c>
      <c r="O2661">
        <v>22.4</v>
      </c>
      <c r="P2661">
        <v>25.98</v>
      </c>
      <c r="Q2661">
        <v>20.46</v>
      </c>
      <c r="R2661">
        <v>16.37</v>
      </c>
    </row>
    <row r="2662">
      <c r="A2662" s="9">
        <v>41193</v>
      </c>
      <c r="B2662" s="2" t="inlineStr">
        <is>
          <t xml:space="preserve">2012-10</t>
        </is>
      </c>
      <c r="C2662" s="2" t="inlineStr">
        <is>
          <t xml:space="preserve">2012/13</t>
        </is>
      </c>
      <c r="D2662">
        <v>20.72</v>
      </c>
      <c r="E2662">
        <v>21.3</v>
      </c>
      <c r="F2662">
        <v>25.67</v>
      </c>
      <c r="G2662">
        <v>18.58</v>
      </c>
      <c r="H2662">
        <v>17.31</v>
      </c>
      <c r="I2662">
        <v>12.924</v>
      </c>
      <c r="J2662">
        <v>21.44</v>
      </c>
      <c r="K2662">
        <v>24.72</v>
      </c>
      <c r="L2662">
        <v>19.41</v>
      </c>
      <c r="M2662">
        <v>9.28</v>
      </c>
      <c r="N2662">
        <v>13.394</v>
      </c>
      <c r="O2662">
        <v>21.34</v>
      </c>
      <c r="P2662">
        <v>23.11</v>
      </c>
      <c r="Q2662">
        <v>19.85</v>
      </c>
      <c r="R2662">
        <v>9.0</v>
      </c>
    </row>
    <row r="2663">
      <c r="A2663" s="9">
        <v>41194</v>
      </c>
      <c r="B2663" s="2" t="inlineStr">
        <is>
          <t xml:space="preserve">2012-10</t>
        </is>
      </c>
      <c r="C2663" s="2" t="inlineStr">
        <is>
          <t xml:space="preserve">2012/13</t>
        </is>
      </c>
      <c r="D2663">
        <v>4.479</v>
      </c>
      <c r="E2663">
        <v>20.78</v>
      </c>
      <c r="F2663">
        <v>25.69</v>
      </c>
      <c r="G2663">
        <v>17.31</v>
      </c>
      <c r="H2663">
        <v>6.36</v>
      </c>
      <c r="I2663">
        <v>2.19</v>
      </c>
      <c r="J2663">
        <v>21.37</v>
      </c>
      <c r="K2663">
        <v>24.46</v>
      </c>
      <c r="L2663">
        <v>19.3</v>
      </c>
      <c r="M2663">
        <v>3.39</v>
      </c>
      <c r="N2663">
        <v>0.594</v>
      </c>
      <c r="O2663">
        <v>21.48</v>
      </c>
      <c r="P2663">
        <v>24.02</v>
      </c>
      <c r="Q2663">
        <v>19.67</v>
      </c>
      <c r="R2663">
        <v>3.91</v>
      </c>
    </row>
    <row r="2664">
      <c r="A2664" s="9">
        <v>41195</v>
      </c>
      <c r="B2664" s="2" t="inlineStr">
        <is>
          <t xml:space="preserve">2012-10</t>
        </is>
      </c>
      <c r="C2664" s="2" t="inlineStr">
        <is>
          <t xml:space="preserve">2012/13</t>
        </is>
      </c>
      <c r="D2664">
        <v>5.918</v>
      </c>
      <c r="E2664">
        <v>20.09</v>
      </c>
      <c r="F2664">
        <v>25.11</v>
      </c>
      <c r="G2664">
        <v>16.42</v>
      </c>
      <c r="H2664">
        <v>4.12</v>
      </c>
      <c r="I2664">
        <v>4.538</v>
      </c>
      <c r="J2664">
        <v>20.38</v>
      </c>
      <c r="K2664">
        <v>24.78</v>
      </c>
      <c r="L2664">
        <v>17.6</v>
      </c>
      <c r="M2664">
        <v>3.45</v>
      </c>
      <c r="N2664">
        <v>6.963</v>
      </c>
      <c r="O2664">
        <v>20.5</v>
      </c>
      <c r="P2664">
        <v>24.41</v>
      </c>
      <c r="Q2664">
        <v>17.51</v>
      </c>
      <c r="R2664">
        <v>6.84</v>
      </c>
    </row>
    <row r="2665">
      <c r="A2665" s="9">
        <v>41196</v>
      </c>
      <c r="B2665" s="2" t="inlineStr">
        <is>
          <t xml:space="preserve">2012-10</t>
        </is>
      </c>
      <c r="C2665" s="2" t="inlineStr">
        <is>
          <t xml:space="preserve">2012/13</t>
        </is>
      </c>
      <c r="D2665">
        <v>0.696</v>
      </c>
      <c r="E2665">
        <v>19.89</v>
      </c>
      <c r="F2665">
        <v>25.11</v>
      </c>
      <c r="G2665">
        <v>16.2</v>
      </c>
      <c r="H2665">
        <v>1.21</v>
      </c>
      <c r="I2665">
        <v>1.094</v>
      </c>
      <c r="J2665">
        <v>20.19</v>
      </c>
      <c r="K2665">
        <v>25.18</v>
      </c>
      <c r="L2665">
        <v>16.81</v>
      </c>
      <c r="M2665">
        <v>1.96</v>
      </c>
      <c r="N2665">
        <v>1.89</v>
      </c>
      <c r="O2665">
        <v>20.35</v>
      </c>
      <c r="P2665">
        <v>24.9</v>
      </c>
      <c r="Q2665">
        <v>17.38</v>
      </c>
      <c r="R2665">
        <v>5.35</v>
      </c>
    </row>
    <row r="2666">
      <c r="A2666" s="9">
        <v>41197</v>
      </c>
      <c r="B2666" s="2" t="inlineStr">
        <is>
          <t xml:space="preserve">2012-10</t>
        </is>
      </c>
      <c r="C2666" s="2" t="inlineStr">
        <is>
          <t xml:space="preserve">2012/13</t>
        </is>
      </c>
      <c r="D2666">
        <v>0.0</v>
      </c>
      <c r="E2666">
        <v>19.45</v>
      </c>
      <c r="F2666">
        <v>25.14</v>
      </c>
      <c r="G2666">
        <v>14.99</v>
      </c>
      <c r="H2666">
        <v>0.43</v>
      </c>
      <c r="I2666">
        <v>0.0</v>
      </c>
      <c r="J2666">
        <v>19.83</v>
      </c>
      <c r="K2666">
        <v>25.0</v>
      </c>
      <c r="L2666">
        <v>15.38</v>
      </c>
      <c r="M2666">
        <v>0.56</v>
      </c>
      <c r="N2666">
        <v>0.0</v>
      </c>
      <c r="O2666">
        <v>20.73</v>
      </c>
      <c r="P2666">
        <v>25.44</v>
      </c>
      <c r="Q2666">
        <v>16.82</v>
      </c>
      <c r="R2666">
        <v>0.81</v>
      </c>
    </row>
    <row r="2667">
      <c r="A2667" s="9">
        <v>41198</v>
      </c>
      <c r="B2667" s="2" t="inlineStr">
        <is>
          <t xml:space="preserve">2012-10</t>
        </is>
      </c>
      <c r="C2667" s="2" t="inlineStr">
        <is>
          <t xml:space="preserve">2012/13</t>
        </is>
      </c>
      <c r="D2667">
        <v>0.307</v>
      </c>
      <c r="E2667">
        <v>20.05</v>
      </c>
      <c r="F2667">
        <v>25.36</v>
      </c>
      <c r="G2667">
        <v>14.83</v>
      </c>
      <c r="H2667">
        <v>1.65</v>
      </c>
      <c r="I2667">
        <v>2.482</v>
      </c>
      <c r="J2667">
        <v>20.94</v>
      </c>
      <c r="K2667">
        <v>25.57</v>
      </c>
      <c r="L2667">
        <v>16.66</v>
      </c>
      <c r="M2667">
        <v>1.64</v>
      </c>
      <c r="N2667">
        <v>3.833</v>
      </c>
      <c r="O2667">
        <v>21.2</v>
      </c>
      <c r="P2667">
        <v>25.53</v>
      </c>
      <c r="Q2667">
        <v>17.5</v>
      </c>
      <c r="R2667">
        <v>1.42</v>
      </c>
    </row>
    <row r="2668">
      <c r="A2668" s="9">
        <v>41199</v>
      </c>
      <c r="B2668" s="2" t="inlineStr">
        <is>
          <t xml:space="preserve">2012-10</t>
        </is>
      </c>
      <c r="C2668" s="2" t="inlineStr">
        <is>
          <t xml:space="preserve">2012/13</t>
        </is>
      </c>
      <c r="D2668">
        <v>0.329</v>
      </c>
      <c r="E2668">
        <v>21.72</v>
      </c>
      <c r="F2668">
        <v>26.85</v>
      </c>
      <c r="G2668">
        <v>17.6</v>
      </c>
      <c r="H2668">
        <v>0.86</v>
      </c>
      <c r="I2668">
        <v>0.027</v>
      </c>
      <c r="J2668">
        <v>22.21</v>
      </c>
      <c r="K2668">
        <v>27.57</v>
      </c>
      <c r="L2668">
        <v>18.29</v>
      </c>
      <c r="M2668">
        <v>0.38</v>
      </c>
      <c r="N2668">
        <v>0.0</v>
      </c>
      <c r="O2668">
        <v>22.36</v>
      </c>
      <c r="P2668">
        <v>27.08</v>
      </c>
      <c r="Q2668">
        <v>18.93</v>
      </c>
      <c r="R2668">
        <v>0.2</v>
      </c>
    </row>
    <row r="2669">
      <c r="A2669" s="9">
        <v>41200</v>
      </c>
      <c r="B2669" s="2" t="inlineStr">
        <is>
          <t xml:space="preserve">2012-10</t>
        </is>
      </c>
      <c r="C2669" s="2" t="inlineStr">
        <is>
          <t xml:space="preserve">2012/13</t>
        </is>
      </c>
      <c r="D2669">
        <v>5.888</v>
      </c>
      <c r="E2669">
        <v>22.28</v>
      </c>
      <c r="F2669">
        <v>27.41</v>
      </c>
      <c r="G2669">
        <v>18.43</v>
      </c>
      <c r="H2669">
        <v>6.27</v>
      </c>
      <c r="I2669">
        <v>1.553</v>
      </c>
      <c r="J2669">
        <v>22.55</v>
      </c>
      <c r="K2669">
        <v>27.08</v>
      </c>
      <c r="L2669">
        <v>18.86</v>
      </c>
      <c r="M2669">
        <v>2.84</v>
      </c>
      <c r="N2669">
        <v>0.683</v>
      </c>
      <c r="O2669">
        <v>23.35</v>
      </c>
      <c r="P2669">
        <v>28.57</v>
      </c>
      <c r="Q2669">
        <v>19.39</v>
      </c>
      <c r="R2669">
        <v>1.85</v>
      </c>
    </row>
    <row r="2670">
      <c r="A2670" s="9">
        <v>41201</v>
      </c>
      <c r="B2670" s="2" t="inlineStr">
        <is>
          <t xml:space="preserve">2012-10</t>
        </is>
      </c>
      <c r="C2670" s="2" t="inlineStr">
        <is>
          <t xml:space="preserve">2012/13</t>
        </is>
      </c>
      <c r="D2670">
        <v>33.796</v>
      </c>
      <c r="E2670">
        <v>21.91</v>
      </c>
      <c r="F2670">
        <v>25.83</v>
      </c>
      <c r="G2670">
        <v>19.75</v>
      </c>
      <c r="H2670">
        <v>20.67</v>
      </c>
      <c r="I2670">
        <v>12.645</v>
      </c>
      <c r="J2670">
        <v>21.63</v>
      </c>
      <c r="K2670">
        <v>23.97</v>
      </c>
      <c r="L2670">
        <v>20.28</v>
      </c>
      <c r="M2670">
        <v>11.56</v>
      </c>
      <c r="N2670">
        <v>5.617</v>
      </c>
      <c r="O2670">
        <v>22.96</v>
      </c>
      <c r="P2670">
        <v>26.74</v>
      </c>
      <c r="Q2670">
        <v>21.11</v>
      </c>
      <c r="R2670">
        <v>6.7</v>
      </c>
    </row>
    <row r="2671">
      <c r="A2671" s="9">
        <v>41202</v>
      </c>
      <c r="B2671" s="2" t="inlineStr">
        <is>
          <t xml:space="preserve">2012-10</t>
        </is>
      </c>
      <c r="C2671" s="2" t="inlineStr">
        <is>
          <t xml:space="preserve">2012/13</t>
        </is>
      </c>
      <c r="D2671">
        <v>15.506</v>
      </c>
      <c r="E2671">
        <v>21.38</v>
      </c>
      <c r="F2671">
        <v>24.97</v>
      </c>
      <c r="G2671">
        <v>19.3</v>
      </c>
      <c r="H2671">
        <v>17.08</v>
      </c>
      <c r="I2671">
        <v>3.766</v>
      </c>
      <c r="J2671">
        <v>21.12</v>
      </c>
      <c r="K2671">
        <v>23.46</v>
      </c>
      <c r="L2671">
        <v>19.14</v>
      </c>
      <c r="M2671">
        <v>3.3</v>
      </c>
      <c r="N2671">
        <v>4.512</v>
      </c>
      <c r="O2671">
        <v>21.83</v>
      </c>
      <c r="P2671">
        <v>24.11</v>
      </c>
      <c r="Q2671">
        <v>20.08</v>
      </c>
      <c r="R2671">
        <v>5.08</v>
      </c>
    </row>
    <row r="2672">
      <c r="A2672" s="9">
        <v>41203</v>
      </c>
      <c r="B2672" s="2" t="inlineStr">
        <is>
          <t xml:space="preserve">2012-10</t>
        </is>
      </c>
      <c r="C2672" s="2" t="inlineStr">
        <is>
          <t xml:space="preserve">2012/13</t>
        </is>
      </c>
      <c r="D2672">
        <v>16.576</v>
      </c>
      <c r="E2672">
        <v>21.03</v>
      </c>
      <c r="F2672">
        <v>25.34</v>
      </c>
      <c r="G2672">
        <v>18.13</v>
      </c>
      <c r="H2672">
        <v>15.99</v>
      </c>
      <c r="I2672">
        <v>5.856</v>
      </c>
      <c r="J2672">
        <v>21.92</v>
      </c>
      <c r="K2672">
        <v>24.81</v>
      </c>
      <c r="L2672">
        <v>19.77</v>
      </c>
      <c r="M2672">
        <v>8.31</v>
      </c>
      <c r="N2672">
        <v>5.203</v>
      </c>
      <c r="O2672">
        <v>21.83</v>
      </c>
      <c r="P2672">
        <v>24.15</v>
      </c>
      <c r="Q2672">
        <v>20.35</v>
      </c>
      <c r="R2672">
        <v>12.73</v>
      </c>
    </row>
    <row r="2673">
      <c r="A2673" s="9">
        <v>41204</v>
      </c>
      <c r="B2673" s="2" t="inlineStr">
        <is>
          <t xml:space="preserve">2012-10</t>
        </is>
      </c>
      <c r="C2673" s="2" t="inlineStr">
        <is>
          <t xml:space="preserve">2012/13</t>
        </is>
      </c>
      <c r="D2673">
        <v>4.687</v>
      </c>
      <c r="E2673">
        <v>20.19</v>
      </c>
      <c r="F2673">
        <v>24.23</v>
      </c>
      <c r="G2673">
        <v>17.23</v>
      </c>
      <c r="H2673">
        <v>14.01</v>
      </c>
      <c r="I2673">
        <v>8.702</v>
      </c>
      <c r="J2673">
        <v>21.18</v>
      </c>
      <c r="K2673">
        <v>24.02</v>
      </c>
      <c r="L2673">
        <v>18.99</v>
      </c>
      <c r="M2673">
        <v>8.94</v>
      </c>
      <c r="N2673">
        <v>13.17</v>
      </c>
      <c r="O2673">
        <v>21.25</v>
      </c>
      <c r="P2673">
        <v>24.01</v>
      </c>
      <c r="Q2673">
        <v>19.64</v>
      </c>
      <c r="R2673">
        <v>12.81</v>
      </c>
    </row>
    <row r="2674">
      <c r="A2674" s="9">
        <v>41205</v>
      </c>
      <c r="B2674" s="2" t="inlineStr">
        <is>
          <t xml:space="preserve">2012-10</t>
        </is>
      </c>
      <c r="C2674" s="2" t="inlineStr">
        <is>
          <t xml:space="preserve">2012/13</t>
        </is>
      </c>
      <c r="D2674">
        <v>6.523</v>
      </c>
      <c r="E2674">
        <v>20.8</v>
      </c>
      <c r="F2674">
        <v>24.67</v>
      </c>
      <c r="G2674">
        <v>18.17</v>
      </c>
      <c r="H2674">
        <v>10.58</v>
      </c>
      <c r="I2674">
        <v>2.918</v>
      </c>
      <c r="J2674">
        <v>21.14</v>
      </c>
      <c r="K2674">
        <v>25.68</v>
      </c>
      <c r="L2674">
        <v>17.7</v>
      </c>
      <c r="M2674">
        <v>1.91</v>
      </c>
      <c r="N2674">
        <v>4.231</v>
      </c>
      <c r="O2674">
        <v>21.59</v>
      </c>
      <c r="P2674">
        <v>25.53</v>
      </c>
      <c r="Q2674">
        <v>19.3</v>
      </c>
      <c r="R2674">
        <v>2.86</v>
      </c>
    </row>
    <row r="2675">
      <c r="A2675" s="9">
        <v>41206</v>
      </c>
      <c r="B2675" s="2" t="inlineStr">
        <is>
          <t xml:space="preserve">2012-10</t>
        </is>
      </c>
      <c r="C2675" s="2" t="inlineStr">
        <is>
          <t xml:space="preserve">2012/13</t>
        </is>
      </c>
      <c r="D2675">
        <v>2.923</v>
      </c>
      <c r="E2675">
        <v>20.55</v>
      </c>
      <c r="F2675">
        <v>24.74</v>
      </c>
      <c r="G2675">
        <v>17.74</v>
      </c>
      <c r="H2675">
        <v>6.94</v>
      </c>
      <c r="I2675">
        <v>0.649</v>
      </c>
      <c r="J2675">
        <v>21.11</v>
      </c>
      <c r="K2675">
        <v>25.51</v>
      </c>
      <c r="L2675">
        <v>18.0</v>
      </c>
      <c r="M2675">
        <v>2.46</v>
      </c>
      <c r="N2675">
        <v>0.776</v>
      </c>
      <c r="O2675">
        <v>21.5</v>
      </c>
      <c r="P2675">
        <v>25.63</v>
      </c>
      <c r="Q2675">
        <v>18.61</v>
      </c>
      <c r="R2675">
        <v>2.51</v>
      </c>
    </row>
    <row r="2676">
      <c r="A2676" s="9">
        <v>41207</v>
      </c>
      <c r="B2676" s="2" t="inlineStr">
        <is>
          <t xml:space="preserve">2012-10</t>
        </is>
      </c>
      <c r="C2676" s="2" t="inlineStr">
        <is>
          <t xml:space="preserve">2012/13</t>
        </is>
      </c>
      <c r="D2676">
        <v>3.183</v>
      </c>
      <c r="E2676">
        <v>20.67</v>
      </c>
      <c r="F2676">
        <v>25.79</v>
      </c>
      <c r="G2676">
        <v>17.19</v>
      </c>
      <c r="H2676">
        <v>2.92</v>
      </c>
      <c r="I2676">
        <v>3.889</v>
      </c>
      <c r="J2676">
        <v>20.94</v>
      </c>
      <c r="K2676">
        <v>25.66</v>
      </c>
      <c r="L2676">
        <v>16.99</v>
      </c>
      <c r="M2676">
        <v>2.34</v>
      </c>
      <c r="N2676">
        <v>4.461</v>
      </c>
      <c r="O2676">
        <v>20.92</v>
      </c>
      <c r="P2676">
        <v>25.57</v>
      </c>
      <c r="Q2676">
        <v>17.45</v>
      </c>
      <c r="R2676">
        <v>1.83</v>
      </c>
    </row>
    <row r="2677">
      <c r="A2677" s="9">
        <v>41208</v>
      </c>
      <c r="B2677" s="2" t="inlineStr">
        <is>
          <t xml:space="preserve">2012-10</t>
        </is>
      </c>
      <c r="C2677" s="2" t="inlineStr">
        <is>
          <t xml:space="preserve">2012/13</t>
        </is>
      </c>
      <c r="D2677">
        <v>3.129</v>
      </c>
      <c r="E2677">
        <v>20.78</v>
      </c>
      <c r="F2677">
        <v>26.44</v>
      </c>
      <c r="G2677">
        <v>16.09</v>
      </c>
      <c r="H2677">
        <v>1.39</v>
      </c>
      <c r="I2677">
        <v>1.404</v>
      </c>
      <c r="J2677">
        <v>21.37</v>
      </c>
      <c r="K2677">
        <v>26.52</v>
      </c>
      <c r="L2677">
        <v>16.5</v>
      </c>
      <c r="M2677">
        <v>1.1</v>
      </c>
      <c r="N2677">
        <v>0.653</v>
      </c>
      <c r="O2677">
        <v>21.11</v>
      </c>
      <c r="P2677">
        <v>26.29</v>
      </c>
      <c r="Q2677">
        <v>16.77</v>
      </c>
      <c r="R2677">
        <v>0.74</v>
      </c>
    </row>
    <row r="2678">
      <c r="A2678" s="9">
        <v>41209</v>
      </c>
      <c r="B2678" s="2" t="inlineStr">
        <is>
          <t xml:space="preserve">2012-10</t>
        </is>
      </c>
      <c r="C2678" s="2" t="inlineStr">
        <is>
          <t xml:space="preserve">2012/13</t>
        </is>
      </c>
      <c r="D2678">
        <v>0.949</v>
      </c>
      <c r="E2678">
        <v>19.75</v>
      </c>
      <c r="F2678">
        <v>24.82</v>
      </c>
      <c r="G2678">
        <v>16.42</v>
      </c>
      <c r="H2678">
        <v>0.42</v>
      </c>
      <c r="I2678">
        <v>0.657</v>
      </c>
      <c r="J2678">
        <v>20.19</v>
      </c>
      <c r="K2678">
        <v>24.14</v>
      </c>
      <c r="L2678">
        <v>17.29</v>
      </c>
      <c r="M2678">
        <v>0.32</v>
      </c>
      <c r="N2678">
        <v>0.876</v>
      </c>
      <c r="O2678">
        <v>20.35</v>
      </c>
      <c r="P2678">
        <v>24.65</v>
      </c>
      <c r="Q2678">
        <v>17.65</v>
      </c>
      <c r="R2678">
        <v>0.23</v>
      </c>
    </row>
    <row r="2679">
      <c r="A2679" s="9">
        <v>41210</v>
      </c>
      <c r="B2679" s="2" t="inlineStr">
        <is>
          <t xml:space="preserve">2012-10</t>
        </is>
      </c>
      <c r="C2679" s="2" t="inlineStr">
        <is>
          <t xml:space="preserve">2012/13</t>
        </is>
      </c>
      <c r="D2679">
        <v>0.0</v>
      </c>
      <c r="E2679">
        <v>19.23</v>
      </c>
      <c r="F2679">
        <v>24.76</v>
      </c>
      <c r="G2679">
        <v>14.95</v>
      </c>
      <c r="H2679">
        <v>0.25</v>
      </c>
      <c r="I2679">
        <v>0.395</v>
      </c>
      <c r="J2679">
        <v>19.79</v>
      </c>
      <c r="K2679">
        <v>25.0</v>
      </c>
      <c r="L2679">
        <v>16.28</v>
      </c>
      <c r="M2679">
        <v>0.44</v>
      </c>
      <c r="N2679">
        <v>0.0</v>
      </c>
      <c r="O2679">
        <v>20.23</v>
      </c>
      <c r="P2679">
        <v>24.73</v>
      </c>
      <c r="Q2679">
        <v>17.33</v>
      </c>
      <c r="R2679">
        <v>0.06</v>
      </c>
    </row>
    <row r="2680">
      <c r="A2680" s="9">
        <v>41211</v>
      </c>
      <c r="B2680" s="2" t="inlineStr">
        <is>
          <t xml:space="preserve">2012-10</t>
        </is>
      </c>
      <c r="C2680" s="2" t="inlineStr">
        <is>
          <t xml:space="preserve">2012/13</t>
        </is>
      </c>
      <c r="D2680">
        <v>0.0</v>
      </c>
      <c r="E2680">
        <v>19.17</v>
      </c>
      <c r="F2680">
        <v>24.44</v>
      </c>
      <c r="G2680">
        <v>14.84</v>
      </c>
      <c r="H2680">
        <v>1.94</v>
      </c>
      <c r="I2680">
        <v>0.0</v>
      </c>
      <c r="J2680">
        <v>19.64</v>
      </c>
      <c r="K2680">
        <v>24.66</v>
      </c>
      <c r="L2680">
        <v>16.17</v>
      </c>
      <c r="M2680">
        <v>0.16</v>
      </c>
      <c r="N2680">
        <v>0.0</v>
      </c>
      <c r="O2680">
        <v>19.93</v>
      </c>
      <c r="P2680">
        <v>24.39</v>
      </c>
      <c r="Q2680">
        <v>16.48</v>
      </c>
      <c r="R2680">
        <v>0.67</v>
      </c>
    </row>
    <row r="2681">
      <c r="A2681" s="9">
        <v>41212</v>
      </c>
      <c r="B2681" s="2" t="inlineStr">
        <is>
          <t xml:space="preserve">2012-10</t>
        </is>
      </c>
      <c r="C2681" s="2" t="inlineStr">
        <is>
          <t xml:space="preserve">2012/13</t>
        </is>
      </c>
      <c r="D2681">
        <v>0.612</v>
      </c>
      <c r="E2681">
        <v>18.74</v>
      </c>
      <c r="F2681">
        <v>23.53</v>
      </c>
      <c r="G2681">
        <v>15.71</v>
      </c>
      <c r="H2681">
        <v>2.31</v>
      </c>
      <c r="I2681">
        <v>0.572</v>
      </c>
      <c r="J2681">
        <v>19.57</v>
      </c>
      <c r="K2681">
        <v>24.05</v>
      </c>
      <c r="L2681">
        <v>16.73</v>
      </c>
      <c r="M2681">
        <v>1.3</v>
      </c>
      <c r="N2681">
        <v>0.933</v>
      </c>
      <c r="O2681">
        <v>19.72</v>
      </c>
      <c r="P2681">
        <v>23.5</v>
      </c>
      <c r="Q2681">
        <v>17.46</v>
      </c>
      <c r="R2681">
        <v>3.43</v>
      </c>
    </row>
    <row r="2682">
      <c r="A2682" s="9">
        <v>41213</v>
      </c>
      <c r="B2682" s="2" t="inlineStr">
        <is>
          <t xml:space="preserve">2012-10</t>
        </is>
      </c>
      <c r="C2682" s="2" t="inlineStr">
        <is>
          <t xml:space="preserve">2012/13</t>
        </is>
      </c>
      <c r="D2682">
        <v>0.0</v>
      </c>
      <c r="E2682">
        <v>19.07</v>
      </c>
      <c r="F2682">
        <v>24.24</v>
      </c>
      <c r="G2682">
        <v>15.32</v>
      </c>
      <c r="H2682">
        <v>0.01</v>
      </c>
      <c r="I2682">
        <v>0.0</v>
      </c>
      <c r="J2682">
        <v>19.2</v>
      </c>
      <c r="K2682">
        <v>23.87</v>
      </c>
      <c r="L2682">
        <v>15.89</v>
      </c>
      <c r="M2682">
        <v>0.04</v>
      </c>
      <c r="N2682">
        <v>0.0</v>
      </c>
      <c r="O2682">
        <v>19.26</v>
      </c>
      <c r="P2682">
        <v>23.72</v>
      </c>
      <c r="Q2682">
        <v>16.29</v>
      </c>
      <c r="R2682">
        <v>0.2</v>
      </c>
    </row>
    <row r="2683">
      <c r="A2683" s="9">
        <v>41214</v>
      </c>
      <c r="B2683" s="2" t="inlineStr">
        <is>
          <t xml:space="preserve">2012-11</t>
        </is>
      </c>
      <c r="C2683" s="2" t="inlineStr">
        <is>
          <t xml:space="preserve">2012/13</t>
        </is>
      </c>
      <c r="D2683">
        <v>0.0</v>
      </c>
      <c r="E2683">
        <v>18.96</v>
      </c>
      <c r="F2683">
        <v>24.09</v>
      </c>
      <c r="G2683">
        <v>15.09</v>
      </c>
      <c r="H2683">
        <v>0.21</v>
      </c>
      <c r="I2683">
        <v>0.0</v>
      </c>
      <c r="J2683">
        <v>18.84</v>
      </c>
      <c r="K2683">
        <v>23.76</v>
      </c>
      <c r="L2683">
        <v>15.14</v>
      </c>
      <c r="M2683">
        <v>0.19</v>
      </c>
      <c r="N2683">
        <v>0.0</v>
      </c>
      <c r="O2683">
        <v>19.17</v>
      </c>
      <c r="P2683">
        <v>23.71</v>
      </c>
      <c r="Q2683">
        <v>15.85</v>
      </c>
      <c r="R2683">
        <v>0.63</v>
      </c>
    </row>
    <row r="2684">
      <c r="A2684" s="9">
        <v>41215</v>
      </c>
      <c r="B2684" s="2" t="inlineStr">
        <is>
          <t xml:space="preserve">2012-11</t>
        </is>
      </c>
      <c r="C2684" s="2" t="inlineStr">
        <is>
          <t xml:space="preserve">2012/13</t>
        </is>
      </c>
      <c r="D2684">
        <v>0.0</v>
      </c>
      <c r="E2684">
        <v>19.32</v>
      </c>
      <c r="F2684">
        <v>24.77</v>
      </c>
      <c r="G2684">
        <v>15.43</v>
      </c>
      <c r="H2684">
        <v>0.65</v>
      </c>
      <c r="I2684">
        <v>0.458</v>
      </c>
      <c r="J2684">
        <v>19.79</v>
      </c>
      <c r="K2684">
        <v>25.1</v>
      </c>
      <c r="L2684">
        <v>15.73</v>
      </c>
      <c r="M2684">
        <v>1.47</v>
      </c>
      <c r="N2684">
        <v>0.624</v>
      </c>
      <c r="O2684">
        <v>19.72</v>
      </c>
      <c r="P2684">
        <v>24.21</v>
      </c>
      <c r="Q2684">
        <v>16.62</v>
      </c>
      <c r="R2684">
        <v>4.31</v>
      </c>
    </row>
    <row r="2685">
      <c r="A2685" s="9">
        <v>41216</v>
      </c>
      <c r="B2685" s="2" t="inlineStr">
        <is>
          <t xml:space="preserve">2012-11</t>
        </is>
      </c>
      <c r="C2685" s="2" t="inlineStr">
        <is>
          <t xml:space="preserve">2012/13</t>
        </is>
      </c>
      <c r="D2685">
        <v>0.288</v>
      </c>
      <c r="E2685">
        <v>20.13</v>
      </c>
      <c r="F2685">
        <v>25.4</v>
      </c>
      <c r="G2685">
        <v>15.91</v>
      </c>
      <c r="H2685">
        <v>1.18</v>
      </c>
      <c r="I2685">
        <v>0.916</v>
      </c>
      <c r="J2685">
        <v>20.41</v>
      </c>
      <c r="K2685">
        <v>25.54</v>
      </c>
      <c r="L2685">
        <v>16.38</v>
      </c>
      <c r="M2685">
        <v>1.76</v>
      </c>
      <c r="N2685">
        <v>1.281</v>
      </c>
      <c r="O2685">
        <v>20.19</v>
      </c>
      <c r="P2685">
        <v>24.96</v>
      </c>
      <c r="Q2685">
        <v>16.73</v>
      </c>
      <c r="R2685">
        <v>5.37</v>
      </c>
    </row>
    <row r="2686">
      <c r="A2686" s="9">
        <v>41217</v>
      </c>
      <c r="B2686" s="2" t="inlineStr">
        <is>
          <t xml:space="preserve">2012-11</t>
        </is>
      </c>
      <c r="C2686" s="2" t="inlineStr">
        <is>
          <t xml:space="preserve">2012/13</t>
        </is>
      </c>
      <c r="D2686">
        <v>0.0</v>
      </c>
      <c r="E2686">
        <v>20.91</v>
      </c>
      <c r="F2686">
        <v>25.89</v>
      </c>
      <c r="G2686">
        <v>17.47</v>
      </c>
      <c r="H2686">
        <v>1.08</v>
      </c>
      <c r="I2686">
        <v>0.0</v>
      </c>
      <c r="J2686">
        <v>21.3</v>
      </c>
      <c r="K2686">
        <v>26.19</v>
      </c>
      <c r="L2686">
        <v>16.98</v>
      </c>
      <c r="M2686">
        <v>2.27</v>
      </c>
      <c r="N2686">
        <v>0.0</v>
      </c>
      <c r="O2686">
        <v>21.55</v>
      </c>
      <c r="P2686">
        <v>26.31</v>
      </c>
      <c r="Q2686">
        <v>17.96</v>
      </c>
      <c r="R2686">
        <v>2.88</v>
      </c>
    </row>
    <row r="2687">
      <c r="A2687" s="9">
        <v>41218</v>
      </c>
      <c r="B2687" s="2" t="inlineStr">
        <is>
          <t xml:space="preserve">2012-11</t>
        </is>
      </c>
      <c r="C2687" s="2" t="inlineStr">
        <is>
          <t xml:space="preserve">2012/13</t>
        </is>
      </c>
      <c r="D2687">
        <v>2.373</v>
      </c>
      <c r="E2687">
        <v>20.82</v>
      </c>
      <c r="F2687">
        <v>25.27</v>
      </c>
      <c r="G2687">
        <v>18.0</v>
      </c>
      <c r="H2687">
        <v>4.04</v>
      </c>
      <c r="I2687">
        <v>7.353</v>
      </c>
      <c r="J2687">
        <v>21.04</v>
      </c>
      <c r="K2687">
        <v>24.93</v>
      </c>
      <c r="L2687">
        <v>18.41</v>
      </c>
      <c r="M2687">
        <v>5.57</v>
      </c>
      <c r="N2687">
        <v>11.345</v>
      </c>
      <c r="O2687">
        <v>21.12</v>
      </c>
      <c r="P2687">
        <v>24.9</v>
      </c>
      <c r="Q2687">
        <v>18.7</v>
      </c>
      <c r="R2687">
        <v>8.84</v>
      </c>
    </row>
    <row r="2688">
      <c r="A2688" s="9">
        <v>41219</v>
      </c>
      <c r="B2688" s="2" t="inlineStr">
        <is>
          <t xml:space="preserve">2012-11</t>
        </is>
      </c>
      <c r="C2688" s="2" t="inlineStr">
        <is>
          <t xml:space="preserve">2012/13</t>
        </is>
      </c>
      <c r="D2688">
        <v>2.98</v>
      </c>
      <c r="E2688">
        <v>20.18</v>
      </c>
      <c r="F2688">
        <v>24.12</v>
      </c>
      <c r="G2688">
        <v>17.17</v>
      </c>
      <c r="H2688">
        <v>6.5</v>
      </c>
      <c r="I2688">
        <v>2.885</v>
      </c>
      <c r="J2688">
        <v>20.49</v>
      </c>
      <c r="K2688">
        <v>24.92</v>
      </c>
      <c r="L2688">
        <v>16.66</v>
      </c>
      <c r="M2688">
        <v>3.36</v>
      </c>
      <c r="N2688">
        <v>3.922</v>
      </c>
      <c r="O2688">
        <v>20.6</v>
      </c>
      <c r="P2688">
        <v>24.62</v>
      </c>
      <c r="Q2688">
        <v>17.72</v>
      </c>
      <c r="R2688">
        <v>3.6</v>
      </c>
    </row>
    <row r="2689">
      <c r="A2689" s="9">
        <v>41220</v>
      </c>
      <c r="B2689" s="2" t="inlineStr">
        <is>
          <t xml:space="preserve">2012-11</t>
        </is>
      </c>
      <c r="C2689" s="2" t="inlineStr">
        <is>
          <t xml:space="preserve">2012/13</t>
        </is>
      </c>
      <c r="D2689">
        <v>1.928</v>
      </c>
      <c r="E2689">
        <v>19.32</v>
      </c>
      <c r="F2689">
        <v>23.05</v>
      </c>
      <c r="G2689">
        <v>16.27</v>
      </c>
      <c r="H2689">
        <v>3.98</v>
      </c>
      <c r="I2689">
        <v>1.538</v>
      </c>
      <c r="J2689">
        <v>19.18</v>
      </c>
      <c r="K2689">
        <v>23.01</v>
      </c>
      <c r="L2689">
        <v>16.76</v>
      </c>
      <c r="M2689">
        <v>1.2</v>
      </c>
      <c r="N2689">
        <v>2.155</v>
      </c>
      <c r="O2689">
        <v>19.27</v>
      </c>
      <c r="P2689">
        <v>22.52</v>
      </c>
      <c r="Q2689">
        <v>16.75</v>
      </c>
      <c r="R2689">
        <v>1.17</v>
      </c>
    </row>
    <row r="2690">
      <c r="A2690" s="9">
        <v>41221</v>
      </c>
      <c r="B2690" s="2" t="inlineStr">
        <is>
          <t xml:space="preserve">2012-11</t>
        </is>
      </c>
      <c r="C2690" s="2" t="inlineStr">
        <is>
          <t xml:space="preserve">2012/13</t>
        </is>
      </c>
      <c r="D2690">
        <v>0.156</v>
      </c>
      <c r="E2690">
        <v>18.32</v>
      </c>
      <c r="F2690">
        <v>23.57</v>
      </c>
      <c r="G2690">
        <v>14.99</v>
      </c>
      <c r="H2690">
        <v>2.7</v>
      </c>
      <c r="I2690">
        <v>2.003</v>
      </c>
      <c r="J2690">
        <v>18.61</v>
      </c>
      <c r="K2690">
        <v>22.86</v>
      </c>
      <c r="L2690">
        <v>15.59</v>
      </c>
      <c r="M2690">
        <v>1.78</v>
      </c>
      <c r="N2690">
        <v>3.245</v>
      </c>
      <c r="O2690">
        <v>18.53</v>
      </c>
      <c r="P2690">
        <v>22.83</v>
      </c>
      <c r="Q2690">
        <v>15.64</v>
      </c>
      <c r="R2690">
        <v>1.97</v>
      </c>
    </row>
    <row r="2691">
      <c r="A2691" s="9">
        <v>41222</v>
      </c>
      <c r="B2691" s="2" t="inlineStr">
        <is>
          <t xml:space="preserve">2012-11</t>
        </is>
      </c>
      <c r="C2691" s="2" t="inlineStr">
        <is>
          <t xml:space="preserve">2012/13</t>
        </is>
      </c>
      <c r="D2691">
        <v>0.178</v>
      </c>
      <c r="E2691">
        <v>18.14</v>
      </c>
      <c r="F2691">
        <v>23.13</v>
      </c>
      <c r="G2691">
        <v>14.92</v>
      </c>
      <c r="H2691">
        <v>1.44</v>
      </c>
      <c r="I2691">
        <v>0.321</v>
      </c>
      <c r="J2691">
        <v>18.12</v>
      </c>
      <c r="K2691">
        <v>23.14</v>
      </c>
      <c r="L2691">
        <v>14.41</v>
      </c>
      <c r="M2691">
        <v>0.89</v>
      </c>
      <c r="N2691">
        <v>0.782</v>
      </c>
      <c r="O2691">
        <v>18.07</v>
      </c>
      <c r="P2691">
        <v>22.36</v>
      </c>
      <c r="Q2691">
        <v>15.1</v>
      </c>
      <c r="R2691">
        <v>1.24</v>
      </c>
    </row>
    <row r="2692">
      <c r="A2692" s="9">
        <v>41223</v>
      </c>
      <c r="B2692" s="2" t="inlineStr">
        <is>
          <t xml:space="preserve">2012-11</t>
        </is>
      </c>
      <c r="C2692" s="2" t="inlineStr">
        <is>
          <t xml:space="preserve">2012/13</t>
        </is>
      </c>
      <c r="D2692">
        <v>0.042</v>
      </c>
      <c r="E2692">
        <v>18.65</v>
      </c>
      <c r="F2692">
        <v>24.16</v>
      </c>
      <c r="G2692">
        <v>14.97</v>
      </c>
      <c r="H2692">
        <v>0.46</v>
      </c>
      <c r="I2692">
        <v>1.069</v>
      </c>
      <c r="J2692">
        <v>19.05</v>
      </c>
      <c r="K2692">
        <v>24.27</v>
      </c>
      <c r="L2692">
        <v>15.9</v>
      </c>
      <c r="M2692">
        <v>1.74</v>
      </c>
      <c r="N2692">
        <v>1.724</v>
      </c>
      <c r="O2692">
        <v>18.77</v>
      </c>
      <c r="P2692">
        <v>23.32</v>
      </c>
      <c r="Q2692">
        <v>15.91</v>
      </c>
      <c r="R2692">
        <v>3.07</v>
      </c>
    </row>
    <row r="2693">
      <c r="A2693" s="9">
        <v>41224</v>
      </c>
      <c r="B2693" s="2" t="inlineStr">
        <is>
          <t xml:space="preserve">2012-11</t>
        </is>
      </c>
      <c r="C2693" s="2" t="inlineStr">
        <is>
          <t xml:space="preserve">2012/13</t>
        </is>
      </c>
      <c r="D2693">
        <v>0.036</v>
      </c>
      <c r="E2693">
        <v>19.58</v>
      </c>
      <c r="F2693">
        <v>25.06</v>
      </c>
      <c r="G2693">
        <v>14.89</v>
      </c>
      <c r="H2693">
        <v>0.17</v>
      </c>
      <c r="I2693">
        <v>1.662</v>
      </c>
      <c r="J2693">
        <v>19.53</v>
      </c>
      <c r="K2693">
        <v>25.06</v>
      </c>
      <c r="L2693">
        <v>15.1</v>
      </c>
      <c r="M2693">
        <v>1.02</v>
      </c>
      <c r="N2693">
        <v>2.551</v>
      </c>
      <c r="O2693">
        <v>19.75</v>
      </c>
      <c r="P2693">
        <v>24.77</v>
      </c>
      <c r="Q2693">
        <v>15.79</v>
      </c>
      <c r="R2693">
        <v>1.36</v>
      </c>
    </row>
    <row r="2694">
      <c r="A2694" s="9">
        <v>41225</v>
      </c>
      <c r="B2694" s="2" t="inlineStr">
        <is>
          <t xml:space="preserve">2012-11</t>
        </is>
      </c>
      <c r="C2694" s="2" t="inlineStr">
        <is>
          <t xml:space="preserve">2012/13</t>
        </is>
      </c>
      <c r="D2694">
        <v>0.0</v>
      </c>
      <c r="E2694">
        <v>20.33</v>
      </c>
      <c r="F2694">
        <v>25.54</v>
      </c>
      <c r="G2694">
        <v>16.66</v>
      </c>
      <c r="H2694">
        <v>0.35</v>
      </c>
      <c r="I2694">
        <v>1.389</v>
      </c>
      <c r="J2694">
        <v>20.96</v>
      </c>
      <c r="K2694">
        <v>25.97</v>
      </c>
      <c r="L2694">
        <v>17.33</v>
      </c>
      <c r="M2694">
        <v>2.63</v>
      </c>
      <c r="N2694">
        <v>0.0</v>
      </c>
      <c r="O2694">
        <v>21.1</v>
      </c>
      <c r="P2694">
        <v>25.54</v>
      </c>
      <c r="Q2694">
        <v>17.97</v>
      </c>
      <c r="R2694">
        <v>1.3</v>
      </c>
    </row>
    <row r="2695">
      <c r="A2695" s="9">
        <v>41226</v>
      </c>
      <c r="B2695" s="2" t="inlineStr">
        <is>
          <t xml:space="preserve">2012-11</t>
        </is>
      </c>
      <c r="C2695" s="2" t="inlineStr">
        <is>
          <t xml:space="preserve">2012/13</t>
        </is>
      </c>
      <c r="D2695">
        <v>0.235</v>
      </c>
      <c r="E2695">
        <v>19.11</v>
      </c>
      <c r="F2695">
        <v>24.05</v>
      </c>
      <c r="G2695">
        <v>15.85</v>
      </c>
      <c r="H2695">
        <v>1.03</v>
      </c>
      <c r="I2695">
        <v>2.758</v>
      </c>
      <c r="J2695">
        <v>19.54</v>
      </c>
      <c r="K2695">
        <v>23.33</v>
      </c>
      <c r="L2695">
        <v>16.79</v>
      </c>
      <c r="M2695">
        <v>2.85</v>
      </c>
      <c r="N2695">
        <v>3.712</v>
      </c>
      <c r="O2695">
        <v>19.63</v>
      </c>
      <c r="P2695">
        <v>23.36</v>
      </c>
      <c r="Q2695">
        <v>16.92</v>
      </c>
      <c r="R2695">
        <v>4.55</v>
      </c>
    </row>
    <row r="2696">
      <c r="A2696" s="9">
        <v>41227</v>
      </c>
      <c r="B2696" s="2" t="inlineStr">
        <is>
          <t xml:space="preserve">2012-11</t>
        </is>
      </c>
      <c r="C2696" s="2" t="inlineStr">
        <is>
          <t xml:space="preserve">2012/13</t>
        </is>
      </c>
      <c r="D2696">
        <v>0.046</v>
      </c>
      <c r="E2696">
        <v>17.71</v>
      </c>
      <c r="F2696">
        <v>22.37</v>
      </c>
      <c r="G2696">
        <v>14.06</v>
      </c>
      <c r="H2696">
        <v>0.43</v>
      </c>
      <c r="I2696">
        <v>1.895</v>
      </c>
      <c r="J2696">
        <v>18.44</v>
      </c>
      <c r="K2696">
        <v>22.5</v>
      </c>
      <c r="L2696">
        <v>15.28</v>
      </c>
      <c r="M2696">
        <v>1.57</v>
      </c>
      <c r="N2696">
        <v>2.906</v>
      </c>
      <c r="O2696">
        <v>18.56</v>
      </c>
      <c r="P2696">
        <v>22.73</v>
      </c>
      <c r="Q2696">
        <v>15.88</v>
      </c>
      <c r="R2696">
        <v>1.82</v>
      </c>
    </row>
    <row r="2697">
      <c r="A2697" s="9">
        <v>41228</v>
      </c>
      <c r="B2697" s="2" t="inlineStr">
        <is>
          <t xml:space="preserve">2012-11</t>
        </is>
      </c>
      <c r="C2697" s="2" t="inlineStr">
        <is>
          <t xml:space="preserve">2012/13</t>
        </is>
      </c>
      <c r="D2697">
        <v>0.343</v>
      </c>
      <c r="E2697">
        <v>18.52</v>
      </c>
      <c r="F2697">
        <v>23.7</v>
      </c>
      <c r="G2697">
        <v>15.48</v>
      </c>
      <c r="H2697">
        <v>1.08</v>
      </c>
      <c r="I2697">
        <v>1.823</v>
      </c>
      <c r="J2697">
        <v>18.85</v>
      </c>
      <c r="K2697">
        <v>23.52</v>
      </c>
      <c r="L2697">
        <v>15.72</v>
      </c>
      <c r="M2697">
        <v>1.49</v>
      </c>
      <c r="N2697">
        <v>2.708</v>
      </c>
      <c r="O2697">
        <v>18.8</v>
      </c>
      <c r="P2697">
        <v>23.25</v>
      </c>
      <c r="Q2697">
        <v>15.81</v>
      </c>
      <c r="R2697">
        <v>1.77</v>
      </c>
    </row>
    <row r="2698">
      <c r="A2698" s="9">
        <v>41229</v>
      </c>
      <c r="B2698" s="2" t="inlineStr">
        <is>
          <t xml:space="preserve">2012-11</t>
        </is>
      </c>
      <c r="C2698" s="2" t="inlineStr">
        <is>
          <t xml:space="preserve">2012/13</t>
        </is>
      </c>
      <c r="D2698">
        <v>0.128</v>
      </c>
      <c r="E2698">
        <v>18.22</v>
      </c>
      <c r="F2698">
        <v>23.21</v>
      </c>
      <c r="G2698">
        <v>14.88</v>
      </c>
      <c r="H2698">
        <v>0.42</v>
      </c>
      <c r="I2698">
        <v>0.0</v>
      </c>
      <c r="J2698">
        <v>18.11</v>
      </c>
      <c r="K2698">
        <v>22.61</v>
      </c>
      <c r="L2698">
        <v>15.21</v>
      </c>
      <c r="M2698">
        <v>0.13</v>
      </c>
      <c r="N2698">
        <v>0.137</v>
      </c>
      <c r="O2698">
        <v>18.38</v>
      </c>
      <c r="P2698">
        <v>22.5</v>
      </c>
      <c r="Q2698">
        <v>15.77</v>
      </c>
      <c r="R2698">
        <v>0.23</v>
      </c>
    </row>
    <row r="2699">
      <c r="A2699" s="9">
        <v>41230</v>
      </c>
      <c r="B2699" s="2" t="inlineStr">
        <is>
          <t xml:space="preserve">2012-11</t>
        </is>
      </c>
      <c r="C2699" s="2" t="inlineStr">
        <is>
          <t xml:space="preserve">2012/13</t>
        </is>
      </c>
      <c r="D2699">
        <v>0.0</v>
      </c>
      <c r="E2699">
        <v>18.28</v>
      </c>
      <c r="F2699">
        <v>23.46</v>
      </c>
      <c r="G2699">
        <v>14.83</v>
      </c>
      <c r="H2699">
        <v>0.25</v>
      </c>
      <c r="I2699">
        <v>0.0</v>
      </c>
      <c r="J2699">
        <v>18.21</v>
      </c>
      <c r="K2699">
        <v>23.35</v>
      </c>
      <c r="L2699">
        <v>14.77</v>
      </c>
      <c r="M2699">
        <v>0.01</v>
      </c>
      <c r="N2699">
        <v>0.0</v>
      </c>
      <c r="O2699">
        <v>18.45</v>
      </c>
      <c r="P2699">
        <v>23.27</v>
      </c>
      <c r="Q2699">
        <v>14.86</v>
      </c>
      <c r="R2699">
        <v>0.02</v>
      </c>
    </row>
    <row r="2700">
      <c r="A2700" s="9">
        <v>41231</v>
      </c>
      <c r="B2700" s="2" t="inlineStr">
        <is>
          <t xml:space="preserve">2012-11</t>
        </is>
      </c>
      <c r="C2700" s="2" t="inlineStr">
        <is>
          <t xml:space="preserve">2012/13</t>
        </is>
      </c>
      <c r="D2700">
        <v>0.0</v>
      </c>
      <c r="E2700">
        <v>17.37</v>
      </c>
      <c r="F2700">
        <v>22.42</v>
      </c>
      <c r="G2700">
        <v>14.02</v>
      </c>
      <c r="H2700">
        <v>0.24</v>
      </c>
      <c r="I2700">
        <v>0.0</v>
      </c>
      <c r="J2700">
        <v>17.38</v>
      </c>
      <c r="K2700">
        <v>21.79</v>
      </c>
      <c r="L2700">
        <v>14.38</v>
      </c>
      <c r="M2700">
        <v>0.04</v>
      </c>
      <c r="N2700">
        <v>0.0</v>
      </c>
      <c r="O2700">
        <v>17.47</v>
      </c>
      <c r="P2700">
        <v>21.17</v>
      </c>
      <c r="Q2700">
        <v>14.77</v>
      </c>
      <c r="R2700">
        <v>0.21</v>
      </c>
    </row>
    <row r="2701">
      <c r="A2701" s="9">
        <v>41232</v>
      </c>
      <c r="B2701" s="2" t="inlineStr">
        <is>
          <t xml:space="preserve">2012-11</t>
        </is>
      </c>
      <c r="C2701" s="2" t="inlineStr">
        <is>
          <t xml:space="preserve">2012/13</t>
        </is>
      </c>
      <c r="D2701">
        <v>0.0</v>
      </c>
      <c r="E2701">
        <v>16.96</v>
      </c>
      <c r="F2701">
        <v>22.55</v>
      </c>
      <c r="G2701">
        <v>12.54</v>
      </c>
      <c r="H2701">
        <v>0.05</v>
      </c>
      <c r="I2701">
        <v>0.0</v>
      </c>
      <c r="J2701">
        <v>16.49</v>
      </c>
      <c r="K2701">
        <v>21.6</v>
      </c>
      <c r="L2701">
        <v>12.21</v>
      </c>
      <c r="M2701">
        <v>0.0</v>
      </c>
      <c r="N2701">
        <v>0.0</v>
      </c>
      <c r="O2701">
        <v>16.72</v>
      </c>
      <c r="P2701">
        <v>20.94</v>
      </c>
      <c r="Q2701">
        <v>13.26</v>
      </c>
      <c r="R2701">
        <v>0.0</v>
      </c>
    </row>
    <row r="2702">
      <c r="A2702" s="9">
        <v>41233</v>
      </c>
      <c r="B2702" s="2" t="inlineStr">
        <is>
          <t xml:space="preserve">2012-11</t>
        </is>
      </c>
      <c r="C2702" s="2" t="inlineStr">
        <is>
          <t xml:space="preserve">2012/13</t>
        </is>
      </c>
      <c r="D2702">
        <v>0.0</v>
      </c>
      <c r="E2702">
        <v>18.09</v>
      </c>
      <c r="F2702">
        <v>23.82</v>
      </c>
      <c r="G2702">
        <v>14.63</v>
      </c>
      <c r="H2702">
        <v>0.38</v>
      </c>
      <c r="I2702">
        <v>0.0</v>
      </c>
      <c r="J2702">
        <v>17.64</v>
      </c>
      <c r="K2702">
        <v>22.38</v>
      </c>
      <c r="L2702">
        <v>14.37</v>
      </c>
      <c r="M2702">
        <v>0.01</v>
      </c>
      <c r="N2702">
        <v>0.0</v>
      </c>
      <c r="O2702">
        <v>17.57</v>
      </c>
      <c r="P2702">
        <v>22.03</v>
      </c>
      <c r="Q2702">
        <v>14.28</v>
      </c>
      <c r="R2702">
        <v>0.02</v>
      </c>
    </row>
    <row r="2703">
      <c r="A2703" s="9">
        <v>41234</v>
      </c>
      <c r="B2703" s="2" t="inlineStr">
        <is>
          <t xml:space="preserve">2012-11</t>
        </is>
      </c>
      <c r="C2703" s="2" t="inlineStr">
        <is>
          <t xml:space="preserve">2012/13</t>
        </is>
      </c>
      <c r="D2703">
        <v>0.0</v>
      </c>
      <c r="E2703">
        <v>18.31</v>
      </c>
      <c r="F2703">
        <v>23.58</v>
      </c>
      <c r="G2703">
        <v>14.37</v>
      </c>
      <c r="H2703">
        <v>2.44</v>
      </c>
      <c r="I2703">
        <v>0.0</v>
      </c>
      <c r="J2703">
        <v>18.55</v>
      </c>
      <c r="K2703">
        <v>23.48</v>
      </c>
      <c r="L2703">
        <v>14.87</v>
      </c>
      <c r="M2703">
        <v>0.7</v>
      </c>
      <c r="N2703">
        <v>0.0</v>
      </c>
      <c r="O2703">
        <v>18.71</v>
      </c>
      <c r="P2703">
        <v>23.4</v>
      </c>
      <c r="Q2703">
        <v>14.81</v>
      </c>
      <c r="R2703">
        <v>0.97</v>
      </c>
    </row>
    <row r="2704">
      <c r="A2704" s="9">
        <v>41235</v>
      </c>
      <c r="B2704" s="2" t="inlineStr">
        <is>
          <t xml:space="preserve">2012-11</t>
        </is>
      </c>
      <c r="C2704" s="2" t="inlineStr">
        <is>
          <t xml:space="preserve">2012/13</t>
        </is>
      </c>
      <c r="D2704">
        <v>0.374</v>
      </c>
      <c r="E2704">
        <v>17.89</v>
      </c>
      <c r="F2704">
        <v>23.37</v>
      </c>
      <c r="G2704">
        <v>14.34</v>
      </c>
      <c r="H2704">
        <v>3.16</v>
      </c>
      <c r="I2704">
        <v>2.276</v>
      </c>
      <c r="J2704">
        <v>18.21</v>
      </c>
      <c r="K2704">
        <v>22.88</v>
      </c>
      <c r="L2704">
        <v>15.3</v>
      </c>
      <c r="M2704">
        <v>1.86</v>
      </c>
      <c r="N2704">
        <v>3.618</v>
      </c>
      <c r="O2704">
        <v>18.23</v>
      </c>
      <c r="P2704">
        <v>22.72</v>
      </c>
      <c r="Q2704">
        <v>15.34</v>
      </c>
      <c r="R2704">
        <v>1.88</v>
      </c>
    </row>
    <row r="2705">
      <c r="A2705" s="9">
        <v>41236</v>
      </c>
      <c r="B2705" s="2" t="inlineStr">
        <is>
          <t xml:space="preserve">2012-11</t>
        </is>
      </c>
      <c r="C2705" s="2" t="inlineStr">
        <is>
          <t xml:space="preserve">2012/13</t>
        </is>
      </c>
      <c r="D2705">
        <v>0.66</v>
      </c>
      <c r="E2705">
        <v>16.34</v>
      </c>
      <c r="F2705">
        <v>21.41</v>
      </c>
      <c r="G2705">
        <v>12.88</v>
      </c>
      <c r="H2705">
        <v>1.59</v>
      </c>
      <c r="I2705">
        <v>1.439</v>
      </c>
      <c r="J2705">
        <v>17.08</v>
      </c>
      <c r="K2705">
        <v>21.47</v>
      </c>
      <c r="L2705">
        <v>14.26</v>
      </c>
      <c r="M2705">
        <v>1.38</v>
      </c>
      <c r="N2705">
        <v>2.193</v>
      </c>
      <c r="O2705">
        <v>17.38</v>
      </c>
      <c r="P2705">
        <v>21.27</v>
      </c>
      <c r="Q2705">
        <v>15.0</v>
      </c>
      <c r="R2705">
        <v>1.87</v>
      </c>
    </row>
    <row r="2706">
      <c r="A2706" s="9">
        <v>41237</v>
      </c>
      <c r="B2706" s="2" t="inlineStr">
        <is>
          <t xml:space="preserve">2012-11</t>
        </is>
      </c>
      <c r="C2706" s="2" t="inlineStr">
        <is>
          <t xml:space="preserve">2012/13</t>
        </is>
      </c>
      <c r="D2706">
        <v>0.025</v>
      </c>
      <c r="E2706">
        <v>15.5</v>
      </c>
      <c r="F2706">
        <v>20.44</v>
      </c>
      <c r="G2706">
        <v>12.37</v>
      </c>
      <c r="H2706">
        <v>0.25</v>
      </c>
      <c r="I2706">
        <v>0.914</v>
      </c>
      <c r="J2706">
        <v>15.92</v>
      </c>
      <c r="K2706">
        <v>19.64</v>
      </c>
      <c r="L2706">
        <v>13.52</v>
      </c>
      <c r="M2706">
        <v>0.82</v>
      </c>
      <c r="N2706">
        <v>1.434</v>
      </c>
      <c r="O2706">
        <v>16.54</v>
      </c>
      <c r="P2706">
        <v>19.37</v>
      </c>
      <c r="Q2706">
        <v>14.31</v>
      </c>
      <c r="R2706">
        <v>1.16</v>
      </c>
    </row>
    <row r="2707">
      <c r="A2707" s="9">
        <v>41238</v>
      </c>
      <c r="B2707" s="2" t="inlineStr">
        <is>
          <t xml:space="preserve">2012-11</t>
        </is>
      </c>
      <c r="C2707" s="2" t="inlineStr">
        <is>
          <t xml:space="preserve">2012/13</t>
        </is>
      </c>
      <c r="D2707">
        <v>0.0</v>
      </c>
      <c r="E2707">
        <v>16.37</v>
      </c>
      <c r="F2707">
        <v>22.27</v>
      </c>
      <c r="G2707">
        <v>12.05</v>
      </c>
      <c r="H2707">
        <v>0.33</v>
      </c>
      <c r="I2707">
        <v>0.102</v>
      </c>
      <c r="J2707">
        <v>16.33</v>
      </c>
      <c r="K2707">
        <v>21.48</v>
      </c>
      <c r="L2707">
        <v>12.74</v>
      </c>
      <c r="M2707">
        <v>0.18</v>
      </c>
      <c r="N2707">
        <v>0.208</v>
      </c>
      <c r="O2707">
        <v>17.03</v>
      </c>
      <c r="P2707">
        <v>20.48</v>
      </c>
      <c r="Q2707">
        <v>14.64</v>
      </c>
      <c r="R2707">
        <v>0.49</v>
      </c>
    </row>
    <row r="2708">
      <c r="A2708" s="9">
        <v>41239</v>
      </c>
      <c r="B2708" s="2" t="inlineStr">
        <is>
          <t xml:space="preserve">2012-11</t>
        </is>
      </c>
      <c r="C2708" s="2" t="inlineStr">
        <is>
          <t xml:space="preserve">2012/13</t>
        </is>
      </c>
      <c r="D2708">
        <v>0.0</v>
      </c>
      <c r="E2708">
        <v>18.41</v>
      </c>
      <c r="F2708">
        <v>24.62</v>
      </c>
      <c r="G2708">
        <v>13.48</v>
      </c>
      <c r="H2708">
        <v>0.05</v>
      </c>
      <c r="I2708">
        <v>0.0</v>
      </c>
      <c r="J2708">
        <v>18.02</v>
      </c>
      <c r="K2708">
        <v>23.81</v>
      </c>
      <c r="L2708">
        <v>13.04</v>
      </c>
      <c r="M2708">
        <v>0.08</v>
      </c>
      <c r="N2708">
        <v>0.0</v>
      </c>
      <c r="O2708">
        <v>17.99</v>
      </c>
      <c r="P2708">
        <v>23.05</v>
      </c>
      <c r="Q2708">
        <v>14.01</v>
      </c>
      <c r="R2708">
        <v>0.11</v>
      </c>
    </row>
    <row r="2709">
      <c r="A2709" s="9">
        <v>41240</v>
      </c>
      <c r="B2709" s="2" t="inlineStr">
        <is>
          <t xml:space="preserve">2012-11</t>
        </is>
      </c>
      <c r="C2709" s="2" t="inlineStr">
        <is>
          <t xml:space="preserve">2012/13</t>
        </is>
      </c>
      <c r="D2709">
        <v>0.031</v>
      </c>
      <c r="E2709">
        <v>19.98</v>
      </c>
      <c r="F2709">
        <v>24.93</v>
      </c>
      <c r="G2709">
        <v>16.34</v>
      </c>
      <c r="H2709">
        <v>2.9</v>
      </c>
      <c r="I2709">
        <v>0.864</v>
      </c>
      <c r="J2709">
        <v>20.06</v>
      </c>
      <c r="K2709">
        <v>25.18</v>
      </c>
      <c r="L2709">
        <v>16.19</v>
      </c>
      <c r="M2709">
        <v>3.3</v>
      </c>
      <c r="N2709">
        <v>1.341</v>
      </c>
      <c r="O2709">
        <v>20.18</v>
      </c>
      <c r="P2709">
        <v>24.69</v>
      </c>
      <c r="Q2709">
        <v>16.61</v>
      </c>
      <c r="R2709">
        <v>5.51</v>
      </c>
    </row>
    <row r="2710">
      <c r="A2710" s="9">
        <v>41241</v>
      </c>
      <c r="B2710" s="2" t="inlineStr">
        <is>
          <t xml:space="preserve">2012-11</t>
        </is>
      </c>
      <c r="C2710" s="2" t="inlineStr">
        <is>
          <t xml:space="preserve">2012/13</t>
        </is>
      </c>
      <c r="D2710">
        <v>1.605</v>
      </c>
      <c r="E2710">
        <v>19.21</v>
      </c>
      <c r="F2710">
        <v>22.69</v>
      </c>
      <c r="G2710">
        <v>16.83</v>
      </c>
      <c r="H2710">
        <v>4.49</v>
      </c>
      <c r="I2710">
        <v>7.223</v>
      </c>
      <c r="J2710">
        <v>18.71</v>
      </c>
      <c r="K2710">
        <v>19.75</v>
      </c>
      <c r="L2710">
        <v>16.15</v>
      </c>
      <c r="M2710">
        <v>7.22</v>
      </c>
      <c r="N2710">
        <v>11.863</v>
      </c>
      <c r="O2710">
        <v>18.97</v>
      </c>
      <c r="P2710">
        <v>20.22</v>
      </c>
      <c r="Q2710">
        <v>16.68</v>
      </c>
      <c r="R2710">
        <v>11.73</v>
      </c>
    </row>
    <row r="2711">
      <c r="A2711" s="9">
        <v>41242</v>
      </c>
      <c r="B2711" s="2" t="inlineStr">
        <is>
          <t xml:space="preserve">2012-11</t>
        </is>
      </c>
      <c r="C2711" s="2" t="inlineStr">
        <is>
          <t xml:space="preserve">2012/13</t>
        </is>
      </c>
      <c r="D2711">
        <v>0.446</v>
      </c>
      <c r="E2711">
        <v>18.35</v>
      </c>
      <c r="F2711">
        <v>21.75</v>
      </c>
      <c r="G2711">
        <v>15.98</v>
      </c>
      <c r="H2711">
        <v>1.33</v>
      </c>
      <c r="I2711">
        <v>1.404</v>
      </c>
      <c r="J2711">
        <v>17.81</v>
      </c>
      <c r="K2711">
        <v>21.2</v>
      </c>
      <c r="L2711">
        <v>15.25</v>
      </c>
      <c r="M2711">
        <v>1.4</v>
      </c>
      <c r="N2711">
        <v>2.186</v>
      </c>
      <c r="O2711">
        <v>17.85</v>
      </c>
      <c r="P2711">
        <v>20.86</v>
      </c>
      <c r="Q2711">
        <v>15.37</v>
      </c>
      <c r="R2711">
        <v>2.23</v>
      </c>
    </row>
    <row r="2712">
      <c r="A2712" s="9">
        <v>41243</v>
      </c>
      <c r="B2712" s="2" t="inlineStr">
        <is>
          <t xml:space="preserve">2012-11</t>
        </is>
      </c>
      <c r="C2712" s="2" t="inlineStr">
        <is>
          <t xml:space="preserve">2012/13</t>
        </is>
      </c>
      <c r="D2712">
        <v>0.526</v>
      </c>
      <c r="E2712">
        <v>19.43</v>
      </c>
      <c r="F2712">
        <v>24.22</v>
      </c>
      <c r="G2712">
        <v>16.07</v>
      </c>
      <c r="H2712">
        <v>2.8</v>
      </c>
      <c r="I2712">
        <v>3.113</v>
      </c>
      <c r="J2712">
        <v>19.59</v>
      </c>
      <c r="K2712">
        <v>24.71</v>
      </c>
      <c r="L2712">
        <v>15.92</v>
      </c>
      <c r="M2712">
        <v>4.63</v>
      </c>
      <c r="N2712">
        <v>5.135</v>
      </c>
      <c r="O2712">
        <v>19.56</v>
      </c>
      <c r="P2712">
        <v>23.7</v>
      </c>
      <c r="Q2712">
        <v>16.76</v>
      </c>
      <c r="R2712">
        <v>6.52</v>
      </c>
    </row>
    <row r="2713">
      <c r="A2713" s="9">
        <v>41244</v>
      </c>
      <c r="B2713" s="2" t="inlineStr">
        <is>
          <t xml:space="preserve">2012-12</t>
        </is>
      </c>
      <c r="C2713" s="2" t="inlineStr">
        <is>
          <t xml:space="preserve">2012/13</t>
        </is>
      </c>
      <c r="D2713">
        <v>1.163</v>
      </c>
      <c r="E2713">
        <v>19.09</v>
      </c>
      <c r="F2713">
        <v>24.15</v>
      </c>
      <c r="G2713">
        <v>16.1</v>
      </c>
      <c r="H2713">
        <v>1.69</v>
      </c>
      <c r="I2713">
        <v>4.976</v>
      </c>
      <c r="J2713">
        <v>19.02</v>
      </c>
      <c r="K2713">
        <v>23.25</v>
      </c>
      <c r="L2713">
        <v>16.44</v>
      </c>
      <c r="M2713">
        <v>4.41</v>
      </c>
      <c r="N2713">
        <v>7.622</v>
      </c>
      <c r="O2713">
        <v>19.06</v>
      </c>
      <c r="P2713">
        <v>22.8</v>
      </c>
      <c r="Q2713">
        <v>16.82</v>
      </c>
      <c r="R2713">
        <v>6.61</v>
      </c>
    </row>
    <row r="2714">
      <c r="A2714" s="9">
        <v>41245</v>
      </c>
      <c r="B2714" s="2" t="inlineStr">
        <is>
          <t xml:space="preserve">2012-12</t>
        </is>
      </c>
      <c r="C2714" s="2" t="inlineStr">
        <is>
          <t xml:space="preserve">2012/13</t>
        </is>
      </c>
      <c r="D2714">
        <v>0.195</v>
      </c>
      <c r="E2714">
        <v>18.65</v>
      </c>
      <c r="F2714">
        <v>23.61</v>
      </c>
      <c r="G2714">
        <v>15.23</v>
      </c>
      <c r="H2714">
        <v>0.38</v>
      </c>
      <c r="I2714">
        <v>1.438</v>
      </c>
      <c r="J2714">
        <v>18.67</v>
      </c>
      <c r="K2714">
        <v>23.38</v>
      </c>
      <c r="L2714">
        <v>15.68</v>
      </c>
      <c r="M2714">
        <v>0.88</v>
      </c>
      <c r="N2714">
        <v>2.134</v>
      </c>
      <c r="O2714">
        <v>18.88</v>
      </c>
      <c r="P2714">
        <v>23.17</v>
      </c>
      <c r="Q2714">
        <v>16.24</v>
      </c>
      <c r="R2714">
        <v>0.91</v>
      </c>
    </row>
    <row r="2715">
      <c r="A2715" s="9">
        <v>41246</v>
      </c>
      <c r="B2715" s="2" t="inlineStr">
        <is>
          <t xml:space="preserve">2012-12</t>
        </is>
      </c>
      <c r="C2715" s="2" t="inlineStr">
        <is>
          <t xml:space="preserve">2012/13</t>
        </is>
      </c>
      <c r="D2715">
        <v>0.0</v>
      </c>
      <c r="E2715">
        <v>19.13</v>
      </c>
      <c r="F2715">
        <v>24.44</v>
      </c>
      <c r="G2715">
        <v>15.21</v>
      </c>
      <c r="H2715">
        <v>4.59</v>
      </c>
      <c r="I2715">
        <v>0.558</v>
      </c>
      <c r="J2715">
        <v>19.28</v>
      </c>
      <c r="K2715">
        <v>24.72</v>
      </c>
      <c r="L2715">
        <v>15.37</v>
      </c>
      <c r="M2715">
        <v>0.68</v>
      </c>
      <c r="N2715">
        <v>0.875</v>
      </c>
      <c r="O2715">
        <v>19.32</v>
      </c>
      <c r="P2715">
        <v>24.06</v>
      </c>
      <c r="Q2715">
        <v>15.95</v>
      </c>
      <c r="R2715">
        <v>0.96</v>
      </c>
    </row>
    <row r="2716">
      <c r="A2716" s="9">
        <v>41247</v>
      </c>
      <c r="B2716" s="2" t="inlineStr">
        <is>
          <t xml:space="preserve">2012-12</t>
        </is>
      </c>
      <c r="C2716" s="2" t="inlineStr">
        <is>
          <t xml:space="preserve">2012/13</t>
        </is>
      </c>
      <c r="D2716">
        <v>17.81</v>
      </c>
      <c r="E2716">
        <v>18.79</v>
      </c>
      <c r="F2716">
        <v>23.93</v>
      </c>
      <c r="G2716">
        <v>15.71</v>
      </c>
      <c r="H2716">
        <v>12.04</v>
      </c>
      <c r="I2716">
        <v>0.291</v>
      </c>
      <c r="J2716">
        <v>19.35</v>
      </c>
      <c r="K2716">
        <v>24.76</v>
      </c>
      <c r="L2716">
        <v>15.6</v>
      </c>
      <c r="M2716">
        <v>0.61</v>
      </c>
      <c r="N2716">
        <v>0.559</v>
      </c>
      <c r="O2716">
        <v>19.15</v>
      </c>
      <c r="P2716">
        <v>23.74</v>
      </c>
      <c r="Q2716">
        <v>16.43</v>
      </c>
      <c r="R2716">
        <v>1.03</v>
      </c>
    </row>
    <row r="2717">
      <c r="A2717" s="9">
        <v>41248</v>
      </c>
      <c r="B2717" s="2" t="inlineStr">
        <is>
          <t xml:space="preserve">2012-12</t>
        </is>
      </c>
      <c r="C2717" s="2" t="inlineStr">
        <is>
          <t xml:space="preserve">2012/13</t>
        </is>
      </c>
      <c r="D2717">
        <v>0.0</v>
      </c>
      <c r="E2717">
        <v>18.53</v>
      </c>
      <c r="F2717">
        <v>24.05</v>
      </c>
      <c r="G2717">
        <v>14.99</v>
      </c>
      <c r="H2717">
        <v>0.02</v>
      </c>
      <c r="I2717">
        <v>0.541</v>
      </c>
      <c r="J2717">
        <v>18.58</v>
      </c>
      <c r="K2717">
        <v>23.57</v>
      </c>
      <c r="L2717">
        <v>15.36</v>
      </c>
      <c r="M2717">
        <v>0.34</v>
      </c>
      <c r="N2717">
        <v>0.819</v>
      </c>
      <c r="O2717">
        <v>18.76</v>
      </c>
      <c r="P2717">
        <v>23.24</v>
      </c>
      <c r="Q2717">
        <v>15.79</v>
      </c>
      <c r="R2717">
        <v>0.43</v>
      </c>
    </row>
    <row r="2718">
      <c r="A2718" s="9">
        <v>41249</v>
      </c>
      <c r="B2718" s="2" t="inlineStr">
        <is>
          <t xml:space="preserve">2012-12</t>
        </is>
      </c>
      <c r="C2718" s="2" t="inlineStr">
        <is>
          <t xml:space="preserve">2012/13</t>
        </is>
      </c>
      <c r="D2718">
        <v>0.0</v>
      </c>
      <c r="E2718">
        <v>18.02</v>
      </c>
      <c r="F2718">
        <v>23.71</v>
      </c>
      <c r="G2718">
        <v>14.22</v>
      </c>
      <c r="H2718">
        <v>0.01</v>
      </c>
      <c r="I2718">
        <v>0.108</v>
      </c>
      <c r="J2718">
        <v>17.98</v>
      </c>
      <c r="K2718">
        <v>23.54</v>
      </c>
      <c r="L2718">
        <v>14.25</v>
      </c>
      <c r="M2718">
        <v>0.04</v>
      </c>
      <c r="N2718">
        <v>0.164</v>
      </c>
      <c r="O2718">
        <v>18.12</v>
      </c>
      <c r="P2718">
        <v>22.86</v>
      </c>
      <c r="Q2718">
        <v>15.04</v>
      </c>
      <c r="R2718">
        <v>0.04</v>
      </c>
    </row>
    <row r="2719">
      <c r="A2719" s="9">
        <v>41250</v>
      </c>
      <c r="B2719" s="2" t="inlineStr">
        <is>
          <t xml:space="preserve">2012-12</t>
        </is>
      </c>
      <c r="C2719" s="2" t="inlineStr">
        <is>
          <t xml:space="preserve">2012/13</t>
        </is>
      </c>
      <c r="D2719">
        <v>0.0</v>
      </c>
      <c r="E2719">
        <v>18.34</v>
      </c>
      <c r="F2719">
        <v>24.73</v>
      </c>
      <c r="G2719">
        <v>13.39</v>
      </c>
      <c r="H2719">
        <v>0.0</v>
      </c>
      <c r="I2719">
        <v>0.0</v>
      </c>
      <c r="J2719">
        <v>18.05</v>
      </c>
      <c r="K2719">
        <v>24.74</v>
      </c>
      <c r="L2719">
        <v>13.46</v>
      </c>
      <c r="M2719">
        <v>0.0</v>
      </c>
      <c r="N2719">
        <v>0.0</v>
      </c>
      <c r="O2719">
        <v>18.0</v>
      </c>
      <c r="P2719">
        <v>23.66</v>
      </c>
      <c r="Q2719">
        <v>13.59</v>
      </c>
      <c r="R2719">
        <v>0.0</v>
      </c>
    </row>
    <row r="2720">
      <c r="A2720" s="9">
        <v>41251</v>
      </c>
      <c r="B2720" s="2" t="inlineStr">
        <is>
          <t xml:space="preserve">2012-12</t>
        </is>
      </c>
      <c r="C2720" s="2" t="inlineStr">
        <is>
          <t xml:space="preserve">2012/13</t>
        </is>
      </c>
      <c r="D2720">
        <v>0.0</v>
      </c>
      <c r="E2720">
        <v>19.3</v>
      </c>
      <c r="F2720">
        <v>26.16</v>
      </c>
      <c r="G2720">
        <v>14.61</v>
      </c>
      <c r="H2720">
        <v>0.0</v>
      </c>
      <c r="I2720">
        <v>0.0</v>
      </c>
      <c r="J2720">
        <v>19.3</v>
      </c>
      <c r="K2720">
        <v>25.9</v>
      </c>
      <c r="L2720">
        <v>14.38</v>
      </c>
      <c r="M2720">
        <v>0.0</v>
      </c>
      <c r="N2720">
        <v>0.0</v>
      </c>
      <c r="O2720">
        <v>19.54</v>
      </c>
      <c r="P2720">
        <v>25.24</v>
      </c>
      <c r="Q2720">
        <v>15.82</v>
      </c>
      <c r="R2720">
        <v>0.0</v>
      </c>
    </row>
    <row r="2721">
      <c r="A2721" s="9">
        <v>41252</v>
      </c>
      <c r="B2721" s="2" t="inlineStr">
        <is>
          <t xml:space="preserve">2012-12</t>
        </is>
      </c>
      <c r="C2721" s="2" t="inlineStr">
        <is>
          <t xml:space="preserve">2012/13</t>
        </is>
      </c>
      <c r="D2721">
        <v>0.0</v>
      </c>
      <c r="E2721">
        <v>19.73</v>
      </c>
      <c r="F2721">
        <v>27.25</v>
      </c>
      <c r="G2721">
        <v>13.76</v>
      </c>
      <c r="H2721">
        <v>0.0</v>
      </c>
      <c r="I2721">
        <v>0.0</v>
      </c>
      <c r="J2721">
        <v>20.01</v>
      </c>
      <c r="K2721">
        <v>26.59</v>
      </c>
      <c r="L2721">
        <v>14.99</v>
      </c>
      <c r="M2721">
        <v>0.0</v>
      </c>
      <c r="N2721">
        <v>0.0</v>
      </c>
      <c r="O2721">
        <v>20.2</v>
      </c>
      <c r="P2721">
        <v>25.69</v>
      </c>
      <c r="Q2721">
        <v>16.81</v>
      </c>
      <c r="R2721">
        <v>0.0</v>
      </c>
    </row>
    <row r="2722">
      <c r="A2722" s="9">
        <v>41253</v>
      </c>
      <c r="B2722" s="2" t="inlineStr">
        <is>
          <t xml:space="preserve">2012-12</t>
        </is>
      </c>
      <c r="C2722" s="2" t="inlineStr">
        <is>
          <t xml:space="preserve">2012/13</t>
        </is>
      </c>
      <c r="D2722">
        <v>0.0</v>
      </c>
      <c r="E2722">
        <v>21.73</v>
      </c>
      <c r="F2722">
        <v>27.79</v>
      </c>
      <c r="G2722">
        <v>16.66</v>
      </c>
      <c r="H2722">
        <v>0.69</v>
      </c>
      <c r="I2722">
        <v>0.0</v>
      </c>
      <c r="J2722">
        <v>21.55</v>
      </c>
      <c r="K2722">
        <v>27.87</v>
      </c>
      <c r="L2722">
        <v>15.76</v>
      </c>
      <c r="M2722">
        <v>0.0</v>
      </c>
      <c r="N2722">
        <v>0.0</v>
      </c>
      <c r="O2722">
        <v>21.61</v>
      </c>
      <c r="P2722">
        <v>27.38</v>
      </c>
      <c r="Q2722">
        <v>16.54</v>
      </c>
      <c r="R2722">
        <v>0.0</v>
      </c>
    </row>
    <row r="2723">
      <c r="A2723" s="9">
        <v>41254</v>
      </c>
      <c r="B2723" s="2" t="inlineStr">
        <is>
          <t xml:space="preserve">2012-12</t>
        </is>
      </c>
      <c r="C2723" s="2" t="inlineStr">
        <is>
          <t xml:space="preserve">2012/13</t>
        </is>
      </c>
      <c r="D2723">
        <v>0.398</v>
      </c>
      <c r="E2723">
        <v>21.96</v>
      </c>
      <c r="F2723">
        <v>28.07</v>
      </c>
      <c r="G2723">
        <v>17.52</v>
      </c>
      <c r="H2723">
        <v>3.6</v>
      </c>
      <c r="I2723">
        <v>0.0</v>
      </c>
      <c r="J2723">
        <v>22.29</v>
      </c>
      <c r="K2723">
        <v>27.69</v>
      </c>
      <c r="L2723">
        <v>17.98</v>
      </c>
      <c r="M2723">
        <v>2.0</v>
      </c>
      <c r="N2723">
        <v>0.0</v>
      </c>
      <c r="O2723">
        <v>22.47</v>
      </c>
      <c r="P2723">
        <v>27.11</v>
      </c>
      <c r="Q2723">
        <v>19.38</v>
      </c>
      <c r="R2723">
        <v>1.27</v>
      </c>
    </row>
    <row r="2724">
      <c r="A2724" s="9">
        <v>41255</v>
      </c>
      <c r="B2724" s="2" t="inlineStr">
        <is>
          <t xml:space="preserve">2012-12</t>
        </is>
      </c>
      <c r="C2724" s="2" t="inlineStr">
        <is>
          <t xml:space="preserve">2012/13</t>
        </is>
      </c>
      <c r="D2724">
        <v>6.532</v>
      </c>
      <c r="E2724">
        <v>20.47</v>
      </c>
      <c r="F2724">
        <v>26.51</v>
      </c>
      <c r="G2724">
        <v>16.5</v>
      </c>
      <c r="H2724">
        <v>1.09</v>
      </c>
      <c r="I2724">
        <v>3.589</v>
      </c>
      <c r="J2724">
        <v>21.27</v>
      </c>
      <c r="K2724">
        <v>26.08</v>
      </c>
      <c r="L2724">
        <v>18.02</v>
      </c>
      <c r="M2724">
        <v>1.39</v>
      </c>
      <c r="N2724">
        <v>2.363</v>
      </c>
      <c r="O2724">
        <v>21.37</v>
      </c>
      <c r="P2724">
        <v>25.24</v>
      </c>
      <c r="Q2724">
        <v>18.8</v>
      </c>
      <c r="R2724">
        <v>1.99</v>
      </c>
    </row>
    <row r="2725">
      <c r="A2725" s="9">
        <v>41256</v>
      </c>
      <c r="B2725" s="2" t="inlineStr">
        <is>
          <t xml:space="preserve">2012-12</t>
        </is>
      </c>
      <c r="C2725" s="2" t="inlineStr">
        <is>
          <t xml:space="preserve">2012/13</t>
        </is>
      </c>
      <c r="D2725">
        <v>0.0</v>
      </c>
      <c r="E2725">
        <v>19.84</v>
      </c>
      <c r="F2725">
        <v>24.54</v>
      </c>
      <c r="G2725">
        <v>16.62</v>
      </c>
      <c r="H2725">
        <v>1.59</v>
      </c>
      <c r="I2725">
        <v>0.155</v>
      </c>
      <c r="J2725">
        <v>19.46</v>
      </c>
      <c r="K2725">
        <v>23.67</v>
      </c>
      <c r="L2725">
        <v>16.72</v>
      </c>
      <c r="M2725">
        <v>1.48</v>
      </c>
      <c r="N2725">
        <v>0.623</v>
      </c>
      <c r="O2725">
        <v>19.71</v>
      </c>
      <c r="P2725">
        <v>23.36</v>
      </c>
      <c r="Q2725">
        <v>17.11</v>
      </c>
      <c r="R2725">
        <v>3.79</v>
      </c>
    </row>
    <row r="2726">
      <c r="A2726" s="9">
        <v>41257</v>
      </c>
      <c r="B2726" s="2" t="inlineStr">
        <is>
          <t xml:space="preserve">2012-12</t>
        </is>
      </c>
      <c r="C2726" s="2" t="inlineStr">
        <is>
          <t xml:space="preserve">2012/13</t>
        </is>
      </c>
      <c r="D2726">
        <v>0.34</v>
      </c>
      <c r="E2726">
        <v>18.68</v>
      </c>
      <c r="F2726">
        <v>24.46</v>
      </c>
      <c r="G2726">
        <v>15.2</v>
      </c>
      <c r="H2726">
        <v>1.03</v>
      </c>
      <c r="I2726">
        <v>1.137</v>
      </c>
      <c r="J2726">
        <v>19.2</v>
      </c>
      <c r="K2726">
        <v>24.14</v>
      </c>
      <c r="L2726">
        <v>16.05</v>
      </c>
      <c r="M2726">
        <v>1.18</v>
      </c>
      <c r="N2726">
        <v>1.898</v>
      </c>
      <c r="O2726">
        <v>19.34</v>
      </c>
      <c r="P2726">
        <v>23.65</v>
      </c>
      <c r="Q2726">
        <v>16.82</v>
      </c>
      <c r="R2726">
        <v>3.07</v>
      </c>
    </row>
    <row r="2727">
      <c r="A2727" s="9">
        <v>41258</v>
      </c>
      <c r="B2727" s="2" t="inlineStr">
        <is>
          <t xml:space="preserve">2012-12</t>
        </is>
      </c>
      <c r="C2727" s="2" t="inlineStr">
        <is>
          <t xml:space="preserve">2012/13</t>
        </is>
      </c>
      <c r="D2727">
        <v>0.0</v>
      </c>
      <c r="E2727">
        <v>18.91</v>
      </c>
      <c r="F2727">
        <v>25.51</v>
      </c>
      <c r="G2727">
        <v>13.86</v>
      </c>
      <c r="H2727">
        <v>0.18</v>
      </c>
      <c r="I2727">
        <v>0.0</v>
      </c>
      <c r="J2727">
        <v>19.08</v>
      </c>
      <c r="K2727">
        <v>24.92</v>
      </c>
      <c r="L2727">
        <v>14.62</v>
      </c>
      <c r="M2727">
        <v>0.1</v>
      </c>
      <c r="N2727">
        <v>0.099</v>
      </c>
      <c r="O2727">
        <v>19.36</v>
      </c>
      <c r="P2727">
        <v>24.21</v>
      </c>
      <c r="Q2727">
        <v>16.08</v>
      </c>
      <c r="R2727">
        <v>0.25</v>
      </c>
    </row>
    <row r="2728">
      <c r="A2728" s="9">
        <v>41259</v>
      </c>
      <c r="B2728" s="2" t="inlineStr">
        <is>
          <t xml:space="preserve">2012-12</t>
        </is>
      </c>
      <c r="C2728" s="2" t="inlineStr">
        <is>
          <t xml:space="preserve">2012/13</t>
        </is>
      </c>
      <c r="D2728">
        <v>0.0</v>
      </c>
      <c r="E2728">
        <v>19.42</v>
      </c>
      <c r="F2728">
        <v>26.1</v>
      </c>
      <c r="G2728">
        <v>14.42</v>
      </c>
      <c r="H2728">
        <v>0.0</v>
      </c>
      <c r="I2728">
        <v>0.0</v>
      </c>
      <c r="J2728">
        <v>19.67</v>
      </c>
      <c r="K2728">
        <v>25.32</v>
      </c>
      <c r="L2728">
        <v>15.15</v>
      </c>
      <c r="M2728">
        <v>0.0</v>
      </c>
      <c r="N2728">
        <v>0.0</v>
      </c>
      <c r="O2728">
        <v>18.98</v>
      </c>
      <c r="P2728">
        <v>23.98</v>
      </c>
      <c r="Q2728">
        <v>15.78</v>
      </c>
      <c r="R2728">
        <v>0.0</v>
      </c>
    </row>
    <row r="2729">
      <c r="A2729" s="9">
        <v>41260</v>
      </c>
      <c r="B2729" s="2" t="inlineStr">
        <is>
          <t xml:space="preserve">2012-12</t>
        </is>
      </c>
      <c r="C2729" s="2" t="inlineStr">
        <is>
          <t xml:space="preserve">2012/13</t>
        </is>
      </c>
      <c r="D2729">
        <v>0.0</v>
      </c>
      <c r="E2729">
        <v>20.05</v>
      </c>
      <c r="F2729">
        <v>27.88</v>
      </c>
      <c r="G2729">
        <v>12.75</v>
      </c>
      <c r="H2729">
        <v>0.0</v>
      </c>
      <c r="I2729">
        <v>0.0</v>
      </c>
      <c r="J2729">
        <v>20.02</v>
      </c>
      <c r="K2729">
        <v>26.82</v>
      </c>
      <c r="L2729">
        <v>13.34</v>
      </c>
      <c r="M2729">
        <v>0.0</v>
      </c>
      <c r="N2729">
        <v>0.0</v>
      </c>
      <c r="O2729">
        <v>19.62</v>
      </c>
      <c r="P2729">
        <v>26.02</v>
      </c>
      <c r="Q2729">
        <v>13.74</v>
      </c>
      <c r="R2729">
        <v>0.0</v>
      </c>
    </row>
    <row r="2730">
      <c r="A2730" s="9">
        <v>41261</v>
      </c>
      <c r="B2730" s="2" t="inlineStr">
        <is>
          <t xml:space="preserve">2012-12</t>
        </is>
      </c>
      <c r="C2730" s="2" t="inlineStr">
        <is>
          <t xml:space="preserve">2012/13</t>
        </is>
      </c>
      <c r="D2730">
        <v>0.0</v>
      </c>
      <c r="E2730">
        <v>20.65</v>
      </c>
      <c r="F2730">
        <v>27.29</v>
      </c>
      <c r="G2730">
        <v>15.14</v>
      </c>
      <c r="H2730">
        <v>0.03</v>
      </c>
      <c r="I2730">
        <v>0.0</v>
      </c>
      <c r="J2730">
        <v>19.51</v>
      </c>
      <c r="K2730">
        <v>25.7</v>
      </c>
      <c r="L2730">
        <v>14.39</v>
      </c>
      <c r="M2730">
        <v>0.01</v>
      </c>
      <c r="N2730">
        <v>0.0</v>
      </c>
      <c r="O2730">
        <v>19.79</v>
      </c>
      <c r="P2730">
        <v>24.73</v>
      </c>
      <c r="Q2730">
        <v>15.65</v>
      </c>
      <c r="R2730">
        <v>0.01</v>
      </c>
    </row>
    <row r="2731">
      <c r="A2731" s="9">
        <v>41262</v>
      </c>
      <c r="B2731" s="2" t="inlineStr">
        <is>
          <t xml:space="preserve">2012-12</t>
        </is>
      </c>
      <c r="C2731" s="2" t="inlineStr">
        <is>
          <t xml:space="preserve">2012/13</t>
        </is>
      </c>
      <c r="D2731">
        <v>0.077</v>
      </c>
      <c r="E2731">
        <v>20.42</v>
      </c>
      <c r="F2731">
        <v>27.08</v>
      </c>
      <c r="G2731">
        <v>15.94</v>
      </c>
      <c r="H2731">
        <v>0.06</v>
      </c>
      <c r="I2731">
        <v>0.0</v>
      </c>
      <c r="J2731">
        <v>20.26</v>
      </c>
      <c r="K2731">
        <v>26.27</v>
      </c>
      <c r="L2731">
        <v>15.91</v>
      </c>
      <c r="M2731">
        <v>0.01</v>
      </c>
      <c r="N2731">
        <v>0.0</v>
      </c>
      <c r="O2731">
        <v>20.44</v>
      </c>
      <c r="P2731">
        <v>25.19</v>
      </c>
      <c r="Q2731">
        <v>17.78</v>
      </c>
      <c r="R2731">
        <v>0.01</v>
      </c>
    </row>
    <row r="2732">
      <c r="A2732" s="9">
        <v>41263</v>
      </c>
      <c r="B2732" s="2" t="inlineStr">
        <is>
          <t xml:space="preserve">2012-12</t>
        </is>
      </c>
      <c r="C2732" s="2" t="inlineStr">
        <is>
          <t xml:space="preserve">2012/13</t>
        </is>
      </c>
      <c r="D2732">
        <v>0.0</v>
      </c>
      <c r="E2732">
        <v>20.4</v>
      </c>
      <c r="F2732">
        <v>28.17</v>
      </c>
      <c r="G2732">
        <v>14.28</v>
      </c>
      <c r="H2732">
        <v>0.54</v>
      </c>
      <c r="I2732">
        <v>0.0</v>
      </c>
      <c r="J2732">
        <v>20.31</v>
      </c>
      <c r="K2732">
        <v>26.7</v>
      </c>
      <c r="L2732">
        <v>15.35</v>
      </c>
      <c r="M2732">
        <v>2.59</v>
      </c>
      <c r="N2732">
        <v>0.0</v>
      </c>
      <c r="O2732">
        <v>20.2</v>
      </c>
      <c r="P2732">
        <v>25.27</v>
      </c>
      <c r="Q2732">
        <v>16.9</v>
      </c>
      <c r="R2732">
        <v>1.48</v>
      </c>
    </row>
    <row r="2733">
      <c r="A2733" s="9">
        <v>41264</v>
      </c>
      <c r="B2733" s="2" t="inlineStr">
        <is>
          <t xml:space="preserve">2012-12</t>
        </is>
      </c>
      <c r="C2733" s="2" t="inlineStr">
        <is>
          <t xml:space="preserve">2012/13</t>
        </is>
      </c>
      <c r="D2733">
        <v>0.574</v>
      </c>
      <c r="E2733">
        <v>19.19</v>
      </c>
      <c r="F2733">
        <v>23.68</v>
      </c>
      <c r="G2733">
        <v>16.53</v>
      </c>
      <c r="H2733">
        <v>2.68</v>
      </c>
      <c r="I2733">
        <v>6.869</v>
      </c>
      <c r="J2733">
        <v>19.12</v>
      </c>
      <c r="K2733">
        <v>22.93</v>
      </c>
      <c r="L2733">
        <v>16.95</v>
      </c>
      <c r="M2733">
        <v>4.17</v>
      </c>
      <c r="N2733">
        <v>10.575</v>
      </c>
      <c r="O2733">
        <v>19.16</v>
      </c>
      <c r="P2733">
        <v>22.6</v>
      </c>
      <c r="Q2733">
        <v>17.33</v>
      </c>
      <c r="R2733">
        <v>6.03</v>
      </c>
    </row>
    <row r="2734">
      <c r="A2734" s="9">
        <v>41265</v>
      </c>
      <c r="B2734" s="2" t="inlineStr">
        <is>
          <t xml:space="preserve">2012-12</t>
        </is>
      </c>
      <c r="C2734" s="2" t="inlineStr">
        <is>
          <t xml:space="preserve">2012/13</t>
        </is>
      </c>
      <c r="D2734">
        <v>4.088</v>
      </c>
      <c r="E2734">
        <v>18.24</v>
      </c>
      <c r="F2734">
        <v>23.67</v>
      </c>
      <c r="G2734">
        <v>15.07</v>
      </c>
      <c r="H2734">
        <v>8.7</v>
      </c>
      <c r="I2734">
        <v>5.416</v>
      </c>
      <c r="J2734">
        <v>18.23</v>
      </c>
      <c r="K2734">
        <v>22.1</v>
      </c>
      <c r="L2734">
        <v>15.38</v>
      </c>
      <c r="M2734">
        <v>7.47</v>
      </c>
      <c r="N2734">
        <v>8.344</v>
      </c>
      <c r="O2734">
        <v>18.46</v>
      </c>
      <c r="P2734">
        <v>21.99</v>
      </c>
      <c r="Q2734">
        <v>15.85</v>
      </c>
      <c r="R2734">
        <v>11.04</v>
      </c>
    </row>
    <row r="2735">
      <c r="A2735" s="9">
        <v>41266</v>
      </c>
      <c r="B2735" s="2" t="inlineStr">
        <is>
          <t xml:space="preserve">2012-12</t>
        </is>
      </c>
      <c r="C2735" s="2" t="inlineStr">
        <is>
          <t xml:space="preserve">2012/13</t>
        </is>
      </c>
      <c r="D2735">
        <v>0.33</v>
      </c>
      <c r="E2735">
        <v>16.96</v>
      </c>
      <c r="F2735">
        <v>22.73</v>
      </c>
      <c r="G2735">
        <v>13.54</v>
      </c>
      <c r="H2735">
        <v>0.88</v>
      </c>
      <c r="I2735">
        <v>3.936</v>
      </c>
      <c r="J2735">
        <v>16.47</v>
      </c>
      <c r="K2735">
        <v>21.08</v>
      </c>
      <c r="L2735">
        <v>13.42</v>
      </c>
      <c r="M2735">
        <v>2.84</v>
      </c>
      <c r="N2735">
        <v>6.2</v>
      </c>
      <c r="O2735">
        <v>16.64</v>
      </c>
      <c r="P2735">
        <v>20.4</v>
      </c>
      <c r="Q2735">
        <v>14.68</v>
      </c>
      <c r="R2735">
        <v>5.15</v>
      </c>
    </row>
    <row r="2736">
      <c r="A2736" s="9">
        <v>41267</v>
      </c>
      <c r="B2736" s="2" t="inlineStr">
        <is>
          <t xml:space="preserve">2012-12</t>
        </is>
      </c>
      <c r="C2736" s="2" t="inlineStr">
        <is>
          <t xml:space="preserve">2012/13</t>
        </is>
      </c>
      <c r="D2736">
        <v>0.0</v>
      </c>
      <c r="E2736">
        <v>17.28</v>
      </c>
      <c r="F2736">
        <v>25.22</v>
      </c>
      <c r="G2736">
        <v>11.97</v>
      </c>
      <c r="H2736">
        <v>0.0</v>
      </c>
      <c r="I2736">
        <v>0.0</v>
      </c>
      <c r="J2736">
        <v>17.37</v>
      </c>
      <c r="K2736">
        <v>24.53</v>
      </c>
      <c r="L2736">
        <v>12.51</v>
      </c>
      <c r="M2736">
        <v>0.02</v>
      </c>
      <c r="N2736">
        <v>0.0</v>
      </c>
      <c r="O2736">
        <v>17.14</v>
      </c>
      <c r="P2736">
        <v>22.72</v>
      </c>
      <c r="Q2736">
        <v>13.66</v>
      </c>
      <c r="R2736">
        <v>0.1</v>
      </c>
    </row>
    <row r="2737">
      <c r="A2737" s="9">
        <v>41268</v>
      </c>
      <c r="B2737" s="2" t="inlineStr">
        <is>
          <t xml:space="preserve">2012-12</t>
        </is>
      </c>
      <c r="C2737" s="2" t="inlineStr">
        <is>
          <t xml:space="preserve">2012/13</t>
        </is>
      </c>
      <c r="D2737">
        <v>0.0</v>
      </c>
      <c r="E2737">
        <v>19.75</v>
      </c>
      <c r="F2737">
        <v>28.55</v>
      </c>
      <c r="G2737">
        <v>12.02</v>
      </c>
      <c r="H2737">
        <v>0.0</v>
      </c>
      <c r="I2737">
        <v>0.0</v>
      </c>
      <c r="J2737">
        <v>19.35</v>
      </c>
      <c r="K2737">
        <v>27.2</v>
      </c>
      <c r="L2737">
        <v>12.73</v>
      </c>
      <c r="M2737">
        <v>0.0</v>
      </c>
      <c r="N2737">
        <v>0.0</v>
      </c>
      <c r="O2737">
        <v>19.29</v>
      </c>
      <c r="P2737">
        <v>25.96</v>
      </c>
      <c r="Q2737">
        <v>12.96</v>
      </c>
      <c r="R2737">
        <v>0.0</v>
      </c>
    </row>
    <row r="2738">
      <c r="A2738" s="9">
        <v>41269</v>
      </c>
      <c r="B2738" s="2" t="inlineStr">
        <is>
          <t xml:space="preserve">2012-12</t>
        </is>
      </c>
      <c r="C2738" s="2" t="inlineStr">
        <is>
          <t xml:space="preserve">2012/13</t>
        </is>
      </c>
      <c r="D2738">
        <v>0.0</v>
      </c>
      <c r="E2738">
        <v>21.41</v>
      </c>
      <c r="F2738">
        <v>29.28</v>
      </c>
      <c r="G2738">
        <v>15.39</v>
      </c>
      <c r="H2738">
        <v>0.04</v>
      </c>
      <c r="I2738">
        <v>0.0</v>
      </c>
      <c r="J2738">
        <v>19.76</v>
      </c>
      <c r="K2738">
        <v>27.51</v>
      </c>
      <c r="L2738">
        <v>13.88</v>
      </c>
      <c r="M2738">
        <v>0.01</v>
      </c>
      <c r="N2738">
        <v>0.0</v>
      </c>
      <c r="O2738">
        <v>19.93</v>
      </c>
      <c r="P2738">
        <v>25.91</v>
      </c>
      <c r="Q2738">
        <v>15.61</v>
      </c>
      <c r="R2738">
        <v>0.05</v>
      </c>
    </row>
    <row r="2739">
      <c r="A2739" s="9">
        <v>41270</v>
      </c>
      <c r="B2739" s="2" t="inlineStr">
        <is>
          <t xml:space="preserve">2012-12</t>
        </is>
      </c>
      <c r="C2739" s="2" t="inlineStr">
        <is>
          <t xml:space="preserve">2012/13</t>
        </is>
      </c>
      <c r="D2739">
        <v>0.0</v>
      </c>
      <c r="E2739">
        <v>21.09</v>
      </c>
      <c r="F2739">
        <v>27.52</v>
      </c>
      <c r="G2739">
        <v>16.62</v>
      </c>
      <c r="H2739">
        <v>0.17</v>
      </c>
      <c r="I2739">
        <v>0.0</v>
      </c>
      <c r="J2739">
        <v>20.29</v>
      </c>
      <c r="K2739">
        <v>25.61</v>
      </c>
      <c r="L2739">
        <v>16.76</v>
      </c>
      <c r="M2739">
        <v>0.03</v>
      </c>
      <c r="N2739">
        <v>0.0</v>
      </c>
      <c r="O2739">
        <v>19.92</v>
      </c>
      <c r="P2739">
        <v>24.47</v>
      </c>
      <c r="Q2739">
        <v>16.58</v>
      </c>
      <c r="R2739">
        <v>0.12</v>
      </c>
    </row>
    <row r="2740">
      <c r="A2740" s="9">
        <v>41271</v>
      </c>
      <c r="B2740" s="2" t="inlineStr">
        <is>
          <t xml:space="preserve">2012-12</t>
        </is>
      </c>
      <c r="C2740" s="2" t="inlineStr">
        <is>
          <t xml:space="preserve">2012/13</t>
        </is>
      </c>
      <c r="D2740">
        <v>0.0</v>
      </c>
      <c r="E2740">
        <v>21.58</v>
      </c>
      <c r="F2740">
        <v>28.66</v>
      </c>
      <c r="G2740">
        <v>16.34</v>
      </c>
      <c r="H2740">
        <v>0.16</v>
      </c>
      <c r="I2740">
        <v>0.0</v>
      </c>
      <c r="J2740">
        <v>21.55</v>
      </c>
      <c r="K2740">
        <v>28.36</v>
      </c>
      <c r="L2740">
        <v>16.38</v>
      </c>
      <c r="M2740">
        <v>0.01</v>
      </c>
      <c r="N2740">
        <v>0.0</v>
      </c>
      <c r="O2740">
        <v>21.12</v>
      </c>
      <c r="P2740">
        <v>26.57</v>
      </c>
      <c r="Q2740">
        <v>17.24</v>
      </c>
      <c r="R2740">
        <v>0.01</v>
      </c>
    </row>
    <row r="2741">
      <c r="A2741" s="9">
        <v>41272</v>
      </c>
      <c r="B2741" s="2" t="inlineStr">
        <is>
          <t xml:space="preserve">2012-12</t>
        </is>
      </c>
      <c r="C2741" s="2" t="inlineStr">
        <is>
          <t xml:space="preserve">2012/13</t>
        </is>
      </c>
      <c r="D2741">
        <v>0.0</v>
      </c>
      <c r="E2741">
        <v>21.18</v>
      </c>
      <c r="F2741">
        <v>27.75</v>
      </c>
      <c r="G2741">
        <v>15.99</v>
      </c>
      <c r="H2741">
        <v>0.43</v>
      </c>
      <c r="I2741">
        <v>0.054</v>
      </c>
      <c r="J2741">
        <v>21.39</v>
      </c>
      <c r="K2741">
        <v>26.72</v>
      </c>
      <c r="L2741">
        <v>17.58</v>
      </c>
      <c r="M2741">
        <v>0.37</v>
      </c>
      <c r="N2741">
        <v>0.082</v>
      </c>
      <c r="O2741">
        <v>21.25</v>
      </c>
      <c r="P2741">
        <v>25.59</v>
      </c>
      <c r="Q2741">
        <v>18.49</v>
      </c>
      <c r="R2741">
        <v>1.05</v>
      </c>
    </row>
    <row r="2742">
      <c r="A2742" s="9">
        <v>41273</v>
      </c>
      <c r="B2742" s="2" t="inlineStr">
        <is>
          <t xml:space="preserve">2012-12</t>
        </is>
      </c>
      <c r="C2742" s="2" t="inlineStr">
        <is>
          <t xml:space="preserve">2012/13</t>
        </is>
      </c>
      <c r="D2742">
        <v>2.186</v>
      </c>
      <c r="E2742">
        <v>19.97</v>
      </c>
      <c r="F2742">
        <v>25.15</v>
      </c>
      <c r="G2742">
        <v>16.85</v>
      </c>
      <c r="H2742">
        <v>2.7</v>
      </c>
      <c r="I2742">
        <v>1.173</v>
      </c>
      <c r="J2742">
        <v>20.01</v>
      </c>
      <c r="K2742">
        <v>23.96</v>
      </c>
      <c r="L2742">
        <v>17.47</v>
      </c>
      <c r="M2742">
        <v>2.21</v>
      </c>
      <c r="N2742">
        <v>1.765</v>
      </c>
      <c r="O2742">
        <v>19.97</v>
      </c>
      <c r="P2742">
        <v>23.4</v>
      </c>
      <c r="Q2742">
        <v>17.85</v>
      </c>
      <c r="R2742">
        <v>5.9</v>
      </c>
    </row>
    <row r="2743">
      <c r="A2743" s="9">
        <v>41274</v>
      </c>
      <c r="B2743" s="2" t="inlineStr">
        <is>
          <t xml:space="preserve">2012-12</t>
        </is>
      </c>
      <c r="C2743" s="2" t="inlineStr">
        <is>
          <t xml:space="preserve">2012/13</t>
        </is>
      </c>
      <c r="D2743">
        <v>0.209</v>
      </c>
      <c r="E2743">
        <v>19.93</v>
      </c>
      <c r="F2743">
        <v>26.21</v>
      </c>
      <c r="G2743">
        <v>15.3</v>
      </c>
      <c r="H2743">
        <v>0.35</v>
      </c>
      <c r="I2743">
        <v>0.039</v>
      </c>
      <c r="J2743">
        <v>19.74</v>
      </c>
      <c r="K2743">
        <v>24.92</v>
      </c>
      <c r="L2743">
        <v>15.93</v>
      </c>
      <c r="M2743">
        <v>0.19</v>
      </c>
      <c r="N2743">
        <v>0.111</v>
      </c>
      <c r="O2743">
        <v>19.41</v>
      </c>
      <c r="P2743">
        <v>23.38</v>
      </c>
      <c r="Q2743">
        <v>16.65</v>
      </c>
      <c r="R2743">
        <v>0.67</v>
      </c>
    </row>
    <row r="2744">
      <c r="A2744" s="9">
        <v>41275</v>
      </c>
      <c r="B2744" s="2" t="inlineStr">
        <is>
          <t xml:space="preserve">2013-01</t>
        </is>
      </c>
      <c r="C2744" s="2" t="inlineStr">
        <is>
          <t xml:space="preserve">2012/13</t>
        </is>
      </c>
      <c r="D2744">
        <v>0.0</v>
      </c>
      <c r="E2744">
        <v>20.51</v>
      </c>
      <c r="F2744">
        <v>26.93</v>
      </c>
      <c r="G2744">
        <v>15.95</v>
      </c>
      <c r="H2744">
        <v>0.11</v>
      </c>
      <c r="I2744">
        <v>0.0</v>
      </c>
      <c r="J2744">
        <v>20.81</v>
      </c>
      <c r="K2744">
        <v>26.76</v>
      </c>
      <c r="L2744">
        <v>16.65</v>
      </c>
      <c r="M2744">
        <v>0.0</v>
      </c>
      <c r="N2744">
        <v>0.0</v>
      </c>
      <c r="O2744">
        <v>20.3</v>
      </c>
      <c r="P2744">
        <v>24.98</v>
      </c>
      <c r="Q2744">
        <v>16.98</v>
      </c>
      <c r="R2744">
        <v>0.0</v>
      </c>
    </row>
    <row r="2745">
      <c r="A2745" s="9">
        <v>41276</v>
      </c>
      <c r="B2745" s="2" t="inlineStr">
        <is>
          <t xml:space="preserve">2013-01</t>
        </is>
      </c>
      <c r="C2745" s="2" t="inlineStr">
        <is>
          <t xml:space="preserve">2012/13</t>
        </is>
      </c>
      <c r="D2745">
        <v>0.04</v>
      </c>
      <c r="E2745">
        <v>20.77</v>
      </c>
      <c r="F2745">
        <v>28.2</v>
      </c>
      <c r="G2745">
        <v>15.76</v>
      </c>
      <c r="H2745">
        <v>0.05</v>
      </c>
      <c r="I2745">
        <v>0.0</v>
      </c>
      <c r="J2745">
        <v>21.2</v>
      </c>
      <c r="K2745">
        <v>26.98</v>
      </c>
      <c r="L2745">
        <v>17.08</v>
      </c>
      <c r="M2745">
        <v>0.0</v>
      </c>
      <c r="N2745">
        <v>0.0</v>
      </c>
      <c r="O2745">
        <v>20.65</v>
      </c>
      <c r="P2745">
        <v>25.62</v>
      </c>
      <c r="Q2745">
        <v>17.55</v>
      </c>
      <c r="R2745">
        <v>0.0</v>
      </c>
    </row>
    <row r="2746">
      <c r="A2746" s="9">
        <v>41277</v>
      </c>
      <c r="B2746" s="2" t="inlineStr">
        <is>
          <t xml:space="preserve">2013-01</t>
        </is>
      </c>
      <c r="C2746" s="2" t="inlineStr">
        <is>
          <t xml:space="preserve">2012/13</t>
        </is>
      </c>
      <c r="D2746">
        <v>0.0</v>
      </c>
      <c r="E2746">
        <v>21.18</v>
      </c>
      <c r="F2746">
        <v>28.07</v>
      </c>
      <c r="G2746">
        <v>16.33</v>
      </c>
      <c r="H2746">
        <v>0.26</v>
      </c>
      <c r="I2746">
        <v>0.0</v>
      </c>
      <c r="J2746">
        <v>20.81</v>
      </c>
      <c r="K2746">
        <v>26.6</v>
      </c>
      <c r="L2746">
        <v>16.23</v>
      </c>
      <c r="M2746">
        <v>0.01</v>
      </c>
      <c r="N2746">
        <v>0.0</v>
      </c>
      <c r="O2746">
        <v>20.41</v>
      </c>
      <c r="P2746">
        <v>25.09</v>
      </c>
      <c r="Q2746">
        <v>17.07</v>
      </c>
      <c r="R2746">
        <v>0.04</v>
      </c>
    </row>
    <row r="2747">
      <c r="A2747" s="9">
        <v>41278</v>
      </c>
      <c r="B2747" s="2" t="inlineStr">
        <is>
          <t xml:space="preserve">2013-01</t>
        </is>
      </c>
      <c r="C2747" s="2" t="inlineStr">
        <is>
          <t xml:space="preserve">2012/13</t>
        </is>
      </c>
      <c r="D2747">
        <v>0.0</v>
      </c>
      <c r="E2747">
        <v>21.01</v>
      </c>
      <c r="F2747">
        <v>27.35</v>
      </c>
      <c r="G2747">
        <v>17.17</v>
      </c>
      <c r="H2747">
        <v>0.33</v>
      </c>
      <c r="I2747">
        <v>0.0</v>
      </c>
      <c r="J2747">
        <v>19.98</v>
      </c>
      <c r="K2747">
        <v>24.78</v>
      </c>
      <c r="L2747">
        <v>17.48</v>
      </c>
      <c r="M2747">
        <v>0.64</v>
      </c>
      <c r="N2747">
        <v>0.0</v>
      </c>
      <c r="O2747">
        <v>19.77</v>
      </c>
      <c r="P2747">
        <v>22.88</v>
      </c>
      <c r="Q2747">
        <v>17.67</v>
      </c>
      <c r="R2747">
        <v>2.52</v>
      </c>
    </row>
    <row r="2748">
      <c r="A2748" s="9">
        <v>41279</v>
      </c>
      <c r="B2748" s="2" t="inlineStr">
        <is>
          <t xml:space="preserve">2013-01</t>
        </is>
      </c>
      <c r="C2748" s="2" t="inlineStr">
        <is>
          <t xml:space="preserve">2012/13</t>
        </is>
      </c>
      <c r="D2748">
        <v>0.0</v>
      </c>
      <c r="E2748">
        <v>20.8</v>
      </c>
      <c r="F2748">
        <v>27.69</v>
      </c>
      <c r="G2748">
        <v>15.34</v>
      </c>
      <c r="H2748">
        <v>0.54</v>
      </c>
      <c r="I2748">
        <v>0.349</v>
      </c>
      <c r="J2748">
        <v>20.2</v>
      </c>
      <c r="K2748">
        <v>25.54</v>
      </c>
      <c r="L2748">
        <v>16.72</v>
      </c>
      <c r="M2748">
        <v>2.01</v>
      </c>
      <c r="N2748">
        <v>1.347</v>
      </c>
      <c r="O2748">
        <v>19.75</v>
      </c>
      <c r="P2748">
        <v>23.76</v>
      </c>
      <c r="Q2748">
        <v>16.79</v>
      </c>
      <c r="R2748">
        <v>7.37</v>
      </c>
    </row>
    <row r="2749">
      <c r="A2749" s="9">
        <v>41280</v>
      </c>
      <c r="B2749" s="2" t="inlineStr">
        <is>
          <t xml:space="preserve">2013-01</t>
        </is>
      </c>
      <c r="C2749" s="2" t="inlineStr">
        <is>
          <t xml:space="preserve">2012/13</t>
        </is>
      </c>
      <c r="D2749">
        <v>0.0</v>
      </c>
      <c r="E2749">
        <v>20.87</v>
      </c>
      <c r="F2749">
        <v>27.51</v>
      </c>
      <c r="G2749">
        <v>16.32</v>
      </c>
      <c r="H2749">
        <v>0.56</v>
      </c>
      <c r="I2749">
        <v>0.33</v>
      </c>
      <c r="J2749">
        <v>20.68</v>
      </c>
      <c r="K2749">
        <v>26.29</v>
      </c>
      <c r="L2749">
        <v>17.28</v>
      </c>
      <c r="M2749">
        <v>1.97</v>
      </c>
      <c r="N2749">
        <v>1.256</v>
      </c>
      <c r="O2749">
        <v>20.26</v>
      </c>
      <c r="P2749">
        <v>24.04</v>
      </c>
      <c r="Q2749">
        <v>18.13</v>
      </c>
      <c r="R2749">
        <v>6.92</v>
      </c>
    </row>
    <row r="2750">
      <c r="A2750" s="9">
        <v>41281</v>
      </c>
      <c r="B2750" s="2" t="inlineStr">
        <is>
          <t xml:space="preserve">2013-01</t>
        </is>
      </c>
      <c r="C2750" s="2" t="inlineStr">
        <is>
          <t xml:space="preserve">2012/13</t>
        </is>
      </c>
      <c r="D2750">
        <v>0.703</v>
      </c>
      <c r="E2750">
        <v>20.44</v>
      </c>
      <c r="F2750">
        <v>26.5</v>
      </c>
      <c r="G2750">
        <v>16.57</v>
      </c>
      <c r="H2750">
        <v>2.33</v>
      </c>
      <c r="I2750">
        <v>0.184</v>
      </c>
      <c r="J2750">
        <v>20.9</v>
      </c>
      <c r="K2750">
        <v>26.09</v>
      </c>
      <c r="L2750">
        <v>17.14</v>
      </c>
      <c r="M2750">
        <v>0.94</v>
      </c>
      <c r="N2750">
        <v>0.596</v>
      </c>
      <c r="O2750">
        <v>20.59</v>
      </c>
      <c r="P2750">
        <v>25.02</v>
      </c>
      <c r="Q2750">
        <v>17.9</v>
      </c>
      <c r="R2750">
        <v>2.73</v>
      </c>
    </row>
    <row r="2751">
      <c r="A2751" s="9">
        <v>41282</v>
      </c>
      <c r="B2751" s="2" t="inlineStr">
        <is>
          <t xml:space="preserve">2013-01</t>
        </is>
      </c>
      <c r="C2751" s="2" t="inlineStr">
        <is>
          <t xml:space="preserve">2012/13</t>
        </is>
      </c>
      <c r="D2751">
        <v>0.937</v>
      </c>
      <c r="E2751">
        <v>20.48</v>
      </c>
      <c r="F2751">
        <v>26.73</v>
      </c>
      <c r="G2751">
        <v>16.37</v>
      </c>
      <c r="H2751">
        <v>1.31</v>
      </c>
      <c r="I2751">
        <v>0.107</v>
      </c>
      <c r="J2751">
        <v>21.12</v>
      </c>
      <c r="K2751">
        <v>27.01</v>
      </c>
      <c r="L2751">
        <v>16.86</v>
      </c>
      <c r="M2751">
        <v>0.5</v>
      </c>
      <c r="N2751">
        <v>0.334</v>
      </c>
      <c r="O2751">
        <v>20.51</v>
      </c>
      <c r="P2751">
        <v>25.23</v>
      </c>
      <c r="Q2751">
        <v>17.3</v>
      </c>
      <c r="R2751">
        <v>1.48</v>
      </c>
    </row>
    <row r="2752">
      <c r="A2752" s="9">
        <v>41283</v>
      </c>
      <c r="B2752" s="2" t="inlineStr">
        <is>
          <t xml:space="preserve">2013-01</t>
        </is>
      </c>
      <c r="C2752" s="2" t="inlineStr">
        <is>
          <t xml:space="preserve">2012/13</t>
        </is>
      </c>
      <c r="D2752">
        <v>0.918</v>
      </c>
      <c r="E2752">
        <v>21.5</v>
      </c>
      <c r="F2752">
        <v>28.16</v>
      </c>
      <c r="G2752">
        <v>16.43</v>
      </c>
      <c r="H2752">
        <v>1.1</v>
      </c>
      <c r="I2752">
        <v>0.163</v>
      </c>
      <c r="J2752">
        <v>22.23</v>
      </c>
      <c r="K2752">
        <v>28.64</v>
      </c>
      <c r="L2752">
        <v>17.47</v>
      </c>
      <c r="M2752">
        <v>0.23</v>
      </c>
      <c r="N2752">
        <v>0.25</v>
      </c>
      <c r="O2752">
        <v>21.59</v>
      </c>
      <c r="P2752">
        <v>26.66</v>
      </c>
      <c r="Q2752">
        <v>18.15</v>
      </c>
      <c r="R2752">
        <v>0.26</v>
      </c>
    </row>
    <row r="2753">
      <c r="A2753" s="9">
        <v>41284</v>
      </c>
      <c r="B2753" s="2" t="inlineStr">
        <is>
          <t xml:space="preserve">2013-01</t>
        </is>
      </c>
      <c r="C2753" s="2" t="inlineStr">
        <is>
          <t xml:space="preserve">2012/13</t>
        </is>
      </c>
      <c r="D2753">
        <v>0.0</v>
      </c>
      <c r="E2753">
        <v>21.48</v>
      </c>
      <c r="F2753">
        <v>28.34</v>
      </c>
      <c r="G2753">
        <v>16.8</v>
      </c>
      <c r="H2753">
        <v>0.17</v>
      </c>
      <c r="I2753">
        <v>0.217</v>
      </c>
      <c r="J2753">
        <v>22.22</v>
      </c>
      <c r="K2753">
        <v>28.61</v>
      </c>
      <c r="L2753">
        <v>17.87</v>
      </c>
      <c r="M2753">
        <v>0.26</v>
      </c>
      <c r="N2753">
        <v>0.328</v>
      </c>
      <c r="O2753">
        <v>21.4</v>
      </c>
      <c r="P2753">
        <v>26.25</v>
      </c>
      <c r="Q2753">
        <v>18.06</v>
      </c>
      <c r="R2753">
        <v>0.34</v>
      </c>
    </row>
    <row r="2754">
      <c r="A2754" s="9">
        <v>41285</v>
      </c>
      <c r="B2754" s="2" t="inlineStr">
        <is>
          <t xml:space="preserve">2013-01</t>
        </is>
      </c>
      <c r="C2754" s="2" t="inlineStr">
        <is>
          <t xml:space="preserve">2012/13</t>
        </is>
      </c>
      <c r="D2754">
        <v>0.095</v>
      </c>
      <c r="E2754">
        <v>21.21</v>
      </c>
      <c r="F2754">
        <v>27.67</v>
      </c>
      <c r="G2754">
        <v>16.28</v>
      </c>
      <c r="H2754">
        <v>0.21</v>
      </c>
      <c r="I2754">
        <v>0.757</v>
      </c>
      <c r="J2754">
        <v>21.36</v>
      </c>
      <c r="K2754">
        <v>27.02</v>
      </c>
      <c r="L2754">
        <v>17.87</v>
      </c>
      <c r="M2754">
        <v>0.59</v>
      </c>
      <c r="N2754">
        <v>1.157</v>
      </c>
      <c r="O2754">
        <v>20.61</v>
      </c>
      <c r="P2754">
        <v>24.78</v>
      </c>
      <c r="Q2754">
        <v>17.86</v>
      </c>
      <c r="R2754">
        <v>0.92</v>
      </c>
    </row>
    <row r="2755">
      <c r="A2755" s="9">
        <v>41286</v>
      </c>
      <c r="B2755" s="2" t="inlineStr">
        <is>
          <t xml:space="preserve">2013-01</t>
        </is>
      </c>
      <c r="C2755" s="2" t="inlineStr">
        <is>
          <t xml:space="preserve">2012/13</t>
        </is>
      </c>
      <c r="D2755">
        <v>0.0</v>
      </c>
      <c r="E2755">
        <v>21.43</v>
      </c>
      <c r="F2755">
        <v>28.51</v>
      </c>
      <c r="G2755">
        <v>15.93</v>
      </c>
      <c r="H2755">
        <v>0.1</v>
      </c>
      <c r="I2755">
        <v>0.421</v>
      </c>
      <c r="J2755">
        <v>21.35</v>
      </c>
      <c r="K2755">
        <v>27.53</v>
      </c>
      <c r="L2755">
        <v>17.37</v>
      </c>
      <c r="M2755">
        <v>0.4</v>
      </c>
      <c r="N2755">
        <v>0.672</v>
      </c>
      <c r="O2755">
        <v>20.52</v>
      </c>
      <c r="P2755">
        <v>25.05</v>
      </c>
      <c r="Q2755">
        <v>17.73</v>
      </c>
      <c r="R2755">
        <v>0.93</v>
      </c>
    </row>
    <row r="2756">
      <c r="A2756" s="9">
        <v>41287</v>
      </c>
      <c r="B2756" s="2" t="inlineStr">
        <is>
          <t xml:space="preserve">2013-01</t>
        </is>
      </c>
      <c r="C2756" s="2" t="inlineStr">
        <is>
          <t xml:space="preserve">2012/13</t>
        </is>
      </c>
      <c r="D2756">
        <v>0.0</v>
      </c>
      <c r="E2756">
        <v>20.96</v>
      </c>
      <c r="F2756">
        <v>29.29</v>
      </c>
      <c r="G2756">
        <v>15.3</v>
      </c>
      <c r="H2756">
        <v>0.01</v>
      </c>
      <c r="I2756">
        <v>0.0</v>
      </c>
      <c r="J2756">
        <v>22.14</v>
      </c>
      <c r="K2756">
        <v>29.09</v>
      </c>
      <c r="L2756">
        <v>16.78</v>
      </c>
      <c r="M2756">
        <v>0.0</v>
      </c>
      <c r="N2756">
        <v>0.0</v>
      </c>
      <c r="O2756">
        <v>21.07</v>
      </c>
      <c r="P2756">
        <v>26.76</v>
      </c>
      <c r="Q2756">
        <v>16.75</v>
      </c>
      <c r="R2756">
        <v>0.0</v>
      </c>
    </row>
    <row r="2757">
      <c r="A2757" s="9">
        <v>41288</v>
      </c>
      <c r="B2757" s="2" t="inlineStr">
        <is>
          <t xml:space="preserve">2013-01</t>
        </is>
      </c>
      <c r="C2757" s="2" t="inlineStr">
        <is>
          <t xml:space="preserve">2012/13</t>
        </is>
      </c>
      <c r="D2757">
        <v>0.0</v>
      </c>
      <c r="E2757">
        <v>20.35</v>
      </c>
      <c r="F2757">
        <v>28.29</v>
      </c>
      <c r="G2757">
        <v>14.6</v>
      </c>
      <c r="H2757">
        <v>0.05</v>
      </c>
      <c r="I2757">
        <v>0.0</v>
      </c>
      <c r="J2757">
        <v>21.08</v>
      </c>
      <c r="K2757">
        <v>27.56</v>
      </c>
      <c r="L2757">
        <v>16.24</v>
      </c>
      <c r="M2757">
        <v>0.0</v>
      </c>
      <c r="N2757">
        <v>0.0</v>
      </c>
      <c r="O2757">
        <v>20.0</v>
      </c>
      <c r="P2757">
        <v>24.94</v>
      </c>
      <c r="Q2757">
        <v>17.2</v>
      </c>
      <c r="R2757">
        <v>0.0</v>
      </c>
    </row>
    <row r="2758">
      <c r="A2758" s="9">
        <v>41289</v>
      </c>
      <c r="B2758" s="2" t="inlineStr">
        <is>
          <t xml:space="preserve">2013-01</t>
        </is>
      </c>
      <c r="C2758" s="2" t="inlineStr">
        <is>
          <t xml:space="preserve">2012/13</t>
        </is>
      </c>
      <c r="D2758">
        <v>0.0</v>
      </c>
      <c r="E2758">
        <v>20.36</v>
      </c>
      <c r="F2758">
        <v>28.29</v>
      </c>
      <c r="G2758">
        <v>14.35</v>
      </c>
      <c r="H2758">
        <v>0.27</v>
      </c>
      <c r="I2758">
        <v>0.0</v>
      </c>
      <c r="J2758">
        <v>21.54</v>
      </c>
      <c r="K2758">
        <v>28.28</v>
      </c>
      <c r="L2758">
        <v>15.96</v>
      </c>
      <c r="M2758">
        <v>0.06</v>
      </c>
      <c r="N2758">
        <v>0.0</v>
      </c>
      <c r="O2758">
        <v>20.37</v>
      </c>
      <c r="P2758">
        <v>25.53</v>
      </c>
      <c r="Q2758">
        <v>16.92</v>
      </c>
      <c r="R2758">
        <v>0.21</v>
      </c>
    </row>
    <row r="2759">
      <c r="A2759" s="9">
        <v>41290</v>
      </c>
      <c r="B2759" s="2" t="inlineStr">
        <is>
          <t xml:space="preserve">2013-01</t>
        </is>
      </c>
      <c r="C2759" s="2" t="inlineStr">
        <is>
          <t xml:space="preserve">2012/13</t>
        </is>
      </c>
      <c r="D2759">
        <v>0.158</v>
      </c>
      <c r="E2759">
        <v>20.25</v>
      </c>
      <c r="F2759">
        <v>28.83</v>
      </c>
      <c r="G2759">
        <v>13.34</v>
      </c>
      <c r="H2759">
        <v>0.48</v>
      </c>
      <c r="I2759">
        <v>0.216</v>
      </c>
      <c r="J2759">
        <v>21.91</v>
      </c>
      <c r="K2759">
        <v>28.1</v>
      </c>
      <c r="L2759">
        <v>17.56</v>
      </c>
      <c r="M2759">
        <v>0.42</v>
      </c>
      <c r="N2759">
        <v>0.33</v>
      </c>
      <c r="O2759">
        <v>20.71</v>
      </c>
      <c r="P2759">
        <v>25.53</v>
      </c>
      <c r="Q2759">
        <v>17.02</v>
      </c>
      <c r="R2759">
        <v>1.0</v>
      </c>
    </row>
    <row r="2760">
      <c r="A2760" s="9">
        <v>41291</v>
      </c>
      <c r="B2760" s="2" t="inlineStr">
        <is>
          <t xml:space="preserve">2013-01</t>
        </is>
      </c>
      <c r="C2760" s="2" t="inlineStr">
        <is>
          <t xml:space="preserve">2012/13</t>
        </is>
      </c>
      <c r="D2760">
        <v>0.0</v>
      </c>
      <c r="E2760">
        <v>19.43</v>
      </c>
      <c r="F2760">
        <v>25.97</v>
      </c>
      <c r="G2760">
        <v>15.42</v>
      </c>
      <c r="H2760">
        <v>0.68</v>
      </c>
      <c r="I2760">
        <v>0.821</v>
      </c>
      <c r="J2760">
        <v>19.44</v>
      </c>
      <c r="K2760">
        <v>24.11</v>
      </c>
      <c r="L2760">
        <v>14.56</v>
      </c>
      <c r="M2760">
        <v>1.24</v>
      </c>
      <c r="N2760">
        <v>1.257</v>
      </c>
      <c r="O2760">
        <v>18.99</v>
      </c>
      <c r="P2760">
        <v>22.93</v>
      </c>
      <c r="Q2760">
        <v>16.31</v>
      </c>
      <c r="R2760">
        <v>1.83</v>
      </c>
    </row>
    <row r="2761">
      <c r="A2761" s="9">
        <v>41292</v>
      </c>
      <c r="B2761" s="2" t="inlineStr">
        <is>
          <t xml:space="preserve">2013-01</t>
        </is>
      </c>
      <c r="C2761" s="2" t="inlineStr">
        <is>
          <t xml:space="preserve">2012/13</t>
        </is>
      </c>
      <c r="D2761">
        <v>0.13</v>
      </c>
      <c r="E2761">
        <v>15.78</v>
      </c>
      <c r="F2761">
        <v>20.03</v>
      </c>
      <c r="G2761">
        <v>12.81</v>
      </c>
      <c r="H2761">
        <v>4.64</v>
      </c>
      <c r="I2761">
        <v>3.417</v>
      </c>
      <c r="J2761">
        <v>14.8</v>
      </c>
      <c r="K2761">
        <v>18.86</v>
      </c>
      <c r="L2761">
        <v>12.29</v>
      </c>
      <c r="M2761">
        <v>3.04</v>
      </c>
      <c r="N2761">
        <v>5.277</v>
      </c>
      <c r="O2761">
        <v>14.43</v>
      </c>
      <c r="P2761">
        <v>16.88</v>
      </c>
      <c r="Q2761">
        <v>12.63</v>
      </c>
      <c r="R2761">
        <v>3.24</v>
      </c>
    </row>
    <row r="2762">
      <c r="A2762" s="9">
        <v>41293</v>
      </c>
      <c r="B2762" s="2" t="inlineStr">
        <is>
          <t xml:space="preserve">2013-01</t>
        </is>
      </c>
      <c r="C2762" s="2" t="inlineStr">
        <is>
          <t xml:space="preserve">2012/13</t>
        </is>
      </c>
      <c r="D2762">
        <v>0.133</v>
      </c>
      <c r="E2762">
        <v>15.04</v>
      </c>
      <c r="F2762">
        <v>19.79</v>
      </c>
      <c r="G2762">
        <v>12.1</v>
      </c>
      <c r="H2762">
        <v>1.27</v>
      </c>
      <c r="I2762">
        <v>2.439</v>
      </c>
      <c r="J2762">
        <v>14.79</v>
      </c>
      <c r="K2762">
        <v>19.33</v>
      </c>
      <c r="L2762">
        <v>11.6</v>
      </c>
      <c r="M2762">
        <v>1.96</v>
      </c>
      <c r="N2762">
        <v>3.254</v>
      </c>
      <c r="O2762">
        <v>14.09</v>
      </c>
      <c r="P2762">
        <v>17.59</v>
      </c>
      <c r="Q2762">
        <v>12.0</v>
      </c>
      <c r="R2762">
        <v>2.21</v>
      </c>
    </row>
    <row r="2763">
      <c r="A2763" s="9">
        <v>41294</v>
      </c>
      <c r="B2763" s="2" t="inlineStr">
        <is>
          <t xml:space="preserve">2013-01</t>
        </is>
      </c>
      <c r="C2763" s="2" t="inlineStr">
        <is>
          <t xml:space="preserve">2012/13</t>
        </is>
      </c>
      <c r="D2763">
        <v>0.183</v>
      </c>
      <c r="E2763">
        <v>18.19</v>
      </c>
      <c r="F2763">
        <v>25.37</v>
      </c>
      <c r="G2763">
        <v>13.58</v>
      </c>
      <c r="H2763">
        <v>2.42</v>
      </c>
      <c r="I2763">
        <v>1.084</v>
      </c>
      <c r="J2763">
        <v>16.9</v>
      </c>
      <c r="K2763">
        <v>22.43</v>
      </c>
      <c r="L2763">
        <v>13.31</v>
      </c>
      <c r="M2763">
        <v>1.5</v>
      </c>
      <c r="N2763">
        <v>1.719</v>
      </c>
      <c r="O2763">
        <v>16.15</v>
      </c>
      <c r="P2763">
        <v>20.36</v>
      </c>
      <c r="Q2763">
        <v>12.94</v>
      </c>
      <c r="R2763">
        <v>2.29</v>
      </c>
    </row>
    <row r="2764">
      <c r="A2764" s="9">
        <v>41295</v>
      </c>
      <c r="B2764" s="2" t="inlineStr">
        <is>
          <t xml:space="preserve">2013-01</t>
        </is>
      </c>
      <c r="C2764" s="2" t="inlineStr">
        <is>
          <t xml:space="preserve">2012/13</t>
        </is>
      </c>
      <c r="D2764">
        <v>0.973</v>
      </c>
      <c r="E2764">
        <v>18.7</v>
      </c>
      <c r="F2764">
        <v>25.35</v>
      </c>
      <c r="G2764">
        <v>15.02</v>
      </c>
      <c r="H2764">
        <v>4.0</v>
      </c>
      <c r="I2764">
        <v>1.962</v>
      </c>
      <c r="J2764">
        <v>18.05</v>
      </c>
      <c r="K2764">
        <v>23.77</v>
      </c>
      <c r="L2764">
        <v>14.72</v>
      </c>
      <c r="M2764">
        <v>1.69</v>
      </c>
      <c r="N2764">
        <v>3.134</v>
      </c>
      <c r="O2764">
        <v>17.63</v>
      </c>
      <c r="P2764">
        <v>22.04</v>
      </c>
      <c r="Q2764">
        <v>15.41</v>
      </c>
      <c r="R2764">
        <v>1.89</v>
      </c>
    </row>
    <row r="2765">
      <c r="A2765" s="9">
        <v>41296</v>
      </c>
      <c r="B2765" s="2" t="inlineStr">
        <is>
          <t xml:space="preserve">2013-01</t>
        </is>
      </c>
      <c r="C2765" s="2" t="inlineStr">
        <is>
          <t xml:space="preserve">2012/13</t>
        </is>
      </c>
      <c r="D2765">
        <v>0.37</v>
      </c>
      <c r="E2765">
        <v>18.87</v>
      </c>
      <c r="F2765">
        <v>25.5</v>
      </c>
      <c r="G2765">
        <v>14.47</v>
      </c>
      <c r="H2765">
        <v>1.87</v>
      </c>
      <c r="I2765">
        <v>0.537</v>
      </c>
      <c r="J2765">
        <v>18.99</v>
      </c>
      <c r="K2765">
        <v>25.07</v>
      </c>
      <c r="L2765">
        <v>14.65</v>
      </c>
      <c r="M2765">
        <v>0.57</v>
      </c>
      <c r="N2765">
        <v>0.865</v>
      </c>
      <c r="O2765">
        <v>18.4</v>
      </c>
      <c r="P2765">
        <v>23.46</v>
      </c>
      <c r="Q2765">
        <v>14.5</v>
      </c>
      <c r="R2765">
        <v>0.67</v>
      </c>
    </row>
    <row r="2766">
      <c r="A2766" s="9">
        <v>41297</v>
      </c>
      <c r="B2766" s="2" t="inlineStr">
        <is>
          <t xml:space="preserve">2013-01</t>
        </is>
      </c>
      <c r="C2766" s="2" t="inlineStr">
        <is>
          <t xml:space="preserve">2012/13</t>
        </is>
      </c>
      <c r="D2766">
        <v>0.0</v>
      </c>
      <c r="E2766">
        <v>19.39</v>
      </c>
      <c r="F2766">
        <v>25.87</v>
      </c>
      <c r="G2766">
        <v>14.66</v>
      </c>
      <c r="H2766">
        <v>1.0</v>
      </c>
      <c r="I2766">
        <v>0.61</v>
      </c>
      <c r="J2766">
        <v>19.61</v>
      </c>
      <c r="K2766">
        <v>25.49</v>
      </c>
      <c r="L2766">
        <v>15.34</v>
      </c>
      <c r="M2766">
        <v>1.08</v>
      </c>
      <c r="N2766">
        <v>0.937</v>
      </c>
      <c r="O2766">
        <v>19.1</v>
      </c>
      <c r="P2766">
        <v>23.75</v>
      </c>
      <c r="Q2766">
        <v>15.77</v>
      </c>
      <c r="R2766">
        <v>2.16</v>
      </c>
    </row>
    <row r="2767">
      <c r="A2767" s="9">
        <v>41298</v>
      </c>
      <c r="B2767" s="2" t="inlineStr">
        <is>
          <t xml:space="preserve">2013-01</t>
        </is>
      </c>
      <c r="C2767" s="2" t="inlineStr">
        <is>
          <t xml:space="preserve">2012/13</t>
        </is>
      </c>
      <c r="D2767">
        <v>0.589</v>
      </c>
      <c r="E2767">
        <v>18.57</v>
      </c>
      <c r="F2767">
        <v>24.71</v>
      </c>
      <c r="G2767">
        <v>14.99</v>
      </c>
      <c r="H2767">
        <v>3.19</v>
      </c>
      <c r="I2767">
        <v>3.256</v>
      </c>
      <c r="J2767">
        <v>19.2</v>
      </c>
      <c r="K2767">
        <v>25.37</v>
      </c>
      <c r="L2767">
        <v>15.85</v>
      </c>
      <c r="M2767">
        <v>5.16</v>
      </c>
      <c r="N2767">
        <v>5.269</v>
      </c>
      <c r="O2767">
        <v>18.42</v>
      </c>
      <c r="P2767">
        <v>22.71</v>
      </c>
      <c r="Q2767">
        <v>16.18</v>
      </c>
      <c r="R2767">
        <v>9.72</v>
      </c>
    </row>
    <row r="2768">
      <c r="A2768" s="9">
        <v>41299</v>
      </c>
      <c r="B2768" s="2" t="inlineStr">
        <is>
          <t xml:space="preserve">2013-01</t>
        </is>
      </c>
      <c r="C2768" s="2" t="inlineStr">
        <is>
          <t xml:space="preserve">2012/13</t>
        </is>
      </c>
      <c r="D2768">
        <v>1.675</v>
      </c>
      <c r="E2768">
        <v>18.57</v>
      </c>
      <c r="F2768">
        <v>25.01</v>
      </c>
      <c r="G2768">
        <v>14.32</v>
      </c>
      <c r="H2768">
        <v>4.55</v>
      </c>
      <c r="I2768">
        <v>6.705</v>
      </c>
      <c r="J2768">
        <v>18.34</v>
      </c>
      <c r="K2768">
        <v>23.96</v>
      </c>
      <c r="L2768">
        <v>15.13</v>
      </c>
      <c r="M2768">
        <v>4.68</v>
      </c>
      <c r="N2768">
        <v>9.993</v>
      </c>
      <c r="O2768">
        <v>17.81</v>
      </c>
      <c r="P2768">
        <v>21.98</v>
      </c>
      <c r="Q2768">
        <v>15.7</v>
      </c>
      <c r="R2768">
        <v>4.19</v>
      </c>
    </row>
    <row r="2769">
      <c r="A2769" s="9">
        <v>41300</v>
      </c>
      <c r="B2769" s="2" t="inlineStr">
        <is>
          <t xml:space="preserve">2013-01</t>
        </is>
      </c>
      <c r="C2769" s="2" t="inlineStr">
        <is>
          <t xml:space="preserve">2012/13</t>
        </is>
      </c>
      <c r="D2769">
        <v>0.322</v>
      </c>
      <c r="E2769">
        <v>19.55</v>
      </c>
      <c r="F2769">
        <v>26.38</v>
      </c>
      <c r="G2769">
        <v>14.9</v>
      </c>
      <c r="H2769">
        <v>1.12</v>
      </c>
      <c r="I2769">
        <v>0.723</v>
      </c>
      <c r="J2769">
        <v>19.78</v>
      </c>
      <c r="K2769">
        <v>26.02</v>
      </c>
      <c r="L2769">
        <v>15.32</v>
      </c>
      <c r="M2769">
        <v>0.59</v>
      </c>
      <c r="N2769">
        <v>1.093</v>
      </c>
      <c r="O2769">
        <v>19.11</v>
      </c>
      <c r="P2769">
        <v>24.18</v>
      </c>
      <c r="Q2769">
        <v>15.5</v>
      </c>
      <c r="R2769">
        <v>0.59</v>
      </c>
    </row>
    <row r="2770">
      <c r="A2770" s="9">
        <v>41301</v>
      </c>
      <c r="B2770" s="2" t="inlineStr">
        <is>
          <t xml:space="preserve">2013-01</t>
        </is>
      </c>
      <c r="C2770" s="2" t="inlineStr">
        <is>
          <t xml:space="preserve">2012/13</t>
        </is>
      </c>
      <c r="D2770">
        <v>0.0</v>
      </c>
      <c r="E2770">
        <v>20.64</v>
      </c>
      <c r="F2770">
        <v>27.69</v>
      </c>
      <c r="G2770">
        <v>15.68</v>
      </c>
      <c r="H2770">
        <v>0.1</v>
      </c>
      <c r="I2770">
        <v>0.112</v>
      </c>
      <c r="J2770">
        <v>20.73</v>
      </c>
      <c r="K2770">
        <v>27.4</v>
      </c>
      <c r="L2770">
        <v>16.05</v>
      </c>
      <c r="M2770">
        <v>0.12</v>
      </c>
      <c r="N2770">
        <v>0.184</v>
      </c>
      <c r="O2770">
        <v>19.87</v>
      </c>
      <c r="P2770">
        <v>24.64</v>
      </c>
      <c r="Q2770">
        <v>16.45</v>
      </c>
      <c r="R2770">
        <v>0.11</v>
      </c>
    </row>
    <row r="2771">
      <c r="A2771" s="9">
        <v>41302</v>
      </c>
      <c r="B2771" s="2" t="inlineStr">
        <is>
          <t xml:space="preserve">2013-01</t>
        </is>
      </c>
      <c r="C2771" s="2" t="inlineStr">
        <is>
          <t xml:space="preserve">2012/13</t>
        </is>
      </c>
      <c r="D2771">
        <v>0.0</v>
      </c>
      <c r="E2771">
        <v>20.8</v>
      </c>
      <c r="F2771">
        <v>28.23</v>
      </c>
      <c r="G2771">
        <v>15.41</v>
      </c>
      <c r="H2771">
        <v>0.07</v>
      </c>
      <c r="I2771">
        <v>0.108</v>
      </c>
      <c r="J2771">
        <v>21.08</v>
      </c>
      <c r="K2771">
        <v>27.95</v>
      </c>
      <c r="L2771">
        <v>16.05</v>
      </c>
      <c r="M2771">
        <v>0.04</v>
      </c>
      <c r="N2771">
        <v>0.164</v>
      </c>
      <c r="O2771">
        <v>20.1</v>
      </c>
      <c r="P2771">
        <v>25.11</v>
      </c>
      <c r="Q2771">
        <v>16.32</v>
      </c>
      <c r="R2771">
        <v>0.05</v>
      </c>
    </row>
    <row r="2772">
      <c r="A2772" s="9">
        <v>41303</v>
      </c>
      <c r="B2772" s="2" t="inlineStr">
        <is>
          <t xml:space="preserve">2013-01</t>
        </is>
      </c>
      <c r="C2772" s="2" t="inlineStr">
        <is>
          <t xml:space="preserve">2012/13</t>
        </is>
      </c>
      <c r="D2772">
        <v>0.0</v>
      </c>
      <c r="E2772">
        <v>21.04</v>
      </c>
      <c r="F2772">
        <v>29.06</v>
      </c>
      <c r="G2772">
        <v>15.18</v>
      </c>
      <c r="H2772">
        <v>0.05</v>
      </c>
      <c r="I2772">
        <v>0.0</v>
      </c>
      <c r="J2772">
        <v>22.01</v>
      </c>
      <c r="K2772">
        <v>29.11</v>
      </c>
      <c r="L2772">
        <v>16.99</v>
      </c>
      <c r="M2772">
        <v>0.0</v>
      </c>
      <c r="N2772">
        <v>0.0</v>
      </c>
      <c r="O2772">
        <v>20.72</v>
      </c>
      <c r="P2772">
        <v>26.18</v>
      </c>
      <c r="Q2772">
        <v>17.38</v>
      </c>
      <c r="R2772">
        <v>0.0</v>
      </c>
    </row>
    <row r="2773">
      <c r="A2773" s="9">
        <v>41304</v>
      </c>
      <c r="B2773" s="2" t="inlineStr">
        <is>
          <t xml:space="preserve">2013-01</t>
        </is>
      </c>
      <c r="C2773" s="2" t="inlineStr">
        <is>
          <t xml:space="preserve">2012/13</t>
        </is>
      </c>
      <c r="D2773">
        <v>0.0</v>
      </c>
      <c r="E2773">
        <v>21.62</v>
      </c>
      <c r="F2773">
        <v>30.99</v>
      </c>
      <c r="G2773">
        <v>14.62</v>
      </c>
      <c r="H2773">
        <v>0.0</v>
      </c>
      <c r="I2773">
        <v>0.0</v>
      </c>
      <c r="J2773">
        <v>22.89</v>
      </c>
      <c r="K2773">
        <v>30.54</v>
      </c>
      <c r="L2773">
        <v>17.39</v>
      </c>
      <c r="M2773">
        <v>0.0</v>
      </c>
      <c r="N2773">
        <v>0.0</v>
      </c>
      <c r="O2773">
        <v>21.45</v>
      </c>
      <c r="P2773">
        <v>28.46</v>
      </c>
      <c r="Q2773">
        <v>16.27</v>
      </c>
      <c r="R2773">
        <v>0.0</v>
      </c>
    </row>
    <row r="2774">
      <c r="A2774" s="9">
        <v>41305</v>
      </c>
      <c r="B2774" s="2" t="inlineStr">
        <is>
          <t xml:space="preserve">2013-01</t>
        </is>
      </c>
      <c r="C2774" s="2" t="inlineStr">
        <is>
          <t xml:space="preserve">2012/13</t>
        </is>
      </c>
      <c r="D2774">
        <v>0.0</v>
      </c>
      <c r="E2774">
        <v>20.33</v>
      </c>
      <c r="F2774">
        <v>27.42</v>
      </c>
      <c r="G2774">
        <v>15.07</v>
      </c>
      <c r="H2774">
        <v>0.25</v>
      </c>
      <c r="I2774">
        <v>0.0</v>
      </c>
      <c r="J2774">
        <v>20.18</v>
      </c>
      <c r="K2774">
        <v>25.98</v>
      </c>
      <c r="L2774">
        <v>15.35</v>
      </c>
      <c r="M2774">
        <v>0.74</v>
      </c>
      <c r="N2774">
        <v>0.0</v>
      </c>
      <c r="O2774">
        <v>19.61</v>
      </c>
      <c r="P2774">
        <v>24.5</v>
      </c>
      <c r="Q2774">
        <v>15.48</v>
      </c>
      <c r="R2774">
        <v>2.04</v>
      </c>
    </row>
    <row r="2775">
      <c r="A2775" s="9">
        <v>41306</v>
      </c>
      <c r="B2775" s="2" t="inlineStr">
        <is>
          <t xml:space="preserve">2013-02</t>
        </is>
      </c>
      <c r="C2775" s="2" t="inlineStr">
        <is>
          <t xml:space="preserve">2012/13</t>
        </is>
      </c>
      <c r="D2775">
        <v>0.0</v>
      </c>
      <c r="E2775">
        <v>20.06</v>
      </c>
      <c r="F2775">
        <v>26.77</v>
      </c>
      <c r="G2775">
        <v>15.51</v>
      </c>
      <c r="H2775">
        <v>0.75</v>
      </c>
      <c r="I2775">
        <v>0.676</v>
      </c>
      <c r="J2775">
        <v>20.41</v>
      </c>
      <c r="K2775">
        <v>26.95</v>
      </c>
      <c r="L2775">
        <v>16.61</v>
      </c>
      <c r="M2775">
        <v>4.0</v>
      </c>
      <c r="N2775">
        <v>2.58</v>
      </c>
      <c r="O2775">
        <v>19.79</v>
      </c>
      <c r="P2775">
        <v>24.31</v>
      </c>
      <c r="Q2775">
        <v>17.16</v>
      </c>
      <c r="R2775">
        <v>14.38</v>
      </c>
    </row>
    <row r="2776">
      <c r="A2776" s="9">
        <v>41307</v>
      </c>
      <c r="B2776" s="2" t="inlineStr">
        <is>
          <t xml:space="preserve">2013-02</t>
        </is>
      </c>
      <c r="C2776" s="2" t="inlineStr">
        <is>
          <t xml:space="preserve">2012/13</t>
        </is>
      </c>
      <c r="D2776">
        <v>0.0</v>
      </c>
      <c r="E2776">
        <v>20.53</v>
      </c>
      <c r="F2776">
        <v>27.75</v>
      </c>
      <c r="G2776">
        <v>15.38</v>
      </c>
      <c r="H2776">
        <v>0.33</v>
      </c>
      <c r="I2776">
        <v>0.286</v>
      </c>
      <c r="J2776">
        <v>20.36</v>
      </c>
      <c r="K2776">
        <v>26.61</v>
      </c>
      <c r="L2776">
        <v>15.98</v>
      </c>
      <c r="M2776">
        <v>2.02</v>
      </c>
      <c r="N2776">
        <v>1.088</v>
      </c>
      <c r="O2776">
        <v>19.32</v>
      </c>
      <c r="P2776">
        <v>23.61</v>
      </c>
      <c r="Q2776">
        <v>16.4</v>
      </c>
      <c r="R2776">
        <v>6.91</v>
      </c>
    </row>
    <row r="2777">
      <c r="A2777" s="9">
        <v>41308</v>
      </c>
      <c r="B2777" s="2" t="inlineStr">
        <is>
          <t xml:space="preserve">2013-02</t>
        </is>
      </c>
      <c r="C2777" s="2" t="inlineStr">
        <is>
          <t xml:space="preserve">2012/13</t>
        </is>
      </c>
      <c r="D2777">
        <v>0.053</v>
      </c>
      <c r="E2777">
        <v>19.74</v>
      </c>
      <c r="F2777">
        <v>26.92</v>
      </c>
      <c r="G2777">
        <v>14.85</v>
      </c>
      <c r="H2777">
        <v>0.7</v>
      </c>
      <c r="I2777">
        <v>1.236</v>
      </c>
      <c r="J2777">
        <v>19.88</v>
      </c>
      <c r="K2777">
        <v>25.49</v>
      </c>
      <c r="L2777">
        <v>15.67</v>
      </c>
      <c r="M2777">
        <v>2.65</v>
      </c>
      <c r="N2777">
        <v>2.105</v>
      </c>
      <c r="O2777">
        <v>19.22</v>
      </c>
      <c r="P2777">
        <v>23.57</v>
      </c>
      <c r="Q2777">
        <v>16.29</v>
      </c>
      <c r="R2777">
        <v>7.71</v>
      </c>
    </row>
    <row r="2778">
      <c r="A2778" s="9">
        <v>41309</v>
      </c>
      <c r="B2778" s="2" t="inlineStr">
        <is>
          <t xml:space="preserve">2013-02</t>
        </is>
      </c>
      <c r="C2778" s="2" t="inlineStr">
        <is>
          <t xml:space="preserve">2012/13</t>
        </is>
      </c>
      <c r="D2778">
        <v>0.0</v>
      </c>
      <c r="E2778">
        <v>20.34</v>
      </c>
      <c r="F2778">
        <v>27.93</v>
      </c>
      <c r="G2778">
        <v>14.09</v>
      </c>
      <c r="H2778">
        <v>0.11</v>
      </c>
      <c r="I2778">
        <v>0.825</v>
      </c>
      <c r="J2778">
        <v>20.22</v>
      </c>
      <c r="K2778">
        <v>26.82</v>
      </c>
      <c r="L2778">
        <v>15.17</v>
      </c>
      <c r="M2778">
        <v>0.87</v>
      </c>
      <c r="N2778">
        <v>1.144</v>
      </c>
      <c r="O2778">
        <v>19.19</v>
      </c>
      <c r="P2778">
        <v>23.86</v>
      </c>
      <c r="Q2778">
        <v>15.56</v>
      </c>
      <c r="R2778">
        <v>1.55</v>
      </c>
    </row>
    <row r="2779">
      <c r="A2779" s="9">
        <v>41310</v>
      </c>
      <c r="B2779" s="2" t="inlineStr">
        <is>
          <t xml:space="preserve">2013-02</t>
        </is>
      </c>
      <c r="C2779" s="2" t="inlineStr">
        <is>
          <t xml:space="preserve">2012/13</t>
        </is>
      </c>
      <c r="D2779">
        <v>0.0</v>
      </c>
      <c r="E2779">
        <v>22.2</v>
      </c>
      <c r="F2779">
        <v>30.12</v>
      </c>
      <c r="G2779">
        <v>15.7</v>
      </c>
      <c r="H2779">
        <v>0.0</v>
      </c>
      <c r="I2779">
        <v>0.0</v>
      </c>
      <c r="J2779">
        <v>22.41</v>
      </c>
      <c r="K2779">
        <v>29.95</v>
      </c>
      <c r="L2779">
        <v>16.5</v>
      </c>
      <c r="M2779">
        <v>0.0</v>
      </c>
      <c r="N2779">
        <v>0.0</v>
      </c>
      <c r="O2779">
        <v>21.12</v>
      </c>
      <c r="P2779">
        <v>26.67</v>
      </c>
      <c r="Q2779">
        <v>17.19</v>
      </c>
      <c r="R2779">
        <v>0.0</v>
      </c>
    </row>
    <row r="2780">
      <c r="A2780" s="9">
        <v>41311</v>
      </c>
      <c r="B2780" s="2" t="inlineStr">
        <is>
          <t xml:space="preserve">2013-02</t>
        </is>
      </c>
      <c r="C2780" s="2" t="inlineStr">
        <is>
          <t xml:space="preserve">2012/13</t>
        </is>
      </c>
      <c r="D2780">
        <v>0.0</v>
      </c>
      <c r="E2780">
        <v>22.57</v>
      </c>
      <c r="F2780">
        <v>31.21</v>
      </c>
      <c r="G2780">
        <v>16.4</v>
      </c>
      <c r="H2780">
        <v>0.04</v>
      </c>
      <c r="I2780">
        <v>0.0</v>
      </c>
      <c r="J2780">
        <v>22.75</v>
      </c>
      <c r="K2780">
        <v>29.61</v>
      </c>
      <c r="L2780">
        <v>17.28</v>
      </c>
      <c r="M2780">
        <v>0.0</v>
      </c>
      <c r="N2780">
        <v>0.0</v>
      </c>
      <c r="O2780">
        <v>21.51</v>
      </c>
      <c r="P2780">
        <v>26.75</v>
      </c>
      <c r="Q2780">
        <v>18.02</v>
      </c>
      <c r="R2780">
        <v>0.0</v>
      </c>
    </row>
    <row r="2781">
      <c r="A2781" s="9">
        <v>41312</v>
      </c>
      <c r="B2781" s="2" t="inlineStr">
        <is>
          <t xml:space="preserve">2013-02</t>
        </is>
      </c>
      <c r="C2781" s="2" t="inlineStr">
        <is>
          <t xml:space="preserve">2012/13</t>
        </is>
      </c>
      <c r="D2781">
        <v>0.0</v>
      </c>
      <c r="E2781">
        <v>22.52</v>
      </c>
      <c r="F2781">
        <v>31.43</v>
      </c>
      <c r="G2781">
        <v>15.75</v>
      </c>
      <c r="H2781">
        <v>0.33</v>
      </c>
      <c r="I2781">
        <v>0.0</v>
      </c>
      <c r="J2781">
        <v>23.55</v>
      </c>
      <c r="K2781">
        <v>31.18</v>
      </c>
      <c r="L2781">
        <v>17.86</v>
      </c>
      <c r="M2781">
        <v>0.0</v>
      </c>
      <c r="N2781">
        <v>0.0</v>
      </c>
      <c r="O2781">
        <v>21.94</v>
      </c>
      <c r="P2781">
        <v>28.12</v>
      </c>
      <c r="Q2781">
        <v>17.59</v>
      </c>
      <c r="R2781">
        <v>0.0</v>
      </c>
    </row>
    <row r="2782">
      <c r="A2782" s="9">
        <v>41313</v>
      </c>
      <c r="B2782" s="2" t="inlineStr">
        <is>
          <t xml:space="preserve">2013-02</t>
        </is>
      </c>
      <c r="C2782" s="2" t="inlineStr">
        <is>
          <t xml:space="preserve">2012/13</t>
        </is>
      </c>
      <c r="D2782">
        <v>0.0</v>
      </c>
      <c r="E2782">
        <v>21.95</v>
      </c>
      <c r="F2782">
        <v>30.47</v>
      </c>
      <c r="G2782">
        <v>15.6</v>
      </c>
      <c r="H2782">
        <v>0.0</v>
      </c>
      <c r="I2782">
        <v>0.0</v>
      </c>
      <c r="J2782">
        <v>22.8</v>
      </c>
      <c r="K2782">
        <v>29.86</v>
      </c>
      <c r="L2782">
        <v>17.92</v>
      </c>
      <c r="M2782">
        <v>0.0</v>
      </c>
      <c r="N2782">
        <v>0.0</v>
      </c>
      <c r="O2782">
        <v>21.3</v>
      </c>
      <c r="P2782">
        <v>26.61</v>
      </c>
      <c r="Q2782">
        <v>17.59</v>
      </c>
      <c r="R2782">
        <v>0.0</v>
      </c>
    </row>
    <row r="2783">
      <c r="A2783" s="9">
        <v>41314</v>
      </c>
      <c r="B2783" s="2" t="inlineStr">
        <is>
          <t xml:space="preserve">2013-02</t>
        </is>
      </c>
      <c r="C2783" s="2" t="inlineStr">
        <is>
          <t xml:space="preserve">2012/13</t>
        </is>
      </c>
      <c r="D2783">
        <v>0.0</v>
      </c>
      <c r="E2783">
        <v>21.29</v>
      </c>
      <c r="F2783">
        <v>29.45</v>
      </c>
      <c r="G2783">
        <v>15.95</v>
      </c>
      <c r="H2783">
        <v>0.0</v>
      </c>
      <c r="I2783">
        <v>0.0</v>
      </c>
      <c r="J2783">
        <v>21.18</v>
      </c>
      <c r="K2783">
        <v>28.2</v>
      </c>
      <c r="L2783">
        <v>15.98</v>
      </c>
      <c r="M2783">
        <v>0.0</v>
      </c>
      <c r="N2783">
        <v>0.0</v>
      </c>
      <c r="O2783">
        <v>20.15</v>
      </c>
      <c r="P2783">
        <v>25.21</v>
      </c>
      <c r="Q2783">
        <v>16.51</v>
      </c>
      <c r="R2783">
        <v>0.0</v>
      </c>
    </row>
    <row r="2784">
      <c r="A2784" s="9">
        <v>41315</v>
      </c>
      <c r="B2784" s="2" t="inlineStr">
        <is>
          <t xml:space="preserve">2013-02</t>
        </is>
      </c>
      <c r="C2784" s="2" t="inlineStr">
        <is>
          <t xml:space="preserve">2012/13</t>
        </is>
      </c>
      <c r="D2784">
        <v>0.0</v>
      </c>
      <c r="E2784">
        <v>21.07</v>
      </c>
      <c r="F2784">
        <v>29.45</v>
      </c>
      <c r="G2784">
        <v>14.86</v>
      </c>
      <c r="H2784">
        <v>0.0</v>
      </c>
      <c r="I2784">
        <v>0.0</v>
      </c>
      <c r="J2784">
        <v>21.87</v>
      </c>
      <c r="K2784">
        <v>29.88</v>
      </c>
      <c r="L2784">
        <v>16.04</v>
      </c>
      <c r="M2784">
        <v>0.0</v>
      </c>
      <c r="N2784">
        <v>0.0</v>
      </c>
      <c r="O2784">
        <v>20.21</v>
      </c>
      <c r="P2784">
        <v>26.51</v>
      </c>
      <c r="Q2784">
        <v>16.41</v>
      </c>
      <c r="R2784">
        <v>0.0</v>
      </c>
    </row>
    <row r="2785">
      <c r="A2785" s="9">
        <v>41316</v>
      </c>
      <c r="B2785" s="2" t="inlineStr">
        <is>
          <t xml:space="preserve">2013-02</t>
        </is>
      </c>
      <c r="C2785" s="2" t="inlineStr">
        <is>
          <t xml:space="preserve">2012/13</t>
        </is>
      </c>
      <c r="D2785">
        <v>0.0</v>
      </c>
      <c r="E2785">
        <v>21.87</v>
      </c>
      <c r="F2785">
        <v>30.67</v>
      </c>
      <c r="G2785">
        <v>14.56</v>
      </c>
      <c r="H2785">
        <v>0.0</v>
      </c>
      <c r="I2785">
        <v>0.0</v>
      </c>
      <c r="J2785">
        <v>22.97</v>
      </c>
      <c r="K2785">
        <v>31.15</v>
      </c>
      <c r="L2785">
        <v>16.51</v>
      </c>
      <c r="M2785">
        <v>0.0</v>
      </c>
      <c r="N2785">
        <v>0.0</v>
      </c>
      <c r="O2785">
        <v>20.98</v>
      </c>
      <c r="P2785">
        <v>28.2</v>
      </c>
      <c r="Q2785">
        <v>14.88</v>
      </c>
      <c r="R2785">
        <v>0.02</v>
      </c>
    </row>
    <row r="2786">
      <c r="A2786" s="9">
        <v>41317</v>
      </c>
      <c r="B2786" s="2" t="inlineStr">
        <is>
          <t xml:space="preserve">2013-02</t>
        </is>
      </c>
      <c r="C2786" s="2" t="inlineStr">
        <is>
          <t xml:space="preserve">2012/13</t>
        </is>
      </c>
      <c r="D2786">
        <v>0.0</v>
      </c>
      <c r="E2786">
        <v>22.35</v>
      </c>
      <c r="F2786">
        <v>30.54</v>
      </c>
      <c r="G2786">
        <v>15.37</v>
      </c>
      <c r="H2786">
        <v>0.0</v>
      </c>
      <c r="I2786">
        <v>0.0</v>
      </c>
      <c r="J2786">
        <v>23.32</v>
      </c>
      <c r="K2786">
        <v>31.21</v>
      </c>
      <c r="L2786">
        <v>17.33</v>
      </c>
      <c r="M2786">
        <v>0.0</v>
      </c>
      <c r="N2786">
        <v>0.0</v>
      </c>
      <c r="O2786">
        <v>21.84</v>
      </c>
      <c r="P2786">
        <v>28.51</v>
      </c>
      <c r="Q2786">
        <v>16.98</v>
      </c>
      <c r="R2786">
        <v>0.0</v>
      </c>
    </row>
    <row r="2787">
      <c r="A2787" s="9">
        <v>41318</v>
      </c>
      <c r="B2787" s="2" t="inlineStr">
        <is>
          <t xml:space="preserve">2013-02</t>
        </is>
      </c>
      <c r="C2787" s="2" t="inlineStr">
        <is>
          <t xml:space="preserve">2012/13</t>
        </is>
      </c>
      <c r="D2787">
        <v>0.0</v>
      </c>
      <c r="E2787">
        <v>22.85</v>
      </c>
      <c r="F2787">
        <v>31.45</v>
      </c>
      <c r="G2787">
        <v>16.07</v>
      </c>
      <c r="H2787">
        <v>0.07</v>
      </c>
      <c r="I2787">
        <v>0.0</v>
      </c>
      <c r="J2787">
        <v>23.41</v>
      </c>
      <c r="K2787">
        <v>30.87</v>
      </c>
      <c r="L2787">
        <v>17.04</v>
      </c>
      <c r="M2787">
        <v>0.0</v>
      </c>
      <c r="N2787">
        <v>0.0</v>
      </c>
      <c r="O2787">
        <v>22.24</v>
      </c>
      <c r="P2787">
        <v>29.53</v>
      </c>
      <c r="Q2787">
        <v>15.58</v>
      </c>
      <c r="R2787">
        <v>0.01</v>
      </c>
    </row>
    <row r="2788">
      <c r="A2788" s="9">
        <v>41319</v>
      </c>
      <c r="B2788" s="2" t="inlineStr">
        <is>
          <t xml:space="preserve">2013-02</t>
        </is>
      </c>
      <c r="C2788" s="2" t="inlineStr">
        <is>
          <t xml:space="preserve">2012/13</t>
        </is>
      </c>
      <c r="D2788">
        <v>0.0</v>
      </c>
      <c r="E2788">
        <v>22.44</v>
      </c>
      <c r="F2788">
        <v>30.69</v>
      </c>
      <c r="G2788">
        <v>15.03</v>
      </c>
      <c r="H2788">
        <v>0.01</v>
      </c>
      <c r="I2788">
        <v>0.0</v>
      </c>
      <c r="J2788">
        <v>22.98</v>
      </c>
      <c r="K2788">
        <v>28.71</v>
      </c>
      <c r="L2788">
        <v>18.13</v>
      </c>
      <c r="M2788">
        <v>0.02</v>
      </c>
      <c r="N2788">
        <v>0.0</v>
      </c>
      <c r="O2788">
        <v>22.2</v>
      </c>
      <c r="P2788">
        <v>27.65</v>
      </c>
      <c r="Q2788">
        <v>17.85</v>
      </c>
      <c r="R2788">
        <v>0.07</v>
      </c>
    </row>
    <row r="2789">
      <c r="A2789" s="9">
        <v>41320</v>
      </c>
      <c r="B2789" s="2" t="inlineStr">
        <is>
          <t xml:space="preserve">2013-02</t>
        </is>
      </c>
      <c r="C2789" s="2" t="inlineStr">
        <is>
          <t xml:space="preserve">2012/13</t>
        </is>
      </c>
      <c r="D2789">
        <v>0.0</v>
      </c>
      <c r="E2789">
        <v>22.15</v>
      </c>
      <c r="F2789">
        <v>29.59</v>
      </c>
      <c r="G2789">
        <v>16.09</v>
      </c>
      <c r="H2789">
        <v>0.66</v>
      </c>
      <c r="I2789">
        <v>0.062</v>
      </c>
      <c r="J2789">
        <v>22.77</v>
      </c>
      <c r="K2789">
        <v>29.29</v>
      </c>
      <c r="L2789">
        <v>17.78</v>
      </c>
      <c r="M2789">
        <v>0.32</v>
      </c>
      <c r="N2789">
        <v>0.104</v>
      </c>
      <c r="O2789">
        <v>21.73</v>
      </c>
      <c r="P2789">
        <v>26.98</v>
      </c>
      <c r="Q2789">
        <v>18.36</v>
      </c>
      <c r="R2789">
        <v>0.35</v>
      </c>
    </row>
    <row r="2790">
      <c r="A2790" s="9">
        <v>41321</v>
      </c>
      <c r="B2790" s="2" t="inlineStr">
        <is>
          <t xml:space="preserve">2013-02</t>
        </is>
      </c>
      <c r="C2790" s="2" t="inlineStr">
        <is>
          <t xml:space="preserve">2012/13</t>
        </is>
      </c>
      <c r="D2790">
        <v>0.501</v>
      </c>
      <c r="E2790">
        <v>20.79</v>
      </c>
      <c r="F2790">
        <v>28.2</v>
      </c>
      <c r="G2790">
        <v>16.34</v>
      </c>
      <c r="H2790">
        <v>2.21</v>
      </c>
      <c r="I2790">
        <v>2.246</v>
      </c>
      <c r="J2790">
        <v>20.98</v>
      </c>
      <c r="K2790">
        <v>27.91</v>
      </c>
      <c r="L2790">
        <v>16.45</v>
      </c>
      <c r="M2790">
        <v>3.35</v>
      </c>
      <c r="N2790">
        <v>3.485</v>
      </c>
      <c r="O2790">
        <v>19.79</v>
      </c>
      <c r="P2790">
        <v>25.08</v>
      </c>
      <c r="Q2790">
        <v>16.92</v>
      </c>
      <c r="R2790">
        <v>4.06</v>
      </c>
    </row>
    <row r="2791">
      <c r="A2791" s="9">
        <v>41322</v>
      </c>
      <c r="B2791" s="2" t="inlineStr">
        <is>
          <t xml:space="preserve">2013-02</t>
        </is>
      </c>
      <c r="C2791" s="2" t="inlineStr">
        <is>
          <t xml:space="preserve">2012/13</t>
        </is>
      </c>
      <c r="D2791">
        <v>2.157</v>
      </c>
      <c r="E2791">
        <v>17.56</v>
      </c>
      <c r="F2791">
        <v>23.21</v>
      </c>
      <c r="G2791">
        <v>14.39</v>
      </c>
      <c r="H2791">
        <v>4.47</v>
      </c>
      <c r="I2791">
        <v>4.509</v>
      </c>
      <c r="J2791">
        <v>17.29</v>
      </c>
      <c r="K2791">
        <v>22.23</v>
      </c>
      <c r="L2791">
        <v>14.15</v>
      </c>
      <c r="M2791">
        <v>2.96</v>
      </c>
      <c r="N2791">
        <v>6.388</v>
      </c>
      <c r="O2791">
        <v>16.83</v>
      </c>
      <c r="P2791">
        <v>20.73</v>
      </c>
      <c r="Q2791">
        <v>14.76</v>
      </c>
      <c r="R2791">
        <v>2.79</v>
      </c>
    </row>
    <row r="2792">
      <c r="A2792" s="9">
        <v>41323</v>
      </c>
      <c r="B2792" s="2" t="inlineStr">
        <is>
          <t xml:space="preserve">2013-02</t>
        </is>
      </c>
      <c r="C2792" s="2" t="inlineStr">
        <is>
          <t xml:space="preserve">2012/13</t>
        </is>
      </c>
      <c r="D2792">
        <v>0.475</v>
      </c>
      <c r="E2792">
        <v>18.9</v>
      </c>
      <c r="F2792">
        <v>27.23</v>
      </c>
      <c r="G2792">
        <v>12.97</v>
      </c>
      <c r="H2792">
        <v>1.88</v>
      </c>
      <c r="I2792">
        <v>0.21</v>
      </c>
      <c r="J2792">
        <v>19.12</v>
      </c>
      <c r="K2792">
        <v>27.01</v>
      </c>
      <c r="L2792">
        <v>13.75</v>
      </c>
      <c r="M2792">
        <v>0.32</v>
      </c>
      <c r="N2792">
        <v>0.448</v>
      </c>
      <c r="O2792">
        <v>18.04</v>
      </c>
      <c r="P2792">
        <v>24.09</v>
      </c>
      <c r="Q2792">
        <v>13.82</v>
      </c>
      <c r="R2792">
        <v>0.69</v>
      </c>
    </row>
    <row r="2793">
      <c r="A2793" s="9">
        <v>41324</v>
      </c>
      <c r="B2793" s="2" t="inlineStr">
        <is>
          <t xml:space="preserve">2013-02</t>
        </is>
      </c>
      <c r="C2793" s="2" t="inlineStr">
        <is>
          <t xml:space="preserve">2012/13</t>
        </is>
      </c>
      <c r="D2793">
        <v>0.0</v>
      </c>
      <c r="E2793">
        <v>21.33</v>
      </c>
      <c r="F2793">
        <v>29.6</v>
      </c>
      <c r="G2793">
        <v>15.24</v>
      </c>
      <c r="H2793">
        <v>0.39</v>
      </c>
      <c r="I2793">
        <v>0.0</v>
      </c>
      <c r="J2793">
        <v>21.37</v>
      </c>
      <c r="K2793">
        <v>29.35</v>
      </c>
      <c r="L2793">
        <v>15.04</v>
      </c>
      <c r="M2793">
        <v>0.06</v>
      </c>
      <c r="N2793">
        <v>0.0</v>
      </c>
      <c r="O2793">
        <v>20.46</v>
      </c>
      <c r="P2793">
        <v>26.6</v>
      </c>
      <c r="Q2793">
        <v>15.56</v>
      </c>
      <c r="R2793">
        <v>0.15</v>
      </c>
    </row>
    <row r="2794">
      <c r="A2794" s="9">
        <v>41325</v>
      </c>
      <c r="B2794" s="2" t="inlineStr">
        <is>
          <t xml:space="preserve">2013-02</t>
        </is>
      </c>
      <c r="C2794" s="2" t="inlineStr">
        <is>
          <t xml:space="preserve">2012/13</t>
        </is>
      </c>
      <c r="D2794">
        <v>0.383</v>
      </c>
      <c r="E2794">
        <v>21.17</v>
      </c>
      <c r="F2794">
        <v>28.93</v>
      </c>
      <c r="G2794">
        <v>15.21</v>
      </c>
      <c r="H2794">
        <v>1.1</v>
      </c>
      <c r="I2794">
        <v>0.042</v>
      </c>
      <c r="J2794">
        <v>22.28</v>
      </c>
      <c r="K2794">
        <v>29.58</v>
      </c>
      <c r="L2794">
        <v>16.81</v>
      </c>
      <c r="M2794">
        <v>0.13</v>
      </c>
      <c r="N2794">
        <v>0.112</v>
      </c>
      <c r="O2794">
        <v>21.1</v>
      </c>
      <c r="P2794">
        <v>26.8</v>
      </c>
      <c r="Q2794">
        <v>16.93</v>
      </c>
      <c r="R2794">
        <v>0.34</v>
      </c>
    </row>
    <row r="2795">
      <c r="A2795" s="9">
        <v>41326</v>
      </c>
      <c r="B2795" s="2" t="inlineStr">
        <is>
          <t xml:space="preserve">2013-02</t>
        </is>
      </c>
      <c r="C2795" s="2" t="inlineStr">
        <is>
          <t xml:space="preserve">2012/13</t>
        </is>
      </c>
      <c r="D2795">
        <v>0.0</v>
      </c>
      <c r="E2795">
        <v>22.45</v>
      </c>
      <c r="F2795">
        <v>31.37</v>
      </c>
      <c r="G2795">
        <v>15.31</v>
      </c>
      <c r="H2795">
        <v>0.0</v>
      </c>
      <c r="I2795">
        <v>0.0</v>
      </c>
      <c r="J2795">
        <v>23.85</v>
      </c>
      <c r="K2795">
        <v>32.15</v>
      </c>
      <c r="L2795">
        <v>17.5</v>
      </c>
      <c r="M2795">
        <v>0.0</v>
      </c>
      <c r="N2795">
        <v>0.0</v>
      </c>
      <c r="O2795">
        <v>22.66</v>
      </c>
      <c r="P2795">
        <v>29.9</v>
      </c>
      <c r="Q2795">
        <v>18.18</v>
      </c>
      <c r="R2795">
        <v>0.03</v>
      </c>
    </row>
    <row r="2796">
      <c r="A2796" s="9">
        <v>41327</v>
      </c>
      <c r="B2796" s="2" t="inlineStr">
        <is>
          <t xml:space="preserve">2013-02</t>
        </is>
      </c>
      <c r="C2796" s="2" t="inlineStr">
        <is>
          <t xml:space="preserve">2012/13</t>
        </is>
      </c>
      <c r="D2796">
        <v>0.0</v>
      </c>
      <c r="E2796">
        <v>22.88</v>
      </c>
      <c r="F2796">
        <v>32.39</v>
      </c>
      <c r="G2796">
        <v>15.31</v>
      </c>
      <c r="H2796">
        <v>0.0</v>
      </c>
      <c r="I2796">
        <v>0.0</v>
      </c>
      <c r="J2796">
        <v>24.27</v>
      </c>
      <c r="K2796">
        <v>32.8</v>
      </c>
      <c r="L2796">
        <v>17.79</v>
      </c>
      <c r="M2796">
        <v>0.0</v>
      </c>
      <c r="N2796">
        <v>0.0</v>
      </c>
      <c r="O2796">
        <v>22.91</v>
      </c>
      <c r="P2796">
        <v>30.63</v>
      </c>
      <c r="Q2796">
        <v>16.88</v>
      </c>
      <c r="R2796">
        <v>0.0</v>
      </c>
    </row>
    <row r="2797">
      <c r="A2797" s="9">
        <v>41328</v>
      </c>
      <c r="B2797" s="2" t="inlineStr">
        <is>
          <t xml:space="preserve">2013-02</t>
        </is>
      </c>
      <c r="C2797" s="2" t="inlineStr">
        <is>
          <t xml:space="preserve">2012/13</t>
        </is>
      </c>
      <c r="D2797">
        <v>0.0</v>
      </c>
      <c r="E2797">
        <v>22.74</v>
      </c>
      <c r="F2797">
        <v>31.98</v>
      </c>
      <c r="G2797">
        <v>15.05</v>
      </c>
      <c r="H2797">
        <v>0.0</v>
      </c>
      <c r="I2797">
        <v>0.0</v>
      </c>
      <c r="J2797">
        <v>23.88</v>
      </c>
      <c r="K2797">
        <v>32.64</v>
      </c>
      <c r="L2797">
        <v>16.82</v>
      </c>
      <c r="M2797">
        <v>0.0</v>
      </c>
      <c r="N2797">
        <v>0.0</v>
      </c>
      <c r="O2797">
        <v>22.72</v>
      </c>
      <c r="P2797">
        <v>30.42</v>
      </c>
      <c r="Q2797">
        <v>15.74</v>
      </c>
      <c r="R2797">
        <v>0.0</v>
      </c>
    </row>
    <row r="2798">
      <c r="A2798" s="9">
        <v>41329</v>
      </c>
      <c r="B2798" s="2" t="inlineStr">
        <is>
          <t xml:space="preserve">2013-02</t>
        </is>
      </c>
      <c r="C2798" s="2" t="inlineStr">
        <is>
          <t xml:space="preserve">2012/13</t>
        </is>
      </c>
      <c r="D2798">
        <v>0.0</v>
      </c>
      <c r="E2798">
        <v>24.14</v>
      </c>
      <c r="F2798">
        <v>33.31</v>
      </c>
      <c r="G2798">
        <v>15.97</v>
      </c>
      <c r="H2798">
        <v>0.0</v>
      </c>
      <c r="I2798">
        <v>0.0</v>
      </c>
      <c r="J2798">
        <v>24.36</v>
      </c>
      <c r="K2798">
        <v>32.9</v>
      </c>
      <c r="L2798">
        <v>17.59</v>
      </c>
      <c r="M2798">
        <v>0.0</v>
      </c>
      <c r="N2798">
        <v>0.0</v>
      </c>
      <c r="O2798">
        <v>23.45</v>
      </c>
      <c r="P2798">
        <v>30.95</v>
      </c>
      <c r="Q2798">
        <v>16.69</v>
      </c>
      <c r="R2798">
        <v>0.0</v>
      </c>
    </row>
    <row r="2799">
      <c r="A2799" s="9">
        <v>41330</v>
      </c>
      <c r="B2799" s="2" t="inlineStr">
        <is>
          <t xml:space="preserve">2013-02</t>
        </is>
      </c>
      <c r="C2799" s="2" t="inlineStr">
        <is>
          <t xml:space="preserve">2012/13</t>
        </is>
      </c>
      <c r="D2799">
        <v>0.0</v>
      </c>
      <c r="E2799">
        <v>24.06</v>
      </c>
      <c r="F2799">
        <v>32.93</v>
      </c>
      <c r="G2799">
        <v>17.09</v>
      </c>
      <c r="H2799">
        <v>0.0</v>
      </c>
      <c r="I2799">
        <v>0.0</v>
      </c>
      <c r="J2799">
        <v>23.35</v>
      </c>
      <c r="K2799">
        <v>31.49</v>
      </c>
      <c r="L2799">
        <v>17.39</v>
      </c>
      <c r="M2799">
        <v>0.0</v>
      </c>
      <c r="N2799">
        <v>0.0</v>
      </c>
      <c r="O2799">
        <v>23.8</v>
      </c>
      <c r="P2799">
        <v>31.68</v>
      </c>
      <c r="Q2799">
        <v>17.43</v>
      </c>
      <c r="R2799">
        <v>0.0</v>
      </c>
    </row>
    <row r="2800">
      <c r="A2800" s="9">
        <v>41331</v>
      </c>
      <c r="B2800" s="2" t="inlineStr">
        <is>
          <t xml:space="preserve">2013-02</t>
        </is>
      </c>
      <c r="C2800" s="2" t="inlineStr">
        <is>
          <t xml:space="preserve">2012/13</t>
        </is>
      </c>
      <c r="D2800">
        <v>0.0</v>
      </c>
      <c r="E2800">
        <v>24.46</v>
      </c>
      <c r="F2800">
        <v>34.03</v>
      </c>
      <c r="G2800">
        <v>16.28</v>
      </c>
      <c r="H2800">
        <v>0.0</v>
      </c>
      <c r="I2800">
        <v>0.0</v>
      </c>
      <c r="J2800">
        <v>24.26</v>
      </c>
      <c r="K2800">
        <v>33.06</v>
      </c>
      <c r="L2800">
        <v>17.19</v>
      </c>
      <c r="M2800">
        <v>0.0</v>
      </c>
      <c r="N2800">
        <v>0.0</v>
      </c>
      <c r="O2800">
        <v>23.25</v>
      </c>
      <c r="P2800">
        <v>31.3</v>
      </c>
      <c r="Q2800">
        <v>17.07</v>
      </c>
      <c r="R2800">
        <v>0.0</v>
      </c>
    </row>
    <row r="2801">
      <c r="A2801" s="9">
        <v>41332</v>
      </c>
      <c r="B2801" s="2" t="inlineStr">
        <is>
          <t xml:space="preserve">2013-02</t>
        </is>
      </c>
      <c r="C2801" s="2" t="inlineStr">
        <is>
          <t xml:space="preserve">2012/13</t>
        </is>
      </c>
      <c r="D2801">
        <v>0.0</v>
      </c>
      <c r="E2801">
        <v>25.12</v>
      </c>
      <c r="F2801">
        <v>33.64</v>
      </c>
      <c r="G2801">
        <v>19.17</v>
      </c>
      <c r="H2801">
        <v>0.0</v>
      </c>
      <c r="I2801">
        <v>0.0</v>
      </c>
      <c r="J2801">
        <v>24.64</v>
      </c>
      <c r="K2801">
        <v>32.71</v>
      </c>
      <c r="L2801">
        <v>17.96</v>
      </c>
      <c r="M2801">
        <v>0.0</v>
      </c>
      <c r="N2801">
        <v>0.0</v>
      </c>
      <c r="O2801">
        <v>23.44</v>
      </c>
      <c r="P2801">
        <v>30.53</v>
      </c>
      <c r="Q2801">
        <v>18.27</v>
      </c>
      <c r="R2801">
        <v>0.0</v>
      </c>
    </row>
    <row r="2802">
      <c r="A2802" s="9">
        <v>41333</v>
      </c>
      <c r="B2802" s="2" t="inlineStr">
        <is>
          <t xml:space="preserve">2013-02</t>
        </is>
      </c>
      <c r="C2802" s="2" t="inlineStr">
        <is>
          <t xml:space="preserve">2012/13</t>
        </is>
      </c>
      <c r="D2802">
        <v>0.0</v>
      </c>
      <c r="E2802">
        <v>23.31</v>
      </c>
      <c r="F2802">
        <v>31.2</v>
      </c>
      <c r="G2802">
        <v>17.63</v>
      </c>
      <c r="H2802">
        <v>0.08</v>
      </c>
      <c r="I2802">
        <v>0.0</v>
      </c>
      <c r="J2802">
        <v>23.32</v>
      </c>
      <c r="K2802">
        <v>30.01</v>
      </c>
      <c r="L2802">
        <v>18.33</v>
      </c>
      <c r="M2802">
        <v>0.04</v>
      </c>
      <c r="N2802">
        <v>0.0</v>
      </c>
      <c r="O2802">
        <v>22.19</v>
      </c>
      <c r="P2802">
        <v>28.16</v>
      </c>
      <c r="Q2802">
        <v>17.47</v>
      </c>
      <c r="R2802">
        <v>0.05</v>
      </c>
    </row>
    <row r="2803">
      <c r="A2803" s="9">
        <v>41334</v>
      </c>
      <c r="B2803" s="2" t="inlineStr">
        <is>
          <t xml:space="preserve">2013-03</t>
        </is>
      </c>
      <c r="C2803" s="2" t="inlineStr">
        <is>
          <t xml:space="preserve">2012/13</t>
        </is>
      </c>
      <c r="D2803">
        <v>0.347</v>
      </c>
      <c r="E2803">
        <v>20.23</v>
      </c>
      <c r="F2803">
        <v>27.54</v>
      </c>
      <c r="G2803">
        <v>15.96</v>
      </c>
      <c r="H2803">
        <v>2.83</v>
      </c>
      <c r="I2803">
        <v>1.951</v>
      </c>
      <c r="J2803">
        <v>19.9</v>
      </c>
      <c r="K2803">
        <v>25.16</v>
      </c>
      <c r="L2803">
        <v>16.66</v>
      </c>
      <c r="M2803">
        <v>2.32</v>
      </c>
      <c r="N2803">
        <v>3.165</v>
      </c>
      <c r="O2803">
        <v>18.67</v>
      </c>
      <c r="P2803">
        <v>22.59</v>
      </c>
      <c r="Q2803">
        <v>15.83</v>
      </c>
      <c r="R2803">
        <v>2.91</v>
      </c>
    </row>
    <row r="2804">
      <c r="A2804" s="9">
        <v>41335</v>
      </c>
      <c r="B2804" s="2" t="inlineStr">
        <is>
          <t xml:space="preserve">2013-03</t>
        </is>
      </c>
      <c r="C2804" s="2" t="inlineStr">
        <is>
          <t xml:space="preserve">2012/13</t>
        </is>
      </c>
      <c r="D2804">
        <v>0.083</v>
      </c>
      <c r="E2804">
        <v>15.73</v>
      </c>
      <c r="F2804">
        <v>19.41</v>
      </c>
      <c r="G2804">
        <v>11.93</v>
      </c>
      <c r="H2804">
        <v>1.93</v>
      </c>
      <c r="I2804">
        <v>2.734</v>
      </c>
      <c r="J2804">
        <v>16.44</v>
      </c>
      <c r="K2804">
        <v>19.71</v>
      </c>
      <c r="L2804">
        <v>14.09</v>
      </c>
      <c r="M2804">
        <v>2.79</v>
      </c>
      <c r="N2804">
        <v>4.195</v>
      </c>
      <c r="O2804">
        <v>15.78</v>
      </c>
      <c r="P2804">
        <v>18.33</v>
      </c>
      <c r="Q2804">
        <v>13.01</v>
      </c>
      <c r="R2804">
        <v>2.74</v>
      </c>
    </row>
    <row r="2805">
      <c r="A2805" s="9">
        <v>41336</v>
      </c>
      <c r="B2805" s="2" t="inlineStr">
        <is>
          <t xml:space="preserve">2013-03</t>
        </is>
      </c>
      <c r="C2805" s="2" t="inlineStr">
        <is>
          <t xml:space="preserve">2012/13</t>
        </is>
      </c>
      <c r="D2805">
        <v>0.0</v>
      </c>
      <c r="E2805">
        <v>14.69</v>
      </c>
      <c r="F2805">
        <v>21.0</v>
      </c>
      <c r="G2805">
        <v>10.14</v>
      </c>
      <c r="H2805">
        <v>0.0</v>
      </c>
      <c r="I2805">
        <v>0.865</v>
      </c>
      <c r="J2805">
        <v>15.49</v>
      </c>
      <c r="K2805">
        <v>21.97</v>
      </c>
      <c r="L2805">
        <v>10.0</v>
      </c>
      <c r="M2805">
        <v>0.06</v>
      </c>
      <c r="N2805">
        <v>1.322</v>
      </c>
      <c r="O2805">
        <v>14.4</v>
      </c>
      <c r="P2805">
        <v>20.83</v>
      </c>
      <c r="Q2805">
        <v>9.26</v>
      </c>
      <c r="R2805">
        <v>0.22</v>
      </c>
    </row>
    <row r="2806">
      <c r="A2806" s="9">
        <v>41337</v>
      </c>
      <c r="B2806" s="2" t="inlineStr">
        <is>
          <t xml:space="preserve">2013-03</t>
        </is>
      </c>
      <c r="C2806" s="2" t="inlineStr">
        <is>
          <t xml:space="preserve">2012/13</t>
        </is>
      </c>
      <c r="D2806">
        <v>0.0</v>
      </c>
      <c r="E2806">
        <v>17.03</v>
      </c>
      <c r="F2806">
        <v>25.62</v>
      </c>
      <c r="G2806">
        <v>10.08</v>
      </c>
      <c r="H2806">
        <v>0.0</v>
      </c>
      <c r="I2806">
        <v>0.0</v>
      </c>
      <c r="J2806">
        <v>16.29</v>
      </c>
      <c r="K2806">
        <v>22.91</v>
      </c>
      <c r="L2806">
        <v>10.94</v>
      </c>
      <c r="M2806">
        <v>0.0</v>
      </c>
      <c r="N2806">
        <v>0.0</v>
      </c>
      <c r="O2806">
        <v>15.73</v>
      </c>
      <c r="P2806">
        <v>21.65</v>
      </c>
      <c r="Q2806">
        <v>10.58</v>
      </c>
      <c r="R2806">
        <v>0.0</v>
      </c>
    </row>
    <row r="2807">
      <c r="A2807" s="9">
        <v>41338</v>
      </c>
      <c r="B2807" s="2" t="inlineStr">
        <is>
          <t xml:space="preserve">2013-03</t>
        </is>
      </c>
      <c r="C2807" s="2" t="inlineStr">
        <is>
          <t xml:space="preserve">2012/13</t>
        </is>
      </c>
      <c r="D2807">
        <v>0.0</v>
      </c>
      <c r="E2807">
        <v>20.63</v>
      </c>
      <c r="F2807">
        <v>31.54</v>
      </c>
      <c r="G2807">
        <v>12.39</v>
      </c>
      <c r="H2807">
        <v>0.0</v>
      </c>
      <c r="I2807">
        <v>0.0</v>
      </c>
      <c r="J2807">
        <v>20.27</v>
      </c>
      <c r="K2807">
        <v>29.1</v>
      </c>
      <c r="L2807">
        <v>12.85</v>
      </c>
      <c r="M2807">
        <v>0.0</v>
      </c>
      <c r="N2807">
        <v>0.0</v>
      </c>
      <c r="O2807">
        <v>19.2</v>
      </c>
      <c r="P2807">
        <v>27.24</v>
      </c>
      <c r="Q2807">
        <v>12.9</v>
      </c>
      <c r="R2807">
        <v>0.0</v>
      </c>
    </row>
    <row r="2808">
      <c r="A2808" s="9">
        <v>41339</v>
      </c>
      <c r="B2808" s="2" t="inlineStr">
        <is>
          <t xml:space="preserve">2013-03</t>
        </is>
      </c>
      <c r="C2808" s="2" t="inlineStr">
        <is>
          <t xml:space="preserve">2012/13</t>
        </is>
      </c>
      <c r="D2808">
        <v>0.023</v>
      </c>
      <c r="E2808">
        <v>19.53</v>
      </c>
      <c r="F2808">
        <v>26.33</v>
      </c>
      <c r="G2808">
        <v>14.99</v>
      </c>
      <c r="H2808">
        <v>0.25</v>
      </c>
      <c r="I2808">
        <v>0.0</v>
      </c>
      <c r="J2808">
        <v>19.19</v>
      </c>
      <c r="K2808">
        <v>23.8</v>
      </c>
      <c r="L2808">
        <v>15.8</v>
      </c>
      <c r="M2808">
        <v>0.04</v>
      </c>
      <c r="N2808">
        <v>0.0</v>
      </c>
      <c r="O2808">
        <v>18.91</v>
      </c>
      <c r="P2808">
        <v>23.64</v>
      </c>
      <c r="Q2808">
        <v>15.77</v>
      </c>
      <c r="R2808">
        <v>0.06</v>
      </c>
    </row>
    <row r="2809">
      <c r="A2809" s="9">
        <v>41340</v>
      </c>
      <c r="B2809" s="2" t="inlineStr">
        <is>
          <t xml:space="preserve">2013-03</t>
        </is>
      </c>
      <c r="C2809" s="2" t="inlineStr">
        <is>
          <t xml:space="preserve">2012/13</t>
        </is>
      </c>
      <c r="D2809">
        <v>0.0</v>
      </c>
      <c r="E2809">
        <v>19.29</v>
      </c>
      <c r="F2809">
        <v>28.02</v>
      </c>
      <c r="G2809">
        <v>13.02</v>
      </c>
      <c r="H2809">
        <v>0.01</v>
      </c>
      <c r="I2809">
        <v>0.0</v>
      </c>
      <c r="J2809">
        <v>19.37</v>
      </c>
      <c r="K2809">
        <v>26.61</v>
      </c>
      <c r="L2809">
        <v>14.64</v>
      </c>
      <c r="M2809">
        <v>0.1</v>
      </c>
      <c r="N2809">
        <v>0.066</v>
      </c>
      <c r="O2809">
        <v>18.51</v>
      </c>
      <c r="P2809">
        <v>24.57</v>
      </c>
      <c r="Q2809">
        <v>14.82</v>
      </c>
      <c r="R2809">
        <v>0.46</v>
      </c>
    </row>
    <row r="2810">
      <c r="A2810" s="9">
        <v>41341</v>
      </c>
      <c r="B2810" s="2" t="inlineStr">
        <is>
          <t xml:space="preserve">2013-03</t>
        </is>
      </c>
      <c r="C2810" s="2" t="inlineStr">
        <is>
          <t xml:space="preserve">2012/13</t>
        </is>
      </c>
      <c r="D2810">
        <v>0.0</v>
      </c>
      <c r="E2810">
        <v>19.85</v>
      </c>
      <c r="F2810">
        <v>30.33</v>
      </c>
      <c r="G2810">
        <v>12.16</v>
      </c>
      <c r="H2810">
        <v>0.03</v>
      </c>
      <c r="I2810">
        <v>0.0</v>
      </c>
      <c r="J2810">
        <v>19.75</v>
      </c>
      <c r="K2810">
        <v>29.18</v>
      </c>
      <c r="L2810">
        <v>12.81</v>
      </c>
      <c r="M2810">
        <v>0.07</v>
      </c>
      <c r="N2810">
        <v>0.0</v>
      </c>
      <c r="O2810">
        <v>19.01</v>
      </c>
      <c r="P2810">
        <v>26.51</v>
      </c>
      <c r="Q2810">
        <v>13.49</v>
      </c>
      <c r="R2810">
        <v>0.11</v>
      </c>
    </row>
    <row r="2811">
      <c r="A2811" s="9">
        <v>41342</v>
      </c>
      <c r="B2811" s="2" t="inlineStr">
        <is>
          <t xml:space="preserve">2013-03</t>
        </is>
      </c>
      <c r="C2811" s="2" t="inlineStr">
        <is>
          <t xml:space="preserve">2012/13</t>
        </is>
      </c>
      <c r="D2811">
        <v>0.0</v>
      </c>
      <c r="E2811">
        <v>21.44</v>
      </c>
      <c r="F2811">
        <v>31.67</v>
      </c>
      <c r="G2811">
        <v>13.86</v>
      </c>
      <c r="H2811">
        <v>0.05</v>
      </c>
      <c r="I2811">
        <v>0.0</v>
      </c>
      <c r="J2811">
        <v>21.54</v>
      </c>
      <c r="K2811">
        <v>30.93</v>
      </c>
      <c r="L2811">
        <v>15.04</v>
      </c>
      <c r="M2811">
        <v>0.34</v>
      </c>
      <c r="N2811">
        <v>0.234</v>
      </c>
      <c r="O2811">
        <v>19.76</v>
      </c>
      <c r="P2811">
        <v>28.0</v>
      </c>
      <c r="Q2811">
        <v>14.74</v>
      </c>
      <c r="R2811">
        <v>1.38</v>
      </c>
    </row>
    <row r="2812">
      <c r="A2812" s="9">
        <v>41343</v>
      </c>
      <c r="B2812" s="2" t="inlineStr">
        <is>
          <t xml:space="preserve">2013-03</t>
        </is>
      </c>
      <c r="C2812" s="2" t="inlineStr">
        <is>
          <t xml:space="preserve">2012/13</t>
        </is>
      </c>
      <c r="D2812">
        <v>0.0</v>
      </c>
      <c r="E2812">
        <v>24.24</v>
      </c>
      <c r="F2812">
        <v>33.76</v>
      </c>
      <c r="G2812">
        <v>15.45</v>
      </c>
      <c r="H2812">
        <v>0.0</v>
      </c>
      <c r="I2812">
        <v>0.0</v>
      </c>
      <c r="J2812">
        <v>23.41</v>
      </c>
      <c r="K2812">
        <v>33.38</v>
      </c>
      <c r="L2812">
        <v>15.37</v>
      </c>
      <c r="M2812">
        <v>0.0</v>
      </c>
      <c r="N2812">
        <v>0.0</v>
      </c>
      <c r="O2812">
        <v>23.51</v>
      </c>
      <c r="P2812">
        <v>32.82</v>
      </c>
      <c r="Q2812">
        <v>15.25</v>
      </c>
      <c r="R2812">
        <v>0.0</v>
      </c>
    </row>
    <row r="2813">
      <c r="A2813" s="9">
        <v>41344</v>
      </c>
      <c r="B2813" s="2" t="inlineStr">
        <is>
          <t xml:space="preserve">2013-03</t>
        </is>
      </c>
      <c r="C2813" s="2" t="inlineStr">
        <is>
          <t xml:space="preserve">2012/13</t>
        </is>
      </c>
      <c r="D2813">
        <v>0.0</v>
      </c>
      <c r="E2813">
        <v>25.14</v>
      </c>
      <c r="F2813">
        <v>34.61</v>
      </c>
      <c r="G2813">
        <v>17.17</v>
      </c>
      <c r="H2813">
        <v>0.09</v>
      </c>
      <c r="I2813">
        <v>0.0</v>
      </c>
      <c r="J2813">
        <v>24.14</v>
      </c>
      <c r="K2813">
        <v>33.37</v>
      </c>
      <c r="L2813">
        <v>15.49</v>
      </c>
      <c r="M2813">
        <v>0.0</v>
      </c>
      <c r="N2813">
        <v>0.0</v>
      </c>
      <c r="O2813">
        <v>23.72</v>
      </c>
      <c r="P2813">
        <v>32.98</v>
      </c>
      <c r="Q2813">
        <v>16.05</v>
      </c>
      <c r="R2813">
        <v>0.0</v>
      </c>
    </row>
    <row r="2814">
      <c r="A2814" s="9">
        <v>41345</v>
      </c>
      <c r="B2814" s="2" t="inlineStr">
        <is>
          <t xml:space="preserve">2013-03</t>
        </is>
      </c>
      <c r="C2814" s="2" t="inlineStr">
        <is>
          <t xml:space="preserve">2012/13</t>
        </is>
      </c>
      <c r="D2814">
        <v>0.089</v>
      </c>
      <c r="E2814">
        <v>23.32</v>
      </c>
      <c r="F2814">
        <v>30.75</v>
      </c>
      <c r="G2814">
        <v>18.28</v>
      </c>
      <c r="H2814">
        <v>1.3</v>
      </c>
      <c r="I2814">
        <v>0.0</v>
      </c>
      <c r="J2814">
        <v>23.03</v>
      </c>
      <c r="K2814">
        <v>29.0</v>
      </c>
      <c r="L2814">
        <v>18.74</v>
      </c>
      <c r="M2814">
        <v>0.52</v>
      </c>
      <c r="N2814">
        <v>0.0</v>
      </c>
      <c r="O2814">
        <v>22.35</v>
      </c>
      <c r="P2814">
        <v>27.78</v>
      </c>
      <c r="Q2814">
        <v>18.6</v>
      </c>
      <c r="R2814">
        <v>1.74</v>
      </c>
    </row>
    <row r="2815">
      <c r="A2815" s="9">
        <v>41346</v>
      </c>
      <c r="B2815" s="2" t="inlineStr">
        <is>
          <t xml:space="preserve">2013-03</t>
        </is>
      </c>
      <c r="C2815" s="2" t="inlineStr">
        <is>
          <t xml:space="preserve">2012/13</t>
        </is>
      </c>
      <c r="D2815">
        <v>1.589</v>
      </c>
      <c r="E2815">
        <v>21.18</v>
      </c>
      <c r="F2815">
        <v>27.63</v>
      </c>
      <c r="G2815">
        <v>16.73</v>
      </c>
      <c r="H2815">
        <v>8.65</v>
      </c>
      <c r="I2815">
        <v>0.912</v>
      </c>
      <c r="J2815">
        <v>20.59</v>
      </c>
      <c r="K2815">
        <v>25.5</v>
      </c>
      <c r="L2815">
        <v>16.97</v>
      </c>
      <c r="M2815">
        <v>2.26</v>
      </c>
      <c r="N2815">
        <v>3.854</v>
      </c>
      <c r="O2815">
        <v>20.13</v>
      </c>
      <c r="P2815">
        <v>23.48</v>
      </c>
      <c r="Q2815">
        <v>17.49</v>
      </c>
      <c r="R2815">
        <v>4.03</v>
      </c>
    </row>
    <row r="2816">
      <c r="A2816" s="9">
        <v>41347</v>
      </c>
      <c r="B2816" s="2" t="inlineStr">
        <is>
          <t xml:space="preserve">2013-03</t>
        </is>
      </c>
      <c r="C2816" s="2" t="inlineStr">
        <is>
          <t xml:space="preserve">2012/13</t>
        </is>
      </c>
      <c r="D2816">
        <v>0.288</v>
      </c>
      <c r="E2816">
        <v>18.23</v>
      </c>
      <c r="F2816">
        <v>23.25</v>
      </c>
      <c r="G2816">
        <v>15.2</v>
      </c>
      <c r="H2816">
        <v>3.71</v>
      </c>
      <c r="I2816">
        <v>1.248</v>
      </c>
      <c r="J2816">
        <v>18.36</v>
      </c>
      <c r="K2816">
        <v>23.82</v>
      </c>
      <c r="L2816">
        <v>14.71</v>
      </c>
      <c r="M2816">
        <v>1.74</v>
      </c>
      <c r="N2816">
        <v>2.063</v>
      </c>
      <c r="O2816">
        <v>18.1</v>
      </c>
      <c r="P2816">
        <v>22.37</v>
      </c>
      <c r="Q2816">
        <v>15.44</v>
      </c>
      <c r="R2816">
        <v>2.07</v>
      </c>
    </row>
    <row r="2817">
      <c r="A2817" s="9">
        <v>41348</v>
      </c>
      <c r="B2817" s="2" t="inlineStr">
        <is>
          <t xml:space="preserve">2013-03</t>
        </is>
      </c>
      <c r="C2817" s="2" t="inlineStr">
        <is>
          <t xml:space="preserve">2012/13</t>
        </is>
      </c>
      <c r="D2817">
        <v>0.273</v>
      </c>
      <c r="E2817">
        <v>18.32</v>
      </c>
      <c r="F2817">
        <v>25.14</v>
      </c>
      <c r="G2817">
        <v>14.38</v>
      </c>
      <c r="H2817">
        <v>1.36</v>
      </c>
      <c r="I2817">
        <v>2.321</v>
      </c>
      <c r="J2817">
        <v>17.99</v>
      </c>
      <c r="K2817">
        <v>24.26</v>
      </c>
      <c r="L2817">
        <v>14.09</v>
      </c>
      <c r="M2817">
        <v>3.41</v>
      </c>
      <c r="N2817">
        <v>8.787</v>
      </c>
      <c r="O2817">
        <v>17.23</v>
      </c>
      <c r="P2817">
        <v>21.86</v>
      </c>
      <c r="Q2817">
        <v>14.84</v>
      </c>
      <c r="R2817">
        <v>5.34</v>
      </c>
    </row>
    <row r="2818">
      <c r="A2818" s="9">
        <v>41349</v>
      </c>
      <c r="B2818" s="2" t="inlineStr">
        <is>
          <t xml:space="preserve">2013-03</t>
        </is>
      </c>
      <c r="C2818" s="2" t="inlineStr">
        <is>
          <t xml:space="preserve">2012/13</t>
        </is>
      </c>
      <c r="D2818">
        <v>0.0</v>
      </c>
      <c r="E2818">
        <v>21.0</v>
      </c>
      <c r="F2818">
        <v>29.39</v>
      </c>
      <c r="G2818">
        <v>14.48</v>
      </c>
      <c r="H2818">
        <v>0.17</v>
      </c>
      <c r="I2818">
        <v>0.049</v>
      </c>
      <c r="J2818">
        <v>21.09</v>
      </c>
      <c r="K2818">
        <v>29.44</v>
      </c>
      <c r="L2818">
        <v>14.33</v>
      </c>
      <c r="M2818">
        <v>0.14</v>
      </c>
      <c r="N2818">
        <v>0.504</v>
      </c>
      <c r="O2818">
        <v>19.74</v>
      </c>
      <c r="P2818">
        <v>26.97</v>
      </c>
      <c r="Q2818">
        <v>14.76</v>
      </c>
      <c r="R2818">
        <v>0.24</v>
      </c>
    </row>
    <row r="2819">
      <c r="A2819" s="9">
        <v>41350</v>
      </c>
      <c r="B2819" s="2" t="inlineStr">
        <is>
          <t xml:space="preserve">2013-03</t>
        </is>
      </c>
      <c r="C2819" s="2" t="inlineStr">
        <is>
          <t xml:space="preserve">2012/13</t>
        </is>
      </c>
      <c r="D2819">
        <v>0.0</v>
      </c>
      <c r="E2819">
        <v>23.87</v>
      </c>
      <c r="F2819">
        <v>32.3</v>
      </c>
      <c r="G2819">
        <v>16.3</v>
      </c>
      <c r="H2819">
        <v>0.0</v>
      </c>
      <c r="I2819">
        <v>0.0</v>
      </c>
      <c r="J2819">
        <v>23.83</v>
      </c>
      <c r="K2819">
        <v>32.73</v>
      </c>
      <c r="L2819">
        <v>15.91</v>
      </c>
      <c r="M2819">
        <v>0.0</v>
      </c>
      <c r="N2819">
        <v>0.0</v>
      </c>
      <c r="O2819">
        <v>23.41</v>
      </c>
      <c r="P2819">
        <v>31.97</v>
      </c>
      <c r="Q2819">
        <v>15.92</v>
      </c>
      <c r="R2819">
        <v>0.0</v>
      </c>
    </row>
    <row r="2820">
      <c r="A2820" s="9">
        <v>41351</v>
      </c>
      <c r="B2820" s="2" t="inlineStr">
        <is>
          <t xml:space="preserve">2013-03</t>
        </is>
      </c>
      <c r="C2820" s="2" t="inlineStr">
        <is>
          <t xml:space="preserve">2012/13</t>
        </is>
      </c>
      <c r="D2820">
        <v>0.0</v>
      </c>
      <c r="E2820">
        <v>25.71</v>
      </c>
      <c r="F2820">
        <v>35.49</v>
      </c>
      <c r="G2820">
        <v>17.08</v>
      </c>
      <c r="H2820">
        <v>0.0</v>
      </c>
      <c r="I2820">
        <v>0.0</v>
      </c>
      <c r="J2820">
        <v>25.07</v>
      </c>
      <c r="K2820">
        <v>33.89</v>
      </c>
      <c r="L2820">
        <v>17.35</v>
      </c>
      <c r="M2820">
        <v>0.01</v>
      </c>
      <c r="N2820">
        <v>0.0</v>
      </c>
      <c r="O2820">
        <v>26.06</v>
      </c>
      <c r="P2820">
        <v>35.0</v>
      </c>
      <c r="Q2820">
        <v>17.59</v>
      </c>
      <c r="R2820">
        <v>0.01</v>
      </c>
    </row>
    <row r="2821">
      <c r="A2821" s="9">
        <v>41352</v>
      </c>
      <c r="B2821" s="2" t="inlineStr">
        <is>
          <t xml:space="preserve">2013-03</t>
        </is>
      </c>
      <c r="C2821" s="2" t="inlineStr">
        <is>
          <t xml:space="preserve">2012/13</t>
        </is>
      </c>
      <c r="D2821">
        <v>0.0</v>
      </c>
      <c r="E2821">
        <v>26.13</v>
      </c>
      <c r="F2821">
        <v>35.49</v>
      </c>
      <c r="G2821">
        <v>17.27</v>
      </c>
      <c r="H2821">
        <v>0.05</v>
      </c>
      <c r="I2821">
        <v>0.041</v>
      </c>
      <c r="J2821">
        <v>26.28</v>
      </c>
      <c r="K2821">
        <v>35.46</v>
      </c>
      <c r="L2821">
        <v>18.43</v>
      </c>
      <c r="M2821">
        <v>0.16</v>
      </c>
      <c r="N2821">
        <v>0.409</v>
      </c>
      <c r="O2821">
        <v>26.02</v>
      </c>
      <c r="P2821">
        <v>34.47</v>
      </c>
      <c r="Q2821">
        <v>19.07</v>
      </c>
      <c r="R2821">
        <v>0.2</v>
      </c>
    </row>
    <row r="2822">
      <c r="A2822" s="9">
        <v>41353</v>
      </c>
      <c r="B2822" s="2" t="inlineStr">
        <is>
          <t xml:space="preserve">2013-03</t>
        </is>
      </c>
      <c r="C2822" s="2" t="inlineStr">
        <is>
          <t xml:space="preserve">2012/13</t>
        </is>
      </c>
      <c r="D2822">
        <v>0.621</v>
      </c>
      <c r="E2822">
        <v>26.2</v>
      </c>
      <c r="F2822">
        <v>34.35</v>
      </c>
      <c r="G2822">
        <v>19.62</v>
      </c>
      <c r="H2822">
        <v>0.28</v>
      </c>
      <c r="I2822">
        <v>0.028</v>
      </c>
      <c r="J2822">
        <v>25.74</v>
      </c>
      <c r="K2822">
        <v>32.66</v>
      </c>
      <c r="L2822">
        <v>20.14</v>
      </c>
      <c r="M2822">
        <v>1.04</v>
      </c>
      <c r="N2822">
        <v>0.105</v>
      </c>
      <c r="O2822">
        <v>25.41</v>
      </c>
      <c r="P2822">
        <v>32.38</v>
      </c>
      <c r="Q2822">
        <v>20.24</v>
      </c>
      <c r="R2822">
        <v>0.98</v>
      </c>
    </row>
    <row r="2823">
      <c r="A2823" s="9">
        <v>41354</v>
      </c>
      <c r="B2823" s="2" t="inlineStr">
        <is>
          <t xml:space="preserve">2013-03</t>
        </is>
      </c>
      <c r="C2823" s="2" t="inlineStr">
        <is>
          <t xml:space="preserve">2012/13</t>
        </is>
      </c>
      <c r="D2823">
        <v>0.136</v>
      </c>
      <c r="E2823">
        <v>25.12</v>
      </c>
      <c r="F2823">
        <v>31.72</v>
      </c>
      <c r="G2823">
        <v>19.83</v>
      </c>
      <c r="H2823">
        <v>0.1</v>
      </c>
      <c r="I2823">
        <v>2.844</v>
      </c>
      <c r="J2823">
        <v>24.86</v>
      </c>
      <c r="K2823">
        <v>31.21</v>
      </c>
      <c r="L2823">
        <v>20.32</v>
      </c>
      <c r="M2823">
        <v>3.43</v>
      </c>
      <c r="N2823">
        <v>0.983</v>
      </c>
      <c r="O2823">
        <v>24.25</v>
      </c>
      <c r="P2823">
        <v>30.21</v>
      </c>
      <c r="Q2823">
        <v>20.45</v>
      </c>
      <c r="R2823">
        <v>2.86</v>
      </c>
    </row>
    <row r="2824">
      <c r="A2824" s="9">
        <v>41355</v>
      </c>
      <c r="B2824" s="2" t="inlineStr">
        <is>
          <t xml:space="preserve">2013-03</t>
        </is>
      </c>
      <c r="C2824" s="2" t="inlineStr">
        <is>
          <t xml:space="preserve">2012/13</t>
        </is>
      </c>
      <c r="D2824">
        <v>0.077</v>
      </c>
      <c r="E2824">
        <v>25.26</v>
      </c>
      <c r="F2824">
        <v>32.94</v>
      </c>
      <c r="G2824">
        <v>18.76</v>
      </c>
      <c r="H2824">
        <v>0.1</v>
      </c>
      <c r="I2824">
        <v>0.296</v>
      </c>
      <c r="J2824">
        <v>24.74</v>
      </c>
      <c r="K2824">
        <v>32.44</v>
      </c>
      <c r="L2824">
        <v>18.98</v>
      </c>
      <c r="M2824">
        <v>0.33</v>
      </c>
      <c r="N2824">
        <v>0.078</v>
      </c>
      <c r="O2824">
        <v>25.51</v>
      </c>
      <c r="P2824">
        <v>33.09</v>
      </c>
      <c r="Q2824">
        <v>18.8</v>
      </c>
      <c r="R2824">
        <v>0.43</v>
      </c>
    </row>
    <row r="2825">
      <c r="A2825" s="9">
        <v>41356</v>
      </c>
      <c r="B2825" s="2" t="inlineStr">
        <is>
          <t xml:space="preserve">2013-03</t>
        </is>
      </c>
      <c r="C2825" s="2" t="inlineStr">
        <is>
          <t xml:space="preserve">2012/13</t>
        </is>
      </c>
      <c r="D2825">
        <v>0.047</v>
      </c>
      <c r="E2825">
        <v>25.9</v>
      </c>
      <c r="F2825">
        <v>34.28</v>
      </c>
      <c r="G2825">
        <v>18.76</v>
      </c>
      <c r="H2825">
        <v>0.54</v>
      </c>
      <c r="I2825">
        <v>0.0</v>
      </c>
      <c r="J2825">
        <v>24.35</v>
      </c>
      <c r="K2825">
        <v>33.43</v>
      </c>
      <c r="L2825">
        <v>17.97</v>
      </c>
      <c r="M2825">
        <v>0.0</v>
      </c>
      <c r="N2825">
        <v>0.0</v>
      </c>
      <c r="O2825">
        <v>26.01</v>
      </c>
      <c r="P2825">
        <v>35.17</v>
      </c>
      <c r="Q2825">
        <v>18.44</v>
      </c>
      <c r="R2825">
        <v>0.01</v>
      </c>
    </row>
    <row r="2826">
      <c r="A2826" s="9">
        <v>41357</v>
      </c>
      <c r="B2826" s="2" t="inlineStr">
        <is>
          <t xml:space="preserve">2013-03</t>
        </is>
      </c>
      <c r="C2826" s="2" t="inlineStr">
        <is>
          <t xml:space="preserve">2012/13</t>
        </is>
      </c>
      <c r="D2826">
        <v>0.0</v>
      </c>
      <c r="E2826">
        <v>26.81</v>
      </c>
      <c r="F2826">
        <v>36.56</v>
      </c>
      <c r="G2826">
        <v>18.19</v>
      </c>
      <c r="H2826">
        <v>0.12</v>
      </c>
      <c r="I2826">
        <v>0.0</v>
      </c>
      <c r="J2826">
        <v>25.09</v>
      </c>
      <c r="K2826">
        <v>35.28</v>
      </c>
      <c r="L2826">
        <v>17.28</v>
      </c>
      <c r="M2826">
        <v>0.0</v>
      </c>
      <c r="N2826">
        <v>0.0</v>
      </c>
      <c r="O2826">
        <v>26.77</v>
      </c>
      <c r="P2826">
        <v>36.88</v>
      </c>
      <c r="Q2826">
        <v>18.6</v>
      </c>
      <c r="R2826">
        <v>0.0</v>
      </c>
    </row>
    <row r="2827">
      <c r="A2827" s="9">
        <v>41358</v>
      </c>
      <c r="B2827" s="2" t="inlineStr">
        <is>
          <t xml:space="preserve">2013-03</t>
        </is>
      </c>
      <c r="C2827" s="2" t="inlineStr">
        <is>
          <t xml:space="preserve">2012/13</t>
        </is>
      </c>
      <c r="D2827">
        <v>9.76</v>
      </c>
      <c r="E2827">
        <v>25.03</v>
      </c>
      <c r="F2827">
        <v>32.57</v>
      </c>
      <c r="G2827">
        <v>19.44</v>
      </c>
      <c r="H2827">
        <v>8.56</v>
      </c>
      <c r="I2827">
        <v>0.0</v>
      </c>
      <c r="J2827">
        <v>25.7</v>
      </c>
      <c r="K2827">
        <v>33.01</v>
      </c>
      <c r="L2827">
        <v>19.4</v>
      </c>
      <c r="M2827">
        <v>0.28</v>
      </c>
      <c r="N2827">
        <v>0.0</v>
      </c>
      <c r="O2827">
        <v>25.12</v>
      </c>
      <c r="P2827">
        <v>32.48</v>
      </c>
      <c r="Q2827">
        <v>19.3</v>
      </c>
      <c r="R2827">
        <v>0.55</v>
      </c>
    </row>
    <row r="2828">
      <c r="A2828" s="9">
        <v>41359</v>
      </c>
      <c r="B2828" s="2" t="inlineStr">
        <is>
          <t xml:space="preserve">2013-03</t>
        </is>
      </c>
      <c r="C2828" s="2" t="inlineStr">
        <is>
          <t xml:space="preserve">2012/13</t>
        </is>
      </c>
      <c r="D2828">
        <v>0.278</v>
      </c>
      <c r="E2828">
        <v>22.14</v>
      </c>
      <c r="F2828">
        <v>26.86</v>
      </c>
      <c r="G2828">
        <v>19.16</v>
      </c>
      <c r="H2828">
        <v>11.04</v>
      </c>
      <c r="I2828">
        <v>1.055</v>
      </c>
      <c r="J2828">
        <v>22.03</v>
      </c>
      <c r="K2828">
        <v>26.78</v>
      </c>
      <c r="L2828">
        <v>18.92</v>
      </c>
      <c r="M2828">
        <v>4.54</v>
      </c>
      <c r="N2828">
        <v>4.696</v>
      </c>
      <c r="O2828">
        <v>21.11</v>
      </c>
      <c r="P2828">
        <v>24.2</v>
      </c>
      <c r="Q2828">
        <v>18.48</v>
      </c>
      <c r="R2828">
        <v>9.01</v>
      </c>
    </row>
    <row r="2829">
      <c r="A2829" s="9">
        <v>41360</v>
      </c>
      <c r="B2829" s="2" t="inlineStr">
        <is>
          <t xml:space="preserve">2013-03</t>
        </is>
      </c>
      <c r="C2829" s="2" t="inlineStr">
        <is>
          <t xml:space="preserve">2012/13</t>
        </is>
      </c>
      <c r="D2829">
        <v>9.49</v>
      </c>
      <c r="E2829">
        <v>20.41</v>
      </c>
      <c r="F2829">
        <v>26.55</v>
      </c>
      <c r="G2829">
        <v>16.1</v>
      </c>
      <c r="H2829">
        <v>15.0</v>
      </c>
      <c r="I2829">
        <v>3.156</v>
      </c>
      <c r="J2829">
        <v>20.75</v>
      </c>
      <c r="K2829">
        <v>27.2</v>
      </c>
      <c r="L2829">
        <v>16.64</v>
      </c>
      <c r="M2829">
        <v>6.41</v>
      </c>
      <c r="N2829">
        <v>11.857</v>
      </c>
      <c r="O2829">
        <v>20.03</v>
      </c>
      <c r="P2829">
        <v>25.36</v>
      </c>
      <c r="Q2829">
        <v>16.56</v>
      </c>
      <c r="R2829">
        <v>11.97</v>
      </c>
    </row>
    <row r="2830">
      <c r="A2830" s="9">
        <v>41361</v>
      </c>
      <c r="B2830" s="2" t="inlineStr">
        <is>
          <t xml:space="preserve">2013-03</t>
        </is>
      </c>
      <c r="C2830" s="2" t="inlineStr">
        <is>
          <t xml:space="preserve">2012/13</t>
        </is>
      </c>
      <c r="D2830">
        <v>0.739</v>
      </c>
      <c r="E2830">
        <v>19.39</v>
      </c>
      <c r="F2830">
        <v>26.22</v>
      </c>
      <c r="G2830">
        <v>15.08</v>
      </c>
      <c r="H2830">
        <v>4.86</v>
      </c>
      <c r="I2830">
        <v>0.067</v>
      </c>
      <c r="J2830">
        <v>20.35</v>
      </c>
      <c r="K2830">
        <v>27.6</v>
      </c>
      <c r="L2830">
        <v>15.76</v>
      </c>
      <c r="M2830">
        <v>0.41</v>
      </c>
      <c r="N2830">
        <v>0.82</v>
      </c>
      <c r="O2830">
        <v>19.45</v>
      </c>
      <c r="P2830">
        <v>25.25</v>
      </c>
      <c r="Q2830">
        <v>15.95</v>
      </c>
      <c r="R2830">
        <v>0.8</v>
      </c>
    </row>
    <row r="2831">
      <c r="A2831" s="9">
        <v>41362</v>
      </c>
      <c r="B2831" s="2" t="inlineStr">
        <is>
          <t xml:space="preserve">2013-03</t>
        </is>
      </c>
      <c r="C2831" s="2" t="inlineStr">
        <is>
          <t xml:space="preserve">2012/13</t>
        </is>
      </c>
      <c r="D2831">
        <v>0.0</v>
      </c>
      <c r="E2831">
        <v>19.81</v>
      </c>
      <c r="F2831">
        <v>27.91</v>
      </c>
      <c r="G2831">
        <v>14.43</v>
      </c>
      <c r="H2831">
        <v>0.0</v>
      </c>
      <c r="I2831">
        <v>0.0</v>
      </c>
      <c r="J2831">
        <v>20.27</v>
      </c>
      <c r="K2831">
        <v>28.85</v>
      </c>
      <c r="L2831">
        <v>15.07</v>
      </c>
      <c r="M2831">
        <v>0.0</v>
      </c>
      <c r="N2831">
        <v>0.0</v>
      </c>
      <c r="O2831">
        <v>19.35</v>
      </c>
      <c r="P2831">
        <v>25.74</v>
      </c>
      <c r="Q2831">
        <v>15.36</v>
      </c>
      <c r="R2831">
        <v>0.0</v>
      </c>
    </row>
    <row r="2832">
      <c r="A2832" s="9">
        <v>41363</v>
      </c>
      <c r="B2832" s="2" t="inlineStr">
        <is>
          <t xml:space="preserve">2013-03</t>
        </is>
      </c>
      <c r="C2832" s="2" t="inlineStr">
        <is>
          <t xml:space="preserve">2012/13</t>
        </is>
      </c>
      <c r="D2832">
        <v>0.0</v>
      </c>
      <c r="E2832">
        <v>21.38</v>
      </c>
      <c r="F2832">
        <v>30.06</v>
      </c>
      <c r="G2832">
        <v>14.43</v>
      </c>
      <c r="H2832">
        <v>0.0</v>
      </c>
      <c r="I2832">
        <v>0.0</v>
      </c>
      <c r="J2832">
        <v>21.37</v>
      </c>
      <c r="K2832">
        <v>30.23</v>
      </c>
      <c r="L2832">
        <v>14.05</v>
      </c>
      <c r="M2832">
        <v>0.0</v>
      </c>
      <c r="N2832">
        <v>0.0</v>
      </c>
      <c r="O2832">
        <v>20.59</v>
      </c>
      <c r="P2832">
        <v>27.99</v>
      </c>
      <c r="Q2832">
        <v>14.97</v>
      </c>
      <c r="R2832">
        <v>0.0</v>
      </c>
    </row>
    <row r="2833">
      <c r="A2833" s="9">
        <v>41364</v>
      </c>
      <c r="B2833" s="2" t="inlineStr">
        <is>
          <t xml:space="preserve">2013-03</t>
        </is>
      </c>
      <c r="C2833" s="2" t="inlineStr">
        <is>
          <t xml:space="preserve">2012/13</t>
        </is>
      </c>
      <c r="D2833">
        <v>0.0</v>
      </c>
      <c r="E2833">
        <v>23.31</v>
      </c>
      <c r="F2833">
        <v>31.34</v>
      </c>
      <c r="G2833">
        <v>16.7</v>
      </c>
      <c r="H2833">
        <v>0.0</v>
      </c>
      <c r="I2833">
        <v>0.0</v>
      </c>
      <c r="J2833">
        <v>23.74</v>
      </c>
      <c r="K2833">
        <v>32.28</v>
      </c>
      <c r="L2833">
        <v>16.33</v>
      </c>
      <c r="M2833">
        <v>0.0</v>
      </c>
      <c r="N2833">
        <v>0.0</v>
      </c>
      <c r="O2833">
        <v>22.53</v>
      </c>
      <c r="P2833">
        <v>30.13</v>
      </c>
      <c r="Q2833">
        <v>16.57</v>
      </c>
      <c r="R2833">
        <v>0.0</v>
      </c>
    </row>
    <row r="2834">
      <c r="A2834" s="9">
        <v>41365</v>
      </c>
      <c r="B2834" s="2" t="inlineStr">
        <is>
          <t xml:space="preserve">2013-04</t>
        </is>
      </c>
      <c r="C2834" s="2" t="inlineStr">
        <is>
          <t xml:space="preserve">2012/13</t>
        </is>
      </c>
      <c r="D2834">
        <v>0.0</v>
      </c>
      <c r="E2834">
        <v>24.75</v>
      </c>
      <c r="F2834">
        <v>33.06</v>
      </c>
      <c r="G2834">
        <v>17.73</v>
      </c>
      <c r="H2834">
        <v>0.61</v>
      </c>
      <c r="I2834">
        <v>0.0</v>
      </c>
      <c r="J2834">
        <v>25.83</v>
      </c>
      <c r="K2834">
        <v>34.92</v>
      </c>
      <c r="L2834">
        <v>18.2</v>
      </c>
      <c r="M2834">
        <v>0.27</v>
      </c>
      <c r="N2834">
        <v>0.0</v>
      </c>
      <c r="O2834">
        <v>24.43</v>
      </c>
      <c r="P2834">
        <v>32.63</v>
      </c>
      <c r="Q2834">
        <v>18.5</v>
      </c>
      <c r="R2834">
        <v>0.26</v>
      </c>
    </row>
    <row r="2835">
      <c r="A2835" s="9">
        <v>41366</v>
      </c>
      <c r="B2835" s="2" t="inlineStr">
        <is>
          <t xml:space="preserve">2013-04</t>
        </is>
      </c>
      <c r="C2835" s="2" t="inlineStr">
        <is>
          <t xml:space="preserve">2012/13</t>
        </is>
      </c>
      <c r="D2835">
        <v>4.385</v>
      </c>
      <c r="E2835">
        <v>24.98</v>
      </c>
      <c r="F2835">
        <v>32.98</v>
      </c>
      <c r="G2835">
        <v>18.53</v>
      </c>
      <c r="H2835">
        <v>1.9</v>
      </c>
      <c r="I2835">
        <v>0.783</v>
      </c>
      <c r="J2835">
        <v>26.26</v>
      </c>
      <c r="K2835">
        <v>33.91</v>
      </c>
      <c r="L2835">
        <v>19.59</v>
      </c>
      <c r="M2835">
        <v>1.02</v>
      </c>
      <c r="N2835">
        <v>0.819</v>
      </c>
      <c r="O2835">
        <v>24.87</v>
      </c>
      <c r="P2835">
        <v>32.66</v>
      </c>
      <c r="Q2835">
        <v>19.65</v>
      </c>
      <c r="R2835">
        <v>0.83</v>
      </c>
    </row>
    <row r="2836">
      <c r="A2836" s="9">
        <v>41367</v>
      </c>
      <c r="B2836" s="2" t="inlineStr">
        <is>
          <t xml:space="preserve">2013-04</t>
        </is>
      </c>
      <c r="C2836" s="2" t="inlineStr">
        <is>
          <t xml:space="preserve">2012/13</t>
        </is>
      </c>
      <c r="D2836">
        <v>2.58</v>
      </c>
      <c r="E2836">
        <v>25.57</v>
      </c>
      <c r="F2836">
        <v>34.16</v>
      </c>
      <c r="G2836">
        <v>18.5</v>
      </c>
      <c r="H2836">
        <v>0.62</v>
      </c>
      <c r="I2836">
        <v>0.461</v>
      </c>
      <c r="J2836">
        <v>26.42</v>
      </c>
      <c r="K2836">
        <v>34.24</v>
      </c>
      <c r="L2836">
        <v>20.55</v>
      </c>
      <c r="M2836">
        <v>0.41</v>
      </c>
      <c r="N2836">
        <v>0.482</v>
      </c>
      <c r="O2836">
        <v>26.73</v>
      </c>
      <c r="P2836">
        <v>35.18</v>
      </c>
      <c r="Q2836">
        <v>18.84</v>
      </c>
      <c r="R2836">
        <v>0.32</v>
      </c>
    </row>
    <row r="2837">
      <c r="A2837" s="9">
        <v>41368</v>
      </c>
      <c r="B2837" s="2" t="inlineStr">
        <is>
          <t xml:space="preserve">2013-04</t>
        </is>
      </c>
      <c r="C2837" s="2" t="inlineStr">
        <is>
          <t xml:space="preserve">2012/13</t>
        </is>
      </c>
      <c r="D2837">
        <v>0.0</v>
      </c>
      <c r="E2837">
        <v>25.43</v>
      </c>
      <c r="F2837">
        <v>32.16</v>
      </c>
      <c r="G2837">
        <v>19.29</v>
      </c>
      <c r="H2837">
        <v>0.61</v>
      </c>
      <c r="I2837">
        <v>0.0</v>
      </c>
      <c r="J2837">
        <v>26.53</v>
      </c>
      <c r="K2837">
        <v>34.61</v>
      </c>
      <c r="L2837">
        <v>19.59</v>
      </c>
      <c r="M2837">
        <v>1.25</v>
      </c>
      <c r="N2837">
        <v>0.0</v>
      </c>
      <c r="O2837">
        <v>26.43</v>
      </c>
      <c r="P2837">
        <v>34.24</v>
      </c>
      <c r="Q2837">
        <v>19.97</v>
      </c>
      <c r="R2837">
        <v>3.99</v>
      </c>
    </row>
    <row r="2838">
      <c r="A2838" s="9">
        <v>41369</v>
      </c>
      <c r="B2838" s="2" t="inlineStr">
        <is>
          <t xml:space="preserve">2013-04</t>
        </is>
      </c>
      <c r="C2838" s="2" t="inlineStr">
        <is>
          <t xml:space="preserve">2012/13</t>
        </is>
      </c>
      <c r="D2838">
        <v>0.111</v>
      </c>
      <c r="E2838">
        <v>23.28</v>
      </c>
      <c r="F2838">
        <v>28.54</v>
      </c>
      <c r="G2838">
        <v>18.96</v>
      </c>
      <c r="H2838">
        <v>1.46</v>
      </c>
      <c r="I2838">
        <v>0.054</v>
      </c>
      <c r="J2838">
        <v>24.05</v>
      </c>
      <c r="K2838">
        <v>29.45</v>
      </c>
      <c r="L2838">
        <v>19.82</v>
      </c>
      <c r="M2838">
        <v>2.94</v>
      </c>
      <c r="N2838">
        <v>2.009</v>
      </c>
      <c r="O2838">
        <v>22.51</v>
      </c>
      <c r="P2838">
        <v>27.1</v>
      </c>
      <c r="Q2838">
        <v>19.44</v>
      </c>
      <c r="R2838">
        <v>12.72</v>
      </c>
    </row>
    <row r="2839">
      <c r="A2839" s="9">
        <v>41370</v>
      </c>
      <c r="B2839" s="2" t="inlineStr">
        <is>
          <t xml:space="preserve">2013-04</t>
        </is>
      </c>
      <c r="C2839" s="2" t="inlineStr">
        <is>
          <t xml:space="preserve">2012/13</t>
        </is>
      </c>
      <c r="D2839">
        <v>0.279</v>
      </c>
      <c r="E2839">
        <v>22.09</v>
      </c>
      <c r="F2839">
        <v>29.42</v>
      </c>
      <c r="G2839">
        <v>17.24</v>
      </c>
      <c r="H2839">
        <v>1.37</v>
      </c>
      <c r="I2839">
        <v>0.583</v>
      </c>
      <c r="J2839">
        <v>22.38</v>
      </c>
      <c r="K2839">
        <v>29.34</v>
      </c>
      <c r="L2839">
        <v>17.48</v>
      </c>
      <c r="M2839">
        <v>1.31</v>
      </c>
      <c r="N2839">
        <v>1.636</v>
      </c>
      <c r="O2839">
        <v>21.04</v>
      </c>
      <c r="P2839">
        <v>26.45</v>
      </c>
      <c r="Q2839">
        <v>17.95</v>
      </c>
      <c r="R2839">
        <v>2.7</v>
      </c>
    </row>
    <row r="2840">
      <c r="A2840" s="9">
        <v>41371</v>
      </c>
      <c r="B2840" s="2" t="inlineStr">
        <is>
          <t xml:space="preserve">2013-04</t>
        </is>
      </c>
      <c r="C2840" s="2" t="inlineStr">
        <is>
          <t xml:space="preserve">2012/13</t>
        </is>
      </c>
      <c r="D2840">
        <v>0.0</v>
      </c>
      <c r="E2840">
        <v>23.67</v>
      </c>
      <c r="F2840">
        <v>32.48</v>
      </c>
      <c r="G2840">
        <v>16.32</v>
      </c>
      <c r="H2840">
        <v>0.22</v>
      </c>
      <c r="I2840">
        <v>0.0</v>
      </c>
      <c r="J2840">
        <v>24.79</v>
      </c>
      <c r="K2840">
        <v>33.84</v>
      </c>
      <c r="L2840">
        <v>17.34</v>
      </c>
      <c r="M2840">
        <v>0.02</v>
      </c>
      <c r="N2840">
        <v>0.0</v>
      </c>
      <c r="O2840">
        <v>22.85</v>
      </c>
      <c r="P2840">
        <v>31.26</v>
      </c>
      <c r="Q2840">
        <v>16.42</v>
      </c>
      <c r="R2840">
        <v>0.02</v>
      </c>
    </row>
    <row r="2841">
      <c r="A2841" s="9">
        <v>41372</v>
      </c>
      <c r="B2841" s="2" t="inlineStr">
        <is>
          <t xml:space="preserve">2013-04</t>
        </is>
      </c>
      <c r="C2841" s="2" t="inlineStr">
        <is>
          <t xml:space="preserve">2012/13</t>
        </is>
      </c>
      <c r="D2841">
        <v>0.242</v>
      </c>
      <c r="E2841">
        <v>24.97</v>
      </c>
      <c r="F2841">
        <v>33.39</v>
      </c>
      <c r="G2841">
        <v>18.04</v>
      </c>
      <c r="H2841">
        <v>0.11</v>
      </c>
      <c r="I2841">
        <v>0.0</v>
      </c>
      <c r="J2841">
        <v>26.0</v>
      </c>
      <c r="K2841">
        <v>34.44</v>
      </c>
      <c r="L2841">
        <v>18.39</v>
      </c>
      <c r="M2841">
        <v>0.06</v>
      </c>
      <c r="N2841">
        <v>0.0</v>
      </c>
      <c r="O2841">
        <v>24.59</v>
      </c>
      <c r="P2841">
        <v>33.14</v>
      </c>
      <c r="Q2841">
        <v>17.73</v>
      </c>
      <c r="R2841">
        <v>0.03</v>
      </c>
    </row>
    <row r="2842">
      <c r="A2842" s="9">
        <v>41373</v>
      </c>
      <c r="B2842" s="2" t="inlineStr">
        <is>
          <t xml:space="preserve">2013-04</t>
        </is>
      </c>
      <c r="C2842" s="2" t="inlineStr">
        <is>
          <t xml:space="preserve">2012/13</t>
        </is>
      </c>
      <c r="D2842">
        <v>0.0</v>
      </c>
      <c r="E2842">
        <v>25.35</v>
      </c>
      <c r="F2842">
        <v>34.31</v>
      </c>
      <c r="G2842">
        <v>17.57</v>
      </c>
      <c r="H2842">
        <v>0.0</v>
      </c>
      <c r="I2842">
        <v>0.0</v>
      </c>
      <c r="J2842">
        <v>26.77</v>
      </c>
      <c r="K2842">
        <v>34.37</v>
      </c>
      <c r="L2842">
        <v>20.29</v>
      </c>
      <c r="M2842">
        <v>0.01</v>
      </c>
      <c r="N2842">
        <v>0.0</v>
      </c>
      <c r="O2842">
        <v>25.78</v>
      </c>
      <c r="P2842">
        <v>33.75</v>
      </c>
      <c r="Q2842">
        <v>19.67</v>
      </c>
      <c r="R2842">
        <v>0.01</v>
      </c>
    </row>
    <row r="2843">
      <c r="A2843" s="9">
        <v>41374</v>
      </c>
      <c r="B2843" s="2" t="inlineStr">
        <is>
          <t xml:space="preserve">2013-04</t>
        </is>
      </c>
      <c r="C2843" s="2" t="inlineStr">
        <is>
          <t xml:space="preserve">2012/13</t>
        </is>
      </c>
      <c r="D2843">
        <v>0.0</v>
      </c>
      <c r="E2843">
        <v>25.92</v>
      </c>
      <c r="F2843">
        <v>33.99</v>
      </c>
      <c r="G2843">
        <v>18.78</v>
      </c>
      <c r="H2843">
        <v>0.0</v>
      </c>
      <c r="I2843">
        <v>0.0</v>
      </c>
      <c r="J2843">
        <v>26.3</v>
      </c>
      <c r="K2843">
        <v>34.19</v>
      </c>
      <c r="L2843">
        <v>20.2</v>
      </c>
      <c r="M2843">
        <v>0.04</v>
      </c>
      <c r="N2843">
        <v>0.0</v>
      </c>
      <c r="O2843">
        <v>26.9</v>
      </c>
      <c r="P2843">
        <v>35.34</v>
      </c>
      <c r="Q2843">
        <v>19.6</v>
      </c>
      <c r="R2843">
        <v>0.01</v>
      </c>
    </row>
    <row r="2844">
      <c r="A2844" s="9">
        <v>41375</v>
      </c>
      <c r="B2844" s="2" t="inlineStr">
        <is>
          <t xml:space="preserve">2013-04</t>
        </is>
      </c>
      <c r="C2844" s="2" t="inlineStr">
        <is>
          <t xml:space="preserve">2012/13</t>
        </is>
      </c>
      <c r="D2844">
        <v>0.0</v>
      </c>
      <c r="E2844">
        <v>26.06</v>
      </c>
      <c r="F2844">
        <v>33.94</v>
      </c>
      <c r="G2844">
        <v>19.32</v>
      </c>
      <c r="H2844">
        <v>0.01</v>
      </c>
      <c r="I2844">
        <v>0.0</v>
      </c>
      <c r="J2844">
        <v>25.84</v>
      </c>
      <c r="K2844">
        <v>34.4</v>
      </c>
      <c r="L2844">
        <v>20.07</v>
      </c>
      <c r="M2844">
        <v>0.0</v>
      </c>
      <c r="N2844">
        <v>0.0</v>
      </c>
      <c r="O2844">
        <v>27.3</v>
      </c>
      <c r="P2844">
        <v>36.2</v>
      </c>
      <c r="Q2844">
        <v>20.77</v>
      </c>
      <c r="R2844">
        <v>0.0</v>
      </c>
    </row>
    <row r="2845">
      <c r="A2845" s="9">
        <v>41376</v>
      </c>
      <c r="B2845" s="2" t="inlineStr">
        <is>
          <t xml:space="preserve">2013-04</t>
        </is>
      </c>
      <c r="C2845" s="2" t="inlineStr">
        <is>
          <t xml:space="preserve">2012/13</t>
        </is>
      </c>
      <c r="D2845">
        <v>1.421</v>
      </c>
      <c r="E2845">
        <v>26.63</v>
      </c>
      <c r="F2845">
        <v>35.19</v>
      </c>
      <c r="G2845">
        <v>19.3</v>
      </c>
      <c r="H2845">
        <v>0.85</v>
      </c>
      <c r="I2845">
        <v>0.069</v>
      </c>
      <c r="J2845">
        <v>26.55</v>
      </c>
      <c r="K2845">
        <v>35.46</v>
      </c>
      <c r="L2845">
        <v>18.32</v>
      </c>
      <c r="M2845">
        <v>0.38</v>
      </c>
      <c r="N2845">
        <v>0.268</v>
      </c>
      <c r="O2845">
        <v>26.58</v>
      </c>
      <c r="P2845">
        <v>34.97</v>
      </c>
      <c r="Q2845">
        <v>19.55</v>
      </c>
      <c r="R2845">
        <v>0.37</v>
      </c>
    </row>
    <row r="2846">
      <c r="A2846" s="9">
        <v>41377</v>
      </c>
      <c r="B2846" s="2" t="inlineStr">
        <is>
          <t xml:space="preserve">2013-04</t>
        </is>
      </c>
      <c r="C2846" s="2" t="inlineStr">
        <is>
          <t xml:space="preserve">2012/13</t>
        </is>
      </c>
      <c r="D2846">
        <v>2.02</v>
      </c>
      <c r="E2846">
        <v>26.7</v>
      </c>
      <c r="F2846">
        <v>34.25</v>
      </c>
      <c r="G2846">
        <v>20.49</v>
      </c>
      <c r="H2846">
        <v>0.63</v>
      </c>
      <c r="I2846">
        <v>0.306</v>
      </c>
      <c r="J2846">
        <v>27.31</v>
      </c>
      <c r="K2846">
        <v>34.08</v>
      </c>
      <c r="L2846">
        <v>22.5</v>
      </c>
      <c r="M2846">
        <v>0.41</v>
      </c>
      <c r="N2846">
        <v>0.386</v>
      </c>
      <c r="O2846">
        <v>27.17</v>
      </c>
      <c r="P2846">
        <v>34.12</v>
      </c>
      <c r="Q2846">
        <v>21.82</v>
      </c>
      <c r="R2846">
        <v>0.34</v>
      </c>
    </row>
    <row r="2847">
      <c r="A2847" s="9">
        <v>41378</v>
      </c>
      <c r="B2847" s="2" t="inlineStr">
        <is>
          <t xml:space="preserve">2013-04</t>
        </is>
      </c>
      <c r="C2847" s="2" t="inlineStr">
        <is>
          <t xml:space="preserve">2012/13</t>
        </is>
      </c>
      <c r="D2847">
        <v>0.0</v>
      </c>
      <c r="E2847">
        <v>27.0</v>
      </c>
      <c r="F2847">
        <v>35.32</v>
      </c>
      <c r="G2847">
        <v>20.04</v>
      </c>
      <c r="H2847">
        <v>0.0</v>
      </c>
      <c r="I2847">
        <v>0.0</v>
      </c>
      <c r="J2847">
        <v>26.99</v>
      </c>
      <c r="K2847">
        <v>35.73</v>
      </c>
      <c r="L2847">
        <v>19.82</v>
      </c>
      <c r="M2847">
        <v>0.01</v>
      </c>
      <c r="N2847">
        <v>0.0</v>
      </c>
      <c r="O2847">
        <v>28.15</v>
      </c>
      <c r="P2847">
        <v>36.51</v>
      </c>
      <c r="Q2847">
        <v>20.56</v>
      </c>
      <c r="R2847">
        <v>0.0</v>
      </c>
    </row>
    <row r="2848">
      <c r="A2848" s="9">
        <v>41379</v>
      </c>
      <c r="B2848" s="2" t="inlineStr">
        <is>
          <t xml:space="preserve">2013-04</t>
        </is>
      </c>
      <c r="C2848" s="2" t="inlineStr">
        <is>
          <t xml:space="preserve">2012/13</t>
        </is>
      </c>
      <c r="D2848">
        <v>0.0</v>
      </c>
      <c r="E2848">
        <v>26.68</v>
      </c>
      <c r="F2848">
        <v>35.14</v>
      </c>
      <c r="G2848">
        <v>20.16</v>
      </c>
      <c r="H2848">
        <v>0.0</v>
      </c>
      <c r="I2848">
        <v>0.0</v>
      </c>
      <c r="J2848">
        <v>27.02</v>
      </c>
      <c r="K2848">
        <v>34.72</v>
      </c>
      <c r="L2848">
        <v>19.74</v>
      </c>
      <c r="M2848">
        <v>0.0</v>
      </c>
      <c r="N2848">
        <v>0.0</v>
      </c>
      <c r="O2848">
        <v>27.71</v>
      </c>
      <c r="P2848">
        <v>35.7</v>
      </c>
      <c r="Q2848">
        <v>20.83</v>
      </c>
      <c r="R2848">
        <v>0.0</v>
      </c>
    </row>
    <row r="2849">
      <c r="A2849" s="9">
        <v>41380</v>
      </c>
      <c r="B2849" s="2" t="inlineStr">
        <is>
          <t xml:space="preserve">2013-04</t>
        </is>
      </c>
      <c r="C2849" s="2" t="inlineStr">
        <is>
          <t xml:space="preserve">2012/13</t>
        </is>
      </c>
      <c r="D2849">
        <v>0.0</v>
      </c>
      <c r="E2849">
        <v>26.5</v>
      </c>
      <c r="F2849">
        <v>33.6</v>
      </c>
      <c r="G2849">
        <v>19.88</v>
      </c>
      <c r="H2849">
        <v>0.0</v>
      </c>
      <c r="I2849">
        <v>0.0</v>
      </c>
      <c r="J2849">
        <v>27.81</v>
      </c>
      <c r="K2849">
        <v>35.55</v>
      </c>
      <c r="L2849">
        <v>20.69</v>
      </c>
      <c r="M2849">
        <v>0.0</v>
      </c>
      <c r="N2849">
        <v>0.0</v>
      </c>
      <c r="O2849">
        <v>27.51</v>
      </c>
      <c r="P2849">
        <v>35.52</v>
      </c>
      <c r="Q2849">
        <v>21.63</v>
      </c>
      <c r="R2849">
        <v>0.01</v>
      </c>
    </row>
    <row r="2850">
      <c r="A2850" s="9">
        <v>41381</v>
      </c>
      <c r="B2850" s="2" t="inlineStr">
        <is>
          <t xml:space="preserve">2013-04</t>
        </is>
      </c>
      <c r="C2850" s="2" t="inlineStr">
        <is>
          <t xml:space="preserve">2012/13</t>
        </is>
      </c>
      <c r="D2850">
        <v>0.0</v>
      </c>
      <c r="E2850">
        <v>26.72</v>
      </c>
      <c r="F2850">
        <v>34.61</v>
      </c>
      <c r="G2850">
        <v>20.49</v>
      </c>
      <c r="H2850">
        <v>0.06</v>
      </c>
      <c r="I2850">
        <v>0.0</v>
      </c>
      <c r="J2850">
        <v>27.75</v>
      </c>
      <c r="K2850">
        <v>35.06</v>
      </c>
      <c r="L2850">
        <v>21.99</v>
      </c>
      <c r="M2850">
        <v>1.48</v>
      </c>
      <c r="N2850">
        <v>0.0</v>
      </c>
      <c r="O2850">
        <v>26.68</v>
      </c>
      <c r="P2850">
        <v>34.08</v>
      </c>
      <c r="Q2850">
        <v>21.55</v>
      </c>
      <c r="R2850">
        <v>0.5</v>
      </c>
    </row>
    <row r="2851">
      <c r="A2851" s="9">
        <v>41382</v>
      </c>
      <c r="B2851" s="2" t="inlineStr">
        <is>
          <t xml:space="preserve">2013-04</t>
        </is>
      </c>
      <c r="C2851" s="2" t="inlineStr">
        <is>
          <t xml:space="preserve">2012/13</t>
        </is>
      </c>
      <c r="D2851">
        <v>0.0</v>
      </c>
      <c r="E2851">
        <v>25.6</v>
      </c>
      <c r="F2851">
        <v>33.31</v>
      </c>
      <c r="G2851">
        <v>18.8</v>
      </c>
      <c r="H2851">
        <v>0.67</v>
      </c>
      <c r="I2851">
        <v>24.346</v>
      </c>
      <c r="J2851">
        <v>25.6</v>
      </c>
      <c r="K2851">
        <v>32.66</v>
      </c>
      <c r="L2851">
        <v>21.39</v>
      </c>
      <c r="M2851">
        <v>10.72</v>
      </c>
      <c r="N2851">
        <v>1.177</v>
      </c>
      <c r="O2851">
        <v>26.31</v>
      </c>
      <c r="P2851">
        <v>34.33</v>
      </c>
      <c r="Q2851">
        <v>20.03</v>
      </c>
      <c r="R2851">
        <v>2.56</v>
      </c>
    </row>
    <row r="2852">
      <c r="A2852" s="9">
        <v>41383</v>
      </c>
      <c r="B2852" s="2" t="inlineStr">
        <is>
          <t xml:space="preserve">2013-04</t>
        </is>
      </c>
      <c r="C2852" s="2" t="inlineStr">
        <is>
          <t xml:space="preserve">2012/13</t>
        </is>
      </c>
      <c r="D2852">
        <v>2.295</v>
      </c>
      <c r="E2852">
        <v>24.36</v>
      </c>
      <c r="F2852">
        <v>29.31</v>
      </c>
      <c r="G2852">
        <v>20.35</v>
      </c>
      <c r="H2852">
        <v>1.78</v>
      </c>
      <c r="I2852">
        <v>0.24</v>
      </c>
      <c r="J2852">
        <v>26.31</v>
      </c>
      <c r="K2852">
        <v>33.67</v>
      </c>
      <c r="L2852">
        <v>19.95</v>
      </c>
      <c r="M2852">
        <v>1.06</v>
      </c>
      <c r="N2852">
        <v>0.31</v>
      </c>
      <c r="O2852">
        <v>26.86</v>
      </c>
      <c r="P2852">
        <v>34.96</v>
      </c>
      <c r="Q2852">
        <v>20.64</v>
      </c>
      <c r="R2852">
        <v>2.84</v>
      </c>
    </row>
    <row r="2853">
      <c r="A2853" s="9">
        <v>41384</v>
      </c>
      <c r="B2853" s="2" t="inlineStr">
        <is>
          <t xml:space="preserve">2013-04</t>
        </is>
      </c>
      <c r="C2853" s="2" t="inlineStr">
        <is>
          <t xml:space="preserve">2012/13</t>
        </is>
      </c>
      <c r="D2853">
        <v>2.852</v>
      </c>
      <c r="E2853">
        <v>24.69</v>
      </c>
      <c r="F2853">
        <v>31.04</v>
      </c>
      <c r="G2853">
        <v>19.57</v>
      </c>
      <c r="H2853">
        <v>2.13</v>
      </c>
      <c r="I2853">
        <v>0.59</v>
      </c>
      <c r="J2853">
        <v>24.79</v>
      </c>
      <c r="K2853">
        <v>30.53</v>
      </c>
      <c r="L2853">
        <v>20.68</v>
      </c>
      <c r="M2853">
        <v>3.44</v>
      </c>
      <c r="N2853">
        <v>1.841</v>
      </c>
      <c r="O2853">
        <v>24.09</v>
      </c>
      <c r="P2853">
        <v>29.36</v>
      </c>
      <c r="Q2853">
        <v>20.62</v>
      </c>
      <c r="R2853">
        <v>9.52</v>
      </c>
    </row>
    <row r="2854">
      <c r="A2854" s="9">
        <v>41385</v>
      </c>
      <c r="B2854" s="2" t="inlineStr">
        <is>
          <t xml:space="preserve">2013-04</t>
        </is>
      </c>
      <c r="C2854" s="2" t="inlineStr">
        <is>
          <t xml:space="preserve">2012/13</t>
        </is>
      </c>
      <c r="D2854">
        <v>0.06</v>
      </c>
      <c r="E2854">
        <v>25.06</v>
      </c>
      <c r="F2854">
        <v>32.03</v>
      </c>
      <c r="G2854">
        <v>20.05</v>
      </c>
      <c r="H2854">
        <v>0.87</v>
      </c>
      <c r="I2854">
        <v>1.41</v>
      </c>
      <c r="J2854">
        <v>25.69</v>
      </c>
      <c r="K2854">
        <v>32.8</v>
      </c>
      <c r="L2854">
        <v>19.8</v>
      </c>
      <c r="M2854">
        <v>0.59</v>
      </c>
      <c r="N2854">
        <v>0.046</v>
      </c>
      <c r="O2854">
        <v>24.69</v>
      </c>
      <c r="P2854">
        <v>31.64</v>
      </c>
      <c r="Q2854">
        <v>19.41</v>
      </c>
      <c r="R2854">
        <v>0.16</v>
      </c>
    </row>
    <row r="2855">
      <c r="A2855" s="9">
        <v>41386</v>
      </c>
      <c r="B2855" s="2" t="inlineStr">
        <is>
          <t xml:space="preserve">2013-04</t>
        </is>
      </c>
      <c r="C2855" s="2" t="inlineStr">
        <is>
          <t xml:space="preserve">2012/13</t>
        </is>
      </c>
      <c r="D2855">
        <v>0.366</v>
      </c>
      <c r="E2855">
        <v>25.04</v>
      </c>
      <c r="F2855">
        <v>32.47</v>
      </c>
      <c r="G2855">
        <v>18.65</v>
      </c>
      <c r="H2855">
        <v>0.71</v>
      </c>
      <c r="I2855">
        <v>0.161</v>
      </c>
      <c r="J2855">
        <v>26.19</v>
      </c>
      <c r="K2855">
        <v>32.97</v>
      </c>
      <c r="L2855">
        <v>20.87</v>
      </c>
      <c r="M2855">
        <v>0.16</v>
      </c>
      <c r="N2855">
        <v>0.0</v>
      </c>
      <c r="O2855">
        <v>24.88</v>
      </c>
      <c r="P2855">
        <v>31.34</v>
      </c>
      <c r="Q2855">
        <v>20.4</v>
      </c>
      <c r="R2855">
        <v>0.05</v>
      </c>
    </row>
    <row r="2856">
      <c r="A2856" s="9">
        <v>41387</v>
      </c>
      <c r="B2856" s="2" t="inlineStr">
        <is>
          <t xml:space="preserve">2013-04</t>
        </is>
      </c>
      <c r="C2856" s="2" t="inlineStr">
        <is>
          <t xml:space="preserve">2012/13</t>
        </is>
      </c>
      <c r="D2856">
        <v>1.482</v>
      </c>
      <c r="E2856">
        <v>24.68</v>
      </c>
      <c r="F2856">
        <v>31.12</v>
      </c>
      <c r="G2856">
        <v>19.32</v>
      </c>
      <c r="H2856">
        <v>0.49</v>
      </c>
      <c r="I2856">
        <v>0.091</v>
      </c>
      <c r="J2856">
        <v>26.17</v>
      </c>
      <c r="K2856">
        <v>33.64</v>
      </c>
      <c r="L2856">
        <v>19.99</v>
      </c>
      <c r="M2856">
        <v>0.18</v>
      </c>
      <c r="N2856">
        <v>0.0</v>
      </c>
      <c r="O2856">
        <v>24.97</v>
      </c>
      <c r="P2856">
        <v>32.11</v>
      </c>
      <c r="Q2856">
        <v>20.1</v>
      </c>
      <c r="R2856">
        <v>0.04</v>
      </c>
    </row>
    <row r="2857">
      <c r="A2857" s="9">
        <v>41388</v>
      </c>
      <c r="B2857" s="2" t="inlineStr">
        <is>
          <t xml:space="preserve">2013-04</t>
        </is>
      </c>
      <c r="C2857" s="2" t="inlineStr">
        <is>
          <t xml:space="preserve">2012/13</t>
        </is>
      </c>
      <c r="D2857">
        <v>0.0</v>
      </c>
      <c r="E2857">
        <v>25.41</v>
      </c>
      <c r="F2857">
        <v>33.75</v>
      </c>
      <c r="G2857">
        <v>17.85</v>
      </c>
      <c r="H2857">
        <v>0.0</v>
      </c>
      <c r="I2857">
        <v>0.447</v>
      </c>
      <c r="J2857">
        <v>26.29</v>
      </c>
      <c r="K2857">
        <v>33.06</v>
      </c>
      <c r="L2857">
        <v>20.39</v>
      </c>
      <c r="M2857">
        <v>0.17</v>
      </c>
      <c r="N2857">
        <v>0.0</v>
      </c>
      <c r="O2857">
        <v>25.27</v>
      </c>
      <c r="P2857">
        <v>32.87</v>
      </c>
      <c r="Q2857">
        <v>19.9</v>
      </c>
      <c r="R2857">
        <v>0.06</v>
      </c>
    </row>
    <row r="2858">
      <c r="A2858" s="9">
        <v>41389</v>
      </c>
      <c r="B2858" s="2" t="inlineStr">
        <is>
          <t xml:space="preserve">2013-04</t>
        </is>
      </c>
      <c r="C2858" s="2" t="inlineStr">
        <is>
          <t xml:space="preserve">2012/13</t>
        </is>
      </c>
      <c r="D2858">
        <v>0.0</v>
      </c>
      <c r="E2858">
        <v>24.69</v>
      </c>
      <c r="F2858">
        <v>32.74</v>
      </c>
      <c r="G2858">
        <v>19.21</v>
      </c>
      <c r="H2858">
        <v>0.09</v>
      </c>
      <c r="I2858">
        <v>0.0</v>
      </c>
      <c r="J2858">
        <v>25.01</v>
      </c>
      <c r="K2858">
        <v>32.05</v>
      </c>
      <c r="L2858">
        <v>20.1</v>
      </c>
      <c r="M2858">
        <v>0.05</v>
      </c>
      <c r="N2858">
        <v>0.0</v>
      </c>
      <c r="O2858">
        <v>23.86</v>
      </c>
      <c r="P2858">
        <v>30.24</v>
      </c>
      <c r="Q2858">
        <v>19.83</v>
      </c>
      <c r="R2858">
        <v>0.11</v>
      </c>
    </row>
    <row r="2859">
      <c r="A2859" s="9">
        <v>41390</v>
      </c>
      <c r="B2859" s="2" t="inlineStr">
        <is>
          <t xml:space="preserve">2013-04</t>
        </is>
      </c>
      <c r="C2859" s="2" t="inlineStr">
        <is>
          <t xml:space="preserve">2012/13</t>
        </is>
      </c>
      <c r="D2859">
        <v>0.13</v>
      </c>
      <c r="E2859">
        <v>23.6</v>
      </c>
      <c r="F2859">
        <v>31.35</v>
      </c>
      <c r="G2859">
        <v>17.97</v>
      </c>
      <c r="H2859">
        <v>0.14</v>
      </c>
      <c r="I2859">
        <v>0.036</v>
      </c>
      <c r="J2859">
        <v>23.83</v>
      </c>
      <c r="K2859">
        <v>30.84</v>
      </c>
      <c r="L2859">
        <v>18.77</v>
      </c>
      <c r="M2859">
        <v>0.1</v>
      </c>
      <c r="N2859">
        <v>0.095</v>
      </c>
      <c r="O2859">
        <v>23.02</v>
      </c>
      <c r="P2859">
        <v>29.1</v>
      </c>
      <c r="Q2859">
        <v>18.62</v>
      </c>
      <c r="R2859">
        <v>0.26</v>
      </c>
    </row>
    <row r="2860">
      <c r="A2860" s="9">
        <v>41391</v>
      </c>
      <c r="B2860" s="2" t="inlineStr">
        <is>
          <t xml:space="preserve">2013-04</t>
        </is>
      </c>
      <c r="C2860" s="2" t="inlineStr">
        <is>
          <t xml:space="preserve">2012/13</t>
        </is>
      </c>
      <c r="D2860">
        <v>0.0</v>
      </c>
      <c r="E2860">
        <v>24.49</v>
      </c>
      <c r="F2860">
        <v>33.04</v>
      </c>
      <c r="G2860">
        <v>17.32</v>
      </c>
      <c r="H2860">
        <v>0.01</v>
      </c>
      <c r="I2860">
        <v>0.0</v>
      </c>
      <c r="J2860">
        <v>24.47</v>
      </c>
      <c r="K2860">
        <v>32.12</v>
      </c>
      <c r="L2860">
        <v>18.39</v>
      </c>
      <c r="M2860">
        <v>0.0</v>
      </c>
      <c r="N2860">
        <v>0.0</v>
      </c>
      <c r="O2860">
        <v>23.39</v>
      </c>
      <c r="P2860">
        <v>30.65</v>
      </c>
      <c r="Q2860">
        <v>17.8</v>
      </c>
      <c r="R2860">
        <v>0.0</v>
      </c>
    </row>
    <row r="2861">
      <c r="A2861" s="9">
        <v>41392</v>
      </c>
      <c r="B2861" s="2" t="inlineStr">
        <is>
          <t xml:space="preserve">2013-04</t>
        </is>
      </c>
      <c r="C2861" s="2" t="inlineStr">
        <is>
          <t xml:space="preserve">2012/13</t>
        </is>
      </c>
      <c r="D2861">
        <v>0.193</v>
      </c>
      <c r="E2861">
        <v>23.64</v>
      </c>
      <c r="F2861">
        <v>29.2</v>
      </c>
      <c r="G2861">
        <v>19.66</v>
      </c>
      <c r="H2861">
        <v>1.22</v>
      </c>
      <c r="I2861">
        <v>0.0</v>
      </c>
      <c r="J2861">
        <v>25.51</v>
      </c>
      <c r="K2861">
        <v>33.23</v>
      </c>
      <c r="L2861">
        <v>18.55</v>
      </c>
      <c r="M2861">
        <v>0.14</v>
      </c>
      <c r="N2861">
        <v>0.0</v>
      </c>
      <c r="O2861">
        <v>25.05</v>
      </c>
      <c r="P2861">
        <v>32.57</v>
      </c>
      <c r="Q2861">
        <v>18.96</v>
      </c>
      <c r="R2861">
        <v>0.06</v>
      </c>
    </row>
    <row r="2862">
      <c r="A2862" s="9">
        <v>41393</v>
      </c>
      <c r="B2862" s="2" t="inlineStr">
        <is>
          <t xml:space="preserve">2013-04</t>
        </is>
      </c>
      <c r="C2862" s="2" t="inlineStr">
        <is>
          <t xml:space="preserve">2012/13</t>
        </is>
      </c>
      <c r="D2862">
        <v>4.507</v>
      </c>
      <c r="E2862">
        <v>22.93</v>
      </c>
      <c r="F2862">
        <v>28.2</v>
      </c>
      <c r="G2862">
        <v>19.77</v>
      </c>
      <c r="H2862">
        <v>2.65</v>
      </c>
      <c r="I2862">
        <v>0.089</v>
      </c>
      <c r="J2862">
        <v>25.16</v>
      </c>
      <c r="K2862">
        <v>32.23</v>
      </c>
      <c r="L2862">
        <v>20.27</v>
      </c>
      <c r="M2862">
        <v>0.57</v>
      </c>
      <c r="N2862">
        <v>0.0</v>
      </c>
      <c r="O2862">
        <v>25.92</v>
      </c>
      <c r="P2862">
        <v>32.95</v>
      </c>
      <c r="Q2862">
        <v>20.16</v>
      </c>
      <c r="R2862">
        <v>0.67</v>
      </c>
    </row>
    <row r="2863">
      <c r="A2863" s="9">
        <v>41394</v>
      </c>
      <c r="B2863" s="2" t="inlineStr">
        <is>
          <t xml:space="preserve">2013-04</t>
        </is>
      </c>
      <c r="C2863" s="2" t="inlineStr">
        <is>
          <t xml:space="preserve">2012/13</t>
        </is>
      </c>
      <c r="D2863">
        <v>0.113</v>
      </c>
      <c r="E2863">
        <v>24.4</v>
      </c>
      <c r="F2863">
        <v>29.91</v>
      </c>
      <c r="G2863">
        <v>19.9</v>
      </c>
      <c r="H2863">
        <v>0.22</v>
      </c>
      <c r="I2863">
        <v>1.263</v>
      </c>
      <c r="J2863">
        <v>25.11</v>
      </c>
      <c r="K2863">
        <v>32.41</v>
      </c>
      <c r="L2863">
        <v>19.74</v>
      </c>
      <c r="M2863">
        <v>1.69</v>
      </c>
      <c r="N2863">
        <v>4.64</v>
      </c>
      <c r="O2863">
        <v>26.43</v>
      </c>
      <c r="P2863">
        <v>33.75</v>
      </c>
      <c r="Q2863">
        <v>20.47</v>
      </c>
      <c r="R2863">
        <v>2.0</v>
      </c>
    </row>
    <row r="2864">
      <c r="A2864" s="9">
        <v>41395</v>
      </c>
      <c r="B2864" s="2" t="inlineStr">
        <is>
          <t xml:space="preserve">2013-05</t>
        </is>
      </c>
      <c r="C2864" s="2" t="inlineStr">
        <is>
          <t xml:space="preserve">2012/13</t>
        </is>
      </c>
      <c r="D2864">
        <v>0.038</v>
      </c>
      <c r="E2864">
        <v>25.59</v>
      </c>
      <c r="F2864">
        <v>32.7</v>
      </c>
      <c r="G2864">
        <v>20.07</v>
      </c>
      <c r="H2864">
        <v>0.2</v>
      </c>
      <c r="I2864">
        <v>1.784</v>
      </c>
      <c r="J2864">
        <v>24.65</v>
      </c>
      <c r="K2864">
        <v>31.4</v>
      </c>
      <c r="L2864">
        <v>19.06</v>
      </c>
      <c r="M2864">
        <v>1.47</v>
      </c>
      <c r="N2864">
        <v>2.727</v>
      </c>
      <c r="O2864">
        <v>26.47</v>
      </c>
      <c r="P2864">
        <v>33.82</v>
      </c>
      <c r="Q2864">
        <v>20.54</v>
      </c>
      <c r="R2864">
        <v>1.47</v>
      </c>
    </row>
    <row r="2865">
      <c r="A2865" s="9">
        <v>41396</v>
      </c>
      <c r="B2865" s="2" t="inlineStr">
        <is>
          <t xml:space="preserve">2013-05</t>
        </is>
      </c>
      <c r="C2865" s="2" t="inlineStr">
        <is>
          <t xml:space="preserve">2012/13</t>
        </is>
      </c>
      <c r="D2865">
        <v>2.546</v>
      </c>
      <c r="E2865">
        <v>26.43</v>
      </c>
      <c r="F2865">
        <v>35.57</v>
      </c>
      <c r="G2865">
        <v>19.5</v>
      </c>
      <c r="H2865">
        <v>17.0</v>
      </c>
      <c r="I2865">
        <v>0.452</v>
      </c>
      <c r="J2865">
        <v>25.94</v>
      </c>
      <c r="K2865">
        <v>33.18</v>
      </c>
      <c r="L2865">
        <v>19.59</v>
      </c>
      <c r="M2865">
        <v>4.04</v>
      </c>
      <c r="N2865">
        <v>0.469</v>
      </c>
      <c r="O2865">
        <v>27.16</v>
      </c>
      <c r="P2865">
        <v>34.75</v>
      </c>
      <c r="Q2865">
        <v>20.71</v>
      </c>
      <c r="R2865">
        <v>5.48</v>
      </c>
    </row>
    <row r="2866">
      <c r="A2866" s="9">
        <v>41397</v>
      </c>
      <c r="B2866" s="2" t="inlineStr">
        <is>
          <t xml:space="preserve">2013-05</t>
        </is>
      </c>
      <c r="C2866" s="2" t="inlineStr">
        <is>
          <t xml:space="preserve">2012/13</t>
        </is>
      </c>
      <c r="D2866">
        <v>40.787</v>
      </c>
      <c r="E2866">
        <v>22.41</v>
      </c>
      <c r="F2866">
        <v>27.15</v>
      </c>
      <c r="G2866">
        <v>18.8</v>
      </c>
      <c r="H2866">
        <v>23.24</v>
      </c>
      <c r="I2866">
        <v>5.702</v>
      </c>
      <c r="J2866">
        <v>23.86</v>
      </c>
      <c r="K2866">
        <v>28.84</v>
      </c>
      <c r="L2866">
        <v>20.47</v>
      </c>
      <c r="M2866">
        <v>7.32</v>
      </c>
      <c r="N2866">
        <v>6.417</v>
      </c>
      <c r="O2866">
        <v>23.56</v>
      </c>
      <c r="P2866">
        <v>28.35</v>
      </c>
      <c r="Q2866">
        <v>20.39</v>
      </c>
      <c r="R2866">
        <v>15.46</v>
      </c>
    </row>
    <row r="2867">
      <c r="A2867" s="9">
        <v>41398</v>
      </c>
      <c r="B2867" s="2" t="inlineStr">
        <is>
          <t xml:space="preserve">2013-05</t>
        </is>
      </c>
      <c r="C2867" s="2" t="inlineStr">
        <is>
          <t xml:space="preserve">2012/13</t>
        </is>
      </c>
      <c r="D2867">
        <v>0.0</v>
      </c>
      <c r="E2867">
        <v>21.67</v>
      </c>
      <c r="F2867">
        <v>27.69</v>
      </c>
      <c r="G2867">
        <v>17.12</v>
      </c>
      <c r="H2867">
        <v>0.69</v>
      </c>
      <c r="I2867">
        <v>0.0</v>
      </c>
      <c r="J2867">
        <v>23.31</v>
      </c>
      <c r="K2867">
        <v>30.25</v>
      </c>
      <c r="L2867">
        <v>18.24</v>
      </c>
      <c r="M2867">
        <v>0.02</v>
      </c>
      <c r="N2867">
        <v>0.0</v>
      </c>
      <c r="O2867">
        <v>22.23</v>
      </c>
      <c r="P2867">
        <v>27.98</v>
      </c>
      <c r="Q2867">
        <v>18.79</v>
      </c>
      <c r="R2867">
        <v>0.03</v>
      </c>
    </row>
    <row r="2868">
      <c r="A2868" s="9">
        <v>41399</v>
      </c>
      <c r="B2868" s="2" t="inlineStr">
        <is>
          <t xml:space="preserve">2013-05</t>
        </is>
      </c>
      <c r="C2868" s="2" t="inlineStr">
        <is>
          <t xml:space="preserve">2012/13</t>
        </is>
      </c>
      <c r="D2868">
        <v>0.748</v>
      </c>
      <c r="E2868">
        <v>23.93</v>
      </c>
      <c r="F2868">
        <v>32.24</v>
      </c>
      <c r="G2868">
        <v>16.26</v>
      </c>
      <c r="H2868">
        <v>1.8</v>
      </c>
      <c r="I2868">
        <v>0.334</v>
      </c>
      <c r="J2868">
        <v>25.09</v>
      </c>
      <c r="K2868">
        <v>33.93</v>
      </c>
      <c r="L2868">
        <v>17.98</v>
      </c>
      <c r="M2868">
        <v>0.64</v>
      </c>
      <c r="N2868">
        <v>0.155</v>
      </c>
      <c r="O2868">
        <v>24.4</v>
      </c>
      <c r="P2868">
        <v>32.6</v>
      </c>
      <c r="Q2868">
        <v>17.84</v>
      </c>
      <c r="R2868">
        <v>0.28</v>
      </c>
    </row>
    <row r="2869">
      <c r="A2869" s="9">
        <v>41400</v>
      </c>
      <c r="B2869" s="2" t="inlineStr">
        <is>
          <t xml:space="preserve">2013-05</t>
        </is>
      </c>
      <c r="C2869" s="2" t="inlineStr">
        <is>
          <t xml:space="preserve">2012/13</t>
        </is>
      </c>
      <c r="D2869">
        <v>5.558</v>
      </c>
      <c r="E2869">
        <v>23.79</v>
      </c>
      <c r="F2869">
        <v>30.71</v>
      </c>
      <c r="G2869">
        <v>18.75</v>
      </c>
      <c r="H2869">
        <v>12.88</v>
      </c>
      <c r="I2869">
        <v>0.199</v>
      </c>
      <c r="J2869">
        <v>25.2</v>
      </c>
      <c r="K2869">
        <v>31.45</v>
      </c>
      <c r="L2869">
        <v>20.29</v>
      </c>
      <c r="M2869">
        <v>0.31</v>
      </c>
      <c r="N2869">
        <v>0.0</v>
      </c>
      <c r="O2869">
        <v>24.19</v>
      </c>
      <c r="P2869">
        <v>30.42</v>
      </c>
      <c r="Q2869">
        <v>19.06</v>
      </c>
      <c r="R2869">
        <v>0.13</v>
      </c>
    </row>
    <row r="2870">
      <c r="A2870" s="9">
        <v>41401</v>
      </c>
      <c r="B2870" s="2" t="inlineStr">
        <is>
          <t xml:space="preserve">2013-05</t>
        </is>
      </c>
      <c r="C2870" s="2" t="inlineStr">
        <is>
          <t xml:space="preserve">2012/13</t>
        </is>
      </c>
      <c r="D2870">
        <v>19.482</v>
      </c>
      <c r="E2870">
        <v>23.21</v>
      </c>
      <c r="F2870">
        <v>29.04</v>
      </c>
      <c r="G2870">
        <v>18.04</v>
      </c>
      <c r="H2870">
        <v>8.09</v>
      </c>
      <c r="I2870">
        <v>0.0</v>
      </c>
      <c r="J2870">
        <v>24.75</v>
      </c>
      <c r="K2870">
        <v>30.06</v>
      </c>
      <c r="L2870">
        <v>20.77</v>
      </c>
      <c r="M2870">
        <v>0.03</v>
      </c>
      <c r="N2870">
        <v>0.0</v>
      </c>
      <c r="O2870">
        <v>23.96</v>
      </c>
      <c r="P2870">
        <v>29.11</v>
      </c>
      <c r="Q2870">
        <v>19.93</v>
      </c>
      <c r="R2870">
        <v>0.02</v>
      </c>
    </row>
    <row r="2871">
      <c r="A2871" s="9">
        <v>41402</v>
      </c>
      <c r="B2871" s="2" t="inlineStr">
        <is>
          <t xml:space="preserve">2013-05</t>
        </is>
      </c>
      <c r="C2871" s="2" t="inlineStr">
        <is>
          <t xml:space="preserve">2012/13</t>
        </is>
      </c>
      <c r="D2871">
        <v>0.0</v>
      </c>
      <c r="E2871">
        <v>23.91</v>
      </c>
      <c r="F2871">
        <v>30.74</v>
      </c>
      <c r="G2871">
        <v>18.19</v>
      </c>
      <c r="H2871">
        <v>0.02</v>
      </c>
      <c r="I2871">
        <v>0.0</v>
      </c>
      <c r="J2871">
        <v>25.59</v>
      </c>
      <c r="K2871">
        <v>33.01</v>
      </c>
      <c r="L2871">
        <v>19.47</v>
      </c>
      <c r="M2871">
        <v>0.01</v>
      </c>
      <c r="N2871">
        <v>0.0</v>
      </c>
      <c r="O2871">
        <v>24.11</v>
      </c>
      <c r="P2871">
        <v>31.41</v>
      </c>
      <c r="Q2871">
        <v>19.17</v>
      </c>
      <c r="R2871">
        <v>0.0</v>
      </c>
    </row>
    <row r="2872">
      <c r="A2872" s="9">
        <v>41403</v>
      </c>
      <c r="B2872" s="2" t="inlineStr">
        <is>
          <t xml:space="preserve">2013-05</t>
        </is>
      </c>
      <c r="C2872" s="2" t="inlineStr">
        <is>
          <t xml:space="preserve">2012/13</t>
        </is>
      </c>
      <c r="D2872">
        <v>0.544</v>
      </c>
      <c r="E2872">
        <v>24.36</v>
      </c>
      <c r="F2872">
        <v>32.28</v>
      </c>
      <c r="G2872">
        <v>17.4</v>
      </c>
      <c r="H2872">
        <v>1.46</v>
      </c>
      <c r="I2872">
        <v>0.0</v>
      </c>
      <c r="J2872">
        <v>26.24</v>
      </c>
      <c r="K2872">
        <v>34.66</v>
      </c>
      <c r="L2872">
        <v>18.79</v>
      </c>
      <c r="M2872">
        <v>0.97</v>
      </c>
      <c r="N2872">
        <v>0.0</v>
      </c>
      <c r="O2872">
        <v>24.97</v>
      </c>
      <c r="P2872">
        <v>32.83</v>
      </c>
      <c r="Q2872">
        <v>18.47</v>
      </c>
      <c r="R2872">
        <v>0.34</v>
      </c>
    </row>
    <row r="2873">
      <c r="A2873" s="9">
        <v>41404</v>
      </c>
      <c r="B2873" s="2" t="inlineStr">
        <is>
          <t xml:space="preserve">2013-05</t>
        </is>
      </c>
      <c r="C2873" s="2" t="inlineStr">
        <is>
          <t xml:space="preserve">2012/13</t>
        </is>
      </c>
      <c r="D2873">
        <v>8.494</v>
      </c>
      <c r="E2873">
        <v>25.33</v>
      </c>
      <c r="F2873">
        <v>32.59</v>
      </c>
      <c r="G2873">
        <v>19.28</v>
      </c>
      <c r="H2873">
        <v>3.32</v>
      </c>
      <c r="I2873">
        <v>24.816</v>
      </c>
      <c r="J2873">
        <v>25.62</v>
      </c>
      <c r="K2873">
        <v>32.64</v>
      </c>
      <c r="L2873">
        <v>20.42</v>
      </c>
      <c r="M2873">
        <v>14.22</v>
      </c>
      <c r="N2873">
        <v>2.49</v>
      </c>
      <c r="O2873">
        <v>25.88</v>
      </c>
      <c r="P2873">
        <v>33.88</v>
      </c>
      <c r="Q2873">
        <v>19.63</v>
      </c>
      <c r="R2873">
        <v>8.37</v>
      </c>
    </row>
    <row r="2874">
      <c r="A2874" s="9">
        <v>41405</v>
      </c>
      <c r="B2874" s="2" t="inlineStr">
        <is>
          <t xml:space="preserve">2013-05</t>
        </is>
      </c>
      <c r="C2874" s="2" t="inlineStr">
        <is>
          <t xml:space="preserve">2012/13</t>
        </is>
      </c>
      <c r="D2874">
        <v>2.132</v>
      </c>
      <c r="E2874">
        <v>24.99</v>
      </c>
      <c r="F2874">
        <v>31.18</v>
      </c>
      <c r="G2874">
        <v>19.74</v>
      </c>
      <c r="H2874">
        <v>3.38</v>
      </c>
      <c r="I2874">
        <v>9.563</v>
      </c>
      <c r="J2874">
        <v>25.59</v>
      </c>
      <c r="K2874">
        <v>31.12</v>
      </c>
      <c r="L2874">
        <v>21.68</v>
      </c>
      <c r="M2874">
        <v>11.72</v>
      </c>
      <c r="N2874">
        <v>35.16</v>
      </c>
      <c r="O2874">
        <v>25.11</v>
      </c>
      <c r="P2874">
        <v>30.79</v>
      </c>
      <c r="Q2874">
        <v>21.54</v>
      </c>
      <c r="R2874">
        <v>15.18</v>
      </c>
    </row>
    <row r="2875">
      <c r="A2875" s="9">
        <v>41406</v>
      </c>
      <c r="B2875" s="2" t="inlineStr">
        <is>
          <t xml:space="preserve">2013-05</t>
        </is>
      </c>
      <c r="C2875" s="2" t="inlineStr">
        <is>
          <t xml:space="preserve">2012/13</t>
        </is>
      </c>
      <c r="D2875">
        <v>4.013</v>
      </c>
      <c r="E2875">
        <v>25.24</v>
      </c>
      <c r="F2875">
        <v>32.17</v>
      </c>
      <c r="G2875">
        <v>20.48</v>
      </c>
      <c r="H2875">
        <v>1.13</v>
      </c>
      <c r="I2875">
        <v>0.331</v>
      </c>
      <c r="J2875">
        <v>23.26</v>
      </c>
      <c r="K2875">
        <v>25.68</v>
      </c>
      <c r="L2875">
        <v>20.84</v>
      </c>
      <c r="M2875">
        <v>2.56</v>
      </c>
      <c r="N2875">
        <v>0.626</v>
      </c>
      <c r="O2875">
        <v>24.11</v>
      </c>
      <c r="P2875">
        <v>28.69</v>
      </c>
      <c r="Q2875">
        <v>21.34</v>
      </c>
      <c r="R2875">
        <v>0.7</v>
      </c>
    </row>
    <row r="2876">
      <c r="A2876" s="9">
        <v>41407</v>
      </c>
      <c r="B2876" s="2" t="inlineStr">
        <is>
          <t xml:space="preserve">2013-05</t>
        </is>
      </c>
      <c r="C2876" s="2" t="inlineStr">
        <is>
          <t xml:space="preserve">2012/13</t>
        </is>
      </c>
      <c r="D2876">
        <v>0.0</v>
      </c>
      <c r="E2876">
        <v>23.81</v>
      </c>
      <c r="F2876">
        <v>31.1</v>
      </c>
      <c r="G2876">
        <v>19.2</v>
      </c>
      <c r="H2876">
        <v>0.0</v>
      </c>
      <c r="I2876">
        <v>10.733</v>
      </c>
      <c r="J2876">
        <v>22.9</v>
      </c>
      <c r="K2876">
        <v>27.96</v>
      </c>
      <c r="L2876">
        <v>19.79</v>
      </c>
      <c r="M2876">
        <v>2.44</v>
      </c>
      <c r="N2876">
        <v>0.354</v>
      </c>
      <c r="O2876">
        <v>22.9</v>
      </c>
      <c r="P2876">
        <v>27.57</v>
      </c>
      <c r="Q2876">
        <v>20.16</v>
      </c>
      <c r="R2876">
        <v>1.39</v>
      </c>
    </row>
    <row r="2877">
      <c r="A2877" s="9">
        <v>41408</v>
      </c>
      <c r="B2877" s="2" t="inlineStr">
        <is>
          <t xml:space="preserve">2013-05</t>
        </is>
      </c>
      <c r="C2877" s="2" t="inlineStr">
        <is>
          <t xml:space="preserve">2012/13</t>
        </is>
      </c>
      <c r="D2877">
        <v>0.0</v>
      </c>
      <c r="E2877">
        <v>22.83</v>
      </c>
      <c r="F2877">
        <v>30.77</v>
      </c>
      <c r="G2877">
        <v>17.62</v>
      </c>
      <c r="H2877">
        <v>0.02</v>
      </c>
      <c r="I2877">
        <v>0.0</v>
      </c>
      <c r="J2877">
        <v>22.74</v>
      </c>
      <c r="K2877">
        <v>29.45</v>
      </c>
      <c r="L2877">
        <v>18.21</v>
      </c>
      <c r="M2877">
        <v>0.03</v>
      </c>
      <c r="N2877">
        <v>0.0</v>
      </c>
      <c r="O2877">
        <v>22.33</v>
      </c>
      <c r="P2877">
        <v>28.39</v>
      </c>
      <c r="Q2877">
        <v>18.01</v>
      </c>
      <c r="R2877">
        <v>0.2</v>
      </c>
    </row>
    <row r="2878">
      <c r="A2878" s="9">
        <v>41409</v>
      </c>
      <c r="B2878" s="2" t="inlineStr">
        <is>
          <t xml:space="preserve">2013-05</t>
        </is>
      </c>
      <c r="C2878" s="2" t="inlineStr">
        <is>
          <t xml:space="preserve">2012/13</t>
        </is>
      </c>
      <c r="D2878">
        <v>0.0</v>
      </c>
      <c r="E2878">
        <v>23.08</v>
      </c>
      <c r="F2878">
        <v>31.02</v>
      </c>
      <c r="G2878">
        <v>17.14</v>
      </c>
      <c r="H2878">
        <v>0.03</v>
      </c>
      <c r="I2878">
        <v>0.0</v>
      </c>
      <c r="J2878">
        <v>22.94</v>
      </c>
      <c r="K2878">
        <v>30.53</v>
      </c>
      <c r="L2878">
        <v>16.75</v>
      </c>
      <c r="M2878">
        <v>0.02</v>
      </c>
      <c r="N2878">
        <v>0.0</v>
      </c>
      <c r="O2878">
        <v>22.31</v>
      </c>
      <c r="P2878">
        <v>28.67</v>
      </c>
      <c r="Q2878">
        <v>17.21</v>
      </c>
      <c r="R2878">
        <v>0.1</v>
      </c>
    </row>
    <row r="2879">
      <c r="A2879" s="9">
        <v>41410</v>
      </c>
      <c r="B2879" s="2" t="inlineStr">
        <is>
          <t xml:space="preserve">2013-05</t>
        </is>
      </c>
      <c r="C2879" s="2" t="inlineStr">
        <is>
          <t xml:space="preserve">2012/13</t>
        </is>
      </c>
      <c r="D2879">
        <v>0.0</v>
      </c>
      <c r="E2879">
        <v>24.49</v>
      </c>
      <c r="F2879">
        <v>32.19</v>
      </c>
      <c r="G2879">
        <v>17.48</v>
      </c>
      <c r="H2879">
        <v>0.0</v>
      </c>
      <c r="I2879">
        <v>0.0</v>
      </c>
      <c r="J2879">
        <v>24.88</v>
      </c>
      <c r="K2879">
        <v>33.17</v>
      </c>
      <c r="L2879">
        <v>17.02</v>
      </c>
      <c r="M2879">
        <v>0.0</v>
      </c>
      <c r="N2879">
        <v>0.0</v>
      </c>
      <c r="O2879">
        <v>24.12</v>
      </c>
      <c r="P2879">
        <v>31.74</v>
      </c>
      <c r="Q2879">
        <v>17.83</v>
      </c>
      <c r="R2879">
        <v>0.0</v>
      </c>
    </row>
    <row r="2880">
      <c r="A2880" s="9">
        <v>41411</v>
      </c>
      <c r="B2880" s="2" t="inlineStr">
        <is>
          <t xml:space="preserve">2013-05</t>
        </is>
      </c>
      <c r="C2880" s="2" t="inlineStr">
        <is>
          <t xml:space="preserve">2012/13</t>
        </is>
      </c>
      <c r="D2880">
        <v>0.0</v>
      </c>
      <c r="E2880">
        <v>25.22</v>
      </c>
      <c r="F2880">
        <v>32.27</v>
      </c>
      <c r="G2880">
        <v>18.77</v>
      </c>
      <c r="H2880">
        <v>0.0</v>
      </c>
      <c r="I2880">
        <v>0.0</v>
      </c>
      <c r="J2880">
        <v>26.25</v>
      </c>
      <c r="K2880">
        <v>33.75</v>
      </c>
      <c r="L2880">
        <v>19.76</v>
      </c>
      <c r="M2880">
        <v>0.01</v>
      </c>
      <c r="N2880">
        <v>0.0</v>
      </c>
      <c r="O2880">
        <v>25.25</v>
      </c>
      <c r="P2880">
        <v>33.05</v>
      </c>
      <c r="Q2880">
        <v>18.7</v>
      </c>
      <c r="R2880">
        <v>0.0</v>
      </c>
    </row>
    <row r="2881">
      <c r="A2881" s="9">
        <v>41412</v>
      </c>
      <c r="B2881" s="2" t="inlineStr">
        <is>
          <t xml:space="preserve">2013-05</t>
        </is>
      </c>
      <c r="C2881" s="2" t="inlineStr">
        <is>
          <t xml:space="preserve">2012/13</t>
        </is>
      </c>
      <c r="D2881">
        <v>0.0</v>
      </c>
      <c r="E2881">
        <v>25.85</v>
      </c>
      <c r="F2881">
        <v>32.55</v>
      </c>
      <c r="G2881">
        <v>19.28</v>
      </c>
      <c r="H2881">
        <v>0.09</v>
      </c>
      <c r="I2881">
        <v>0.075</v>
      </c>
      <c r="J2881">
        <v>26.78</v>
      </c>
      <c r="K2881">
        <v>32.91</v>
      </c>
      <c r="L2881">
        <v>21.36</v>
      </c>
      <c r="M2881">
        <v>0.04</v>
      </c>
      <c r="N2881">
        <v>0.0</v>
      </c>
      <c r="O2881">
        <v>26.21</v>
      </c>
      <c r="P2881">
        <v>33.18</v>
      </c>
      <c r="Q2881">
        <v>20.5</v>
      </c>
      <c r="R2881">
        <v>0.01</v>
      </c>
    </row>
    <row r="2882">
      <c r="A2882" s="9">
        <v>41413</v>
      </c>
      <c r="B2882" s="2" t="inlineStr">
        <is>
          <t xml:space="preserve">2013-05</t>
        </is>
      </c>
      <c r="C2882" s="2" t="inlineStr">
        <is>
          <t xml:space="preserve">2012/13</t>
        </is>
      </c>
      <c r="D2882">
        <v>1.124</v>
      </c>
      <c r="E2882">
        <v>26.41</v>
      </c>
      <c r="F2882">
        <v>33.63</v>
      </c>
      <c r="G2882">
        <v>19.62</v>
      </c>
      <c r="H2882">
        <v>0.73</v>
      </c>
      <c r="I2882">
        <v>0.0</v>
      </c>
      <c r="J2882">
        <v>26.52</v>
      </c>
      <c r="K2882">
        <v>32.93</v>
      </c>
      <c r="L2882">
        <v>21.84</v>
      </c>
      <c r="M2882">
        <v>0.47</v>
      </c>
      <c r="N2882">
        <v>0.0</v>
      </c>
      <c r="O2882">
        <v>26.68</v>
      </c>
      <c r="P2882">
        <v>33.44</v>
      </c>
      <c r="Q2882">
        <v>21.37</v>
      </c>
      <c r="R2882">
        <v>0.4</v>
      </c>
    </row>
    <row r="2883">
      <c r="A2883" s="9">
        <v>41414</v>
      </c>
      <c r="B2883" s="2" t="inlineStr">
        <is>
          <t xml:space="preserve">2013-05</t>
        </is>
      </c>
      <c r="C2883" s="2" t="inlineStr">
        <is>
          <t xml:space="preserve">2012/13</t>
        </is>
      </c>
      <c r="D2883">
        <v>2.381</v>
      </c>
      <c r="E2883">
        <v>25.97</v>
      </c>
      <c r="F2883">
        <v>32.57</v>
      </c>
      <c r="G2883">
        <v>20.13</v>
      </c>
      <c r="H2883">
        <v>0.98</v>
      </c>
      <c r="I2883">
        <v>0.567</v>
      </c>
      <c r="J2883">
        <v>26.3</v>
      </c>
      <c r="K2883">
        <v>32.87</v>
      </c>
      <c r="L2883">
        <v>21.29</v>
      </c>
      <c r="M2883">
        <v>0.8</v>
      </c>
      <c r="N2883">
        <v>0.512</v>
      </c>
      <c r="O2883">
        <v>26.72</v>
      </c>
      <c r="P2883">
        <v>33.56</v>
      </c>
      <c r="Q2883">
        <v>21.18</v>
      </c>
      <c r="R2883">
        <v>0.68</v>
      </c>
    </row>
    <row r="2884">
      <c r="A2884" s="9">
        <v>41415</v>
      </c>
      <c r="B2884" s="2" t="inlineStr">
        <is>
          <t xml:space="preserve">2013-05</t>
        </is>
      </c>
      <c r="C2884" s="2" t="inlineStr">
        <is>
          <t xml:space="preserve">2012/13</t>
        </is>
      </c>
      <c r="D2884">
        <v>0.082</v>
      </c>
      <c r="E2884">
        <v>26.03</v>
      </c>
      <c r="F2884">
        <v>33.3</v>
      </c>
      <c r="G2884">
        <v>20.05</v>
      </c>
      <c r="H2884">
        <v>4.75</v>
      </c>
      <c r="I2884">
        <v>0.0</v>
      </c>
      <c r="J2884">
        <v>25.04</v>
      </c>
      <c r="K2884">
        <v>29.89</v>
      </c>
      <c r="L2884">
        <v>21.68</v>
      </c>
      <c r="M2884">
        <v>2.48</v>
      </c>
      <c r="N2884">
        <v>0.0</v>
      </c>
      <c r="O2884">
        <v>26.26</v>
      </c>
      <c r="P2884">
        <v>32.91</v>
      </c>
      <c r="Q2884">
        <v>21.2</v>
      </c>
      <c r="R2884">
        <v>2.74</v>
      </c>
    </row>
    <row r="2885">
      <c r="A2885" s="9">
        <v>41416</v>
      </c>
      <c r="B2885" s="2" t="inlineStr">
        <is>
          <t xml:space="preserve">2013-05</t>
        </is>
      </c>
      <c r="C2885" s="2" t="inlineStr">
        <is>
          <t xml:space="preserve">2012/13</t>
        </is>
      </c>
      <c r="D2885">
        <v>18.968</v>
      </c>
      <c r="E2885">
        <v>22.47</v>
      </c>
      <c r="F2885">
        <v>25.58</v>
      </c>
      <c r="G2885">
        <v>19.87</v>
      </c>
      <c r="H2885">
        <v>13.51</v>
      </c>
      <c r="I2885">
        <v>7.472</v>
      </c>
      <c r="J2885">
        <v>24.37</v>
      </c>
      <c r="K2885">
        <v>31.9</v>
      </c>
      <c r="L2885">
        <v>20.68</v>
      </c>
      <c r="M2885">
        <v>7.44</v>
      </c>
      <c r="N2885">
        <v>17.946</v>
      </c>
      <c r="O2885">
        <v>24.93</v>
      </c>
      <c r="P2885">
        <v>32.18</v>
      </c>
      <c r="Q2885">
        <v>21.29</v>
      </c>
      <c r="R2885">
        <v>8.25</v>
      </c>
    </row>
    <row r="2886">
      <c r="A2886" s="9">
        <v>41417</v>
      </c>
      <c r="B2886" s="2" t="inlineStr">
        <is>
          <t xml:space="preserve">2013-05</t>
        </is>
      </c>
      <c r="C2886" s="2" t="inlineStr">
        <is>
          <t xml:space="preserve">2012/13</t>
        </is>
      </c>
      <c r="D2886">
        <v>11.795</v>
      </c>
      <c r="E2886">
        <v>22.67</v>
      </c>
      <c r="F2886">
        <v>26.47</v>
      </c>
      <c r="G2886">
        <v>19.22</v>
      </c>
      <c r="H2886">
        <v>9.32</v>
      </c>
      <c r="I2886">
        <v>0.497</v>
      </c>
      <c r="J2886">
        <v>25.18</v>
      </c>
      <c r="K2886">
        <v>32.1</v>
      </c>
      <c r="L2886">
        <v>19.65</v>
      </c>
      <c r="M2886">
        <v>5.93</v>
      </c>
      <c r="N2886">
        <v>0.822</v>
      </c>
      <c r="O2886">
        <v>25.13</v>
      </c>
      <c r="P2886">
        <v>31.37</v>
      </c>
      <c r="Q2886">
        <v>20.73</v>
      </c>
      <c r="R2886">
        <v>5.72</v>
      </c>
    </row>
    <row r="2887">
      <c r="A2887" s="9">
        <v>41418</v>
      </c>
      <c r="B2887" s="2" t="inlineStr">
        <is>
          <t xml:space="preserve">2013-05</t>
        </is>
      </c>
      <c r="C2887" s="2" t="inlineStr">
        <is>
          <t xml:space="preserve">2012/13</t>
        </is>
      </c>
      <c r="D2887">
        <v>4.531</v>
      </c>
      <c r="E2887">
        <v>22.41</v>
      </c>
      <c r="F2887">
        <v>27.8</v>
      </c>
      <c r="G2887">
        <v>18.31</v>
      </c>
      <c r="H2887">
        <v>10.53</v>
      </c>
      <c r="I2887">
        <v>17.91</v>
      </c>
      <c r="J2887">
        <v>23.75</v>
      </c>
      <c r="K2887">
        <v>28.25</v>
      </c>
      <c r="L2887">
        <v>20.82</v>
      </c>
      <c r="M2887">
        <v>12.83</v>
      </c>
      <c r="N2887">
        <v>18.446</v>
      </c>
      <c r="O2887">
        <v>23.17</v>
      </c>
      <c r="P2887">
        <v>27.06</v>
      </c>
      <c r="Q2887">
        <v>21.07</v>
      </c>
      <c r="R2887">
        <v>7.69</v>
      </c>
    </row>
    <row r="2888">
      <c r="A2888" s="9">
        <v>41419</v>
      </c>
      <c r="B2888" s="2" t="inlineStr">
        <is>
          <t xml:space="preserve">2013-05</t>
        </is>
      </c>
      <c r="C2888" s="2" t="inlineStr">
        <is>
          <t xml:space="preserve">2012/13</t>
        </is>
      </c>
      <c r="D2888">
        <v>1.081</v>
      </c>
      <c r="E2888">
        <v>23.77</v>
      </c>
      <c r="F2888">
        <v>30.85</v>
      </c>
      <c r="G2888">
        <v>18.11</v>
      </c>
      <c r="H2888">
        <v>1.49</v>
      </c>
      <c r="I2888">
        <v>16.557</v>
      </c>
      <c r="J2888">
        <v>23.63</v>
      </c>
      <c r="K2888">
        <v>28.41</v>
      </c>
      <c r="L2888">
        <v>20.4</v>
      </c>
      <c r="M2888">
        <v>7.7</v>
      </c>
      <c r="N2888">
        <v>2.072</v>
      </c>
      <c r="O2888">
        <v>23.93</v>
      </c>
      <c r="P2888">
        <v>29.49</v>
      </c>
      <c r="Q2888">
        <v>20.65</v>
      </c>
      <c r="R2888">
        <v>5.52</v>
      </c>
    </row>
    <row r="2889">
      <c r="A2889" s="9">
        <v>41420</v>
      </c>
      <c r="B2889" s="2" t="inlineStr">
        <is>
          <t xml:space="preserve">2013-05</t>
        </is>
      </c>
      <c r="C2889" s="2" t="inlineStr">
        <is>
          <t xml:space="preserve">2012/13</t>
        </is>
      </c>
      <c r="D2889">
        <v>0.204</v>
      </c>
      <c r="E2889">
        <v>22.6</v>
      </c>
      <c r="F2889">
        <v>27.35</v>
      </c>
      <c r="G2889">
        <v>19.3</v>
      </c>
      <c r="H2889">
        <v>4.32</v>
      </c>
      <c r="I2889">
        <v>3.854</v>
      </c>
      <c r="J2889">
        <v>22.91</v>
      </c>
      <c r="K2889">
        <v>27.09</v>
      </c>
      <c r="L2889">
        <v>20.12</v>
      </c>
      <c r="M2889">
        <v>9.69</v>
      </c>
      <c r="N2889">
        <v>1.978</v>
      </c>
      <c r="O2889">
        <v>22.79</v>
      </c>
      <c r="P2889">
        <v>26.67</v>
      </c>
      <c r="Q2889">
        <v>20.85</v>
      </c>
      <c r="R2889">
        <v>14.06</v>
      </c>
    </row>
    <row r="2890">
      <c r="A2890" s="9">
        <v>41421</v>
      </c>
      <c r="B2890" s="2" t="inlineStr">
        <is>
          <t xml:space="preserve">2013-05</t>
        </is>
      </c>
      <c r="C2890" s="2" t="inlineStr">
        <is>
          <t xml:space="preserve">2012/13</t>
        </is>
      </c>
      <c r="D2890">
        <v>11.532</v>
      </c>
      <c r="E2890">
        <v>22.19</v>
      </c>
      <c r="F2890">
        <v>27.29</v>
      </c>
      <c r="G2890">
        <v>19.07</v>
      </c>
      <c r="H2890">
        <v>17.76</v>
      </c>
      <c r="I2890">
        <v>34.126</v>
      </c>
      <c r="J2890">
        <v>22.14</v>
      </c>
      <c r="K2890">
        <v>26.21</v>
      </c>
      <c r="L2890">
        <v>18.25</v>
      </c>
      <c r="M2890">
        <v>30.82</v>
      </c>
      <c r="N2890">
        <v>39.109</v>
      </c>
      <c r="O2890">
        <v>22.04</v>
      </c>
      <c r="P2890">
        <v>24.65</v>
      </c>
      <c r="Q2890">
        <v>20.39</v>
      </c>
      <c r="R2890">
        <v>40.19</v>
      </c>
    </row>
    <row r="2891">
      <c r="A2891" s="9">
        <v>41422</v>
      </c>
      <c r="B2891" s="2" t="inlineStr">
        <is>
          <t xml:space="preserve">2013-05</t>
        </is>
      </c>
      <c r="C2891" s="2" t="inlineStr">
        <is>
          <t xml:space="preserve">2012/13</t>
        </is>
      </c>
      <c r="D2891">
        <v>37.847</v>
      </c>
      <c r="E2891">
        <v>21.67</v>
      </c>
      <c r="F2891">
        <v>25.58</v>
      </c>
      <c r="G2891">
        <v>19.31</v>
      </c>
      <c r="H2891">
        <v>18.9</v>
      </c>
      <c r="I2891">
        <v>3.812</v>
      </c>
      <c r="J2891">
        <v>22.94</v>
      </c>
      <c r="K2891">
        <v>28.43</v>
      </c>
      <c r="L2891">
        <v>18.94</v>
      </c>
      <c r="M2891">
        <v>6.41</v>
      </c>
      <c r="N2891">
        <v>6.595</v>
      </c>
      <c r="O2891">
        <v>22.54</v>
      </c>
      <c r="P2891">
        <v>26.66</v>
      </c>
      <c r="Q2891">
        <v>19.74</v>
      </c>
      <c r="R2891">
        <v>7.39</v>
      </c>
    </row>
    <row r="2892">
      <c r="A2892" s="9">
        <v>41423</v>
      </c>
      <c r="B2892" s="2" t="inlineStr">
        <is>
          <t xml:space="preserve">2013-05</t>
        </is>
      </c>
      <c r="C2892" s="2" t="inlineStr">
        <is>
          <t xml:space="preserve">2012/13</t>
        </is>
      </c>
      <c r="D2892">
        <v>10.011</v>
      </c>
      <c r="E2892">
        <v>21.93</v>
      </c>
      <c r="F2892">
        <v>25.39</v>
      </c>
      <c r="G2892">
        <v>19.34</v>
      </c>
      <c r="H2892">
        <v>19.45</v>
      </c>
      <c r="I2892">
        <v>3.037</v>
      </c>
      <c r="J2892">
        <v>22.64</v>
      </c>
      <c r="K2892">
        <v>27.04</v>
      </c>
      <c r="L2892">
        <v>18.65</v>
      </c>
      <c r="M2892">
        <v>4.0</v>
      </c>
      <c r="N2892">
        <v>2.959</v>
      </c>
      <c r="O2892">
        <v>22.49</v>
      </c>
      <c r="P2892">
        <v>25.13</v>
      </c>
      <c r="Q2892">
        <v>20.42</v>
      </c>
      <c r="R2892">
        <v>2.99</v>
      </c>
    </row>
    <row r="2893">
      <c r="A2893" s="9">
        <v>41424</v>
      </c>
      <c r="B2893" s="2" t="inlineStr">
        <is>
          <t xml:space="preserve">2013-05</t>
        </is>
      </c>
      <c r="C2893" s="2" t="inlineStr">
        <is>
          <t xml:space="preserve">2012/13</t>
        </is>
      </c>
      <c r="D2893">
        <v>17.315</v>
      </c>
      <c r="E2893">
        <v>22.51</v>
      </c>
      <c r="F2893">
        <v>27.35</v>
      </c>
      <c r="G2893">
        <v>19.11</v>
      </c>
      <c r="H2893">
        <v>12.61</v>
      </c>
      <c r="I2893">
        <v>1.358</v>
      </c>
      <c r="J2893">
        <v>23.76</v>
      </c>
      <c r="K2893">
        <v>30.65</v>
      </c>
      <c r="L2893">
        <v>18.37</v>
      </c>
      <c r="M2893">
        <v>1.78</v>
      </c>
      <c r="N2893">
        <v>3.178</v>
      </c>
      <c r="O2893">
        <v>23.57</v>
      </c>
      <c r="P2893">
        <v>28.8</v>
      </c>
      <c r="Q2893">
        <v>19.22</v>
      </c>
      <c r="R2893">
        <v>2.08</v>
      </c>
    </row>
    <row r="2894">
      <c r="A2894" s="9">
        <v>41425</v>
      </c>
      <c r="B2894" s="2" t="inlineStr">
        <is>
          <t xml:space="preserve">2013-05</t>
        </is>
      </c>
      <c r="C2894" s="2" t="inlineStr">
        <is>
          <t xml:space="preserve">2012/13</t>
        </is>
      </c>
      <c r="D2894">
        <v>14.291</v>
      </c>
      <c r="E2894">
        <v>22.63</v>
      </c>
      <c r="F2894">
        <v>27.49</v>
      </c>
      <c r="G2894">
        <v>19.43</v>
      </c>
      <c r="H2894">
        <v>14.01</v>
      </c>
      <c r="I2894">
        <v>1.062</v>
      </c>
      <c r="J2894">
        <v>23.11</v>
      </c>
      <c r="K2894">
        <v>27.7</v>
      </c>
      <c r="L2894">
        <v>19.36</v>
      </c>
      <c r="M2894">
        <v>2.09</v>
      </c>
      <c r="N2894">
        <v>0.088</v>
      </c>
      <c r="O2894">
        <v>23.38</v>
      </c>
      <c r="P2894">
        <v>28.82</v>
      </c>
      <c r="Q2894">
        <v>20.03</v>
      </c>
      <c r="R2894">
        <v>4.78</v>
      </c>
    </row>
    <row r="2895">
      <c r="A2895" s="9">
        <v>41426</v>
      </c>
      <c r="B2895" s="2" t="inlineStr">
        <is>
          <t xml:space="preserve">2013-06</t>
        </is>
      </c>
      <c r="C2895" s="2" t="inlineStr">
        <is>
          <t xml:space="preserve">2012/13</t>
        </is>
      </c>
      <c r="D2895">
        <v>2.955</v>
      </c>
      <c r="E2895">
        <v>22.49</v>
      </c>
      <c r="F2895">
        <v>27.13</v>
      </c>
      <c r="G2895">
        <v>19.3</v>
      </c>
      <c r="H2895">
        <v>3.16</v>
      </c>
      <c r="I2895">
        <v>0.676</v>
      </c>
      <c r="J2895">
        <v>23.3</v>
      </c>
      <c r="K2895">
        <v>28.09</v>
      </c>
      <c r="L2895">
        <v>20.11</v>
      </c>
      <c r="M2895">
        <v>1.44</v>
      </c>
      <c r="N2895">
        <v>0.775</v>
      </c>
      <c r="O2895">
        <v>24.02</v>
      </c>
      <c r="P2895">
        <v>29.27</v>
      </c>
      <c r="Q2895">
        <v>20.28</v>
      </c>
      <c r="R2895">
        <v>2.01</v>
      </c>
    </row>
    <row r="2896">
      <c r="A2896" s="9">
        <v>41427</v>
      </c>
      <c r="B2896" s="2" t="inlineStr">
        <is>
          <t xml:space="preserve">2013-06</t>
        </is>
      </c>
      <c r="C2896" s="2" t="inlineStr">
        <is>
          <t xml:space="preserve">2012/13</t>
        </is>
      </c>
      <c r="D2896">
        <v>0.386</v>
      </c>
      <c r="E2896">
        <v>22.37</v>
      </c>
      <c r="F2896">
        <v>26.92</v>
      </c>
      <c r="G2896">
        <v>18.21</v>
      </c>
      <c r="H2896">
        <v>1.37</v>
      </c>
      <c r="I2896">
        <v>0.472</v>
      </c>
      <c r="J2896">
        <v>23.96</v>
      </c>
      <c r="K2896">
        <v>30.34</v>
      </c>
      <c r="L2896">
        <v>19.52</v>
      </c>
      <c r="M2896">
        <v>0.74</v>
      </c>
      <c r="N2896">
        <v>0.0</v>
      </c>
      <c r="O2896">
        <v>24.26</v>
      </c>
      <c r="P2896">
        <v>29.87</v>
      </c>
      <c r="Q2896">
        <v>19.8</v>
      </c>
      <c r="R2896">
        <v>1.54</v>
      </c>
    </row>
    <row r="2897">
      <c r="A2897" s="9">
        <v>41428</v>
      </c>
      <c r="B2897" s="2" t="inlineStr">
        <is>
          <t xml:space="preserve">2013-06</t>
        </is>
      </c>
      <c r="C2897" s="2" t="inlineStr">
        <is>
          <t xml:space="preserve">2012/13</t>
        </is>
      </c>
      <c r="D2897">
        <v>0.254</v>
      </c>
      <c r="E2897">
        <v>22.33</v>
      </c>
      <c r="F2897">
        <v>26.04</v>
      </c>
      <c r="G2897">
        <v>19.32</v>
      </c>
      <c r="H2897">
        <v>7.41</v>
      </c>
      <c r="I2897">
        <v>0.352</v>
      </c>
      <c r="J2897">
        <v>23.45</v>
      </c>
      <c r="K2897">
        <v>28.47</v>
      </c>
      <c r="L2897">
        <v>19.73</v>
      </c>
      <c r="M2897">
        <v>1.67</v>
      </c>
      <c r="N2897">
        <v>1.851</v>
      </c>
      <c r="O2897">
        <v>23.49</v>
      </c>
      <c r="P2897">
        <v>27.63</v>
      </c>
      <c r="Q2897">
        <v>20.36</v>
      </c>
      <c r="R2897">
        <v>3.18</v>
      </c>
    </row>
    <row r="2898">
      <c r="A2898" s="9">
        <v>41429</v>
      </c>
      <c r="B2898" s="2" t="inlineStr">
        <is>
          <t xml:space="preserve">2013-06</t>
        </is>
      </c>
      <c r="C2898" s="2" t="inlineStr">
        <is>
          <t xml:space="preserve">2012/13</t>
        </is>
      </c>
      <c r="D2898">
        <v>12.649</v>
      </c>
      <c r="E2898">
        <v>22.16</v>
      </c>
      <c r="F2898">
        <v>25.63</v>
      </c>
      <c r="G2898">
        <v>19.6</v>
      </c>
      <c r="H2898">
        <v>8.78</v>
      </c>
      <c r="I2898">
        <v>2.65</v>
      </c>
      <c r="J2898">
        <v>23.44</v>
      </c>
      <c r="K2898">
        <v>28.72</v>
      </c>
      <c r="L2898">
        <v>19.72</v>
      </c>
      <c r="M2898">
        <v>3.31</v>
      </c>
      <c r="N2898">
        <v>4.321</v>
      </c>
      <c r="O2898">
        <v>23.27</v>
      </c>
      <c r="P2898">
        <v>28.29</v>
      </c>
      <c r="Q2898">
        <v>19.67</v>
      </c>
      <c r="R2898">
        <v>3.82</v>
      </c>
    </row>
    <row r="2899">
      <c r="A2899" s="9">
        <v>41430</v>
      </c>
      <c r="B2899" s="2" t="inlineStr">
        <is>
          <t xml:space="preserve">2013-06</t>
        </is>
      </c>
      <c r="C2899" s="2" t="inlineStr">
        <is>
          <t xml:space="preserve">2012/13</t>
        </is>
      </c>
      <c r="D2899">
        <v>0.127</v>
      </c>
      <c r="E2899">
        <v>22.65</v>
      </c>
      <c r="F2899">
        <v>27.51</v>
      </c>
      <c r="G2899">
        <v>19.02</v>
      </c>
      <c r="H2899">
        <v>2.28</v>
      </c>
      <c r="I2899">
        <v>0.1</v>
      </c>
      <c r="J2899">
        <v>24.24</v>
      </c>
      <c r="K2899">
        <v>30.49</v>
      </c>
      <c r="L2899">
        <v>19.78</v>
      </c>
      <c r="M2899">
        <v>0.78</v>
      </c>
      <c r="N2899">
        <v>0.173</v>
      </c>
      <c r="O2899">
        <v>24.45</v>
      </c>
      <c r="P2899">
        <v>30.9</v>
      </c>
      <c r="Q2899">
        <v>19.77</v>
      </c>
      <c r="R2899">
        <v>0.99</v>
      </c>
    </row>
    <row r="2900">
      <c r="A2900" s="9">
        <v>41431</v>
      </c>
      <c r="B2900" s="2" t="inlineStr">
        <is>
          <t xml:space="preserve">2013-06</t>
        </is>
      </c>
      <c r="C2900" s="2" t="inlineStr">
        <is>
          <t xml:space="preserve">2012/13</t>
        </is>
      </c>
      <c r="D2900">
        <v>3.275</v>
      </c>
      <c r="E2900">
        <v>23.43</v>
      </c>
      <c r="F2900">
        <v>29.02</v>
      </c>
      <c r="G2900">
        <v>18.75</v>
      </c>
      <c r="H2900">
        <v>7.18</v>
      </c>
      <c r="I2900">
        <v>0.0</v>
      </c>
      <c r="J2900">
        <v>24.83</v>
      </c>
      <c r="K2900">
        <v>31.96</v>
      </c>
      <c r="L2900">
        <v>19.18</v>
      </c>
      <c r="M2900">
        <v>2.69</v>
      </c>
      <c r="N2900">
        <v>0.722</v>
      </c>
      <c r="O2900">
        <v>24.72</v>
      </c>
      <c r="P2900">
        <v>32.05</v>
      </c>
      <c r="Q2900">
        <v>19.18</v>
      </c>
      <c r="R2900">
        <v>3.21</v>
      </c>
    </row>
    <row r="2901">
      <c r="A2901" s="9">
        <v>41432</v>
      </c>
      <c r="B2901" s="2" t="inlineStr">
        <is>
          <t xml:space="preserve">2013-06</t>
        </is>
      </c>
      <c r="C2901" s="2" t="inlineStr">
        <is>
          <t xml:space="preserve">2012/13</t>
        </is>
      </c>
      <c r="D2901">
        <v>24.837</v>
      </c>
      <c r="E2901">
        <v>22.61</v>
      </c>
      <c r="F2901">
        <v>26.06</v>
      </c>
      <c r="G2901">
        <v>19.19</v>
      </c>
      <c r="H2901">
        <v>9.73</v>
      </c>
      <c r="I2901">
        <v>4.629</v>
      </c>
      <c r="J2901">
        <v>24.01</v>
      </c>
      <c r="K2901">
        <v>29.45</v>
      </c>
      <c r="L2901">
        <v>19.77</v>
      </c>
      <c r="M2901">
        <v>5.77</v>
      </c>
      <c r="N2901">
        <v>6.928</v>
      </c>
      <c r="O2901">
        <v>24.1</v>
      </c>
      <c r="P2901">
        <v>28.85</v>
      </c>
      <c r="Q2901">
        <v>20.58</v>
      </c>
      <c r="R2901">
        <v>6.17</v>
      </c>
    </row>
    <row r="2902">
      <c r="A2902" s="9">
        <v>41433</v>
      </c>
      <c r="B2902" s="2" t="inlineStr">
        <is>
          <t xml:space="preserve">2013-06</t>
        </is>
      </c>
      <c r="C2902" s="2" t="inlineStr">
        <is>
          <t xml:space="preserve">2012/13</t>
        </is>
      </c>
      <c r="D2902">
        <v>1.246</v>
      </c>
      <c r="E2902">
        <v>22.61</v>
      </c>
      <c r="F2902">
        <v>26.1</v>
      </c>
      <c r="G2902">
        <v>20.22</v>
      </c>
      <c r="H2902">
        <v>0.77</v>
      </c>
      <c r="I2902">
        <v>0.457</v>
      </c>
      <c r="J2902">
        <v>23.4</v>
      </c>
      <c r="K2902">
        <v>27.21</v>
      </c>
      <c r="L2902">
        <v>20.95</v>
      </c>
      <c r="M2902">
        <v>3.38</v>
      </c>
      <c r="N2902">
        <v>0.792</v>
      </c>
      <c r="O2902">
        <v>22.85</v>
      </c>
      <c r="P2902">
        <v>26.03</v>
      </c>
      <c r="Q2902">
        <v>20.28</v>
      </c>
      <c r="R2902">
        <v>2.1</v>
      </c>
    </row>
    <row r="2903">
      <c r="A2903" s="9">
        <v>41434</v>
      </c>
      <c r="B2903" s="2" t="inlineStr">
        <is>
          <t xml:space="preserve">2013-06</t>
        </is>
      </c>
      <c r="C2903" s="2" t="inlineStr">
        <is>
          <t xml:space="preserve">2012/13</t>
        </is>
      </c>
      <c r="D2903">
        <v>0.176</v>
      </c>
      <c r="E2903">
        <v>22.92</v>
      </c>
      <c r="F2903">
        <v>28.37</v>
      </c>
      <c r="G2903">
        <v>17.73</v>
      </c>
      <c r="H2903">
        <v>0.29</v>
      </c>
      <c r="I2903">
        <v>17.231</v>
      </c>
      <c r="J2903">
        <v>24.39</v>
      </c>
      <c r="K2903">
        <v>29.06</v>
      </c>
      <c r="L2903">
        <v>20.51</v>
      </c>
      <c r="M2903">
        <v>9.45</v>
      </c>
      <c r="N2903">
        <v>1.085</v>
      </c>
      <c r="O2903">
        <v>23.82</v>
      </c>
      <c r="P2903">
        <v>28.43</v>
      </c>
      <c r="Q2903">
        <v>21.15</v>
      </c>
      <c r="R2903">
        <v>4.4</v>
      </c>
    </row>
    <row r="2904">
      <c r="A2904" s="9">
        <v>41435</v>
      </c>
      <c r="B2904" s="2" t="inlineStr">
        <is>
          <t xml:space="preserve">2013-06</t>
        </is>
      </c>
      <c r="C2904" s="2" t="inlineStr">
        <is>
          <t xml:space="preserve">2012/13</t>
        </is>
      </c>
      <c r="D2904">
        <v>3.86</v>
      </c>
      <c r="E2904">
        <v>22.78</v>
      </c>
      <c r="F2904">
        <v>27.32</v>
      </c>
      <c r="G2904">
        <v>18.7</v>
      </c>
      <c r="H2904">
        <v>3.97</v>
      </c>
      <c r="I2904">
        <v>13.992</v>
      </c>
      <c r="J2904">
        <v>24.17</v>
      </c>
      <c r="K2904">
        <v>29.81</v>
      </c>
      <c r="L2904">
        <v>20.2</v>
      </c>
      <c r="M2904">
        <v>7.74</v>
      </c>
      <c r="N2904">
        <v>1.05</v>
      </c>
      <c r="O2904">
        <v>24.03</v>
      </c>
      <c r="P2904">
        <v>29.26</v>
      </c>
      <c r="Q2904">
        <v>20.83</v>
      </c>
      <c r="R2904">
        <v>3.55</v>
      </c>
    </row>
    <row r="2905">
      <c r="A2905" s="9">
        <v>41436</v>
      </c>
      <c r="B2905" s="2" t="inlineStr">
        <is>
          <t xml:space="preserve">2013-06</t>
        </is>
      </c>
      <c r="C2905" s="2" t="inlineStr">
        <is>
          <t xml:space="preserve">2012/13</t>
        </is>
      </c>
      <c r="D2905">
        <v>3.834</v>
      </c>
      <c r="E2905">
        <v>22.96</v>
      </c>
      <c r="F2905">
        <v>27.74</v>
      </c>
      <c r="G2905">
        <v>19.36</v>
      </c>
      <c r="H2905">
        <v>1.64</v>
      </c>
      <c r="I2905">
        <v>3.125</v>
      </c>
      <c r="J2905">
        <v>24.12</v>
      </c>
      <c r="K2905">
        <v>28.14</v>
      </c>
      <c r="L2905">
        <v>20.75</v>
      </c>
      <c r="M2905">
        <v>6.36</v>
      </c>
      <c r="N2905">
        <v>2.038</v>
      </c>
      <c r="O2905">
        <v>23.82</v>
      </c>
      <c r="P2905">
        <v>28.0</v>
      </c>
      <c r="Q2905">
        <v>21.18</v>
      </c>
      <c r="R2905">
        <v>2.84</v>
      </c>
    </row>
    <row r="2906">
      <c r="A2906" s="9">
        <v>41437</v>
      </c>
      <c r="B2906" s="2" t="inlineStr">
        <is>
          <t xml:space="preserve">2013-06</t>
        </is>
      </c>
      <c r="C2906" s="2" t="inlineStr">
        <is>
          <t xml:space="preserve">2012/13</t>
        </is>
      </c>
      <c r="D2906">
        <v>1.018</v>
      </c>
      <c r="E2906">
        <v>22.79</v>
      </c>
      <c r="F2906">
        <v>28.16</v>
      </c>
      <c r="G2906">
        <v>18.65</v>
      </c>
      <c r="H2906">
        <v>2.92</v>
      </c>
      <c r="I2906">
        <v>16.702</v>
      </c>
      <c r="J2906">
        <v>23.59</v>
      </c>
      <c r="K2906">
        <v>27.6</v>
      </c>
      <c r="L2906">
        <v>20.63</v>
      </c>
      <c r="M2906">
        <v>6.55</v>
      </c>
      <c r="N2906">
        <v>2.77</v>
      </c>
      <c r="O2906">
        <v>23.48</v>
      </c>
      <c r="P2906">
        <v>27.77</v>
      </c>
      <c r="Q2906">
        <v>21.01</v>
      </c>
      <c r="R2906">
        <v>4.71</v>
      </c>
    </row>
    <row r="2907">
      <c r="A2907" s="9">
        <v>41438</v>
      </c>
      <c r="B2907" s="2" t="inlineStr">
        <is>
          <t xml:space="preserve">2013-06</t>
        </is>
      </c>
      <c r="C2907" s="2" t="inlineStr">
        <is>
          <t xml:space="preserve">2012/13</t>
        </is>
      </c>
      <c r="D2907">
        <v>3.619</v>
      </c>
      <c r="E2907">
        <v>22.37</v>
      </c>
      <c r="F2907">
        <v>26.16</v>
      </c>
      <c r="G2907">
        <v>19.16</v>
      </c>
      <c r="H2907">
        <v>2.92</v>
      </c>
      <c r="I2907">
        <v>4.99</v>
      </c>
      <c r="J2907">
        <v>23.22</v>
      </c>
      <c r="K2907">
        <v>26.95</v>
      </c>
      <c r="L2907">
        <v>20.69</v>
      </c>
      <c r="M2907">
        <v>8.7</v>
      </c>
      <c r="N2907">
        <v>8.475</v>
      </c>
      <c r="O2907">
        <v>23.37</v>
      </c>
      <c r="P2907">
        <v>26.95</v>
      </c>
      <c r="Q2907">
        <v>21.53</v>
      </c>
      <c r="R2907">
        <v>6.08</v>
      </c>
    </row>
    <row r="2908">
      <c r="A2908" s="9">
        <v>41439</v>
      </c>
      <c r="B2908" s="2" t="inlineStr">
        <is>
          <t xml:space="preserve">2013-06</t>
        </is>
      </c>
      <c r="C2908" s="2" t="inlineStr">
        <is>
          <t xml:space="preserve">2012/13</t>
        </is>
      </c>
      <c r="D2908">
        <v>4.705</v>
      </c>
      <c r="E2908">
        <v>22.03</v>
      </c>
      <c r="F2908">
        <v>27.52</v>
      </c>
      <c r="G2908">
        <v>17.18</v>
      </c>
      <c r="H2908">
        <v>4.34</v>
      </c>
      <c r="I2908">
        <v>25.359</v>
      </c>
      <c r="J2908">
        <v>23.65</v>
      </c>
      <c r="K2908">
        <v>27.73</v>
      </c>
      <c r="L2908">
        <v>20.89</v>
      </c>
      <c r="M2908">
        <v>10.53</v>
      </c>
      <c r="N2908">
        <v>6.82</v>
      </c>
      <c r="O2908">
        <v>23.75</v>
      </c>
      <c r="P2908">
        <v>28.33</v>
      </c>
      <c r="Q2908">
        <v>20.97</v>
      </c>
      <c r="R2908">
        <v>4.98</v>
      </c>
    </row>
    <row r="2909">
      <c r="A2909" s="9">
        <v>41440</v>
      </c>
      <c r="B2909" s="2" t="inlineStr">
        <is>
          <t xml:space="preserve">2013-06</t>
        </is>
      </c>
      <c r="C2909" s="2" t="inlineStr">
        <is>
          <t xml:space="preserve">2012/13</t>
        </is>
      </c>
      <c r="D2909">
        <v>1.887</v>
      </c>
      <c r="E2909">
        <v>22.68</v>
      </c>
      <c r="F2909">
        <v>28.18</v>
      </c>
      <c r="G2909">
        <v>18.43</v>
      </c>
      <c r="H2909">
        <v>2.05</v>
      </c>
      <c r="I2909">
        <v>0.462</v>
      </c>
      <c r="J2909">
        <v>23.81</v>
      </c>
      <c r="K2909">
        <v>28.74</v>
      </c>
      <c r="L2909">
        <v>20.27</v>
      </c>
      <c r="M2909">
        <v>2.73</v>
      </c>
      <c r="N2909">
        <v>0.959</v>
      </c>
      <c r="O2909">
        <v>23.55</v>
      </c>
      <c r="P2909">
        <v>28.28</v>
      </c>
      <c r="Q2909">
        <v>20.33</v>
      </c>
      <c r="R2909">
        <v>5.81</v>
      </c>
    </row>
    <row r="2910">
      <c r="A2910" s="9">
        <v>41441</v>
      </c>
      <c r="B2910" s="2" t="inlineStr">
        <is>
          <t xml:space="preserve">2013-06</t>
        </is>
      </c>
      <c r="C2910" s="2" t="inlineStr">
        <is>
          <t xml:space="preserve">2012/13</t>
        </is>
      </c>
      <c r="D2910">
        <v>2.325</v>
      </c>
      <c r="E2910">
        <v>21.58</v>
      </c>
      <c r="F2910">
        <v>25.65</v>
      </c>
      <c r="G2910">
        <v>18.69</v>
      </c>
      <c r="H2910">
        <v>4.02</v>
      </c>
      <c r="I2910">
        <v>4.655</v>
      </c>
      <c r="J2910">
        <v>23.04</v>
      </c>
      <c r="K2910">
        <v>27.42</v>
      </c>
      <c r="L2910">
        <v>19.87</v>
      </c>
      <c r="M2910">
        <v>7.93</v>
      </c>
      <c r="N2910">
        <v>11.29</v>
      </c>
      <c r="O2910">
        <v>22.76</v>
      </c>
      <c r="P2910">
        <v>26.83</v>
      </c>
      <c r="Q2910">
        <v>20.08</v>
      </c>
      <c r="R2910">
        <v>13.84</v>
      </c>
    </row>
    <row r="2911">
      <c r="A2911" s="9">
        <v>41442</v>
      </c>
      <c r="B2911" s="2" t="inlineStr">
        <is>
          <t xml:space="preserve">2013-06</t>
        </is>
      </c>
      <c r="C2911" s="2" t="inlineStr">
        <is>
          <t xml:space="preserve">2012/13</t>
        </is>
      </c>
      <c r="D2911">
        <v>5.729</v>
      </c>
      <c r="E2911">
        <v>21.2</v>
      </c>
      <c r="F2911">
        <v>24.89</v>
      </c>
      <c r="G2911">
        <v>18.01</v>
      </c>
      <c r="H2911">
        <v>11.31</v>
      </c>
      <c r="I2911">
        <v>5.237</v>
      </c>
      <c r="J2911">
        <v>22.37</v>
      </c>
      <c r="K2911">
        <v>27.06</v>
      </c>
      <c r="L2911">
        <v>18.09</v>
      </c>
      <c r="M2911">
        <v>9.03</v>
      </c>
      <c r="N2911">
        <v>9.76</v>
      </c>
      <c r="O2911">
        <v>21.1</v>
      </c>
      <c r="P2911">
        <v>23.83</v>
      </c>
      <c r="Q2911">
        <v>18.34</v>
      </c>
      <c r="R2911">
        <v>20.2</v>
      </c>
    </row>
    <row r="2912">
      <c r="A2912" s="9">
        <v>41443</v>
      </c>
      <c r="B2912" s="2" t="inlineStr">
        <is>
          <t xml:space="preserve">2013-06</t>
        </is>
      </c>
      <c r="C2912" s="2" t="inlineStr">
        <is>
          <t xml:space="preserve">2012/13</t>
        </is>
      </c>
      <c r="D2912">
        <v>5.499</v>
      </c>
      <c r="E2912">
        <v>22.51</v>
      </c>
      <c r="F2912">
        <v>27.0</v>
      </c>
      <c r="G2912">
        <v>18.44</v>
      </c>
      <c r="H2912">
        <v>5.3</v>
      </c>
      <c r="I2912">
        <v>6.334</v>
      </c>
      <c r="J2912">
        <v>23.72</v>
      </c>
      <c r="K2912">
        <v>28.04</v>
      </c>
      <c r="L2912">
        <v>19.93</v>
      </c>
      <c r="M2912">
        <v>6.04</v>
      </c>
      <c r="N2912">
        <v>11.937</v>
      </c>
      <c r="O2912">
        <v>23.3</v>
      </c>
      <c r="P2912">
        <v>28.1</v>
      </c>
      <c r="Q2912">
        <v>19.62</v>
      </c>
      <c r="R2912">
        <v>6.65</v>
      </c>
    </row>
    <row r="2913">
      <c r="A2913" s="9">
        <v>41444</v>
      </c>
      <c r="B2913" s="2" t="inlineStr">
        <is>
          <t xml:space="preserve">2013-06</t>
        </is>
      </c>
      <c r="C2913" s="2" t="inlineStr">
        <is>
          <t xml:space="preserve">2012/13</t>
        </is>
      </c>
      <c r="D2913">
        <v>0.335</v>
      </c>
      <c r="E2913">
        <v>22.7</v>
      </c>
      <c r="F2913">
        <v>27.56</v>
      </c>
      <c r="G2913">
        <v>18.23</v>
      </c>
      <c r="H2913">
        <v>1.94</v>
      </c>
      <c r="I2913">
        <v>1.186</v>
      </c>
      <c r="J2913">
        <v>23.61</v>
      </c>
      <c r="K2913">
        <v>26.98</v>
      </c>
      <c r="L2913">
        <v>21.26</v>
      </c>
      <c r="M2913">
        <v>3.68</v>
      </c>
      <c r="N2913">
        <v>0.832</v>
      </c>
      <c r="O2913">
        <v>23.65</v>
      </c>
      <c r="P2913">
        <v>27.69</v>
      </c>
      <c r="Q2913">
        <v>20.95</v>
      </c>
      <c r="R2913">
        <v>2.36</v>
      </c>
    </row>
    <row r="2914">
      <c r="A2914" s="9">
        <v>41445</v>
      </c>
      <c r="B2914" s="2" t="inlineStr">
        <is>
          <t xml:space="preserve">2013-06</t>
        </is>
      </c>
      <c r="C2914" s="2" t="inlineStr">
        <is>
          <t xml:space="preserve">2012/13</t>
        </is>
      </c>
      <c r="D2914">
        <v>2.951</v>
      </c>
      <c r="E2914">
        <v>21.83</v>
      </c>
      <c r="F2914">
        <v>25.06</v>
      </c>
      <c r="G2914">
        <v>19.38</v>
      </c>
      <c r="H2914">
        <v>9.12</v>
      </c>
      <c r="I2914">
        <v>6.096</v>
      </c>
      <c r="J2914">
        <v>22.69</v>
      </c>
      <c r="K2914">
        <v>25.76</v>
      </c>
      <c r="L2914">
        <v>20.5</v>
      </c>
      <c r="M2914">
        <v>5.42</v>
      </c>
      <c r="N2914">
        <v>0.713</v>
      </c>
      <c r="O2914">
        <v>22.91</v>
      </c>
      <c r="P2914">
        <v>25.76</v>
      </c>
      <c r="Q2914">
        <v>21.12</v>
      </c>
      <c r="R2914">
        <v>7.16</v>
      </c>
    </row>
    <row r="2915">
      <c r="A2915" s="9">
        <v>41446</v>
      </c>
      <c r="B2915" s="2" t="inlineStr">
        <is>
          <t xml:space="preserve">2013-06</t>
        </is>
      </c>
      <c r="C2915" s="2" t="inlineStr">
        <is>
          <t xml:space="preserve">2012/13</t>
        </is>
      </c>
      <c r="D2915">
        <v>6.559</v>
      </c>
      <c r="E2915">
        <v>21.43</v>
      </c>
      <c r="F2915">
        <v>25.25</v>
      </c>
      <c r="G2915">
        <v>18.9</v>
      </c>
      <c r="H2915">
        <v>9.73</v>
      </c>
      <c r="I2915">
        <v>3.582</v>
      </c>
      <c r="J2915">
        <v>22.25</v>
      </c>
      <c r="K2915">
        <v>25.06</v>
      </c>
      <c r="L2915">
        <v>19.92</v>
      </c>
      <c r="M2915">
        <v>7.13</v>
      </c>
      <c r="N2915">
        <v>2.878</v>
      </c>
      <c r="O2915">
        <v>22.39</v>
      </c>
      <c r="P2915">
        <v>24.69</v>
      </c>
      <c r="Q2915">
        <v>20.53</v>
      </c>
      <c r="R2915">
        <v>9.92</v>
      </c>
    </row>
    <row r="2916">
      <c r="A2916" s="9">
        <v>41447</v>
      </c>
      <c r="B2916" s="2" t="inlineStr">
        <is>
          <t xml:space="preserve">2013-06</t>
        </is>
      </c>
      <c r="C2916" s="2" t="inlineStr">
        <is>
          <t xml:space="preserve">2012/13</t>
        </is>
      </c>
      <c r="D2916">
        <v>4.709</v>
      </c>
      <c r="E2916">
        <v>20.89</v>
      </c>
      <c r="F2916">
        <v>25.82</v>
      </c>
      <c r="G2916">
        <v>17.13</v>
      </c>
      <c r="H2916">
        <v>3.37</v>
      </c>
      <c r="I2916">
        <v>4.62</v>
      </c>
      <c r="J2916">
        <v>22.83</v>
      </c>
      <c r="K2916">
        <v>27.16</v>
      </c>
      <c r="L2916">
        <v>19.58</v>
      </c>
      <c r="M2916">
        <v>3.75</v>
      </c>
      <c r="N2916">
        <v>1.539</v>
      </c>
      <c r="O2916">
        <v>23.03</v>
      </c>
      <c r="P2916">
        <v>27.5</v>
      </c>
      <c r="Q2916">
        <v>20.33</v>
      </c>
      <c r="R2916">
        <v>1.66</v>
      </c>
    </row>
    <row r="2917">
      <c r="A2917" s="9">
        <v>41448</v>
      </c>
      <c r="B2917" s="2" t="inlineStr">
        <is>
          <t xml:space="preserve">2013-06</t>
        </is>
      </c>
      <c r="C2917" s="2" t="inlineStr">
        <is>
          <t xml:space="preserve">2012/13</t>
        </is>
      </c>
      <c r="D2917">
        <v>0.264</v>
      </c>
      <c r="E2917">
        <v>21.25</v>
      </c>
      <c r="F2917">
        <v>26.7</v>
      </c>
      <c r="G2917">
        <v>16.95</v>
      </c>
      <c r="H2917">
        <v>2.2</v>
      </c>
      <c r="I2917">
        <v>6.548</v>
      </c>
      <c r="J2917">
        <v>22.78</v>
      </c>
      <c r="K2917">
        <v>27.87</v>
      </c>
      <c r="L2917">
        <v>19.13</v>
      </c>
      <c r="M2917">
        <v>2.89</v>
      </c>
      <c r="N2917">
        <v>0.426</v>
      </c>
      <c r="O2917">
        <v>22.78</v>
      </c>
      <c r="P2917">
        <v>27.64</v>
      </c>
      <c r="Q2917">
        <v>19.74</v>
      </c>
      <c r="R2917">
        <v>2.57</v>
      </c>
    </row>
    <row r="2918">
      <c r="A2918" s="9">
        <v>41449</v>
      </c>
      <c r="B2918" s="2" t="inlineStr">
        <is>
          <t xml:space="preserve">2013-06</t>
        </is>
      </c>
      <c r="C2918" s="2" t="inlineStr">
        <is>
          <t xml:space="preserve">2012/13</t>
        </is>
      </c>
      <c r="D2918">
        <v>0.756</v>
      </c>
      <c r="E2918">
        <v>21.42</v>
      </c>
      <c r="F2918">
        <v>25.73</v>
      </c>
      <c r="G2918">
        <v>16.97</v>
      </c>
      <c r="H2918">
        <v>5.68</v>
      </c>
      <c r="I2918">
        <v>5.672</v>
      </c>
      <c r="J2918">
        <v>22.91</v>
      </c>
      <c r="K2918">
        <v>27.62</v>
      </c>
      <c r="L2918">
        <v>19.19</v>
      </c>
      <c r="M2918">
        <v>3.69</v>
      </c>
      <c r="N2918">
        <v>7.291</v>
      </c>
      <c r="O2918">
        <v>22.63</v>
      </c>
      <c r="P2918">
        <v>26.9</v>
      </c>
      <c r="Q2918">
        <v>19.88</v>
      </c>
      <c r="R2918">
        <v>4.04</v>
      </c>
    </row>
    <row r="2919">
      <c r="A2919" s="9">
        <v>41450</v>
      </c>
      <c r="B2919" s="2" t="inlineStr">
        <is>
          <t xml:space="preserve">2013-06</t>
        </is>
      </c>
      <c r="C2919" s="2" t="inlineStr">
        <is>
          <t xml:space="preserve">2012/13</t>
        </is>
      </c>
      <c r="D2919">
        <v>0.937</v>
      </c>
      <c r="E2919">
        <v>21.65</v>
      </c>
      <c r="F2919">
        <v>26.44</v>
      </c>
      <c r="G2919">
        <v>18.24</v>
      </c>
      <c r="H2919">
        <v>6.68</v>
      </c>
      <c r="I2919">
        <v>0.154</v>
      </c>
      <c r="J2919">
        <v>22.68</v>
      </c>
      <c r="K2919">
        <v>26.3</v>
      </c>
      <c r="L2919">
        <v>19.52</v>
      </c>
      <c r="M2919">
        <v>4.31</v>
      </c>
      <c r="N2919">
        <v>1.76</v>
      </c>
      <c r="O2919">
        <v>22.17</v>
      </c>
      <c r="P2919">
        <v>25.3</v>
      </c>
      <c r="Q2919">
        <v>20.32</v>
      </c>
      <c r="R2919">
        <v>4.14</v>
      </c>
    </row>
    <row r="2920">
      <c r="A2920" s="9">
        <v>41451</v>
      </c>
      <c r="B2920" s="2" t="inlineStr">
        <is>
          <t xml:space="preserve">2013-06</t>
        </is>
      </c>
      <c r="C2920" s="2" t="inlineStr">
        <is>
          <t xml:space="preserve">2012/13</t>
        </is>
      </c>
      <c r="D2920">
        <v>4.821</v>
      </c>
      <c r="E2920">
        <v>21.26</v>
      </c>
      <c r="F2920">
        <v>26.66</v>
      </c>
      <c r="G2920">
        <v>17.21</v>
      </c>
      <c r="H2920">
        <v>1.42</v>
      </c>
      <c r="I2920">
        <v>4.882</v>
      </c>
      <c r="J2920">
        <v>22.78</v>
      </c>
      <c r="K2920">
        <v>27.41</v>
      </c>
      <c r="L2920">
        <v>19.3</v>
      </c>
      <c r="M2920">
        <v>1.7</v>
      </c>
      <c r="N2920">
        <v>2.197</v>
      </c>
      <c r="O2920">
        <v>22.87</v>
      </c>
      <c r="P2920">
        <v>27.46</v>
      </c>
      <c r="Q2920">
        <v>20.21</v>
      </c>
      <c r="R2920">
        <v>1.1</v>
      </c>
    </row>
    <row r="2921">
      <c r="A2921" s="9">
        <v>41452</v>
      </c>
      <c r="B2921" s="2" t="inlineStr">
        <is>
          <t xml:space="preserve">2013-06</t>
        </is>
      </c>
      <c r="C2921" s="2" t="inlineStr">
        <is>
          <t xml:space="preserve">2012/13</t>
        </is>
      </c>
      <c r="D2921">
        <v>0.0</v>
      </c>
      <c r="E2921">
        <v>21.9</v>
      </c>
      <c r="F2921">
        <v>26.31</v>
      </c>
      <c r="G2921">
        <v>18.23</v>
      </c>
      <c r="H2921">
        <v>0.2</v>
      </c>
      <c r="I2921">
        <v>1.642</v>
      </c>
      <c r="J2921">
        <v>23.08</v>
      </c>
      <c r="K2921">
        <v>27.93</v>
      </c>
      <c r="L2921">
        <v>18.73</v>
      </c>
      <c r="M2921">
        <v>2.31</v>
      </c>
      <c r="N2921">
        <v>0.075</v>
      </c>
      <c r="O2921">
        <v>22.96</v>
      </c>
      <c r="P2921">
        <v>27.58</v>
      </c>
      <c r="Q2921">
        <v>19.58</v>
      </c>
      <c r="R2921">
        <v>1.23</v>
      </c>
    </row>
    <row r="2922">
      <c r="A2922" s="9">
        <v>41453</v>
      </c>
      <c r="B2922" s="2" t="inlineStr">
        <is>
          <t xml:space="preserve">2013-06</t>
        </is>
      </c>
      <c r="C2922" s="2" t="inlineStr">
        <is>
          <t xml:space="preserve">2012/13</t>
        </is>
      </c>
      <c r="D2922">
        <v>0.073</v>
      </c>
      <c r="E2922">
        <v>22.75</v>
      </c>
      <c r="F2922">
        <v>28.29</v>
      </c>
      <c r="G2922">
        <v>18.64</v>
      </c>
      <c r="H2922">
        <v>4.16</v>
      </c>
      <c r="I2922">
        <v>23.62</v>
      </c>
      <c r="J2922">
        <v>22.43</v>
      </c>
      <c r="K2922">
        <v>25.73</v>
      </c>
      <c r="L2922">
        <v>20.57</v>
      </c>
      <c r="M2922">
        <v>13.62</v>
      </c>
      <c r="N2922">
        <v>1.047</v>
      </c>
      <c r="O2922">
        <v>22.69</v>
      </c>
      <c r="P2922">
        <v>26.35</v>
      </c>
      <c r="Q2922">
        <v>20.65</v>
      </c>
      <c r="R2922">
        <v>6.83</v>
      </c>
    </row>
    <row r="2923">
      <c r="A2923" s="9">
        <v>41454</v>
      </c>
      <c r="B2923" s="2" t="inlineStr">
        <is>
          <t xml:space="preserve">2013-06</t>
        </is>
      </c>
      <c r="C2923" s="2" t="inlineStr">
        <is>
          <t xml:space="preserve">2012/13</t>
        </is>
      </c>
      <c r="D2923">
        <v>20.519</v>
      </c>
      <c r="E2923">
        <v>21.74</v>
      </c>
      <c r="F2923">
        <v>25.56</v>
      </c>
      <c r="G2923">
        <v>18.97</v>
      </c>
      <c r="H2923">
        <v>9.7</v>
      </c>
      <c r="I2923">
        <v>16.033</v>
      </c>
      <c r="J2923">
        <v>21.44</v>
      </c>
      <c r="K2923">
        <v>23.2</v>
      </c>
      <c r="L2923">
        <v>20.01</v>
      </c>
      <c r="M2923">
        <v>10.35</v>
      </c>
      <c r="N2923">
        <v>10.56</v>
      </c>
      <c r="O2923">
        <v>22.42</v>
      </c>
      <c r="P2923">
        <v>24.48</v>
      </c>
      <c r="Q2923">
        <v>20.87</v>
      </c>
      <c r="R2923">
        <v>7.39</v>
      </c>
    </row>
    <row r="2924">
      <c r="A2924" s="9">
        <v>41455</v>
      </c>
      <c r="B2924" s="2" t="inlineStr">
        <is>
          <t xml:space="preserve">2013-06</t>
        </is>
      </c>
      <c r="C2924" s="2" t="inlineStr">
        <is>
          <t xml:space="preserve">2012/13</t>
        </is>
      </c>
      <c r="D2924">
        <v>8.596</v>
      </c>
      <c r="E2924">
        <v>22.06</v>
      </c>
      <c r="F2924">
        <v>26.39</v>
      </c>
      <c r="G2924">
        <v>19.23</v>
      </c>
      <c r="H2924">
        <v>6.49</v>
      </c>
      <c r="I2924">
        <v>2.786</v>
      </c>
      <c r="J2924">
        <v>22.08</v>
      </c>
      <c r="K2924">
        <v>25.66</v>
      </c>
      <c r="L2924">
        <v>19.93</v>
      </c>
      <c r="M2924">
        <v>10.8</v>
      </c>
      <c r="N2924">
        <v>3.394</v>
      </c>
      <c r="O2924">
        <v>22.58</v>
      </c>
      <c r="P2924">
        <v>26.25</v>
      </c>
      <c r="Q2924">
        <v>19.92</v>
      </c>
      <c r="R2924">
        <v>13.45</v>
      </c>
    </row>
    <row r="2925">
      <c r="A2925" s="9">
        <v>41456</v>
      </c>
      <c r="B2925" s="2" t="inlineStr">
        <is>
          <t xml:space="preserve">2013-07</t>
        </is>
      </c>
      <c r="C2925" s="2" t="inlineStr">
        <is>
          <t xml:space="preserve">2013/14</t>
        </is>
      </c>
      <c r="D2925">
        <v>8.152</v>
      </c>
      <c r="E2925">
        <v>21.25</v>
      </c>
      <c r="F2925">
        <v>24.78</v>
      </c>
      <c r="G2925">
        <v>19.15</v>
      </c>
      <c r="H2925">
        <v>8.24</v>
      </c>
      <c r="I2925">
        <v>10.744</v>
      </c>
      <c r="J2925">
        <v>21.94</v>
      </c>
      <c r="K2925">
        <v>25.61</v>
      </c>
      <c r="L2925">
        <v>19.72</v>
      </c>
      <c r="M2925">
        <v>13.84</v>
      </c>
      <c r="N2925">
        <v>30.268</v>
      </c>
      <c r="O2925">
        <v>22.13</v>
      </c>
      <c r="P2925">
        <v>24.77</v>
      </c>
      <c r="Q2925">
        <v>20.33</v>
      </c>
      <c r="R2925">
        <v>13.39</v>
      </c>
    </row>
    <row r="2926">
      <c r="A2926" s="9">
        <v>41457</v>
      </c>
      <c r="B2926" s="2" t="inlineStr">
        <is>
          <t xml:space="preserve">2013-07</t>
        </is>
      </c>
      <c r="C2926" s="2" t="inlineStr">
        <is>
          <t xml:space="preserve">2013/14</t>
        </is>
      </c>
      <c r="D2926">
        <v>10.347</v>
      </c>
      <c r="E2926">
        <v>22.23</v>
      </c>
      <c r="F2926">
        <v>26.75</v>
      </c>
      <c r="G2926">
        <v>18.49</v>
      </c>
      <c r="H2926">
        <v>7.78</v>
      </c>
      <c r="I2926">
        <v>8.347</v>
      </c>
      <c r="J2926">
        <v>22.62</v>
      </c>
      <c r="K2926">
        <v>27.19</v>
      </c>
      <c r="L2926">
        <v>18.8</v>
      </c>
      <c r="M2926">
        <v>8.08</v>
      </c>
      <c r="N2926">
        <v>11.155</v>
      </c>
      <c r="O2926">
        <v>23.33</v>
      </c>
      <c r="P2926">
        <v>27.34</v>
      </c>
      <c r="Q2926">
        <v>20.39</v>
      </c>
      <c r="R2926">
        <v>8.29</v>
      </c>
    </row>
    <row r="2927">
      <c r="A2927" s="9">
        <v>41458</v>
      </c>
      <c r="B2927" s="2" t="inlineStr">
        <is>
          <t xml:space="preserve">2013-07</t>
        </is>
      </c>
      <c r="C2927" s="2" t="inlineStr">
        <is>
          <t xml:space="preserve">2013/14</t>
        </is>
      </c>
      <c r="D2927">
        <v>7.169</v>
      </c>
      <c r="E2927">
        <v>22.37</v>
      </c>
      <c r="F2927">
        <v>26.47</v>
      </c>
      <c r="G2927">
        <v>19.46</v>
      </c>
      <c r="H2927">
        <v>7.56</v>
      </c>
      <c r="I2927">
        <v>1.441</v>
      </c>
      <c r="J2927">
        <v>22.36</v>
      </c>
      <c r="K2927">
        <v>26.64</v>
      </c>
      <c r="L2927">
        <v>19.58</v>
      </c>
      <c r="M2927">
        <v>10.79</v>
      </c>
      <c r="N2927">
        <v>4.492</v>
      </c>
      <c r="O2927">
        <v>23.21</v>
      </c>
      <c r="P2927">
        <v>27.4</v>
      </c>
      <c r="Q2927">
        <v>20.38</v>
      </c>
      <c r="R2927">
        <v>10.51</v>
      </c>
    </row>
    <row r="2928">
      <c r="A2928" s="9">
        <v>41459</v>
      </c>
      <c r="B2928" s="2" t="inlineStr">
        <is>
          <t xml:space="preserve">2013-07</t>
        </is>
      </c>
      <c r="C2928" s="2" t="inlineStr">
        <is>
          <t xml:space="preserve">2013/14</t>
        </is>
      </c>
      <c r="D2928">
        <v>10.163</v>
      </c>
      <c r="E2928">
        <v>22.63</v>
      </c>
      <c r="F2928">
        <v>26.66</v>
      </c>
      <c r="G2928">
        <v>19.19</v>
      </c>
      <c r="H2928">
        <v>3.71</v>
      </c>
      <c r="I2928">
        <v>20.3</v>
      </c>
      <c r="J2928">
        <v>21.75</v>
      </c>
      <c r="K2928">
        <v>25.22</v>
      </c>
      <c r="L2928">
        <v>19.1</v>
      </c>
      <c r="M2928">
        <v>12.29</v>
      </c>
      <c r="N2928">
        <v>7.475</v>
      </c>
      <c r="O2928">
        <v>22.91</v>
      </c>
      <c r="P2928">
        <v>26.13</v>
      </c>
      <c r="Q2928">
        <v>20.03</v>
      </c>
      <c r="R2928">
        <v>11.15</v>
      </c>
    </row>
    <row r="2929">
      <c r="A2929" s="9">
        <v>41460</v>
      </c>
      <c r="B2929" s="2" t="inlineStr">
        <is>
          <t xml:space="preserve">2013-07</t>
        </is>
      </c>
      <c r="C2929" s="2" t="inlineStr">
        <is>
          <t xml:space="preserve">2013/14</t>
        </is>
      </c>
      <c r="D2929">
        <v>0.76</v>
      </c>
      <c r="E2929">
        <v>22.39</v>
      </c>
      <c r="F2929">
        <v>26.74</v>
      </c>
      <c r="G2929">
        <v>18.84</v>
      </c>
      <c r="H2929">
        <v>2.93</v>
      </c>
      <c r="I2929">
        <v>10.902</v>
      </c>
      <c r="J2929">
        <v>21.9</v>
      </c>
      <c r="K2929">
        <v>25.24</v>
      </c>
      <c r="L2929">
        <v>18.19</v>
      </c>
      <c r="M2929">
        <v>16.49</v>
      </c>
      <c r="N2929">
        <v>40.296</v>
      </c>
      <c r="O2929">
        <v>22.48</v>
      </c>
      <c r="P2929">
        <v>24.93</v>
      </c>
      <c r="Q2929">
        <v>20.5</v>
      </c>
      <c r="R2929">
        <v>18.22</v>
      </c>
    </row>
    <row r="2930">
      <c r="A2930" s="9">
        <v>41461</v>
      </c>
      <c r="B2930" s="2" t="inlineStr">
        <is>
          <t xml:space="preserve">2013-07</t>
        </is>
      </c>
      <c r="C2930" s="2" t="inlineStr">
        <is>
          <t xml:space="preserve">2013/14</t>
        </is>
      </c>
      <c r="D2930">
        <v>3.738</v>
      </c>
      <c r="E2930">
        <v>21.27</v>
      </c>
      <c r="F2930">
        <v>26.33</v>
      </c>
      <c r="G2930">
        <v>16.85</v>
      </c>
      <c r="H2930">
        <v>1.83</v>
      </c>
      <c r="I2930">
        <v>9.407</v>
      </c>
      <c r="J2930">
        <v>22.84</v>
      </c>
      <c r="K2930">
        <v>27.01</v>
      </c>
      <c r="L2930">
        <v>19.39</v>
      </c>
      <c r="M2930">
        <v>4.76</v>
      </c>
      <c r="N2930">
        <v>9.41</v>
      </c>
      <c r="O2930">
        <v>23.08</v>
      </c>
      <c r="P2930">
        <v>27.6</v>
      </c>
      <c r="Q2930">
        <v>20.6</v>
      </c>
      <c r="R2930">
        <v>3.45</v>
      </c>
    </row>
    <row r="2931">
      <c r="A2931" s="9">
        <v>41462</v>
      </c>
      <c r="B2931" s="2" t="inlineStr">
        <is>
          <t xml:space="preserve">2013-07</t>
        </is>
      </c>
      <c r="C2931" s="2" t="inlineStr">
        <is>
          <t xml:space="preserve">2013/14</t>
        </is>
      </c>
      <c r="D2931">
        <v>0.0</v>
      </c>
      <c r="E2931">
        <v>21.52</v>
      </c>
      <c r="F2931">
        <v>27.6</v>
      </c>
      <c r="G2931">
        <v>16.17</v>
      </c>
      <c r="H2931">
        <v>0.49</v>
      </c>
      <c r="I2931">
        <v>0.069</v>
      </c>
      <c r="J2931">
        <v>23.27</v>
      </c>
      <c r="K2931">
        <v>28.13</v>
      </c>
      <c r="L2931">
        <v>18.9</v>
      </c>
      <c r="M2931">
        <v>0.2</v>
      </c>
      <c r="N2931">
        <v>0.0</v>
      </c>
      <c r="O2931">
        <v>23.08</v>
      </c>
      <c r="P2931">
        <v>28.13</v>
      </c>
      <c r="Q2931">
        <v>19.56</v>
      </c>
      <c r="R2931">
        <v>0.29</v>
      </c>
    </row>
    <row r="2932">
      <c r="A2932" s="9">
        <v>41463</v>
      </c>
      <c r="B2932" s="2" t="inlineStr">
        <is>
          <t xml:space="preserve">2013-07</t>
        </is>
      </c>
      <c r="C2932" s="2" t="inlineStr">
        <is>
          <t xml:space="preserve">2013/14</t>
        </is>
      </c>
      <c r="D2932">
        <v>1.486</v>
      </c>
      <c r="E2932">
        <v>21.95</v>
      </c>
      <c r="F2932">
        <v>27.07</v>
      </c>
      <c r="G2932">
        <v>18.18</v>
      </c>
      <c r="H2932">
        <v>3.14</v>
      </c>
      <c r="I2932">
        <v>0.0</v>
      </c>
      <c r="J2932">
        <v>22.33</v>
      </c>
      <c r="K2932">
        <v>26.46</v>
      </c>
      <c r="L2932">
        <v>18.32</v>
      </c>
      <c r="M2932">
        <v>2.17</v>
      </c>
      <c r="N2932">
        <v>0.076</v>
      </c>
      <c r="O2932">
        <v>22.74</v>
      </c>
      <c r="P2932">
        <v>27.01</v>
      </c>
      <c r="Q2932">
        <v>19.51</v>
      </c>
      <c r="R2932">
        <v>2.58</v>
      </c>
    </row>
    <row r="2933">
      <c r="A2933" s="9">
        <v>41464</v>
      </c>
      <c r="B2933" s="2" t="inlineStr">
        <is>
          <t xml:space="preserve">2013-07</t>
        </is>
      </c>
      <c r="C2933" s="2" t="inlineStr">
        <is>
          <t xml:space="preserve">2013/14</t>
        </is>
      </c>
      <c r="D2933">
        <v>1.503</v>
      </c>
      <c r="E2933">
        <v>22.31</v>
      </c>
      <c r="F2933">
        <v>26.73</v>
      </c>
      <c r="G2933">
        <v>19.03</v>
      </c>
      <c r="H2933">
        <v>2.14</v>
      </c>
      <c r="I2933">
        <v>3.371</v>
      </c>
      <c r="J2933">
        <v>21.62</v>
      </c>
      <c r="K2933">
        <v>25.42</v>
      </c>
      <c r="L2933">
        <v>19.09</v>
      </c>
      <c r="M2933">
        <v>3.16</v>
      </c>
      <c r="N2933">
        <v>7.163</v>
      </c>
      <c r="O2933">
        <v>22.47</v>
      </c>
      <c r="P2933">
        <v>26.06</v>
      </c>
      <c r="Q2933">
        <v>20.37</v>
      </c>
      <c r="R2933">
        <v>6.83</v>
      </c>
    </row>
    <row r="2934">
      <c r="A2934" s="9">
        <v>41465</v>
      </c>
      <c r="B2934" s="2" t="inlineStr">
        <is>
          <t xml:space="preserve">2013-07</t>
        </is>
      </c>
      <c r="C2934" s="2" t="inlineStr">
        <is>
          <t xml:space="preserve">2013/14</t>
        </is>
      </c>
      <c r="D2934">
        <v>0.968</v>
      </c>
      <c r="E2934">
        <v>21.94</v>
      </c>
      <c r="F2934">
        <v>26.58</v>
      </c>
      <c r="G2934">
        <v>18.48</v>
      </c>
      <c r="H2934">
        <v>2.75</v>
      </c>
      <c r="I2934">
        <v>7.242</v>
      </c>
      <c r="J2934">
        <v>22.31</v>
      </c>
      <c r="K2934">
        <v>26.52</v>
      </c>
      <c r="L2934">
        <v>19.39</v>
      </c>
      <c r="M2934">
        <v>8.44</v>
      </c>
      <c r="N2934">
        <v>1.658</v>
      </c>
      <c r="O2934">
        <v>22.38</v>
      </c>
      <c r="P2934">
        <v>25.74</v>
      </c>
      <c r="Q2934">
        <v>20.36</v>
      </c>
      <c r="R2934">
        <v>11.54</v>
      </c>
    </row>
    <row r="2935">
      <c r="A2935" s="9">
        <v>41466</v>
      </c>
      <c r="B2935" s="2" t="inlineStr">
        <is>
          <t xml:space="preserve">2013-07</t>
        </is>
      </c>
      <c r="C2935" s="2" t="inlineStr">
        <is>
          <t xml:space="preserve">2013/14</t>
        </is>
      </c>
      <c r="D2935">
        <v>4.042</v>
      </c>
      <c r="E2935">
        <v>21.32</v>
      </c>
      <c r="F2935">
        <v>25.74</v>
      </c>
      <c r="G2935">
        <v>18.14</v>
      </c>
      <c r="H2935">
        <v>5.11</v>
      </c>
      <c r="I2935">
        <v>7.527</v>
      </c>
      <c r="J2935">
        <v>22.51</v>
      </c>
      <c r="K2935">
        <v>26.85</v>
      </c>
      <c r="L2935">
        <v>19.52</v>
      </c>
      <c r="M2935">
        <v>7.16</v>
      </c>
      <c r="N2935">
        <v>6.151</v>
      </c>
      <c r="O2935">
        <v>22.23</v>
      </c>
      <c r="P2935">
        <v>26.12</v>
      </c>
      <c r="Q2935">
        <v>19.83</v>
      </c>
      <c r="R2935">
        <v>8.85</v>
      </c>
    </row>
    <row r="2936">
      <c r="A2936" s="9">
        <v>41467</v>
      </c>
      <c r="B2936" s="2" t="inlineStr">
        <is>
          <t xml:space="preserve">2013-07</t>
        </is>
      </c>
      <c r="C2936" s="2" t="inlineStr">
        <is>
          <t xml:space="preserve">2013/14</t>
        </is>
      </c>
      <c r="D2936">
        <v>0.984</v>
      </c>
      <c r="E2936">
        <v>21.28</v>
      </c>
      <c r="F2936">
        <v>26.37</v>
      </c>
      <c r="G2936">
        <v>17.42</v>
      </c>
      <c r="H2936">
        <v>7.01</v>
      </c>
      <c r="I2936">
        <v>10.888</v>
      </c>
      <c r="J2936">
        <v>21.51</v>
      </c>
      <c r="K2936">
        <v>23.95</v>
      </c>
      <c r="L2936">
        <v>19.74</v>
      </c>
      <c r="M2936">
        <v>16.62</v>
      </c>
      <c r="N2936">
        <v>2.851</v>
      </c>
      <c r="O2936">
        <v>21.08</v>
      </c>
      <c r="P2936">
        <v>23.54</v>
      </c>
      <c r="Q2936">
        <v>19.25</v>
      </c>
      <c r="R2936">
        <v>25.05</v>
      </c>
    </row>
    <row r="2937">
      <c r="A2937" s="9">
        <v>41468</v>
      </c>
      <c r="B2937" s="2" t="inlineStr">
        <is>
          <t xml:space="preserve">2013-07</t>
        </is>
      </c>
      <c r="C2937" s="2" t="inlineStr">
        <is>
          <t xml:space="preserve">2013/14</t>
        </is>
      </c>
      <c r="D2937">
        <v>11.25</v>
      </c>
      <c r="E2937">
        <v>20.67</v>
      </c>
      <c r="F2937">
        <v>23.52</v>
      </c>
      <c r="G2937">
        <v>18.42</v>
      </c>
      <c r="H2937">
        <v>16.06</v>
      </c>
      <c r="I2937">
        <v>17.288</v>
      </c>
      <c r="J2937">
        <v>21.65</v>
      </c>
      <c r="K2937">
        <v>25.52</v>
      </c>
      <c r="L2937">
        <v>18.93</v>
      </c>
      <c r="M2937">
        <v>17.38</v>
      </c>
      <c r="N2937">
        <v>31.404</v>
      </c>
      <c r="O2937">
        <v>22.04</v>
      </c>
      <c r="P2937">
        <v>25.44</v>
      </c>
      <c r="Q2937">
        <v>19.48</v>
      </c>
      <c r="R2937">
        <v>19.54</v>
      </c>
    </row>
    <row r="2938">
      <c r="A2938" s="9">
        <v>41469</v>
      </c>
      <c r="B2938" s="2" t="inlineStr">
        <is>
          <t xml:space="preserve">2013-07</t>
        </is>
      </c>
      <c r="C2938" s="2" t="inlineStr">
        <is>
          <t xml:space="preserve">2013/14</t>
        </is>
      </c>
      <c r="D2938">
        <v>3.575</v>
      </c>
      <c r="E2938">
        <v>21.56</v>
      </c>
      <c r="F2938">
        <v>25.78</v>
      </c>
      <c r="G2938">
        <v>18.71</v>
      </c>
      <c r="H2938">
        <v>2.2</v>
      </c>
      <c r="I2938">
        <v>7.066</v>
      </c>
      <c r="J2938">
        <v>22.74</v>
      </c>
      <c r="K2938">
        <v>26.93</v>
      </c>
      <c r="L2938">
        <v>18.93</v>
      </c>
      <c r="M2938">
        <v>7.85</v>
      </c>
      <c r="N2938">
        <v>25.85</v>
      </c>
      <c r="O2938">
        <v>22.07</v>
      </c>
      <c r="P2938">
        <v>25.14</v>
      </c>
      <c r="Q2938">
        <v>20.1</v>
      </c>
      <c r="R2938">
        <v>10.95</v>
      </c>
    </row>
    <row r="2939">
      <c r="A2939" s="9">
        <v>41470</v>
      </c>
      <c r="B2939" s="2" t="inlineStr">
        <is>
          <t xml:space="preserve">2013-07</t>
        </is>
      </c>
      <c r="C2939" s="2" t="inlineStr">
        <is>
          <t xml:space="preserve">2013/14</t>
        </is>
      </c>
      <c r="D2939">
        <v>0.0</v>
      </c>
      <c r="E2939">
        <v>22.47</v>
      </c>
      <c r="F2939">
        <v>27.89</v>
      </c>
      <c r="G2939">
        <v>17.72</v>
      </c>
      <c r="H2939">
        <v>0.17</v>
      </c>
      <c r="I2939">
        <v>0.022</v>
      </c>
      <c r="J2939">
        <v>22.91</v>
      </c>
      <c r="K2939">
        <v>27.28</v>
      </c>
      <c r="L2939">
        <v>19.47</v>
      </c>
      <c r="M2939">
        <v>0.48</v>
      </c>
      <c r="N2939">
        <v>0.444</v>
      </c>
      <c r="O2939">
        <v>22.54</v>
      </c>
      <c r="P2939">
        <v>26.1</v>
      </c>
      <c r="Q2939">
        <v>20.09</v>
      </c>
      <c r="R2939">
        <v>2.23</v>
      </c>
    </row>
    <row r="2940">
      <c r="A2940" s="9">
        <v>41471</v>
      </c>
      <c r="B2940" s="2" t="inlineStr">
        <is>
          <t xml:space="preserve">2013-07</t>
        </is>
      </c>
      <c r="C2940" s="2" t="inlineStr">
        <is>
          <t xml:space="preserve">2013/14</t>
        </is>
      </c>
      <c r="D2940">
        <v>0.452</v>
      </c>
      <c r="E2940">
        <v>22.57</v>
      </c>
      <c r="F2940">
        <v>27.67</v>
      </c>
      <c r="G2940">
        <v>18.25</v>
      </c>
      <c r="H2940">
        <v>0.96</v>
      </c>
      <c r="I2940">
        <v>0.075</v>
      </c>
      <c r="J2940">
        <v>22.47</v>
      </c>
      <c r="K2940">
        <v>26.32</v>
      </c>
      <c r="L2940">
        <v>18.83</v>
      </c>
      <c r="M2940">
        <v>0.57</v>
      </c>
      <c r="N2940">
        <v>0.106</v>
      </c>
      <c r="O2940">
        <v>22.63</v>
      </c>
      <c r="P2940">
        <v>26.1</v>
      </c>
      <c r="Q2940">
        <v>20.17</v>
      </c>
      <c r="R2940">
        <v>1.13</v>
      </c>
    </row>
    <row r="2941">
      <c r="A2941" s="9">
        <v>41472</v>
      </c>
      <c r="B2941" s="2" t="inlineStr">
        <is>
          <t xml:space="preserve">2013-07</t>
        </is>
      </c>
      <c r="C2941" s="2" t="inlineStr">
        <is>
          <t xml:space="preserve">2013/14</t>
        </is>
      </c>
      <c r="D2941">
        <v>2.156</v>
      </c>
      <c r="E2941">
        <v>22.59</v>
      </c>
      <c r="F2941">
        <v>27.13</v>
      </c>
      <c r="G2941">
        <v>19.12</v>
      </c>
      <c r="H2941">
        <v>3.1</v>
      </c>
      <c r="I2941">
        <v>0.942</v>
      </c>
      <c r="J2941">
        <v>22.35</v>
      </c>
      <c r="K2941">
        <v>25.97</v>
      </c>
      <c r="L2941">
        <v>19.43</v>
      </c>
      <c r="M2941">
        <v>1.71</v>
      </c>
      <c r="N2941">
        <v>1.396</v>
      </c>
      <c r="O2941">
        <v>22.58</v>
      </c>
      <c r="P2941">
        <v>25.88</v>
      </c>
      <c r="Q2941">
        <v>20.2</v>
      </c>
      <c r="R2941">
        <v>1.71</v>
      </c>
    </row>
    <row r="2942">
      <c r="A2942" s="9">
        <v>41473</v>
      </c>
      <c r="B2942" s="2" t="inlineStr">
        <is>
          <t xml:space="preserve">2013-07</t>
        </is>
      </c>
      <c r="C2942" s="2" t="inlineStr">
        <is>
          <t xml:space="preserve">2013/14</t>
        </is>
      </c>
      <c r="D2942">
        <v>2.546</v>
      </c>
      <c r="E2942">
        <v>22.25</v>
      </c>
      <c r="F2942">
        <v>27.06</v>
      </c>
      <c r="G2942">
        <v>18.87</v>
      </c>
      <c r="H2942">
        <v>2.75</v>
      </c>
      <c r="I2942">
        <v>5.881</v>
      </c>
      <c r="J2942">
        <v>22.38</v>
      </c>
      <c r="K2942">
        <v>26.02</v>
      </c>
      <c r="L2942">
        <v>19.58</v>
      </c>
      <c r="M2942">
        <v>14.42</v>
      </c>
      <c r="N2942">
        <v>2.742</v>
      </c>
      <c r="O2942">
        <v>22.57</v>
      </c>
      <c r="P2942">
        <v>25.53</v>
      </c>
      <c r="Q2942">
        <v>20.57</v>
      </c>
      <c r="R2942">
        <v>8.84</v>
      </c>
    </row>
    <row r="2943">
      <c r="A2943" s="9">
        <v>41474</v>
      </c>
      <c r="B2943" s="2" t="inlineStr">
        <is>
          <t xml:space="preserve">2013-07</t>
        </is>
      </c>
      <c r="C2943" s="2" t="inlineStr">
        <is>
          <t xml:space="preserve">2013/14</t>
        </is>
      </c>
      <c r="D2943">
        <v>1.164</v>
      </c>
      <c r="E2943">
        <v>21.45</v>
      </c>
      <c r="F2943">
        <v>25.63</v>
      </c>
      <c r="G2943">
        <v>17.99</v>
      </c>
      <c r="H2943">
        <v>2.18</v>
      </c>
      <c r="I2943">
        <v>39.673</v>
      </c>
      <c r="J2943">
        <v>22.06</v>
      </c>
      <c r="K2943">
        <v>26.14</v>
      </c>
      <c r="L2943">
        <v>19.04</v>
      </c>
      <c r="M2943">
        <v>12.91</v>
      </c>
      <c r="N2943">
        <v>15.49</v>
      </c>
      <c r="O2943">
        <v>22.58</v>
      </c>
      <c r="P2943">
        <v>25.89</v>
      </c>
      <c r="Q2943">
        <v>20.3</v>
      </c>
      <c r="R2943">
        <v>7.05</v>
      </c>
    </row>
    <row r="2944">
      <c r="A2944" s="9">
        <v>41475</v>
      </c>
      <c r="B2944" s="2" t="inlineStr">
        <is>
          <t xml:space="preserve">2013-07</t>
        </is>
      </c>
      <c r="C2944" s="2" t="inlineStr">
        <is>
          <t xml:space="preserve">2013/14</t>
        </is>
      </c>
      <c r="D2944">
        <v>3.314</v>
      </c>
      <c r="E2944">
        <v>20.77</v>
      </c>
      <c r="F2944">
        <v>24.51</v>
      </c>
      <c r="G2944">
        <v>17.51</v>
      </c>
      <c r="H2944">
        <v>3.18</v>
      </c>
      <c r="I2944">
        <v>0.63</v>
      </c>
      <c r="J2944">
        <v>22.73</v>
      </c>
      <c r="K2944">
        <v>27.07</v>
      </c>
      <c r="L2944">
        <v>19.68</v>
      </c>
      <c r="M2944">
        <v>2.26</v>
      </c>
      <c r="N2944">
        <v>0.817</v>
      </c>
      <c r="O2944">
        <v>22.84</v>
      </c>
      <c r="P2944">
        <v>26.9</v>
      </c>
      <c r="Q2944">
        <v>20.27</v>
      </c>
      <c r="R2944">
        <v>1.71</v>
      </c>
    </row>
    <row r="2945">
      <c r="A2945" s="9">
        <v>41476</v>
      </c>
      <c r="B2945" s="2" t="inlineStr">
        <is>
          <t xml:space="preserve">2013-07</t>
        </is>
      </c>
      <c r="C2945" s="2" t="inlineStr">
        <is>
          <t xml:space="preserve">2013/14</t>
        </is>
      </c>
      <c r="D2945">
        <v>0.715</v>
      </c>
      <c r="E2945">
        <v>21.2</v>
      </c>
      <c r="F2945">
        <v>26.06</v>
      </c>
      <c r="G2945">
        <v>17.68</v>
      </c>
      <c r="H2945">
        <v>1.15</v>
      </c>
      <c r="I2945">
        <v>4.47</v>
      </c>
      <c r="J2945">
        <v>21.62</v>
      </c>
      <c r="K2945">
        <v>25.28</v>
      </c>
      <c r="L2945">
        <v>18.42</v>
      </c>
      <c r="M2945">
        <v>1.46</v>
      </c>
      <c r="N2945">
        <v>0.385</v>
      </c>
      <c r="O2945">
        <v>22.27</v>
      </c>
      <c r="P2945">
        <v>26.19</v>
      </c>
      <c r="Q2945">
        <v>19.32</v>
      </c>
      <c r="R2945">
        <v>0.94</v>
      </c>
    </row>
    <row r="2946">
      <c r="A2946" s="9">
        <v>41477</v>
      </c>
      <c r="B2946" s="2" t="inlineStr">
        <is>
          <t xml:space="preserve">2013-07</t>
        </is>
      </c>
      <c r="C2946" s="2" t="inlineStr">
        <is>
          <t xml:space="preserve">2013/14</t>
        </is>
      </c>
      <c r="D2946">
        <v>0.0</v>
      </c>
      <c r="E2946">
        <v>21.4</v>
      </c>
      <c r="F2946">
        <v>26.97</v>
      </c>
      <c r="G2946">
        <v>16.27</v>
      </c>
      <c r="H2946">
        <v>0.16</v>
      </c>
      <c r="I2946">
        <v>0.692</v>
      </c>
      <c r="J2946">
        <v>22.56</v>
      </c>
      <c r="K2946">
        <v>27.47</v>
      </c>
      <c r="L2946">
        <v>18.09</v>
      </c>
      <c r="M2946">
        <v>0.48</v>
      </c>
      <c r="N2946">
        <v>0.038</v>
      </c>
      <c r="O2946">
        <v>22.62</v>
      </c>
      <c r="P2946">
        <v>27.0</v>
      </c>
      <c r="Q2946">
        <v>19.2</v>
      </c>
      <c r="R2946">
        <v>0.6</v>
      </c>
    </row>
    <row r="2947">
      <c r="A2947" s="9">
        <v>41478</v>
      </c>
      <c r="B2947" s="2" t="inlineStr">
        <is>
          <t xml:space="preserve">2013-07</t>
        </is>
      </c>
      <c r="C2947" s="2" t="inlineStr">
        <is>
          <t xml:space="preserve">2013/14</t>
        </is>
      </c>
      <c r="D2947">
        <v>0.196</v>
      </c>
      <c r="E2947">
        <v>21.81</v>
      </c>
      <c r="F2947">
        <v>25.96</v>
      </c>
      <c r="G2947">
        <v>17.79</v>
      </c>
      <c r="H2947">
        <v>0.41</v>
      </c>
      <c r="I2947">
        <v>0.0</v>
      </c>
      <c r="J2947">
        <v>22.19</v>
      </c>
      <c r="K2947">
        <v>25.48</v>
      </c>
      <c r="L2947">
        <v>19.88</v>
      </c>
      <c r="M2947">
        <v>2.94</v>
      </c>
      <c r="N2947">
        <v>0.0</v>
      </c>
      <c r="O2947">
        <v>22.62</v>
      </c>
      <c r="P2947">
        <v>26.23</v>
      </c>
      <c r="Q2947">
        <v>20.63</v>
      </c>
      <c r="R2947">
        <v>4.74</v>
      </c>
    </row>
    <row r="2948">
      <c r="A2948" s="9">
        <v>41479</v>
      </c>
      <c r="B2948" s="2" t="inlineStr">
        <is>
          <t xml:space="preserve">2013-07</t>
        </is>
      </c>
      <c r="C2948" s="2" t="inlineStr">
        <is>
          <t xml:space="preserve">2013/14</t>
        </is>
      </c>
      <c r="D2948">
        <v>0.522</v>
      </c>
      <c r="E2948">
        <v>21.92</v>
      </c>
      <c r="F2948">
        <v>26.83</v>
      </c>
      <c r="G2948">
        <v>18.41</v>
      </c>
      <c r="H2948">
        <v>0.53</v>
      </c>
      <c r="I2948">
        <v>0.229</v>
      </c>
      <c r="J2948">
        <v>22.18</v>
      </c>
      <c r="K2948">
        <v>26.03</v>
      </c>
      <c r="L2948">
        <v>19.61</v>
      </c>
      <c r="M2948">
        <v>0.81</v>
      </c>
      <c r="N2948">
        <v>1.375</v>
      </c>
      <c r="O2948">
        <v>22.54</v>
      </c>
      <c r="P2948">
        <v>26.05</v>
      </c>
      <c r="Q2948">
        <v>20.41</v>
      </c>
      <c r="R2948">
        <v>2.29</v>
      </c>
    </row>
    <row r="2949">
      <c r="A2949" s="9">
        <v>41480</v>
      </c>
      <c r="B2949" s="2" t="inlineStr">
        <is>
          <t xml:space="preserve">2013-07</t>
        </is>
      </c>
      <c r="C2949" s="2" t="inlineStr">
        <is>
          <t xml:space="preserve">2013/14</t>
        </is>
      </c>
      <c r="D2949">
        <v>0.095</v>
      </c>
      <c r="E2949">
        <v>22.24</v>
      </c>
      <c r="F2949">
        <v>27.7</v>
      </c>
      <c r="G2949">
        <v>17.86</v>
      </c>
      <c r="H2949">
        <v>0.26</v>
      </c>
      <c r="I2949">
        <v>0.0</v>
      </c>
      <c r="J2949">
        <v>22.57</v>
      </c>
      <c r="K2949">
        <v>27.09</v>
      </c>
      <c r="L2949">
        <v>19.17</v>
      </c>
      <c r="M2949">
        <v>0.43</v>
      </c>
      <c r="N2949">
        <v>0.0</v>
      </c>
      <c r="O2949">
        <v>22.83</v>
      </c>
      <c r="P2949">
        <v>26.74</v>
      </c>
      <c r="Q2949">
        <v>19.82</v>
      </c>
      <c r="R2949">
        <v>0.13</v>
      </c>
    </row>
    <row r="2950">
      <c r="A2950" s="9">
        <v>41481</v>
      </c>
      <c r="B2950" s="2" t="inlineStr">
        <is>
          <t xml:space="preserve">2013-07</t>
        </is>
      </c>
      <c r="C2950" s="2" t="inlineStr">
        <is>
          <t xml:space="preserve">2013/14</t>
        </is>
      </c>
      <c r="D2950">
        <v>0.029</v>
      </c>
      <c r="E2950">
        <v>22.62</v>
      </c>
      <c r="F2950">
        <v>28.92</v>
      </c>
      <c r="G2950">
        <v>17.71</v>
      </c>
      <c r="H2950">
        <v>0.15</v>
      </c>
      <c r="I2950">
        <v>3.001</v>
      </c>
      <c r="J2950">
        <v>22.88</v>
      </c>
      <c r="K2950">
        <v>28.25</v>
      </c>
      <c r="L2950">
        <v>19.22</v>
      </c>
      <c r="M2950">
        <v>1.2</v>
      </c>
      <c r="N2950">
        <v>0.163</v>
      </c>
      <c r="O2950">
        <v>23.1</v>
      </c>
      <c r="P2950">
        <v>27.59</v>
      </c>
      <c r="Q2950">
        <v>19.99</v>
      </c>
      <c r="R2950">
        <v>0.34</v>
      </c>
    </row>
    <row r="2951">
      <c r="A2951" s="9">
        <v>41482</v>
      </c>
      <c r="B2951" s="2" t="inlineStr">
        <is>
          <t xml:space="preserve">2013-07</t>
        </is>
      </c>
      <c r="C2951" s="2" t="inlineStr">
        <is>
          <t xml:space="preserve">2013/14</t>
        </is>
      </c>
      <c r="D2951">
        <v>0.0</v>
      </c>
      <c r="E2951">
        <v>22.7</v>
      </c>
      <c r="F2951">
        <v>29.26</v>
      </c>
      <c r="G2951">
        <v>18.26</v>
      </c>
      <c r="H2951">
        <v>0.19</v>
      </c>
      <c r="I2951">
        <v>0.0</v>
      </c>
      <c r="J2951">
        <v>22.49</v>
      </c>
      <c r="K2951">
        <v>27.44</v>
      </c>
      <c r="L2951">
        <v>18.98</v>
      </c>
      <c r="M2951">
        <v>0.2</v>
      </c>
      <c r="N2951">
        <v>0.037</v>
      </c>
      <c r="O2951">
        <v>22.58</v>
      </c>
      <c r="P2951">
        <v>26.5</v>
      </c>
      <c r="Q2951">
        <v>19.55</v>
      </c>
      <c r="R2951">
        <v>0.54</v>
      </c>
    </row>
    <row r="2952">
      <c r="A2952" s="9">
        <v>41483</v>
      </c>
      <c r="B2952" s="2" t="inlineStr">
        <is>
          <t xml:space="preserve">2013-07</t>
        </is>
      </c>
      <c r="C2952" s="2" t="inlineStr">
        <is>
          <t xml:space="preserve">2013/14</t>
        </is>
      </c>
      <c r="D2952">
        <v>0.0</v>
      </c>
      <c r="E2952">
        <v>22.86</v>
      </c>
      <c r="F2952">
        <v>29.29</v>
      </c>
      <c r="G2952">
        <v>17.38</v>
      </c>
      <c r="H2952">
        <v>0.91</v>
      </c>
      <c r="I2952">
        <v>0.101</v>
      </c>
      <c r="J2952">
        <v>22.68</v>
      </c>
      <c r="K2952">
        <v>27.28</v>
      </c>
      <c r="L2952">
        <v>18.37</v>
      </c>
      <c r="M2952">
        <v>4.01</v>
      </c>
      <c r="N2952">
        <v>1.176</v>
      </c>
      <c r="O2952">
        <v>22.78</v>
      </c>
      <c r="P2952">
        <v>27.42</v>
      </c>
      <c r="Q2952">
        <v>19.35</v>
      </c>
      <c r="R2952">
        <v>4.65</v>
      </c>
    </row>
    <row r="2953">
      <c r="A2953" s="9">
        <v>41484</v>
      </c>
      <c r="B2953" s="2" t="inlineStr">
        <is>
          <t xml:space="preserve">2013-07</t>
        </is>
      </c>
      <c r="C2953" s="2" t="inlineStr">
        <is>
          <t xml:space="preserve">2013/14</t>
        </is>
      </c>
      <c r="D2953">
        <v>6.3</v>
      </c>
      <c r="E2953">
        <v>22.64</v>
      </c>
      <c r="F2953">
        <v>27.74</v>
      </c>
      <c r="G2953">
        <v>18.26</v>
      </c>
      <c r="H2953">
        <v>2.7</v>
      </c>
      <c r="I2953">
        <v>7.456</v>
      </c>
      <c r="J2953">
        <v>22.73</v>
      </c>
      <c r="K2953">
        <v>26.77</v>
      </c>
      <c r="L2953">
        <v>18.81</v>
      </c>
      <c r="M2953">
        <v>5.19</v>
      </c>
      <c r="N2953">
        <v>12.56</v>
      </c>
      <c r="O2953">
        <v>22.74</v>
      </c>
      <c r="P2953">
        <v>26.95</v>
      </c>
      <c r="Q2953">
        <v>19.74</v>
      </c>
      <c r="R2953">
        <v>5.89</v>
      </c>
    </row>
    <row r="2954">
      <c r="A2954" s="9">
        <v>41485</v>
      </c>
      <c r="B2954" s="2" t="inlineStr">
        <is>
          <t xml:space="preserve">2013-07</t>
        </is>
      </c>
      <c r="C2954" s="2" t="inlineStr">
        <is>
          <t xml:space="preserve">2013/14</t>
        </is>
      </c>
      <c r="D2954">
        <v>0.0</v>
      </c>
      <c r="E2954">
        <v>22.84</v>
      </c>
      <c r="F2954">
        <v>28.6</v>
      </c>
      <c r="G2954">
        <v>17.85</v>
      </c>
      <c r="H2954">
        <v>0.02</v>
      </c>
      <c r="I2954">
        <v>2.574</v>
      </c>
      <c r="J2954">
        <v>22.71</v>
      </c>
      <c r="K2954">
        <v>26.5</v>
      </c>
      <c r="L2954">
        <v>19.63</v>
      </c>
      <c r="M2954">
        <v>1.66</v>
      </c>
      <c r="N2954">
        <v>0.186</v>
      </c>
      <c r="O2954">
        <v>22.94</v>
      </c>
      <c r="P2954">
        <v>26.71</v>
      </c>
      <c r="Q2954">
        <v>20.25</v>
      </c>
      <c r="R2954">
        <v>0.3</v>
      </c>
    </row>
    <row r="2955">
      <c r="A2955" s="9">
        <v>41486</v>
      </c>
      <c r="B2955" s="2" t="inlineStr">
        <is>
          <t xml:space="preserve">2013-07</t>
        </is>
      </c>
      <c r="C2955" s="2" t="inlineStr">
        <is>
          <t xml:space="preserve">2013/14</t>
        </is>
      </c>
      <c r="D2955">
        <v>0.0</v>
      </c>
      <c r="E2955">
        <v>23.04</v>
      </c>
      <c r="F2955">
        <v>29.68</v>
      </c>
      <c r="G2955">
        <v>17.9</v>
      </c>
      <c r="H2955">
        <v>1.07</v>
      </c>
      <c r="I2955">
        <v>1.152</v>
      </c>
      <c r="J2955">
        <v>22.31</v>
      </c>
      <c r="K2955">
        <v>26.61</v>
      </c>
      <c r="L2955">
        <v>19.09</v>
      </c>
      <c r="M2955">
        <v>1.57</v>
      </c>
      <c r="N2955">
        <v>0.0</v>
      </c>
      <c r="O2955">
        <v>22.69</v>
      </c>
      <c r="P2955">
        <v>26.71</v>
      </c>
      <c r="Q2955">
        <v>20.21</v>
      </c>
      <c r="R2955">
        <v>0.62</v>
      </c>
    </row>
    <row r="2956">
      <c r="A2956" s="9">
        <v>41487</v>
      </c>
      <c r="B2956" s="2" t="inlineStr">
        <is>
          <t xml:space="preserve">2013-08</t>
        </is>
      </c>
      <c r="C2956" s="2" t="inlineStr">
        <is>
          <t xml:space="preserve">2013/14</t>
        </is>
      </c>
      <c r="D2956">
        <v>5.083</v>
      </c>
      <c r="E2956">
        <v>23.32</v>
      </c>
      <c r="F2956">
        <v>29.88</v>
      </c>
      <c r="G2956">
        <v>18.61</v>
      </c>
      <c r="H2956">
        <v>1.73</v>
      </c>
      <c r="I2956">
        <v>3.196</v>
      </c>
      <c r="J2956">
        <v>21.87</v>
      </c>
      <c r="K2956">
        <v>26.44</v>
      </c>
      <c r="L2956">
        <v>17.86</v>
      </c>
      <c r="M2956">
        <v>4.74</v>
      </c>
      <c r="N2956">
        <v>1.372</v>
      </c>
      <c r="O2956">
        <v>22.28</v>
      </c>
      <c r="P2956">
        <v>26.75</v>
      </c>
      <c r="Q2956">
        <v>19.14</v>
      </c>
      <c r="R2956">
        <v>2.0</v>
      </c>
    </row>
    <row r="2957">
      <c r="A2957" s="9">
        <v>41488</v>
      </c>
      <c r="B2957" s="2" t="inlineStr">
        <is>
          <t xml:space="preserve">2013-08</t>
        </is>
      </c>
      <c r="C2957" s="2" t="inlineStr">
        <is>
          <t xml:space="preserve">2013/14</t>
        </is>
      </c>
      <c r="D2957">
        <v>0.06</v>
      </c>
      <c r="E2957">
        <v>23.39</v>
      </c>
      <c r="F2957">
        <v>30.22</v>
      </c>
      <c r="G2957">
        <v>17.5</v>
      </c>
      <c r="H2957">
        <v>0.47</v>
      </c>
      <c r="I2957">
        <v>18.123</v>
      </c>
      <c r="J2957">
        <v>23.15</v>
      </c>
      <c r="K2957">
        <v>28.3</v>
      </c>
      <c r="L2957">
        <v>18.31</v>
      </c>
      <c r="M2957">
        <v>5.83</v>
      </c>
      <c r="N2957">
        <v>0.734</v>
      </c>
      <c r="O2957">
        <v>23.12</v>
      </c>
      <c r="P2957">
        <v>27.97</v>
      </c>
      <c r="Q2957">
        <v>19.51</v>
      </c>
      <c r="R2957">
        <v>2.92</v>
      </c>
    </row>
    <row r="2958">
      <c r="A2958" s="9">
        <v>41489</v>
      </c>
      <c r="B2958" s="2" t="inlineStr">
        <is>
          <t xml:space="preserve">2013-08</t>
        </is>
      </c>
      <c r="C2958" s="2" t="inlineStr">
        <is>
          <t xml:space="preserve">2013/14</t>
        </is>
      </c>
      <c r="D2958">
        <v>0.057</v>
      </c>
      <c r="E2958">
        <v>21.96</v>
      </c>
      <c r="F2958">
        <v>26.54</v>
      </c>
      <c r="G2958">
        <v>17.86</v>
      </c>
      <c r="H2958">
        <v>0.75</v>
      </c>
      <c r="I2958">
        <v>3.5</v>
      </c>
      <c r="J2958">
        <v>22.46</v>
      </c>
      <c r="K2958">
        <v>26.57</v>
      </c>
      <c r="L2958">
        <v>19.5</v>
      </c>
      <c r="M2958">
        <v>2.76</v>
      </c>
      <c r="N2958">
        <v>0.482</v>
      </c>
      <c r="O2958">
        <v>22.58</v>
      </c>
      <c r="P2958">
        <v>26.11</v>
      </c>
      <c r="Q2958">
        <v>20.33</v>
      </c>
      <c r="R2958">
        <v>3.59</v>
      </c>
    </row>
    <row r="2959">
      <c r="A2959" s="9">
        <v>41490</v>
      </c>
      <c r="B2959" s="2" t="inlineStr">
        <is>
          <t xml:space="preserve">2013-08</t>
        </is>
      </c>
      <c r="C2959" s="2" t="inlineStr">
        <is>
          <t xml:space="preserve">2013/14</t>
        </is>
      </c>
      <c r="D2959">
        <v>0.673</v>
      </c>
      <c r="E2959">
        <v>22.27</v>
      </c>
      <c r="F2959">
        <v>27.48</v>
      </c>
      <c r="G2959">
        <v>17.36</v>
      </c>
      <c r="H2959">
        <v>0.86</v>
      </c>
      <c r="I2959">
        <v>0.099</v>
      </c>
      <c r="J2959">
        <v>22.74</v>
      </c>
      <c r="K2959">
        <v>27.05</v>
      </c>
      <c r="L2959">
        <v>19.71</v>
      </c>
      <c r="M2959">
        <v>5.2</v>
      </c>
      <c r="N2959">
        <v>0.0</v>
      </c>
      <c r="O2959">
        <v>22.98</v>
      </c>
      <c r="P2959">
        <v>27.16</v>
      </c>
      <c r="Q2959">
        <v>20.1</v>
      </c>
      <c r="R2959">
        <v>3.73</v>
      </c>
    </row>
    <row r="2960">
      <c r="A2960" s="9">
        <v>41491</v>
      </c>
      <c r="B2960" s="2" t="inlineStr">
        <is>
          <t xml:space="preserve">2013-08</t>
        </is>
      </c>
      <c r="C2960" s="2" t="inlineStr">
        <is>
          <t xml:space="preserve">2013/14</t>
        </is>
      </c>
      <c r="D2960">
        <v>0.718</v>
      </c>
      <c r="E2960">
        <v>23.02</v>
      </c>
      <c r="F2960">
        <v>28.55</v>
      </c>
      <c r="G2960">
        <v>19.06</v>
      </c>
      <c r="H2960">
        <v>0.86</v>
      </c>
      <c r="I2960">
        <v>15.487</v>
      </c>
      <c r="J2960">
        <v>22.49</v>
      </c>
      <c r="K2960">
        <v>26.54</v>
      </c>
      <c r="L2960">
        <v>20.23</v>
      </c>
      <c r="M2960">
        <v>5.38</v>
      </c>
      <c r="N2960">
        <v>10.145</v>
      </c>
      <c r="O2960">
        <v>22.92</v>
      </c>
      <c r="P2960">
        <v>26.64</v>
      </c>
      <c r="Q2960">
        <v>20.83</v>
      </c>
      <c r="R2960">
        <v>4.44</v>
      </c>
    </row>
    <row r="2961">
      <c r="A2961" s="9">
        <v>41492</v>
      </c>
      <c r="B2961" s="2" t="inlineStr">
        <is>
          <t xml:space="preserve">2013-08</t>
        </is>
      </c>
      <c r="C2961" s="2" t="inlineStr">
        <is>
          <t xml:space="preserve">2013/14</t>
        </is>
      </c>
      <c r="D2961">
        <v>0.093</v>
      </c>
      <c r="E2961">
        <v>23.73</v>
      </c>
      <c r="F2961">
        <v>30.82</v>
      </c>
      <c r="G2961">
        <v>18.45</v>
      </c>
      <c r="H2961">
        <v>1.2</v>
      </c>
      <c r="I2961">
        <v>0.245</v>
      </c>
      <c r="J2961">
        <v>23.14</v>
      </c>
      <c r="K2961">
        <v>28.21</v>
      </c>
      <c r="L2961">
        <v>19.5</v>
      </c>
      <c r="M2961">
        <v>0.16</v>
      </c>
      <c r="N2961">
        <v>0.0</v>
      </c>
      <c r="O2961">
        <v>23.46</v>
      </c>
      <c r="P2961">
        <v>28.5</v>
      </c>
      <c r="Q2961">
        <v>20.28</v>
      </c>
      <c r="R2961">
        <v>0.47</v>
      </c>
    </row>
    <row r="2962">
      <c r="A2962" s="9">
        <v>41493</v>
      </c>
      <c r="B2962" s="2" t="inlineStr">
        <is>
          <t xml:space="preserve">2013-08</t>
        </is>
      </c>
      <c r="C2962" s="2" t="inlineStr">
        <is>
          <t xml:space="preserve">2013/14</t>
        </is>
      </c>
      <c r="D2962">
        <v>0.093</v>
      </c>
      <c r="E2962">
        <v>23.61</v>
      </c>
      <c r="F2962">
        <v>31.28</v>
      </c>
      <c r="G2962">
        <v>16.98</v>
      </c>
      <c r="H2962">
        <v>0.36</v>
      </c>
      <c r="I2962">
        <v>0.0</v>
      </c>
      <c r="J2962">
        <v>22.96</v>
      </c>
      <c r="K2962">
        <v>28.42</v>
      </c>
      <c r="L2962">
        <v>18.47</v>
      </c>
      <c r="M2962">
        <v>0.11</v>
      </c>
      <c r="N2962">
        <v>0.078</v>
      </c>
      <c r="O2962">
        <v>23.24</v>
      </c>
      <c r="P2962">
        <v>28.35</v>
      </c>
      <c r="Q2962">
        <v>19.59</v>
      </c>
      <c r="R2962">
        <v>0.23</v>
      </c>
    </row>
    <row r="2963">
      <c r="A2963" s="9">
        <v>41494</v>
      </c>
      <c r="B2963" s="2" t="inlineStr">
        <is>
          <t xml:space="preserve">2013-08</t>
        </is>
      </c>
      <c r="C2963" s="2" t="inlineStr">
        <is>
          <t xml:space="preserve">2013/14</t>
        </is>
      </c>
      <c r="D2963">
        <v>0.0</v>
      </c>
      <c r="E2963">
        <v>24.57</v>
      </c>
      <c r="F2963">
        <v>31.61</v>
      </c>
      <c r="G2963">
        <v>18.75</v>
      </c>
      <c r="H2963">
        <v>0.58</v>
      </c>
      <c r="I2963">
        <v>1.383</v>
      </c>
      <c r="J2963">
        <v>23.05</v>
      </c>
      <c r="K2963">
        <v>28.15</v>
      </c>
      <c r="L2963">
        <v>17.94</v>
      </c>
      <c r="M2963">
        <v>2.52</v>
      </c>
      <c r="N2963">
        <v>0.053</v>
      </c>
      <c r="O2963">
        <v>23.27</v>
      </c>
      <c r="P2963">
        <v>28.57</v>
      </c>
      <c r="Q2963">
        <v>18.94</v>
      </c>
      <c r="R2963">
        <v>0.66</v>
      </c>
    </row>
    <row r="2964">
      <c r="A2964" s="9">
        <v>41495</v>
      </c>
      <c r="B2964" s="2" t="inlineStr">
        <is>
          <t xml:space="preserve">2013-08</t>
        </is>
      </c>
      <c r="C2964" s="2" t="inlineStr">
        <is>
          <t xml:space="preserve">2013/14</t>
        </is>
      </c>
      <c r="D2964">
        <v>5.635</v>
      </c>
      <c r="E2964">
        <v>23.99</v>
      </c>
      <c r="F2964">
        <v>30.28</v>
      </c>
      <c r="G2964">
        <v>18.91</v>
      </c>
      <c r="H2964">
        <v>2.84</v>
      </c>
      <c r="I2964">
        <v>12.578</v>
      </c>
      <c r="J2964">
        <v>22.64</v>
      </c>
      <c r="K2964">
        <v>25.96</v>
      </c>
      <c r="L2964">
        <v>20.1</v>
      </c>
      <c r="M2964">
        <v>8.01</v>
      </c>
      <c r="N2964">
        <v>1.648</v>
      </c>
      <c r="O2964">
        <v>23.12</v>
      </c>
      <c r="P2964">
        <v>27.37</v>
      </c>
      <c r="Q2964">
        <v>19.33</v>
      </c>
      <c r="R2964">
        <v>7.34</v>
      </c>
    </row>
    <row r="2965">
      <c r="A2965" s="9">
        <v>41496</v>
      </c>
      <c r="B2965" s="2" t="inlineStr">
        <is>
          <t xml:space="preserve">2013-08</t>
        </is>
      </c>
      <c r="C2965" s="2" t="inlineStr">
        <is>
          <t xml:space="preserve">2013/14</t>
        </is>
      </c>
      <c r="D2965">
        <v>2.073</v>
      </c>
      <c r="E2965">
        <v>24.23</v>
      </c>
      <c r="F2965">
        <v>30.72</v>
      </c>
      <c r="G2965">
        <v>19.05</v>
      </c>
      <c r="H2965">
        <v>1.7</v>
      </c>
      <c r="I2965">
        <v>0.475</v>
      </c>
      <c r="J2965">
        <v>22.95</v>
      </c>
      <c r="K2965">
        <v>26.95</v>
      </c>
      <c r="L2965">
        <v>20.04</v>
      </c>
      <c r="M2965">
        <v>4.18</v>
      </c>
      <c r="N2965">
        <v>2.972</v>
      </c>
      <c r="O2965">
        <v>23.05</v>
      </c>
      <c r="P2965">
        <v>27.2</v>
      </c>
      <c r="Q2965">
        <v>20.21</v>
      </c>
      <c r="R2965">
        <v>7.61</v>
      </c>
    </row>
    <row r="2966">
      <c r="A2966" s="9">
        <v>41497</v>
      </c>
      <c r="B2966" s="2" t="inlineStr">
        <is>
          <t xml:space="preserve">2013-08</t>
        </is>
      </c>
      <c r="C2966" s="2" t="inlineStr">
        <is>
          <t xml:space="preserve">2013/14</t>
        </is>
      </c>
      <c r="D2966">
        <v>3.603</v>
      </c>
      <c r="E2966">
        <v>22.85</v>
      </c>
      <c r="F2966">
        <v>27.55</v>
      </c>
      <c r="G2966">
        <v>19.54</v>
      </c>
      <c r="H2966">
        <v>3.15</v>
      </c>
      <c r="I2966">
        <v>15.74</v>
      </c>
      <c r="J2966">
        <v>22.59</v>
      </c>
      <c r="K2966">
        <v>26.42</v>
      </c>
      <c r="L2966">
        <v>19.66</v>
      </c>
      <c r="M2966">
        <v>8.69</v>
      </c>
      <c r="N2966">
        <v>3.74</v>
      </c>
      <c r="O2966">
        <v>22.46</v>
      </c>
      <c r="P2966">
        <v>25.63</v>
      </c>
      <c r="Q2966">
        <v>20.12</v>
      </c>
      <c r="R2966">
        <v>6.86</v>
      </c>
    </row>
    <row r="2967">
      <c r="A2967" s="9">
        <v>41498</v>
      </c>
      <c r="B2967" s="2" t="inlineStr">
        <is>
          <t xml:space="preserve">2013-08</t>
        </is>
      </c>
      <c r="C2967" s="2" t="inlineStr">
        <is>
          <t xml:space="preserve">2013/14</t>
        </is>
      </c>
      <c r="D2967">
        <v>3.59</v>
      </c>
      <c r="E2967">
        <v>21.8</v>
      </c>
      <c r="F2967">
        <v>27.23</v>
      </c>
      <c r="G2967">
        <v>18.57</v>
      </c>
      <c r="H2967">
        <v>8.28</v>
      </c>
      <c r="I2967">
        <v>13.648</v>
      </c>
      <c r="J2967">
        <v>21.54</v>
      </c>
      <c r="K2967">
        <v>24.54</v>
      </c>
      <c r="L2967">
        <v>19.24</v>
      </c>
      <c r="M2967">
        <v>12.77</v>
      </c>
      <c r="N2967">
        <v>6.811</v>
      </c>
      <c r="O2967">
        <v>21.58</v>
      </c>
      <c r="P2967">
        <v>23.93</v>
      </c>
      <c r="Q2967">
        <v>19.99</v>
      </c>
      <c r="R2967">
        <v>15.67</v>
      </c>
    </row>
    <row r="2968">
      <c r="A2968" s="9">
        <v>41499</v>
      </c>
      <c r="B2968" s="2" t="inlineStr">
        <is>
          <t xml:space="preserve">2013-08</t>
        </is>
      </c>
      <c r="C2968" s="2" t="inlineStr">
        <is>
          <t xml:space="preserve">2013/14</t>
        </is>
      </c>
      <c r="D2968">
        <v>1.523</v>
      </c>
      <c r="E2968">
        <v>22.06</v>
      </c>
      <c r="F2968">
        <v>28.14</v>
      </c>
      <c r="G2968">
        <v>18.02</v>
      </c>
      <c r="H2968">
        <v>2.98</v>
      </c>
      <c r="I2968">
        <v>2.07</v>
      </c>
      <c r="J2968">
        <v>20.99</v>
      </c>
      <c r="K2968">
        <v>24.96</v>
      </c>
      <c r="L2968">
        <v>18.04</v>
      </c>
      <c r="M2968">
        <v>3.58</v>
      </c>
      <c r="N2968">
        <v>3.336</v>
      </c>
      <c r="O2968">
        <v>21.29</v>
      </c>
      <c r="P2968">
        <v>24.77</v>
      </c>
      <c r="Q2968">
        <v>19.22</v>
      </c>
      <c r="R2968">
        <v>7.44</v>
      </c>
    </row>
    <row r="2969">
      <c r="A2969" s="9">
        <v>41500</v>
      </c>
      <c r="B2969" s="2" t="inlineStr">
        <is>
          <t xml:space="preserve">2013-08</t>
        </is>
      </c>
      <c r="C2969" s="2" t="inlineStr">
        <is>
          <t xml:space="preserve">2013/14</t>
        </is>
      </c>
      <c r="D2969">
        <v>5.855</v>
      </c>
      <c r="E2969">
        <v>22.42</v>
      </c>
      <c r="F2969">
        <v>28.65</v>
      </c>
      <c r="G2969">
        <v>17.81</v>
      </c>
      <c r="H2969">
        <v>4.89</v>
      </c>
      <c r="I2969">
        <v>0.752</v>
      </c>
      <c r="J2969">
        <v>21.67</v>
      </c>
      <c r="K2969">
        <v>26.22</v>
      </c>
      <c r="L2969">
        <v>17.76</v>
      </c>
      <c r="M2969">
        <v>1.14</v>
      </c>
      <c r="N2969">
        <v>0.623</v>
      </c>
      <c r="O2969">
        <v>21.85</v>
      </c>
      <c r="P2969">
        <v>26.01</v>
      </c>
      <c r="Q2969">
        <v>19.09</v>
      </c>
      <c r="R2969">
        <v>2.71</v>
      </c>
    </row>
    <row r="2970">
      <c r="A2970" s="9">
        <v>41501</v>
      </c>
      <c r="B2970" s="2" t="inlineStr">
        <is>
          <t xml:space="preserve">2013-08</t>
        </is>
      </c>
      <c r="C2970" s="2" t="inlineStr">
        <is>
          <t xml:space="preserve">2013/14</t>
        </is>
      </c>
      <c r="D2970">
        <v>2.114</v>
      </c>
      <c r="E2970">
        <v>21.71</v>
      </c>
      <c r="F2970">
        <v>26.08</v>
      </c>
      <c r="G2970">
        <v>18.8</v>
      </c>
      <c r="H2970">
        <v>3.85</v>
      </c>
      <c r="I2970">
        <v>2.33</v>
      </c>
      <c r="J2970">
        <v>21.91</v>
      </c>
      <c r="K2970">
        <v>25.56</v>
      </c>
      <c r="L2970">
        <v>18.87</v>
      </c>
      <c r="M2970">
        <v>2.19</v>
      </c>
      <c r="N2970">
        <v>0.154</v>
      </c>
      <c r="O2970">
        <v>22.22</v>
      </c>
      <c r="P2970">
        <v>26.22</v>
      </c>
      <c r="Q2970">
        <v>19.3</v>
      </c>
      <c r="R2970">
        <v>1.06</v>
      </c>
    </row>
    <row r="2971">
      <c r="A2971" s="9">
        <v>41502</v>
      </c>
      <c r="B2971" s="2" t="inlineStr">
        <is>
          <t xml:space="preserve">2013-08</t>
        </is>
      </c>
      <c r="C2971" s="2" t="inlineStr">
        <is>
          <t xml:space="preserve">2013/14</t>
        </is>
      </c>
      <c r="D2971">
        <v>0.186</v>
      </c>
      <c r="E2971">
        <v>23.32</v>
      </c>
      <c r="F2971">
        <v>30.01</v>
      </c>
      <c r="G2971">
        <v>19.02</v>
      </c>
      <c r="H2971">
        <v>2.5</v>
      </c>
      <c r="I2971">
        <v>1.368</v>
      </c>
      <c r="J2971">
        <v>21.95</v>
      </c>
      <c r="K2971">
        <v>24.45</v>
      </c>
      <c r="L2971">
        <v>19.83</v>
      </c>
      <c r="M2971">
        <v>8.31</v>
      </c>
      <c r="N2971">
        <v>0.051</v>
      </c>
      <c r="O2971">
        <v>22.63</v>
      </c>
      <c r="P2971">
        <v>26.51</v>
      </c>
      <c r="Q2971">
        <v>19.95</v>
      </c>
      <c r="R2971">
        <v>8.46</v>
      </c>
    </row>
    <row r="2972">
      <c r="A2972" s="9">
        <v>41503</v>
      </c>
      <c r="B2972" s="2" t="inlineStr">
        <is>
          <t xml:space="preserve">2013-08</t>
        </is>
      </c>
      <c r="C2972" s="2" t="inlineStr">
        <is>
          <t xml:space="preserve">2013/14</t>
        </is>
      </c>
      <c r="D2972">
        <v>3.895</v>
      </c>
      <c r="E2972">
        <v>23.43</v>
      </c>
      <c r="F2972">
        <v>29.97</v>
      </c>
      <c r="G2972">
        <v>18.91</v>
      </c>
      <c r="H2972">
        <v>2.93</v>
      </c>
      <c r="I2972">
        <v>20.251</v>
      </c>
      <c r="J2972">
        <v>23.02</v>
      </c>
      <c r="K2972">
        <v>27.14</v>
      </c>
      <c r="L2972">
        <v>19.84</v>
      </c>
      <c r="M2972">
        <v>15.11</v>
      </c>
      <c r="N2972">
        <v>20.708</v>
      </c>
      <c r="O2972">
        <v>23.42</v>
      </c>
      <c r="P2972">
        <v>28.82</v>
      </c>
      <c r="Q2972">
        <v>20.46</v>
      </c>
      <c r="R2972">
        <v>11.95</v>
      </c>
    </row>
    <row r="2973">
      <c r="A2973" s="9">
        <v>41504</v>
      </c>
      <c r="B2973" s="2" t="inlineStr">
        <is>
          <t xml:space="preserve">2013-08</t>
        </is>
      </c>
      <c r="C2973" s="2" t="inlineStr">
        <is>
          <t xml:space="preserve">2013/14</t>
        </is>
      </c>
      <c r="D2973">
        <v>7.99</v>
      </c>
      <c r="E2973">
        <v>23.29</v>
      </c>
      <c r="F2973">
        <v>29.84</v>
      </c>
      <c r="G2973">
        <v>18.32</v>
      </c>
      <c r="H2973">
        <v>2.2</v>
      </c>
      <c r="I2973">
        <v>1.741</v>
      </c>
      <c r="J2973">
        <v>22.56</v>
      </c>
      <c r="K2973">
        <v>26.13</v>
      </c>
      <c r="L2973">
        <v>20.28</v>
      </c>
      <c r="M2973">
        <v>2.64</v>
      </c>
      <c r="N2973">
        <v>1.519</v>
      </c>
      <c r="O2973">
        <v>23.04</v>
      </c>
      <c r="P2973">
        <v>27.37</v>
      </c>
      <c r="Q2973">
        <v>19.37</v>
      </c>
      <c r="R2973">
        <v>1.88</v>
      </c>
    </row>
    <row r="2974">
      <c r="A2974" s="9">
        <v>41505</v>
      </c>
      <c r="B2974" s="2" t="inlineStr">
        <is>
          <t xml:space="preserve">2013-08</t>
        </is>
      </c>
      <c r="C2974" s="2" t="inlineStr">
        <is>
          <t xml:space="preserve">2013/14</t>
        </is>
      </c>
      <c r="D2974">
        <v>0.299</v>
      </c>
      <c r="E2974">
        <v>23.16</v>
      </c>
      <c r="F2974">
        <v>28.36</v>
      </c>
      <c r="G2974">
        <v>18.68</v>
      </c>
      <c r="H2974">
        <v>0.59</v>
      </c>
      <c r="I2974">
        <v>9.342</v>
      </c>
      <c r="J2974">
        <v>22.98</v>
      </c>
      <c r="K2974">
        <v>26.99</v>
      </c>
      <c r="L2974">
        <v>20.22</v>
      </c>
      <c r="M2974">
        <v>6.66</v>
      </c>
      <c r="N2974">
        <v>0.322</v>
      </c>
      <c r="O2974">
        <v>23.08</v>
      </c>
      <c r="P2974">
        <v>27.05</v>
      </c>
      <c r="Q2974">
        <v>20.34</v>
      </c>
      <c r="R2974">
        <v>1.7</v>
      </c>
    </row>
    <row r="2975">
      <c r="A2975" s="9">
        <v>41506</v>
      </c>
      <c r="B2975" s="2" t="inlineStr">
        <is>
          <t xml:space="preserve">2013-08</t>
        </is>
      </c>
      <c r="C2975" s="2" t="inlineStr">
        <is>
          <t xml:space="preserve">2013/14</t>
        </is>
      </c>
      <c r="D2975">
        <v>0.0</v>
      </c>
      <c r="E2975">
        <v>23.45</v>
      </c>
      <c r="F2975">
        <v>28.83</v>
      </c>
      <c r="G2975">
        <v>18.66</v>
      </c>
      <c r="H2975">
        <v>0.6</v>
      </c>
      <c r="I2975">
        <v>12.814</v>
      </c>
      <c r="J2975">
        <v>23.35</v>
      </c>
      <c r="K2975">
        <v>27.42</v>
      </c>
      <c r="L2975">
        <v>20.02</v>
      </c>
      <c r="M2975">
        <v>4.1</v>
      </c>
      <c r="N2975">
        <v>0.448</v>
      </c>
      <c r="O2975">
        <v>23.12</v>
      </c>
      <c r="P2975">
        <v>27.19</v>
      </c>
      <c r="Q2975">
        <v>20.3</v>
      </c>
      <c r="R2975">
        <v>2.06</v>
      </c>
    </row>
    <row r="2976">
      <c r="A2976" s="9">
        <v>41507</v>
      </c>
      <c r="B2976" s="2" t="inlineStr">
        <is>
          <t xml:space="preserve">2013-08</t>
        </is>
      </c>
      <c r="C2976" s="2" t="inlineStr">
        <is>
          <t xml:space="preserve">2013/14</t>
        </is>
      </c>
      <c r="D2976">
        <v>2.283</v>
      </c>
      <c r="E2976">
        <v>22.79</v>
      </c>
      <c r="F2976">
        <v>28.07</v>
      </c>
      <c r="G2976">
        <v>19.02</v>
      </c>
      <c r="H2976">
        <v>3.57</v>
      </c>
      <c r="I2976">
        <v>9.216</v>
      </c>
      <c r="J2976">
        <v>22.4</v>
      </c>
      <c r="K2976">
        <v>25.73</v>
      </c>
      <c r="L2976">
        <v>20.07</v>
      </c>
      <c r="M2976">
        <v>8.54</v>
      </c>
      <c r="N2976">
        <v>3.063</v>
      </c>
      <c r="O2976">
        <v>22.47</v>
      </c>
      <c r="P2976">
        <v>25.62</v>
      </c>
      <c r="Q2976">
        <v>20.59</v>
      </c>
      <c r="R2976">
        <v>6.12</v>
      </c>
    </row>
    <row r="2977">
      <c r="A2977" s="9">
        <v>41508</v>
      </c>
      <c r="B2977" s="2" t="inlineStr">
        <is>
          <t xml:space="preserve">2013-08</t>
        </is>
      </c>
      <c r="C2977" s="2" t="inlineStr">
        <is>
          <t xml:space="preserve">2013/14</t>
        </is>
      </c>
      <c r="D2977">
        <v>3.452</v>
      </c>
      <c r="E2977">
        <v>22.43</v>
      </c>
      <c r="F2977">
        <v>28.68</v>
      </c>
      <c r="G2977">
        <v>18.12</v>
      </c>
      <c r="H2977">
        <v>8.0</v>
      </c>
      <c r="I2977">
        <v>11.004</v>
      </c>
      <c r="J2977">
        <v>22.03</v>
      </c>
      <c r="K2977">
        <v>26.3</v>
      </c>
      <c r="L2977">
        <v>19.17</v>
      </c>
      <c r="M2977">
        <v>6.38</v>
      </c>
      <c r="N2977">
        <v>8.58</v>
      </c>
      <c r="O2977">
        <v>22.16</v>
      </c>
      <c r="P2977">
        <v>25.19</v>
      </c>
      <c r="Q2977">
        <v>20.24</v>
      </c>
      <c r="R2977">
        <v>5.56</v>
      </c>
    </row>
    <row r="2978">
      <c r="A2978" s="9">
        <v>41509</v>
      </c>
      <c r="B2978" s="2" t="inlineStr">
        <is>
          <t xml:space="preserve">2013-08</t>
        </is>
      </c>
      <c r="C2978" s="2" t="inlineStr">
        <is>
          <t xml:space="preserve">2013/14</t>
        </is>
      </c>
      <c r="D2978">
        <v>46.814</v>
      </c>
      <c r="E2978">
        <v>21.6</v>
      </c>
      <c r="F2978">
        <v>26.83</v>
      </c>
      <c r="G2978">
        <v>18.43</v>
      </c>
      <c r="H2978">
        <v>45.09</v>
      </c>
      <c r="I2978">
        <v>5.444</v>
      </c>
      <c r="J2978">
        <v>21.71</v>
      </c>
      <c r="K2978">
        <v>25.63</v>
      </c>
      <c r="L2978">
        <v>18.74</v>
      </c>
      <c r="M2978">
        <v>12.49</v>
      </c>
      <c r="N2978">
        <v>5.808</v>
      </c>
      <c r="O2978">
        <v>21.97</v>
      </c>
      <c r="P2978">
        <v>25.32</v>
      </c>
      <c r="Q2978">
        <v>20.09</v>
      </c>
      <c r="R2978">
        <v>10.92</v>
      </c>
    </row>
    <row r="2979">
      <c r="A2979" s="9">
        <v>41510</v>
      </c>
      <c r="B2979" s="2" t="inlineStr">
        <is>
          <t xml:space="preserve">2013-08</t>
        </is>
      </c>
      <c r="C2979" s="2" t="inlineStr">
        <is>
          <t xml:space="preserve">2013/14</t>
        </is>
      </c>
      <c r="D2979">
        <v>29.388</v>
      </c>
      <c r="E2979">
        <v>21.3</v>
      </c>
      <c r="F2979">
        <v>25.58</v>
      </c>
      <c r="G2979">
        <v>18.25</v>
      </c>
      <c r="H2979">
        <v>34.47</v>
      </c>
      <c r="I2979">
        <v>7.724</v>
      </c>
      <c r="J2979">
        <v>21.05</v>
      </c>
      <c r="K2979">
        <v>23.72</v>
      </c>
      <c r="L2979">
        <v>18.73</v>
      </c>
      <c r="M2979">
        <v>15.54</v>
      </c>
      <c r="N2979">
        <v>24.957</v>
      </c>
      <c r="O2979">
        <v>21.86</v>
      </c>
      <c r="P2979">
        <v>24.9</v>
      </c>
      <c r="Q2979">
        <v>19.48</v>
      </c>
      <c r="R2979">
        <v>22.7</v>
      </c>
    </row>
    <row r="2980">
      <c r="A2980" s="9">
        <v>41511</v>
      </c>
      <c r="B2980" s="2" t="inlineStr">
        <is>
          <t xml:space="preserve">2013-08</t>
        </is>
      </c>
      <c r="C2980" s="2" t="inlineStr">
        <is>
          <t xml:space="preserve">2013/14</t>
        </is>
      </c>
      <c r="D2980">
        <v>6.358</v>
      </c>
      <c r="E2980">
        <v>21.79</v>
      </c>
      <c r="F2980">
        <v>26.55</v>
      </c>
      <c r="G2980">
        <v>18.15</v>
      </c>
      <c r="H2980">
        <v>4.27</v>
      </c>
      <c r="I2980">
        <v>4.911</v>
      </c>
      <c r="J2980">
        <v>22.0</v>
      </c>
      <c r="K2980">
        <v>26.71</v>
      </c>
      <c r="L2980">
        <v>18.15</v>
      </c>
      <c r="M2980">
        <v>4.07</v>
      </c>
      <c r="N2980">
        <v>15.497</v>
      </c>
      <c r="O2980">
        <v>22.71</v>
      </c>
      <c r="P2980">
        <v>27.38</v>
      </c>
      <c r="Q2980">
        <v>19.1</v>
      </c>
      <c r="R2980">
        <v>4.61</v>
      </c>
    </row>
    <row r="2981">
      <c r="A2981" s="9">
        <v>41512</v>
      </c>
      <c r="B2981" s="2" t="inlineStr">
        <is>
          <t xml:space="preserve">2013-08</t>
        </is>
      </c>
      <c r="C2981" s="2" t="inlineStr">
        <is>
          <t xml:space="preserve">2013/14</t>
        </is>
      </c>
      <c r="D2981">
        <v>0.112</v>
      </c>
      <c r="E2981">
        <v>21.37</v>
      </c>
      <c r="F2981">
        <v>27.04</v>
      </c>
      <c r="G2981">
        <v>16.28</v>
      </c>
      <c r="H2981">
        <v>1.0</v>
      </c>
      <c r="I2981">
        <v>0.0</v>
      </c>
      <c r="J2981">
        <v>23.38</v>
      </c>
      <c r="K2981">
        <v>28.16</v>
      </c>
      <c r="L2981">
        <v>19.07</v>
      </c>
      <c r="M2981">
        <v>0.13</v>
      </c>
      <c r="N2981">
        <v>0.0</v>
      </c>
      <c r="O2981">
        <v>22.9</v>
      </c>
      <c r="P2981">
        <v>27.99</v>
      </c>
      <c r="Q2981">
        <v>18.32</v>
      </c>
      <c r="R2981">
        <v>0.45</v>
      </c>
    </row>
    <row r="2982">
      <c r="A2982" s="9">
        <v>41513</v>
      </c>
      <c r="B2982" s="2" t="inlineStr">
        <is>
          <t xml:space="preserve">2013-08</t>
        </is>
      </c>
      <c r="C2982" s="2" t="inlineStr">
        <is>
          <t xml:space="preserve">2013/14</t>
        </is>
      </c>
      <c r="D2982">
        <v>0.081</v>
      </c>
      <c r="E2982">
        <v>21.51</v>
      </c>
      <c r="F2982">
        <v>25.68</v>
      </c>
      <c r="G2982">
        <v>18.11</v>
      </c>
      <c r="H2982">
        <v>5.58</v>
      </c>
      <c r="I2982">
        <v>0.0</v>
      </c>
      <c r="J2982">
        <v>22.23</v>
      </c>
      <c r="K2982">
        <v>25.95</v>
      </c>
      <c r="L2982">
        <v>19.47</v>
      </c>
      <c r="M2982">
        <v>5.41</v>
      </c>
      <c r="N2982">
        <v>0.287</v>
      </c>
      <c r="O2982">
        <v>22.52</v>
      </c>
      <c r="P2982">
        <v>26.39</v>
      </c>
      <c r="Q2982">
        <v>19.72</v>
      </c>
      <c r="R2982">
        <v>6.1</v>
      </c>
    </row>
    <row r="2983">
      <c r="A2983" s="9">
        <v>41514</v>
      </c>
      <c r="B2983" s="2" t="inlineStr">
        <is>
          <t xml:space="preserve">2013-08</t>
        </is>
      </c>
      <c r="C2983" s="2" t="inlineStr">
        <is>
          <t xml:space="preserve">2013/14</t>
        </is>
      </c>
      <c r="D2983">
        <v>7.972</v>
      </c>
      <c r="E2983">
        <v>20.41</v>
      </c>
      <c r="F2983">
        <v>25.27</v>
      </c>
      <c r="G2983">
        <v>17.12</v>
      </c>
      <c r="H2983">
        <v>7.53</v>
      </c>
      <c r="I2983">
        <v>9.532</v>
      </c>
      <c r="J2983">
        <v>21.71</v>
      </c>
      <c r="K2983">
        <v>25.18</v>
      </c>
      <c r="L2983">
        <v>19.7</v>
      </c>
      <c r="M2983">
        <v>12.04</v>
      </c>
      <c r="N2983">
        <v>20.663</v>
      </c>
      <c r="O2983">
        <v>21.91</v>
      </c>
      <c r="P2983">
        <v>25.51</v>
      </c>
      <c r="Q2983">
        <v>19.64</v>
      </c>
      <c r="R2983">
        <v>15.17</v>
      </c>
    </row>
    <row r="2984">
      <c r="A2984" s="9">
        <v>41515</v>
      </c>
      <c r="B2984" s="2" t="inlineStr">
        <is>
          <t xml:space="preserve">2013-08</t>
        </is>
      </c>
      <c r="C2984" s="2" t="inlineStr">
        <is>
          <t xml:space="preserve">2013/14</t>
        </is>
      </c>
      <c r="D2984">
        <v>11.931</v>
      </c>
      <c r="E2984">
        <v>21.53</v>
      </c>
      <c r="F2984">
        <v>26.81</v>
      </c>
      <c r="G2984">
        <v>17.32</v>
      </c>
      <c r="H2984">
        <v>6.83</v>
      </c>
      <c r="I2984">
        <v>5.019</v>
      </c>
      <c r="J2984">
        <v>22.41</v>
      </c>
      <c r="K2984">
        <v>26.48</v>
      </c>
      <c r="L2984">
        <v>19.36</v>
      </c>
      <c r="M2984">
        <v>3.99</v>
      </c>
      <c r="N2984">
        <v>3.766</v>
      </c>
      <c r="O2984">
        <v>22.6</v>
      </c>
      <c r="P2984">
        <v>27.21</v>
      </c>
      <c r="Q2984">
        <v>19.74</v>
      </c>
      <c r="R2984">
        <v>4.15</v>
      </c>
    </row>
    <row r="2985">
      <c r="A2985" s="9">
        <v>41516</v>
      </c>
      <c r="B2985" s="2" t="inlineStr">
        <is>
          <t xml:space="preserve">2013-08</t>
        </is>
      </c>
      <c r="C2985" s="2" t="inlineStr">
        <is>
          <t xml:space="preserve">2013/14</t>
        </is>
      </c>
      <c r="D2985">
        <v>7.863</v>
      </c>
      <c r="E2985">
        <v>21.71</v>
      </c>
      <c r="F2985">
        <v>26.24</v>
      </c>
      <c r="G2985">
        <v>18.08</v>
      </c>
      <c r="H2985">
        <v>10.78</v>
      </c>
      <c r="I2985">
        <v>1.049</v>
      </c>
      <c r="J2985">
        <v>22.28</v>
      </c>
      <c r="K2985">
        <v>25.76</v>
      </c>
      <c r="L2985">
        <v>19.5</v>
      </c>
      <c r="M2985">
        <v>5.42</v>
      </c>
      <c r="N2985">
        <v>3.674</v>
      </c>
      <c r="O2985">
        <v>23.06</v>
      </c>
      <c r="P2985">
        <v>27.21</v>
      </c>
      <c r="Q2985">
        <v>20.38</v>
      </c>
      <c r="R2985">
        <v>6.56</v>
      </c>
    </row>
    <row r="2986">
      <c r="A2986" s="9">
        <v>41517</v>
      </c>
      <c r="B2986" s="2" t="inlineStr">
        <is>
          <t xml:space="preserve">2013-08</t>
        </is>
      </c>
      <c r="C2986" s="2" t="inlineStr">
        <is>
          <t xml:space="preserve">2013/14</t>
        </is>
      </c>
      <c r="D2986">
        <v>13.961</v>
      </c>
      <c r="E2986">
        <v>22.21</v>
      </c>
      <c r="F2986">
        <v>27.31</v>
      </c>
      <c r="G2986">
        <v>18.58</v>
      </c>
      <c r="H2986">
        <v>8.93</v>
      </c>
      <c r="I2986">
        <v>8.347</v>
      </c>
      <c r="J2986">
        <v>22.32</v>
      </c>
      <c r="K2986">
        <v>25.55</v>
      </c>
      <c r="L2986">
        <v>19.69</v>
      </c>
      <c r="M2986">
        <v>12.98</v>
      </c>
      <c r="N2986">
        <v>25.377</v>
      </c>
      <c r="O2986">
        <v>22.37</v>
      </c>
      <c r="P2986">
        <v>25.15</v>
      </c>
      <c r="Q2986">
        <v>20.51</v>
      </c>
      <c r="R2986">
        <v>15.16</v>
      </c>
    </row>
    <row r="2987">
      <c r="A2987" s="9">
        <v>41518</v>
      </c>
      <c r="B2987" s="2" t="inlineStr">
        <is>
          <t xml:space="preserve">2013-09</t>
        </is>
      </c>
      <c r="C2987" s="2" t="inlineStr">
        <is>
          <t xml:space="preserve">2013/14</t>
        </is>
      </c>
      <c r="D2987">
        <v>5.585</v>
      </c>
      <c r="E2987">
        <v>21.96</v>
      </c>
      <c r="F2987">
        <v>25.93</v>
      </c>
      <c r="G2987">
        <v>19.08</v>
      </c>
      <c r="H2987">
        <v>8.3</v>
      </c>
      <c r="I2987">
        <v>16.056</v>
      </c>
      <c r="J2987">
        <v>22.57</v>
      </c>
      <c r="K2987">
        <v>27.26</v>
      </c>
      <c r="L2987">
        <v>19.73</v>
      </c>
      <c r="M2987">
        <v>15.68</v>
      </c>
      <c r="N2987">
        <v>31.298</v>
      </c>
      <c r="O2987">
        <v>22.8</v>
      </c>
      <c r="P2987">
        <v>27.88</v>
      </c>
      <c r="Q2987">
        <v>19.76</v>
      </c>
      <c r="R2987">
        <v>19.17</v>
      </c>
    </row>
    <row r="2988">
      <c r="A2988" s="9">
        <v>41519</v>
      </c>
      <c r="B2988" s="2" t="inlineStr">
        <is>
          <t xml:space="preserve">2013-09</t>
        </is>
      </c>
      <c r="C2988" s="2" t="inlineStr">
        <is>
          <t xml:space="preserve">2013/14</t>
        </is>
      </c>
      <c r="D2988">
        <v>5.657</v>
      </c>
      <c r="E2988">
        <v>21.3</v>
      </c>
      <c r="F2988">
        <v>25.26</v>
      </c>
      <c r="G2988">
        <v>18.83</v>
      </c>
      <c r="H2988">
        <v>14.11</v>
      </c>
      <c r="I2988">
        <v>2.93</v>
      </c>
      <c r="J2988">
        <v>20.94</v>
      </c>
      <c r="K2988">
        <v>24.57</v>
      </c>
      <c r="L2988">
        <v>18.48</v>
      </c>
      <c r="M2988">
        <v>6.49</v>
      </c>
      <c r="N2988">
        <v>11.981</v>
      </c>
      <c r="O2988">
        <v>21.74</v>
      </c>
      <c r="P2988">
        <v>25.54</v>
      </c>
      <c r="Q2988">
        <v>19.07</v>
      </c>
      <c r="R2988">
        <v>13.04</v>
      </c>
    </row>
    <row r="2989">
      <c r="A2989" s="9">
        <v>41520</v>
      </c>
      <c r="B2989" s="2" t="inlineStr">
        <is>
          <t xml:space="preserve">2013-09</t>
        </is>
      </c>
      <c r="C2989" s="2" t="inlineStr">
        <is>
          <t xml:space="preserve">2013/14</t>
        </is>
      </c>
      <c r="D2989">
        <v>39.772</v>
      </c>
      <c r="E2989">
        <v>21.4</v>
      </c>
      <c r="F2989">
        <v>26.0</v>
      </c>
      <c r="G2989">
        <v>17.92</v>
      </c>
      <c r="H2989">
        <v>24.26</v>
      </c>
      <c r="I2989">
        <v>1.701</v>
      </c>
      <c r="J2989">
        <v>21.79</v>
      </c>
      <c r="K2989">
        <v>26.0</v>
      </c>
      <c r="L2989">
        <v>17.87</v>
      </c>
      <c r="M2989">
        <v>9.09</v>
      </c>
      <c r="N2989">
        <v>7.785</v>
      </c>
      <c r="O2989">
        <v>21.82</v>
      </c>
      <c r="P2989">
        <v>25.61</v>
      </c>
      <c r="Q2989">
        <v>18.5</v>
      </c>
      <c r="R2989">
        <v>11.45</v>
      </c>
    </row>
    <row r="2990">
      <c r="A2990" s="9">
        <v>41521</v>
      </c>
      <c r="B2990" s="2" t="inlineStr">
        <is>
          <t xml:space="preserve">2013-09</t>
        </is>
      </c>
      <c r="C2990" s="2" t="inlineStr">
        <is>
          <t xml:space="preserve">2013/14</t>
        </is>
      </c>
      <c r="D2990">
        <v>29.431</v>
      </c>
      <c r="E2990">
        <v>21.76</v>
      </c>
      <c r="F2990">
        <v>26.67</v>
      </c>
      <c r="G2990">
        <v>17.96</v>
      </c>
      <c r="H2990">
        <v>14.33</v>
      </c>
      <c r="I2990">
        <v>4.04</v>
      </c>
      <c r="J2990">
        <v>22.38</v>
      </c>
      <c r="K2990">
        <v>27.58</v>
      </c>
      <c r="L2990">
        <v>17.73</v>
      </c>
      <c r="M2990">
        <v>7.68</v>
      </c>
      <c r="N2990">
        <v>7.866</v>
      </c>
      <c r="O2990">
        <v>22.46</v>
      </c>
      <c r="P2990">
        <v>27.35</v>
      </c>
      <c r="Q2990">
        <v>17.99</v>
      </c>
      <c r="R2990">
        <v>9.24</v>
      </c>
    </row>
    <row r="2991">
      <c r="A2991" s="9">
        <v>41522</v>
      </c>
      <c r="B2991" s="2" t="inlineStr">
        <is>
          <t xml:space="preserve">2013-09</t>
        </is>
      </c>
      <c r="C2991" s="2" t="inlineStr">
        <is>
          <t xml:space="preserve">2013/14</t>
        </is>
      </c>
      <c r="D2991">
        <v>2.202</v>
      </c>
      <c r="E2991">
        <v>22.12</v>
      </c>
      <c r="F2991">
        <v>27.69</v>
      </c>
      <c r="G2991">
        <v>18.17</v>
      </c>
      <c r="H2991">
        <v>2.53</v>
      </c>
      <c r="I2991">
        <v>0.0</v>
      </c>
      <c r="J2991">
        <v>21.86</v>
      </c>
      <c r="K2991">
        <v>24.54</v>
      </c>
      <c r="L2991">
        <v>20.08</v>
      </c>
      <c r="M2991">
        <v>0.17</v>
      </c>
      <c r="N2991">
        <v>0.024</v>
      </c>
      <c r="O2991">
        <v>22.98</v>
      </c>
      <c r="P2991">
        <v>26.76</v>
      </c>
      <c r="Q2991">
        <v>20.83</v>
      </c>
      <c r="R2991">
        <v>0.22</v>
      </c>
    </row>
    <row r="2992">
      <c r="A2992" s="9">
        <v>41523</v>
      </c>
      <c r="B2992" s="2" t="inlineStr">
        <is>
          <t xml:space="preserve">2013-09</t>
        </is>
      </c>
      <c r="C2992" s="2" t="inlineStr">
        <is>
          <t xml:space="preserve">2013/14</t>
        </is>
      </c>
      <c r="D2992">
        <v>2.576</v>
      </c>
      <c r="E2992">
        <v>21.83</v>
      </c>
      <c r="F2992">
        <v>26.53</v>
      </c>
      <c r="G2992">
        <v>17.53</v>
      </c>
      <c r="H2992">
        <v>18.81</v>
      </c>
      <c r="I2992">
        <v>0.0</v>
      </c>
      <c r="J2992">
        <v>23.04</v>
      </c>
      <c r="K2992">
        <v>27.44</v>
      </c>
      <c r="L2992">
        <v>19.79</v>
      </c>
      <c r="M2992">
        <v>8.34</v>
      </c>
      <c r="N2992">
        <v>0.0</v>
      </c>
      <c r="O2992">
        <v>23.13</v>
      </c>
      <c r="P2992">
        <v>27.83</v>
      </c>
      <c r="Q2992">
        <v>19.87</v>
      </c>
      <c r="R2992">
        <v>8.28</v>
      </c>
    </row>
    <row r="2993">
      <c r="A2993" s="9">
        <v>41524</v>
      </c>
      <c r="B2993" s="2" t="inlineStr">
        <is>
          <t xml:space="preserve">2013-09</t>
        </is>
      </c>
      <c r="C2993" s="2" t="inlineStr">
        <is>
          <t xml:space="preserve">2013/14</t>
        </is>
      </c>
      <c r="D2993">
        <v>54.921</v>
      </c>
      <c r="E2993">
        <v>22.07</v>
      </c>
      <c r="F2993">
        <v>26.45</v>
      </c>
      <c r="G2993">
        <v>18.97</v>
      </c>
      <c r="H2993">
        <v>31.01</v>
      </c>
      <c r="I2993">
        <v>19.183</v>
      </c>
      <c r="J2993">
        <v>22.03</v>
      </c>
      <c r="K2993">
        <v>24.7</v>
      </c>
      <c r="L2993">
        <v>19.65</v>
      </c>
      <c r="M2993">
        <v>15.3</v>
      </c>
      <c r="N2993">
        <v>14.116</v>
      </c>
      <c r="O2993">
        <v>22.94</v>
      </c>
      <c r="P2993">
        <v>26.01</v>
      </c>
      <c r="Q2993">
        <v>20.88</v>
      </c>
      <c r="R2993">
        <v>18.92</v>
      </c>
    </row>
    <row r="2994">
      <c r="A2994" s="9">
        <v>41525</v>
      </c>
      <c r="B2994" s="2" t="inlineStr">
        <is>
          <t xml:space="preserve">2013-09</t>
        </is>
      </c>
      <c r="C2994" s="2" t="inlineStr">
        <is>
          <t xml:space="preserve">2013/14</t>
        </is>
      </c>
      <c r="D2994">
        <v>23.544</v>
      </c>
      <c r="E2994">
        <v>21.77</v>
      </c>
      <c r="F2994">
        <v>25.68</v>
      </c>
      <c r="G2994">
        <v>18.62</v>
      </c>
      <c r="H2994">
        <v>20.95</v>
      </c>
      <c r="I2994">
        <v>5.701</v>
      </c>
      <c r="J2994">
        <v>21.1</v>
      </c>
      <c r="K2994">
        <v>23.65</v>
      </c>
      <c r="L2994">
        <v>19.07</v>
      </c>
      <c r="M2994">
        <v>7.91</v>
      </c>
      <c r="N2994">
        <v>20.116</v>
      </c>
      <c r="O2994">
        <v>22.02</v>
      </c>
      <c r="P2994">
        <v>24.47</v>
      </c>
      <c r="Q2994">
        <v>20.16</v>
      </c>
      <c r="R2994">
        <v>10.92</v>
      </c>
    </row>
    <row r="2995">
      <c r="A2995" s="9">
        <v>41526</v>
      </c>
      <c r="B2995" s="2" t="inlineStr">
        <is>
          <t xml:space="preserve">2013-09</t>
        </is>
      </c>
      <c r="C2995" s="2" t="inlineStr">
        <is>
          <t xml:space="preserve">2013/14</t>
        </is>
      </c>
      <c r="D2995">
        <v>0.0</v>
      </c>
      <c r="E2995">
        <v>22.12</v>
      </c>
      <c r="F2995">
        <v>26.99</v>
      </c>
      <c r="G2995">
        <v>18.06</v>
      </c>
      <c r="H2995">
        <v>3.78</v>
      </c>
      <c r="I2995">
        <v>0.0</v>
      </c>
      <c r="J2995">
        <v>22.5</v>
      </c>
      <c r="K2995">
        <v>26.54</v>
      </c>
      <c r="L2995">
        <v>19.48</v>
      </c>
      <c r="M2995">
        <v>4.36</v>
      </c>
      <c r="N2995">
        <v>0.0</v>
      </c>
      <c r="O2995">
        <v>22.76</v>
      </c>
      <c r="P2995">
        <v>26.54</v>
      </c>
      <c r="Q2995">
        <v>20.65</v>
      </c>
      <c r="R2995">
        <v>4.97</v>
      </c>
    </row>
    <row r="2996">
      <c r="A2996" s="9">
        <v>41527</v>
      </c>
      <c r="B2996" s="2" t="inlineStr">
        <is>
          <t xml:space="preserve">2013-09</t>
        </is>
      </c>
      <c r="C2996" s="2" t="inlineStr">
        <is>
          <t xml:space="preserve">2013/14</t>
        </is>
      </c>
      <c r="D2996">
        <v>4.746</v>
      </c>
      <c r="E2996">
        <v>21.63</v>
      </c>
      <c r="F2996">
        <v>24.14</v>
      </c>
      <c r="G2996">
        <v>19.46</v>
      </c>
      <c r="H2996">
        <v>6.49</v>
      </c>
      <c r="I2996">
        <v>10.719</v>
      </c>
      <c r="J2996">
        <v>22.04</v>
      </c>
      <c r="K2996">
        <v>25.02</v>
      </c>
      <c r="L2996">
        <v>19.93</v>
      </c>
      <c r="M2996">
        <v>12.42</v>
      </c>
      <c r="N2996">
        <v>27.416</v>
      </c>
      <c r="O2996">
        <v>22.6</v>
      </c>
      <c r="P2996">
        <v>25.46</v>
      </c>
      <c r="Q2996">
        <v>20.52</v>
      </c>
      <c r="R2996">
        <v>13.69</v>
      </c>
    </row>
    <row r="2997">
      <c r="A2997" s="9">
        <v>41528</v>
      </c>
      <c r="B2997" s="2" t="inlineStr">
        <is>
          <t xml:space="preserve">2013-09</t>
        </is>
      </c>
      <c r="C2997" s="2" t="inlineStr">
        <is>
          <t xml:space="preserve">2013/14</t>
        </is>
      </c>
      <c r="D2997">
        <v>3.227</v>
      </c>
      <c r="E2997">
        <v>21.13</v>
      </c>
      <c r="F2997">
        <v>24.95</v>
      </c>
      <c r="G2997">
        <v>18.73</v>
      </c>
      <c r="H2997">
        <v>8.66</v>
      </c>
      <c r="I2997">
        <v>0.146</v>
      </c>
      <c r="J2997">
        <v>21.9</v>
      </c>
      <c r="K2997">
        <v>25.85</v>
      </c>
      <c r="L2997">
        <v>19.22</v>
      </c>
      <c r="M2997">
        <v>2.31</v>
      </c>
      <c r="N2997">
        <v>1.632</v>
      </c>
      <c r="O2997">
        <v>22.38</v>
      </c>
      <c r="P2997">
        <v>26.57</v>
      </c>
      <c r="Q2997">
        <v>19.16</v>
      </c>
      <c r="R2997">
        <v>7.85</v>
      </c>
    </row>
    <row r="2998">
      <c r="A2998" s="9">
        <v>41529</v>
      </c>
      <c r="B2998" s="2" t="inlineStr">
        <is>
          <t xml:space="preserve">2013-09</t>
        </is>
      </c>
      <c r="C2998" s="2" t="inlineStr">
        <is>
          <t xml:space="preserve">2013/14</t>
        </is>
      </c>
      <c r="D2998">
        <v>11.311</v>
      </c>
      <c r="E2998">
        <v>20.58</v>
      </c>
      <c r="F2998">
        <v>23.73</v>
      </c>
      <c r="G2998">
        <v>17.88</v>
      </c>
      <c r="H2998">
        <v>14.65</v>
      </c>
      <c r="I2998">
        <v>5.224</v>
      </c>
      <c r="J2998">
        <v>21.32</v>
      </c>
      <c r="K2998">
        <v>24.82</v>
      </c>
      <c r="L2998">
        <v>19.19</v>
      </c>
      <c r="M2998">
        <v>6.12</v>
      </c>
      <c r="N2998">
        <v>4.873</v>
      </c>
      <c r="O2998">
        <v>21.87</v>
      </c>
      <c r="P2998">
        <v>25.68</v>
      </c>
      <c r="Q2998">
        <v>19.61</v>
      </c>
      <c r="R2998">
        <v>5.86</v>
      </c>
    </row>
    <row r="2999">
      <c r="A2999" s="9">
        <v>41530</v>
      </c>
      <c r="B2999" s="2" t="inlineStr">
        <is>
          <t xml:space="preserve">2013-09</t>
        </is>
      </c>
      <c r="C2999" s="2" t="inlineStr">
        <is>
          <t xml:space="preserve">2013/14</t>
        </is>
      </c>
      <c r="D2999">
        <v>0.288</v>
      </c>
      <c r="E2999">
        <v>21.5</v>
      </c>
      <c r="F2999">
        <v>25.7</v>
      </c>
      <c r="G2999">
        <v>17.35</v>
      </c>
      <c r="H2999">
        <v>7.03</v>
      </c>
      <c r="I2999">
        <v>0.0</v>
      </c>
      <c r="J2999">
        <v>21.53</v>
      </c>
      <c r="K2999">
        <v>26.47</v>
      </c>
      <c r="L2999">
        <v>17.61</v>
      </c>
      <c r="M2999">
        <v>1.3</v>
      </c>
      <c r="N2999">
        <v>0.0</v>
      </c>
      <c r="O2999">
        <v>22.38</v>
      </c>
      <c r="P2999">
        <v>27.67</v>
      </c>
      <c r="Q2999">
        <v>18.32</v>
      </c>
      <c r="R2999">
        <v>1.4</v>
      </c>
    </row>
    <row r="3000">
      <c r="A3000" s="9">
        <v>41531</v>
      </c>
      <c r="B3000" s="2" t="inlineStr">
        <is>
          <t xml:space="preserve">2013-09</t>
        </is>
      </c>
      <c r="C3000" s="2" t="inlineStr">
        <is>
          <t xml:space="preserve">2013/14</t>
        </is>
      </c>
      <c r="D3000">
        <v>11.631</v>
      </c>
      <c r="E3000">
        <v>21.85</v>
      </c>
      <c r="F3000">
        <v>25.45</v>
      </c>
      <c r="G3000">
        <v>18.39</v>
      </c>
      <c r="H3000">
        <v>6.2</v>
      </c>
      <c r="I3000">
        <v>0.723</v>
      </c>
      <c r="J3000">
        <v>21.98</v>
      </c>
      <c r="K3000">
        <v>26.94</v>
      </c>
      <c r="L3000">
        <v>17.79</v>
      </c>
      <c r="M3000">
        <v>5.65</v>
      </c>
      <c r="N3000">
        <v>1.692</v>
      </c>
      <c r="O3000">
        <v>22.99</v>
      </c>
      <c r="P3000">
        <v>27.75</v>
      </c>
      <c r="Q3000">
        <v>18.82</v>
      </c>
      <c r="R3000">
        <v>7.12</v>
      </c>
    </row>
    <row r="3001">
      <c r="A3001" s="9">
        <v>41532</v>
      </c>
      <c r="B3001" s="2" t="inlineStr">
        <is>
          <t xml:space="preserve">2013-09</t>
        </is>
      </c>
      <c r="C3001" s="2" t="inlineStr">
        <is>
          <t xml:space="preserve">2013/14</t>
        </is>
      </c>
      <c r="D3001">
        <v>9.153</v>
      </c>
      <c r="E3001">
        <v>22.18</v>
      </c>
      <c r="F3001">
        <v>26.39</v>
      </c>
      <c r="G3001">
        <v>19.37</v>
      </c>
      <c r="H3001">
        <v>13.52</v>
      </c>
      <c r="I3001">
        <v>9.557</v>
      </c>
      <c r="J3001">
        <v>22.68</v>
      </c>
      <c r="K3001">
        <v>26.79</v>
      </c>
      <c r="L3001">
        <v>20.06</v>
      </c>
      <c r="M3001">
        <v>11.33</v>
      </c>
      <c r="N3001">
        <v>35.365</v>
      </c>
      <c r="O3001">
        <v>22.61</v>
      </c>
      <c r="P3001">
        <v>26.06</v>
      </c>
      <c r="Q3001">
        <v>20.19</v>
      </c>
      <c r="R3001">
        <v>13.5</v>
      </c>
    </row>
    <row r="3002">
      <c r="A3002" s="9">
        <v>41533</v>
      </c>
      <c r="B3002" s="2" t="inlineStr">
        <is>
          <t xml:space="preserve">2013-09</t>
        </is>
      </c>
      <c r="C3002" s="2" t="inlineStr">
        <is>
          <t xml:space="preserve">2013/14</t>
        </is>
      </c>
      <c r="D3002">
        <v>15.746</v>
      </c>
      <c r="E3002">
        <v>21.94</v>
      </c>
      <c r="F3002">
        <v>25.46</v>
      </c>
      <c r="G3002">
        <v>18.82</v>
      </c>
      <c r="H3002">
        <v>12.23</v>
      </c>
      <c r="I3002">
        <v>0.822</v>
      </c>
      <c r="J3002">
        <v>22.46</v>
      </c>
      <c r="K3002">
        <v>26.13</v>
      </c>
      <c r="L3002">
        <v>19.42</v>
      </c>
      <c r="M3002">
        <v>2.97</v>
      </c>
      <c r="N3002">
        <v>2.2</v>
      </c>
      <c r="O3002">
        <v>22.62</v>
      </c>
      <c r="P3002">
        <v>25.71</v>
      </c>
      <c r="Q3002">
        <v>19.3</v>
      </c>
      <c r="R3002">
        <v>3.5</v>
      </c>
    </row>
    <row r="3003">
      <c r="A3003" s="9">
        <v>41534</v>
      </c>
      <c r="B3003" s="2" t="inlineStr">
        <is>
          <t xml:space="preserve">2013-09</t>
        </is>
      </c>
      <c r="C3003" s="2" t="inlineStr">
        <is>
          <t xml:space="preserve">2013/14</t>
        </is>
      </c>
      <c r="D3003">
        <v>9.09</v>
      </c>
      <c r="E3003">
        <v>22.19</v>
      </c>
      <c r="F3003">
        <v>26.24</v>
      </c>
      <c r="G3003">
        <v>19.06</v>
      </c>
      <c r="H3003">
        <v>10.56</v>
      </c>
      <c r="I3003">
        <v>1.16</v>
      </c>
      <c r="J3003">
        <v>22.46</v>
      </c>
      <c r="K3003">
        <v>26.19</v>
      </c>
      <c r="L3003">
        <v>19.9</v>
      </c>
      <c r="M3003">
        <v>3.56</v>
      </c>
      <c r="N3003">
        <v>1.46</v>
      </c>
      <c r="O3003">
        <v>22.21</v>
      </c>
      <c r="P3003">
        <v>24.83</v>
      </c>
      <c r="Q3003">
        <v>19.93</v>
      </c>
      <c r="R3003">
        <v>7.94</v>
      </c>
    </row>
    <row r="3004">
      <c r="A3004" s="9">
        <v>41535</v>
      </c>
      <c r="B3004" s="2" t="inlineStr">
        <is>
          <t xml:space="preserve">2013-09</t>
        </is>
      </c>
      <c r="C3004" s="2" t="inlineStr">
        <is>
          <t xml:space="preserve">2013/14</t>
        </is>
      </c>
      <c r="D3004">
        <v>9.84</v>
      </c>
      <c r="E3004">
        <v>22.18</v>
      </c>
      <c r="F3004">
        <v>26.09</v>
      </c>
      <c r="G3004">
        <v>19.42</v>
      </c>
      <c r="H3004">
        <v>13.27</v>
      </c>
      <c r="I3004">
        <v>2.041</v>
      </c>
      <c r="J3004">
        <v>22.21</v>
      </c>
      <c r="K3004">
        <v>26.93</v>
      </c>
      <c r="L3004">
        <v>19.01</v>
      </c>
      <c r="M3004">
        <v>3.85</v>
      </c>
      <c r="N3004">
        <v>7.798</v>
      </c>
      <c r="O3004">
        <v>22.72</v>
      </c>
      <c r="P3004">
        <v>27.3</v>
      </c>
      <c r="Q3004">
        <v>19.04</v>
      </c>
      <c r="R3004">
        <v>5.45</v>
      </c>
    </row>
    <row r="3005">
      <c r="A3005" s="9">
        <v>41536</v>
      </c>
      <c r="B3005" s="2" t="inlineStr">
        <is>
          <t xml:space="preserve">2013-09</t>
        </is>
      </c>
      <c r="C3005" s="2" t="inlineStr">
        <is>
          <t xml:space="preserve">2013/14</t>
        </is>
      </c>
      <c r="D3005">
        <v>26.057</v>
      </c>
      <c r="E3005">
        <v>21.8</v>
      </c>
      <c r="F3005">
        <v>25.87</v>
      </c>
      <c r="G3005">
        <v>18.69</v>
      </c>
      <c r="H3005">
        <v>21.05</v>
      </c>
      <c r="I3005">
        <v>0.045</v>
      </c>
      <c r="J3005">
        <v>21.94</v>
      </c>
      <c r="K3005">
        <v>25.79</v>
      </c>
      <c r="L3005">
        <v>19.16</v>
      </c>
      <c r="M3005">
        <v>0.31</v>
      </c>
      <c r="N3005">
        <v>0.495</v>
      </c>
      <c r="O3005">
        <v>22.83</v>
      </c>
      <c r="P3005">
        <v>26.71</v>
      </c>
      <c r="Q3005">
        <v>19.82</v>
      </c>
      <c r="R3005">
        <v>0.33</v>
      </c>
    </row>
    <row r="3006">
      <c r="A3006" s="9">
        <v>41537</v>
      </c>
      <c r="B3006" s="2" t="inlineStr">
        <is>
          <t xml:space="preserve">2013-09</t>
        </is>
      </c>
      <c r="C3006" s="2" t="inlineStr">
        <is>
          <t xml:space="preserve">2013/14</t>
        </is>
      </c>
      <c r="D3006">
        <v>4.369</v>
      </c>
      <c r="E3006">
        <v>21.86</v>
      </c>
      <c r="F3006">
        <v>25.88</v>
      </c>
      <c r="G3006">
        <v>18.85</v>
      </c>
      <c r="H3006">
        <v>5.0</v>
      </c>
      <c r="I3006">
        <v>0.114</v>
      </c>
      <c r="J3006">
        <v>21.95</v>
      </c>
      <c r="K3006">
        <v>26.09</v>
      </c>
      <c r="L3006">
        <v>18.83</v>
      </c>
      <c r="M3006">
        <v>3.88</v>
      </c>
      <c r="N3006">
        <v>0.474</v>
      </c>
      <c r="O3006">
        <v>22.52</v>
      </c>
      <c r="P3006">
        <v>26.33</v>
      </c>
      <c r="Q3006">
        <v>19.45</v>
      </c>
      <c r="R3006">
        <v>4.75</v>
      </c>
    </row>
    <row r="3007">
      <c r="A3007" s="9">
        <v>41538</v>
      </c>
      <c r="B3007" s="2" t="inlineStr">
        <is>
          <t xml:space="preserve">2013-09</t>
        </is>
      </c>
      <c r="C3007" s="2" t="inlineStr">
        <is>
          <t xml:space="preserve">2013/14</t>
        </is>
      </c>
      <c r="D3007">
        <v>8.308</v>
      </c>
      <c r="E3007">
        <v>21.5</v>
      </c>
      <c r="F3007">
        <v>24.76</v>
      </c>
      <c r="G3007">
        <v>19.12</v>
      </c>
      <c r="H3007">
        <v>3.56</v>
      </c>
      <c r="I3007">
        <v>4.773</v>
      </c>
      <c r="J3007">
        <v>21.57</v>
      </c>
      <c r="K3007">
        <v>25.12</v>
      </c>
      <c r="L3007">
        <v>19.59</v>
      </c>
      <c r="M3007">
        <v>4.99</v>
      </c>
      <c r="N3007">
        <v>16.681</v>
      </c>
      <c r="O3007">
        <v>22.03</v>
      </c>
      <c r="P3007">
        <v>25.64</v>
      </c>
      <c r="Q3007">
        <v>19.72</v>
      </c>
      <c r="R3007">
        <v>5.38</v>
      </c>
    </row>
    <row r="3008">
      <c r="A3008" s="9">
        <v>41539</v>
      </c>
      <c r="B3008" s="2" t="inlineStr">
        <is>
          <t xml:space="preserve">2013-09</t>
        </is>
      </c>
      <c r="C3008" s="2" t="inlineStr">
        <is>
          <t xml:space="preserve">2013/14</t>
        </is>
      </c>
      <c r="D3008">
        <v>0.846</v>
      </c>
      <c r="E3008">
        <v>22.05</v>
      </c>
      <c r="F3008">
        <v>26.65</v>
      </c>
      <c r="G3008">
        <v>18.35</v>
      </c>
      <c r="H3008">
        <v>2.0</v>
      </c>
      <c r="I3008">
        <v>0.06</v>
      </c>
      <c r="J3008">
        <v>21.95</v>
      </c>
      <c r="K3008">
        <v>26.46</v>
      </c>
      <c r="L3008">
        <v>18.98</v>
      </c>
      <c r="M3008">
        <v>1.65</v>
      </c>
      <c r="N3008">
        <v>0.617</v>
      </c>
      <c r="O3008">
        <v>22.64</v>
      </c>
      <c r="P3008">
        <v>27.47</v>
      </c>
      <c r="Q3008">
        <v>19.07</v>
      </c>
      <c r="R3008">
        <v>2.22</v>
      </c>
    </row>
    <row r="3009">
      <c r="A3009" s="9">
        <v>41540</v>
      </c>
      <c r="B3009" s="2" t="inlineStr">
        <is>
          <t xml:space="preserve">2013-09</t>
        </is>
      </c>
      <c r="C3009" s="2" t="inlineStr">
        <is>
          <t xml:space="preserve">2013/14</t>
        </is>
      </c>
      <c r="D3009">
        <v>4.49</v>
      </c>
      <c r="E3009">
        <v>21.77</v>
      </c>
      <c r="F3009">
        <v>26.27</v>
      </c>
      <c r="G3009">
        <v>18.21</v>
      </c>
      <c r="H3009">
        <v>4.01</v>
      </c>
      <c r="I3009">
        <v>7.013</v>
      </c>
      <c r="J3009">
        <v>21.55</v>
      </c>
      <c r="K3009">
        <v>25.78</v>
      </c>
      <c r="L3009">
        <v>18.69</v>
      </c>
      <c r="M3009">
        <v>5.37</v>
      </c>
      <c r="N3009">
        <v>6.794</v>
      </c>
      <c r="O3009">
        <v>22.57</v>
      </c>
      <c r="P3009">
        <v>27.06</v>
      </c>
      <c r="Q3009">
        <v>18.77</v>
      </c>
      <c r="R3009">
        <v>6.47</v>
      </c>
    </row>
    <row r="3010">
      <c r="A3010" s="9">
        <v>41541</v>
      </c>
      <c r="B3010" s="2" t="inlineStr">
        <is>
          <t xml:space="preserve">2013-09</t>
        </is>
      </c>
      <c r="C3010" s="2" t="inlineStr">
        <is>
          <t xml:space="preserve">2013/14</t>
        </is>
      </c>
      <c r="D3010">
        <v>4.7</v>
      </c>
      <c r="E3010">
        <v>22.17</v>
      </c>
      <c r="F3010">
        <v>25.86</v>
      </c>
      <c r="G3010">
        <v>19.14</v>
      </c>
      <c r="H3010">
        <v>3.45</v>
      </c>
      <c r="I3010">
        <v>0.216</v>
      </c>
      <c r="J3010">
        <v>22.55</v>
      </c>
      <c r="K3010">
        <v>26.57</v>
      </c>
      <c r="L3010">
        <v>18.64</v>
      </c>
      <c r="M3010">
        <v>2.61</v>
      </c>
      <c r="N3010">
        <v>1.121</v>
      </c>
      <c r="O3010">
        <v>22.8</v>
      </c>
      <c r="P3010">
        <v>26.75</v>
      </c>
      <c r="Q3010">
        <v>18.96</v>
      </c>
      <c r="R3010">
        <v>6.3</v>
      </c>
    </row>
    <row r="3011">
      <c r="A3011" s="9">
        <v>41542</v>
      </c>
      <c r="B3011" s="2" t="inlineStr">
        <is>
          <t xml:space="preserve">2013-09</t>
        </is>
      </c>
      <c r="C3011" s="2" t="inlineStr">
        <is>
          <t xml:space="preserve">2013/14</t>
        </is>
      </c>
      <c r="D3011">
        <v>0.0</v>
      </c>
      <c r="E3011">
        <v>22.51</v>
      </c>
      <c r="F3011">
        <v>26.85</v>
      </c>
      <c r="G3011">
        <v>19.08</v>
      </c>
      <c r="H3011">
        <v>0.25</v>
      </c>
      <c r="I3011">
        <v>0.999</v>
      </c>
      <c r="J3011">
        <v>23.18</v>
      </c>
      <c r="K3011">
        <v>27.19</v>
      </c>
      <c r="L3011">
        <v>19.55</v>
      </c>
      <c r="M3011">
        <v>1.3</v>
      </c>
      <c r="N3011">
        <v>0.0</v>
      </c>
      <c r="O3011">
        <v>23.7</v>
      </c>
      <c r="P3011">
        <v>27.07</v>
      </c>
      <c r="Q3011">
        <v>21.37</v>
      </c>
      <c r="R3011">
        <v>1.38</v>
      </c>
    </row>
    <row r="3012">
      <c r="A3012" s="9">
        <v>41543</v>
      </c>
      <c r="B3012" s="2" t="inlineStr">
        <is>
          <t xml:space="preserve">2013-09</t>
        </is>
      </c>
      <c r="C3012" s="2" t="inlineStr">
        <is>
          <t xml:space="preserve">2013/14</t>
        </is>
      </c>
      <c r="D3012">
        <v>0.044</v>
      </c>
      <c r="E3012">
        <v>22.64</v>
      </c>
      <c r="F3012">
        <v>27.68</v>
      </c>
      <c r="G3012">
        <v>18.9</v>
      </c>
      <c r="H3012">
        <v>2.71</v>
      </c>
      <c r="I3012">
        <v>0.0</v>
      </c>
      <c r="J3012">
        <v>23.17</v>
      </c>
      <c r="K3012">
        <v>26.35</v>
      </c>
      <c r="L3012">
        <v>21.15</v>
      </c>
      <c r="M3012">
        <v>2.19</v>
      </c>
      <c r="N3012">
        <v>0.0</v>
      </c>
      <c r="O3012">
        <v>23.86</v>
      </c>
      <c r="P3012">
        <v>27.9</v>
      </c>
      <c r="Q3012">
        <v>21.29</v>
      </c>
      <c r="R3012">
        <v>1.79</v>
      </c>
    </row>
    <row r="3013">
      <c r="A3013" s="9">
        <v>41544</v>
      </c>
      <c r="B3013" s="2" t="inlineStr">
        <is>
          <t xml:space="preserve">2013-09</t>
        </is>
      </c>
      <c r="C3013" s="2" t="inlineStr">
        <is>
          <t xml:space="preserve">2013/14</t>
        </is>
      </c>
      <c r="D3013">
        <v>7.404</v>
      </c>
      <c r="E3013">
        <v>21.79</v>
      </c>
      <c r="F3013">
        <v>26.85</v>
      </c>
      <c r="G3013">
        <v>17.71</v>
      </c>
      <c r="H3013">
        <v>3.89</v>
      </c>
      <c r="I3013">
        <v>3.7</v>
      </c>
      <c r="J3013">
        <v>23.38</v>
      </c>
      <c r="K3013">
        <v>27.9</v>
      </c>
      <c r="L3013">
        <v>20.44</v>
      </c>
      <c r="M3013">
        <v>4.64</v>
      </c>
      <c r="N3013">
        <v>8.386</v>
      </c>
      <c r="O3013">
        <v>23.46</v>
      </c>
      <c r="P3013">
        <v>27.27</v>
      </c>
      <c r="Q3013">
        <v>20.97</v>
      </c>
      <c r="R3013">
        <v>5.13</v>
      </c>
    </row>
    <row r="3014">
      <c r="A3014" s="9">
        <v>41545</v>
      </c>
      <c r="B3014" s="2" t="inlineStr">
        <is>
          <t xml:space="preserve">2013-09</t>
        </is>
      </c>
      <c r="C3014" s="2" t="inlineStr">
        <is>
          <t xml:space="preserve">2013/14</t>
        </is>
      </c>
      <c r="D3014">
        <v>0.991</v>
      </c>
      <c r="E3014">
        <v>21.6</v>
      </c>
      <c r="F3014">
        <v>25.98</v>
      </c>
      <c r="G3014">
        <v>17.69</v>
      </c>
      <c r="H3014">
        <v>4.93</v>
      </c>
      <c r="I3014">
        <v>2.431</v>
      </c>
      <c r="J3014">
        <v>21.97</v>
      </c>
      <c r="K3014">
        <v>25.8</v>
      </c>
      <c r="L3014">
        <v>18.88</v>
      </c>
      <c r="M3014">
        <v>4.8</v>
      </c>
      <c r="N3014">
        <v>8.76</v>
      </c>
      <c r="O3014">
        <v>23.07</v>
      </c>
      <c r="P3014">
        <v>28.19</v>
      </c>
      <c r="Q3014">
        <v>18.88</v>
      </c>
      <c r="R3014">
        <v>6.26</v>
      </c>
    </row>
    <row r="3015">
      <c r="A3015" s="9">
        <v>41546</v>
      </c>
      <c r="B3015" s="2" t="inlineStr">
        <is>
          <t xml:space="preserve">2013-09</t>
        </is>
      </c>
      <c r="C3015" s="2" t="inlineStr">
        <is>
          <t xml:space="preserve">2013/14</t>
        </is>
      </c>
      <c r="D3015">
        <v>12.258</v>
      </c>
      <c r="E3015">
        <v>21.99</v>
      </c>
      <c r="F3015">
        <v>26.44</v>
      </c>
      <c r="G3015">
        <v>18.89</v>
      </c>
      <c r="H3015">
        <v>8.0</v>
      </c>
      <c r="I3015">
        <v>6.82</v>
      </c>
      <c r="J3015">
        <v>22.38</v>
      </c>
      <c r="K3015">
        <v>25.98</v>
      </c>
      <c r="L3015">
        <v>19.58</v>
      </c>
      <c r="M3015">
        <v>7.83</v>
      </c>
      <c r="N3015">
        <v>23.435</v>
      </c>
      <c r="O3015">
        <v>22.69</v>
      </c>
      <c r="P3015">
        <v>25.4</v>
      </c>
      <c r="Q3015">
        <v>20.67</v>
      </c>
      <c r="R3015">
        <v>9.15</v>
      </c>
    </row>
    <row r="3016">
      <c r="A3016" s="9">
        <v>41547</v>
      </c>
      <c r="B3016" s="2" t="inlineStr">
        <is>
          <t xml:space="preserve">2013-09</t>
        </is>
      </c>
      <c r="C3016" s="2" t="inlineStr">
        <is>
          <t xml:space="preserve">2013/14</t>
        </is>
      </c>
      <c r="D3016">
        <v>3.269</v>
      </c>
      <c r="E3016">
        <v>21.75</v>
      </c>
      <c r="F3016">
        <v>27.2</v>
      </c>
      <c r="G3016">
        <v>17.8</v>
      </c>
      <c r="H3016">
        <v>1.06</v>
      </c>
      <c r="I3016">
        <v>0.0</v>
      </c>
      <c r="J3016">
        <v>22.67</v>
      </c>
      <c r="K3016">
        <v>27.91</v>
      </c>
      <c r="L3016">
        <v>18.26</v>
      </c>
      <c r="M3016">
        <v>0.03</v>
      </c>
      <c r="N3016">
        <v>0.0</v>
      </c>
      <c r="O3016">
        <v>22.72</v>
      </c>
      <c r="P3016">
        <v>27.58</v>
      </c>
      <c r="Q3016">
        <v>19.71</v>
      </c>
      <c r="R3016">
        <v>0.02</v>
      </c>
    </row>
    <row r="3017">
      <c r="A3017" s="9">
        <v>41548</v>
      </c>
      <c r="B3017" s="2" t="inlineStr">
        <is>
          <t xml:space="preserve">2013-10</t>
        </is>
      </c>
      <c r="C3017" s="2" t="inlineStr">
        <is>
          <t xml:space="preserve">2013/14</t>
        </is>
      </c>
      <c r="D3017">
        <v>0.0</v>
      </c>
      <c r="E3017">
        <v>21.52</v>
      </c>
      <c r="F3017">
        <v>27.07</v>
      </c>
      <c r="G3017">
        <v>16.93</v>
      </c>
      <c r="H3017">
        <v>0.01</v>
      </c>
      <c r="I3017">
        <v>0.0</v>
      </c>
      <c r="J3017">
        <v>23.13</v>
      </c>
      <c r="K3017">
        <v>28.19</v>
      </c>
      <c r="L3017">
        <v>18.66</v>
      </c>
      <c r="M3017">
        <v>0.03</v>
      </c>
      <c r="N3017">
        <v>0.0</v>
      </c>
      <c r="O3017">
        <v>22.52</v>
      </c>
      <c r="P3017">
        <v>27.77</v>
      </c>
      <c r="Q3017">
        <v>18.28</v>
      </c>
      <c r="R3017">
        <v>0.25</v>
      </c>
    </row>
    <row r="3018">
      <c r="A3018" s="9">
        <v>41549</v>
      </c>
      <c r="B3018" s="2" t="inlineStr">
        <is>
          <t xml:space="preserve">2013-10</t>
        </is>
      </c>
      <c r="C3018" s="2" t="inlineStr">
        <is>
          <t xml:space="preserve">2013/14</t>
        </is>
      </c>
      <c r="D3018">
        <v>0.0</v>
      </c>
      <c r="E3018">
        <v>21.42</v>
      </c>
      <c r="F3018">
        <v>25.3</v>
      </c>
      <c r="G3018">
        <v>18.66</v>
      </c>
      <c r="H3018">
        <v>14.42</v>
      </c>
      <c r="I3018">
        <v>0.036</v>
      </c>
      <c r="J3018">
        <v>22.79</v>
      </c>
      <c r="K3018">
        <v>27.88</v>
      </c>
      <c r="L3018">
        <v>18.11</v>
      </c>
      <c r="M3018">
        <v>0.33</v>
      </c>
      <c r="N3018">
        <v>0.0</v>
      </c>
      <c r="O3018">
        <v>22.79</v>
      </c>
      <c r="P3018">
        <v>27.46</v>
      </c>
      <c r="Q3018">
        <v>19.17</v>
      </c>
      <c r="R3018">
        <v>2.07</v>
      </c>
    </row>
    <row r="3019">
      <c r="A3019" s="9">
        <v>41550</v>
      </c>
      <c r="B3019" s="2" t="inlineStr">
        <is>
          <t xml:space="preserve">2013-10</t>
        </is>
      </c>
      <c r="C3019" s="2" t="inlineStr">
        <is>
          <t xml:space="preserve">2013/14</t>
        </is>
      </c>
      <c r="D3019">
        <v>22.022</v>
      </c>
      <c r="E3019">
        <v>21.34</v>
      </c>
      <c r="F3019">
        <v>26.43</v>
      </c>
      <c r="G3019">
        <v>17.56</v>
      </c>
      <c r="H3019">
        <v>5.8</v>
      </c>
      <c r="I3019">
        <v>0.429</v>
      </c>
      <c r="J3019">
        <v>22.84</v>
      </c>
      <c r="K3019">
        <v>27.35</v>
      </c>
      <c r="L3019">
        <v>20.25</v>
      </c>
      <c r="M3019">
        <v>2.2</v>
      </c>
      <c r="N3019">
        <v>0.723</v>
      </c>
      <c r="O3019">
        <v>23.26</v>
      </c>
      <c r="P3019">
        <v>28.05</v>
      </c>
      <c r="Q3019">
        <v>20.37</v>
      </c>
      <c r="R3019">
        <v>2.05</v>
      </c>
    </row>
    <row r="3020">
      <c r="A3020" s="9">
        <v>41551</v>
      </c>
      <c r="B3020" s="2" t="inlineStr">
        <is>
          <t xml:space="preserve">2013-10</t>
        </is>
      </c>
      <c r="C3020" s="2" t="inlineStr">
        <is>
          <t xml:space="preserve">2013/14</t>
        </is>
      </c>
      <c r="D3020">
        <v>0.352</v>
      </c>
      <c r="E3020">
        <v>21.87</v>
      </c>
      <c r="F3020">
        <v>26.96</v>
      </c>
      <c r="G3020">
        <v>17.63</v>
      </c>
      <c r="H3020">
        <v>0.32</v>
      </c>
      <c r="I3020">
        <v>0.689</v>
      </c>
      <c r="J3020">
        <v>23.3</v>
      </c>
      <c r="K3020">
        <v>27.69</v>
      </c>
      <c r="L3020">
        <v>19.36</v>
      </c>
      <c r="M3020">
        <v>1.2</v>
      </c>
      <c r="N3020">
        <v>0.505</v>
      </c>
      <c r="O3020">
        <v>23.08</v>
      </c>
      <c r="P3020">
        <v>27.55</v>
      </c>
      <c r="Q3020">
        <v>19.5</v>
      </c>
      <c r="R3020">
        <v>1.18</v>
      </c>
    </row>
    <row r="3021">
      <c r="A3021" s="9">
        <v>41552</v>
      </c>
      <c r="B3021" s="2" t="inlineStr">
        <is>
          <t xml:space="preserve">2013-10</t>
        </is>
      </c>
      <c r="C3021" s="2" t="inlineStr">
        <is>
          <t xml:space="preserve">2013/14</t>
        </is>
      </c>
      <c r="D3021">
        <v>0.0</v>
      </c>
      <c r="E3021">
        <v>22.33</v>
      </c>
      <c r="F3021">
        <v>27.58</v>
      </c>
      <c r="G3021">
        <v>18.31</v>
      </c>
      <c r="H3021">
        <v>1.83</v>
      </c>
      <c r="I3021">
        <v>0.0</v>
      </c>
      <c r="J3021">
        <v>23.4</v>
      </c>
      <c r="K3021">
        <v>27.14</v>
      </c>
      <c r="L3021">
        <v>20.3</v>
      </c>
      <c r="M3021">
        <v>1.37</v>
      </c>
      <c r="N3021">
        <v>0.0</v>
      </c>
      <c r="O3021">
        <v>23.54</v>
      </c>
      <c r="P3021">
        <v>27.87</v>
      </c>
      <c r="Q3021">
        <v>20.95</v>
      </c>
      <c r="R3021">
        <v>1.56</v>
      </c>
    </row>
    <row r="3022">
      <c r="A3022" s="9">
        <v>41553</v>
      </c>
      <c r="B3022" s="2" t="inlineStr">
        <is>
          <t xml:space="preserve">2013-10</t>
        </is>
      </c>
      <c r="C3022" s="2" t="inlineStr">
        <is>
          <t xml:space="preserve">2013/14</t>
        </is>
      </c>
      <c r="D3022">
        <v>9.125</v>
      </c>
      <c r="E3022">
        <v>22.06</v>
      </c>
      <c r="F3022">
        <v>26.09</v>
      </c>
      <c r="G3022">
        <v>18.48</v>
      </c>
      <c r="H3022">
        <v>7.03</v>
      </c>
      <c r="I3022">
        <v>5.429</v>
      </c>
      <c r="J3022">
        <v>22.6</v>
      </c>
      <c r="K3022">
        <v>25.7</v>
      </c>
      <c r="L3022">
        <v>20.84</v>
      </c>
      <c r="M3022">
        <v>12.27</v>
      </c>
      <c r="N3022">
        <v>12.199</v>
      </c>
      <c r="O3022">
        <v>23.18</v>
      </c>
      <c r="P3022">
        <v>27.23</v>
      </c>
      <c r="Q3022">
        <v>20.6</v>
      </c>
      <c r="R3022">
        <v>13.35</v>
      </c>
    </row>
    <row r="3023">
      <c r="A3023" s="9">
        <v>41554</v>
      </c>
      <c r="B3023" s="2" t="inlineStr">
        <is>
          <t xml:space="preserve">2013-10</t>
        </is>
      </c>
      <c r="C3023" s="2" t="inlineStr">
        <is>
          <t xml:space="preserve">2013/14</t>
        </is>
      </c>
      <c r="D3023">
        <v>9.25</v>
      </c>
      <c r="E3023">
        <v>21.57</v>
      </c>
      <c r="F3023">
        <v>25.1</v>
      </c>
      <c r="G3023">
        <v>19.35</v>
      </c>
      <c r="H3023">
        <v>7.78</v>
      </c>
      <c r="I3023">
        <v>10.112</v>
      </c>
      <c r="J3023">
        <v>22.39</v>
      </c>
      <c r="K3023">
        <v>26.17</v>
      </c>
      <c r="L3023">
        <v>19.75</v>
      </c>
      <c r="M3023">
        <v>12.43</v>
      </c>
      <c r="N3023">
        <v>33.211</v>
      </c>
      <c r="O3023">
        <v>22.73</v>
      </c>
      <c r="P3023">
        <v>26.02</v>
      </c>
      <c r="Q3023">
        <v>21.04</v>
      </c>
      <c r="R3023">
        <v>16.86</v>
      </c>
    </row>
    <row r="3024">
      <c r="A3024" s="9">
        <v>41555</v>
      </c>
      <c r="B3024" s="2" t="inlineStr">
        <is>
          <t xml:space="preserve">2013-10</t>
        </is>
      </c>
      <c r="C3024" s="2" t="inlineStr">
        <is>
          <t xml:space="preserve">2013/14</t>
        </is>
      </c>
      <c r="D3024">
        <v>8.079</v>
      </c>
      <c r="E3024">
        <v>21.01</v>
      </c>
      <c r="F3024">
        <v>24.56</v>
      </c>
      <c r="G3024">
        <v>18.25</v>
      </c>
      <c r="H3024">
        <v>7.57</v>
      </c>
      <c r="I3024">
        <v>6.867</v>
      </c>
      <c r="J3024">
        <v>22.0</v>
      </c>
      <c r="K3024">
        <v>25.41</v>
      </c>
      <c r="L3024">
        <v>19.19</v>
      </c>
      <c r="M3024">
        <v>13.23</v>
      </c>
      <c r="N3024">
        <v>25.037</v>
      </c>
      <c r="O3024">
        <v>22.04</v>
      </c>
      <c r="P3024">
        <v>25.44</v>
      </c>
      <c r="Q3024">
        <v>19.73</v>
      </c>
      <c r="R3024">
        <v>17.53</v>
      </c>
    </row>
    <row r="3025">
      <c r="A3025" s="9">
        <v>41556</v>
      </c>
      <c r="B3025" s="2" t="inlineStr">
        <is>
          <t xml:space="preserve">2013-10</t>
        </is>
      </c>
      <c r="C3025" s="2" t="inlineStr">
        <is>
          <t xml:space="preserve">2013/14</t>
        </is>
      </c>
      <c r="D3025">
        <v>16.857</v>
      </c>
      <c r="E3025">
        <v>21.15</v>
      </c>
      <c r="F3025">
        <v>25.71</v>
      </c>
      <c r="G3025">
        <v>17.87</v>
      </c>
      <c r="H3025">
        <v>4.76</v>
      </c>
      <c r="I3025">
        <v>13.055</v>
      </c>
      <c r="J3025">
        <v>22.27</v>
      </c>
      <c r="K3025">
        <v>26.46</v>
      </c>
      <c r="L3025">
        <v>19.69</v>
      </c>
      <c r="M3025">
        <v>13.43</v>
      </c>
      <c r="N3025">
        <v>24.955</v>
      </c>
      <c r="O3025">
        <v>21.91</v>
      </c>
      <c r="P3025">
        <v>25.72</v>
      </c>
      <c r="Q3025">
        <v>20.03</v>
      </c>
      <c r="R3025">
        <v>11.44</v>
      </c>
    </row>
    <row r="3026">
      <c r="A3026" s="9">
        <v>41557</v>
      </c>
      <c r="B3026" s="2" t="inlineStr">
        <is>
          <t xml:space="preserve">2013-10</t>
        </is>
      </c>
      <c r="C3026" s="2" t="inlineStr">
        <is>
          <t xml:space="preserve">2013/14</t>
        </is>
      </c>
      <c r="D3026">
        <v>0.0</v>
      </c>
      <c r="E3026">
        <v>21.11</v>
      </c>
      <c r="F3026">
        <v>26.21</v>
      </c>
      <c r="G3026">
        <v>16.95</v>
      </c>
      <c r="H3026">
        <v>0.2</v>
      </c>
      <c r="I3026">
        <v>6.944</v>
      </c>
      <c r="J3026">
        <v>22.44</v>
      </c>
      <c r="K3026">
        <v>27.36</v>
      </c>
      <c r="L3026">
        <v>18.92</v>
      </c>
      <c r="M3026">
        <v>3.8</v>
      </c>
      <c r="N3026">
        <v>0.295</v>
      </c>
      <c r="O3026">
        <v>22.4</v>
      </c>
      <c r="P3026">
        <v>26.54</v>
      </c>
      <c r="Q3026">
        <v>19.85</v>
      </c>
      <c r="R3026">
        <v>1.96</v>
      </c>
    </row>
    <row r="3027">
      <c r="A3027" s="9">
        <v>41558</v>
      </c>
      <c r="B3027" s="2" t="inlineStr">
        <is>
          <t xml:space="preserve">2013-10</t>
        </is>
      </c>
      <c r="C3027" s="2" t="inlineStr">
        <is>
          <t xml:space="preserve">2013/14</t>
        </is>
      </c>
      <c r="D3027">
        <v>0.814</v>
      </c>
      <c r="E3027">
        <v>20.46</v>
      </c>
      <c r="F3027">
        <v>25.98</v>
      </c>
      <c r="G3027">
        <v>16.73</v>
      </c>
      <c r="H3027">
        <v>2.2</v>
      </c>
      <c r="I3027">
        <v>6.35</v>
      </c>
      <c r="J3027">
        <v>22.92</v>
      </c>
      <c r="K3027">
        <v>27.99</v>
      </c>
      <c r="L3027">
        <v>18.96</v>
      </c>
      <c r="M3027">
        <v>4.81</v>
      </c>
      <c r="N3027">
        <v>0.329</v>
      </c>
      <c r="O3027">
        <v>23.03</v>
      </c>
      <c r="P3027">
        <v>27.83</v>
      </c>
      <c r="Q3027">
        <v>19.64</v>
      </c>
      <c r="R3027">
        <v>1.97</v>
      </c>
    </row>
    <row r="3028">
      <c r="A3028" s="9">
        <v>41559</v>
      </c>
      <c r="B3028" s="2" t="inlineStr">
        <is>
          <t xml:space="preserve">2013-10</t>
        </is>
      </c>
      <c r="C3028" s="2" t="inlineStr">
        <is>
          <t xml:space="preserve">2013/14</t>
        </is>
      </c>
      <c r="D3028">
        <v>3.77</v>
      </c>
      <c r="E3028">
        <v>20.97</v>
      </c>
      <c r="F3028">
        <v>26.93</v>
      </c>
      <c r="G3028">
        <v>15.49</v>
      </c>
      <c r="H3028">
        <v>5.5</v>
      </c>
      <c r="I3028">
        <v>13.135</v>
      </c>
      <c r="J3028">
        <v>22.84</v>
      </c>
      <c r="K3028">
        <v>27.49</v>
      </c>
      <c r="L3028">
        <v>18.58</v>
      </c>
      <c r="M3028">
        <v>9.08</v>
      </c>
      <c r="N3028">
        <v>0.695</v>
      </c>
      <c r="O3028">
        <v>22.55</v>
      </c>
      <c r="P3028">
        <v>27.43</v>
      </c>
      <c r="Q3028">
        <v>18.79</v>
      </c>
      <c r="R3028">
        <v>7.22</v>
      </c>
    </row>
    <row r="3029">
      <c r="A3029" s="9">
        <v>41560</v>
      </c>
      <c r="B3029" s="2" t="inlineStr">
        <is>
          <t xml:space="preserve">2013-10</t>
        </is>
      </c>
      <c r="C3029" s="2" t="inlineStr">
        <is>
          <t xml:space="preserve">2013/14</t>
        </is>
      </c>
      <c r="D3029">
        <v>16.004</v>
      </c>
      <c r="E3029">
        <v>20.89</v>
      </c>
      <c r="F3029">
        <v>25.47</v>
      </c>
      <c r="G3029">
        <v>17.67</v>
      </c>
      <c r="H3029">
        <v>5.52</v>
      </c>
      <c r="I3029">
        <v>4.343</v>
      </c>
      <c r="J3029">
        <v>22.12</v>
      </c>
      <c r="K3029">
        <v>26.58</v>
      </c>
      <c r="L3029">
        <v>18.89</v>
      </c>
      <c r="M3029">
        <v>3.88</v>
      </c>
      <c r="N3029">
        <v>3.854</v>
      </c>
      <c r="O3029">
        <v>22.17</v>
      </c>
      <c r="P3029">
        <v>26.37</v>
      </c>
      <c r="Q3029">
        <v>19.74</v>
      </c>
      <c r="R3029">
        <v>7.84</v>
      </c>
    </row>
    <row r="3030">
      <c r="A3030" s="9">
        <v>41561</v>
      </c>
      <c r="B3030" s="2" t="inlineStr">
        <is>
          <t xml:space="preserve">2013-10</t>
        </is>
      </c>
      <c r="C3030" s="2" t="inlineStr">
        <is>
          <t xml:space="preserve">2013/14</t>
        </is>
      </c>
      <c r="D3030">
        <v>1.121</v>
      </c>
      <c r="E3030">
        <v>20.58</v>
      </c>
      <c r="F3030">
        <v>25.34</v>
      </c>
      <c r="G3030">
        <v>17.4</v>
      </c>
      <c r="H3030">
        <v>1.87</v>
      </c>
      <c r="I3030">
        <v>0.0</v>
      </c>
      <c r="J3030">
        <v>20.82</v>
      </c>
      <c r="K3030">
        <v>24.49</v>
      </c>
      <c r="L3030">
        <v>18.05</v>
      </c>
      <c r="M3030">
        <v>2.7</v>
      </c>
      <c r="N3030">
        <v>1.298</v>
      </c>
      <c r="O3030">
        <v>21.04</v>
      </c>
      <c r="P3030">
        <v>24.26</v>
      </c>
      <c r="Q3030">
        <v>18.96</v>
      </c>
      <c r="R3030">
        <v>10.57</v>
      </c>
    </row>
    <row r="3031">
      <c r="A3031" s="9">
        <v>41562</v>
      </c>
      <c r="B3031" s="2" t="inlineStr">
        <is>
          <t xml:space="preserve">2013-10</t>
        </is>
      </c>
      <c r="C3031" s="2" t="inlineStr">
        <is>
          <t xml:space="preserve">2013/14</t>
        </is>
      </c>
      <c r="D3031">
        <v>1.64</v>
      </c>
      <c r="E3031">
        <v>21.08</v>
      </c>
      <c r="F3031">
        <v>25.61</v>
      </c>
      <c r="G3031">
        <v>17.13</v>
      </c>
      <c r="H3031">
        <v>2.75</v>
      </c>
      <c r="I3031">
        <v>0.14</v>
      </c>
      <c r="J3031">
        <v>21.41</v>
      </c>
      <c r="K3031">
        <v>26.07</v>
      </c>
      <c r="L3031">
        <v>17.25</v>
      </c>
      <c r="M3031">
        <v>1.93</v>
      </c>
      <c r="N3031">
        <v>1.661</v>
      </c>
      <c r="O3031">
        <v>21.4</v>
      </c>
      <c r="P3031">
        <v>26.04</v>
      </c>
      <c r="Q3031">
        <v>17.88</v>
      </c>
      <c r="R3031">
        <v>5.46</v>
      </c>
    </row>
    <row r="3032">
      <c r="A3032" s="9">
        <v>41563</v>
      </c>
      <c r="B3032" s="2" t="inlineStr">
        <is>
          <t xml:space="preserve">2013-10</t>
        </is>
      </c>
      <c r="C3032" s="2" t="inlineStr">
        <is>
          <t xml:space="preserve">2013/14</t>
        </is>
      </c>
      <c r="D3032">
        <v>3.281</v>
      </c>
      <c r="E3032">
        <v>22.18</v>
      </c>
      <c r="F3032">
        <v>26.85</v>
      </c>
      <c r="G3032">
        <v>18.58</v>
      </c>
      <c r="H3032">
        <v>3.02</v>
      </c>
      <c r="I3032">
        <v>0.0</v>
      </c>
      <c r="J3032">
        <v>22.12</v>
      </c>
      <c r="K3032">
        <v>26.67</v>
      </c>
      <c r="L3032">
        <v>18.51</v>
      </c>
      <c r="M3032">
        <v>2.54</v>
      </c>
      <c r="N3032">
        <v>0.421</v>
      </c>
      <c r="O3032">
        <v>22.35</v>
      </c>
      <c r="P3032">
        <v>27.27</v>
      </c>
      <c r="Q3032">
        <v>19.04</v>
      </c>
      <c r="R3032">
        <v>3.57</v>
      </c>
    </row>
    <row r="3033">
      <c r="A3033" s="9">
        <v>41564</v>
      </c>
      <c r="B3033" s="2" t="inlineStr">
        <is>
          <t xml:space="preserve">2013-10</t>
        </is>
      </c>
      <c r="C3033" s="2" t="inlineStr">
        <is>
          <t xml:space="preserve">2013/14</t>
        </is>
      </c>
      <c r="D3033">
        <v>8.674</v>
      </c>
      <c r="E3033">
        <v>21.62</v>
      </c>
      <c r="F3033">
        <v>25.86</v>
      </c>
      <c r="G3033">
        <v>18.75</v>
      </c>
      <c r="H3033">
        <v>3.67</v>
      </c>
      <c r="I3033">
        <v>10.988</v>
      </c>
      <c r="J3033">
        <v>22.19</v>
      </c>
      <c r="K3033">
        <v>25.8</v>
      </c>
      <c r="L3033">
        <v>19.24</v>
      </c>
      <c r="M3033">
        <v>6.83</v>
      </c>
      <c r="N3033">
        <v>1.776</v>
      </c>
      <c r="O3033">
        <v>22.31</v>
      </c>
      <c r="P3033">
        <v>26.25</v>
      </c>
      <c r="Q3033">
        <v>19.75</v>
      </c>
      <c r="R3033">
        <v>3.69</v>
      </c>
    </row>
    <row r="3034">
      <c r="A3034" s="9">
        <v>41565</v>
      </c>
      <c r="B3034" s="2" t="inlineStr">
        <is>
          <t xml:space="preserve">2013-10</t>
        </is>
      </c>
      <c r="C3034" s="2" t="inlineStr">
        <is>
          <t xml:space="preserve">2013/14</t>
        </is>
      </c>
      <c r="D3034">
        <v>2.096</v>
      </c>
      <c r="E3034">
        <v>21.65</v>
      </c>
      <c r="F3034">
        <v>26.34</v>
      </c>
      <c r="G3034">
        <v>17.75</v>
      </c>
      <c r="H3034">
        <v>2.37</v>
      </c>
      <c r="I3034">
        <v>4.061</v>
      </c>
      <c r="J3034">
        <v>22.39</v>
      </c>
      <c r="K3034">
        <v>26.31</v>
      </c>
      <c r="L3034">
        <v>19.5</v>
      </c>
      <c r="M3034">
        <v>5.96</v>
      </c>
      <c r="N3034">
        <v>10.888</v>
      </c>
      <c r="O3034">
        <v>22.64</v>
      </c>
      <c r="P3034">
        <v>26.46</v>
      </c>
      <c r="Q3034">
        <v>20.37</v>
      </c>
      <c r="R3034">
        <v>6.02</v>
      </c>
    </row>
    <row r="3035">
      <c r="A3035" s="9">
        <v>41566</v>
      </c>
      <c r="B3035" s="2" t="inlineStr">
        <is>
          <t xml:space="preserve">2013-10</t>
        </is>
      </c>
      <c r="C3035" s="2" t="inlineStr">
        <is>
          <t xml:space="preserve">2013/14</t>
        </is>
      </c>
      <c r="D3035">
        <v>2.054</v>
      </c>
      <c r="E3035">
        <v>22.19</v>
      </c>
      <c r="F3035">
        <v>26.98</v>
      </c>
      <c r="G3035">
        <v>18.45</v>
      </c>
      <c r="H3035">
        <v>4.18</v>
      </c>
      <c r="I3035">
        <v>4.976</v>
      </c>
      <c r="J3035">
        <v>22.47</v>
      </c>
      <c r="K3035">
        <v>26.27</v>
      </c>
      <c r="L3035">
        <v>20.19</v>
      </c>
      <c r="M3035">
        <v>5.21</v>
      </c>
      <c r="N3035">
        <v>0.181</v>
      </c>
      <c r="O3035">
        <v>23.46</v>
      </c>
      <c r="P3035">
        <v>28.06</v>
      </c>
      <c r="Q3035">
        <v>19.96</v>
      </c>
      <c r="R3035">
        <v>4.71</v>
      </c>
    </row>
    <row r="3036">
      <c r="A3036" s="9">
        <v>41567</v>
      </c>
      <c r="B3036" s="2" t="inlineStr">
        <is>
          <t xml:space="preserve">2013-10</t>
        </is>
      </c>
      <c r="C3036" s="2" t="inlineStr">
        <is>
          <t xml:space="preserve">2013/14</t>
        </is>
      </c>
      <c r="D3036">
        <v>7.837</v>
      </c>
      <c r="E3036">
        <v>21.78</v>
      </c>
      <c r="F3036">
        <v>26.25</v>
      </c>
      <c r="G3036">
        <v>18.51</v>
      </c>
      <c r="H3036">
        <v>7.31</v>
      </c>
      <c r="I3036">
        <v>4.456</v>
      </c>
      <c r="J3036">
        <v>21.7</v>
      </c>
      <c r="K3036">
        <v>25.38</v>
      </c>
      <c r="L3036">
        <v>19.13</v>
      </c>
      <c r="M3036">
        <v>13.42</v>
      </c>
      <c r="N3036">
        <v>13.498</v>
      </c>
      <c r="O3036">
        <v>22.59</v>
      </c>
      <c r="P3036">
        <v>25.13</v>
      </c>
      <c r="Q3036">
        <v>21.15</v>
      </c>
      <c r="R3036">
        <v>14.61</v>
      </c>
    </row>
    <row r="3037">
      <c r="A3037" s="9">
        <v>41568</v>
      </c>
      <c r="B3037" s="2" t="inlineStr">
        <is>
          <t xml:space="preserve">2013-10</t>
        </is>
      </c>
      <c r="C3037" s="2" t="inlineStr">
        <is>
          <t xml:space="preserve">2013/14</t>
        </is>
      </c>
      <c r="D3037">
        <v>4.51</v>
      </c>
      <c r="E3037">
        <v>21.31</v>
      </c>
      <c r="F3037">
        <v>26.04</v>
      </c>
      <c r="G3037">
        <v>17.05</v>
      </c>
      <c r="H3037">
        <v>6.07</v>
      </c>
      <c r="I3037">
        <v>15.253</v>
      </c>
      <c r="J3037">
        <v>21.83</v>
      </c>
      <c r="K3037">
        <v>25.7</v>
      </c>
      <c r="L3037">
        <v>19.04</v>
      </c>
      <c r="M3037">
        <v>11.31</v>
      </c>
      <c r="N3037">
        <v>38.46</v>
      </c>
      <c r="O3037">
        <v>22.19</v>
      </c>
      <c r="P3037">
        <v>24.93</v>
      </c>
      <c r="Q3037">
        <v>20.48</v>
      </c>
      <c r="R3037">
        <v>12.4</v>
      </c>
    </row>
    <row r="3038">
      <c r="A3038" s="9">
        <v>41569</v>
      </c>
      <c r="B3038" s="2" t="inlineStr">
        <is>
          <t xml:space="preserve">2013-10</t>
        </is>
      </c>
      <c r="C3038" s="2" t="inlineStr">
        <is>
          <t xml:space="preserve">2013/14</t>
        </is>
      </c>
      <c r="D3038">
        <v>1.305</v>
      </c>
      <c r="E3038">
        <v>21.91</v>
      </c>
      <c r="F3038">
        <v>26.87</v>
      </c>
      <c r="G3038">
        <v>18.34</v>
      </c>
      <c r="H3038">
        <v>1.48</v>
      </c>
      <c r="I3038">
        <v>0.609</v>
      </c>
      <c r="J3038">
        <v>22.1</v>
      </c>
      <c r="K3038">
        <v>26.42</v>
      </c>
      <c r="L3038">
        <v>18.71</v>
      </c>
      <c r="M3038">
        <v>2.54</v>
      </c>
      <c r="N3038">
        <v>0.407</v>
      </c>
      <c r="O3038">
        <v>22.42</v>
      </c>
      <c r="P3038">
        <v>26.42</v>
      </c>
      <c r="Q3038">
        <v>19.86</v>
      </c>
      <c r="R3038">
        <v>2.28</v>
      </c>
    </row>
    <row r="3039">
      <c r="A3039" s="9">
        <v>41570</v>
      </c>
      <c r="B3039" s="2" t="inlineStr">
        <is>
          <t xml:space="preserve">2013-10</t>
        </is>
      </c>
      <c r="C3039" s="2" t="inlineStr">
        <is>
          <t xml:space="preserve">2013/14</t>
        </is>
      </c>
      <c r="D3039">
        <v>10.426</v>
      </c>
      <c r="E3039">
        <v>21.35</v>
      </c>
      <c r="F3039">
        <v>25.39</v>
      </c>
      <c r="G3039">
        <v>17.71</v>
      </c>
      <c r="H3039">
        <v>5.19</v>
      </c>
      <c r="I3039">
        <v>1.394</v>
      </c>
      <c r="J3039">
        <v>22.71</v>
      </c>
      <c r="K3039">
        <v>27.4</v>
      </c>
      <c r="L3039">
        <v>19.5</v>
      </c>
      <c r="M3039">
        <v>2.88</v>
      </c>
      <c r="N3039">
        <v>1.753</v>
      </c>
      <c r="O3039">
        <v>22.71</v>
      </c>
      <c r="P3039">
        <v>26.84</v>
      </c>
      <c r="Q3039">
        <v>19.39</v>
      </c>
      <c r="R3039">
        <v>2.94</v>
      </c>
    </row>
    <row r="3040">
      <c r="A3040" s="9">
        <v>41571</v>
      </c>
      <c r="B3040" s="2" t="inlineStr">
        <is>
          <t xml:space="preserve">2013-10</t>
        </is>
      </c>
      <c r="C3040" s="2" t="inlineStr">
        <is>
          <t xml:space="preserve">2013/14</t>
        </is>
      </c>
      <c r="D3040">
        <v>1.733</v>
      </c>
      <c r="E3040">
        <v>20.94</v>
      </c>
      <c r="F3040">
        <v>25.02</v>
      </c>
      <c r="G3040">
        <v>18.05</v>
      </c>
      <c r="H3040">
        <v>3.79</v>
      </c>
      <c r="I3040">
        <v>3.486</v>
      </c>
      <c r="J3040">
        <v>22.24</v>
      </c>
      <c r="K3040">
        <v>26.03</v>
      </c>
      <c r="L3040">
        <v>19.37</v>
      </c>
      <c r="M3040">
        <v>5.65</v>
      </c>
      <c r="N3040">
        <v>1.85</v>
      </c>
      <c r="O3040">
        <v>22.06</v>
      </c>
      <c r="P3040">
        <v>24.91</v>
      </c>
      <c r="Q3040">
        <v>20.33</v>
      </c>
      <c r="R3040">
        <v>7.74</v>
      </c>
    </row>
    <row r="3041">
      <c r="A3041" s="9">
        <v>41572</v>
      </c>
      <c r="B3041" s="2" t="inlineStr">
        <is>
          <t xml:space="preserve">2013-10</t>
        </is>
      </c>
      <c r="C3041" s="2" t="inlineStr">
        <is>
          <t xml:space="preserve">2013/14</t>
        </is>
      </c>
      <c r="D3041">
        <v>3.196</v>
      </c>
      <c r="E3041">
        <v>20.44</v>
      </c>
      <c r="F3041">
        <v>25.0</v>
      </c>
      <c r="G3041">
        <v>17.88</v>
      </c>
      <c r="H3041">
        <v>4.33</v>
      </c>
      <c r="I3041">
        <v>2.589</v>
      </c>
      <c r="J3041">
        <v>21.38</v>
      </c>
      <c r="K3041">
        <v>25.02</v>
      </c>
      <c r="L3041">
        <v>18.99</v>
      </c>
      <c r="M3041">
        <v>7.21</v>
      </c>
      <c r="N3041">
        <v>10.003</v>
      </c>
      <c r="O3041">
        <v>21.27</v>
      </c>
      <c r="P3041">
        <v>24.36</v>
      </c>
      <c r="Q3041">
        <v>19.16</v>
      </c>
      <c r="R3041">
        <v>10.26</v>
      </c>
    </row>
    <row r="3042">
      <c r="A3042" s="9">
        <v>41573</v>
      </c>
      <c r="B3042" s="2" t="inlineStr">
        <is>
          <t xml:space="preserve">2013-10</t>
        </is>
      </c>
      <c r="C3042" s="2" t="inlineStr">
        <is>
          <t xml:space="preserve">2013/14</t>
        </is>
      </c>
      <c r="D3042">
        <v>1.092</v>
      </c>
      <c r="E3042">
        <v>20.39</v>
      </c>
      <c r="F3042">
        <v>25.07</v>
      </c>
      <c r="G3042">
        <v>16.41</v>
      </c>
      <c r="H3042">
        <v>4.85</v>
      </c>
      <c r="I3042">
        <v>12.793</v>
      </c>
      <c r="J3042">
        <v>21.86</v>
      </c>
      <c r="K3042">
        <v>26.23</v>
      </c>
      <c r="L3042">
        <v>18.48</v>
      </c>
      <c r="M3042">
        <v>12.89</v>
      </c>
      <c r="N3042">
        <v>6.644</v>
      </c>
      <c r="O3042">
        <v>21.88</v>
      </c>
      <c r="P3042">
        <v>26.14</v>
      </c>
      <c r="Q3042">
        <v>18.61</v>
      </c>
      <c r="R3042">
        <v>12.61</v>
      </c>
    </row>
    <row r="3043">
      <c r="A3043" s="9">
        <v>41574</v>
      </c>
      <c r="B3043" s="2" t="inlineStr">
        <is>
          <t xml:space="preserve">2013-10</t>
        </is>
      </c>
      <c r="C3043" s="2" t="inlineStr">
        <is>
          <t xml:space="preserve">2013/14</t>
        </is>
      </c>
      <c r="D3043">
        <v>6.356</v>
      </c>
      <c r="E3043">
        <v>20.85</v>
      </c>
      <c r="F3043">
        <v>25.53</v>
      </c>
      <c r="G3043">
        <v>17.38</v>
      </c>
      <c r="H3043">
        <v>7.97</v>
      </c>
      <c r="I3043">
        <v>19.863</v>
      </c>
      <c r="J3043">
        <v>21.76</v>
      </c>
      <c r="K3043">
        <v>25.31</v>
      </c>
      <c r="L3043">
        <v>19.24</v>
      </c>
      <c r="M3043">
        <v>14.09</v>
      </c>
      <c r="N3043">
        <v>17.186</v>
      </c>
      <c r="O3043">
        <v>22.01</v>
      </c>
      <c r="P3043">
        <v>25.8</v>
      </c>
      <c r="Q3043">
        <v>19.33</v>
      </c>
      <c r="R3043">
        <v>14.36</v>
      </c>
    </row>
    <row r="3044">
      <c r="A3044" s="9">
        <v>41575</v>
      </c>
      <c r="B3044" s="2" t="inlineStr">
        <is>
          <t xml:space="preserve">2013-10</t>
        </is>
      </c>
      <c r="C3044" s="2" t="inlineStr">
        <is>
          <t xml:space="preserve">2013/14</t>
        </is>
      </c>
      <c r="D3044">
        <v>4.816</v>
      </c>
      <c r="E3044">
        <v>20.83</v>
      </c>
      <c r="F3044">
        <v>25.24</v>
      </c>
      <c r="G3044">
        <v>17.6</v>
      </c>
      <c r="H3044">
        <v>2.95</v>
      </c>
      <c r="I3044">
        <v>5.335</v>
      </c>
      <c r="J3044">
        <v>21.98</v>
      </c>
      <c r="K3044">
        <v>25.87</v>
      </c>
      <c r="L3044">
        <v>19.63</v>
      </c>
      <c r="M3044">
        <v>3.38</v>
      </c>
      <c r="N3044">
        <v>2.598</v>
      </c>
      <c r="O3044">
        <v>22.03</v>
      </c>
      <c r="P3044">
        <v>24.78</v>
      </c>
      <c r="Q3044">
        <v>20.05</v>
      </c>
      <c r="R3044">
        <v>4.26</v>
      </c>
    </row>
    <row r="3045">
      <c r="A3045" s="9">
        <v>41576</v>
      </c>
      <c r="B3045" s="2" t="inlineStr">
        <is>
          <t xml:space="preserve">2013-10</t>
        </is>
      </c>
      <c r="C3045" s="2" t="inlineStr">
        <is>
          <t xml:space="preserve">2013/14</t>
        </is>
      </c>
      <c r="D3045">
        <v>2.533</v>
      </c>
      <c r="E3045">
        <v>20.81</v>
      </c>
      <c r="F3045">
        <v>24.68</v>
      </c>
      <c r="G3045">
        <v>17.79</v>
      </c>
      <c r="H3045">
        <v>3.11</v>
      </c>
      <c r="I3045">
        <v>1.094</v>
      </c>
      <c r="J3045">
        <v>22.07</v>
      </c>
      <c r="K3045">
        <v>26.26</v>
      </c>
      <c r="L3045">
        <v>18.82</v>
      </c>
      <c r="M3045">
        <v>0.57</v>
      </c>
      <c r="N3045">
        <v>0.73</v>
      </c>
      <c r="O3045">
        <v>22.22</v>
      </c>
      <c r="P3045">
        <v>25.9</v>
      </c>
      <c r="Q3045">
        <v>19.45</v>
      </c>
      <c r="R3045">
        <v>0.47</v>
      </c>
    </row>
    <row r="3046">
      <c r="A3046" s="9">
        <v>41577</v>
      </c>
      <c r="B3046" s="2" t="inlineStr">
        <is>
          <t xml:space="preserve">2013-10</t>
        </is>
      </c>
      <c r="C3046" s="2" t="inlineStr">
        <is>
          <t xml:space="preserve">2013/14</t>
        </is>
      </c>
      <c r="D3046">
        <v>2.416</v>
      </c>
      <c r="E3046">
        <v>21.16</v>
      </c>
      <c r="F3046">
        <v>25.64</v>
      </c>
      <c r="G3046">
        <v>17.8</v>
      </c>
      <c r="H3046">
        <v>1.66</v>
      </c>
      <c r="I3046">
        <v>0.548</v>
      </c>
      <c r="J3046">
        <v>22.17</v>
      </c>
      <c r="K3046">
        <v>26.1</v>
      </c>
      <c r="L3046">
        <v>19.59</v>
      </c>
      <c r="M3046">
        <v>1.27</v>
      </c>
      <c r="N3046">
        <v>1.812</v>
      </c>
      <c r="O3046">
        <v>22.32</v>
      </c>
      <c r="P3046">
        <v>25.72</v>
      </c>
      <c r="Q3046">
        <v>20.43</v>
      </c>
      <c r="R3046">
        <v>1.27</v>
      </c>
    </row>
    <row r="3047">
      <c r="A3047" s="9">
        <v>41578</v>
      </c>
      <c r="B3047" s="2" t="inlineStr">
        <is>
          <t xml:space="preserve">2013-10</t>
        </is>
      </c>
      <c r="C3047" s="2" t="inlineStr">
        <is>
          <t xml:space="preserve">2013/14</t>
        </is>
      </c>
      <c r="D3047">
        <v>0.0</v>
      </c>
      <c r="E3047">
        <v>21.77</v>
      </c>
      <c r="F3047">
        <v>26.72</v>
      </c>
      <c r="G3047">
        <v>18.08</v>
      </c>
      <c r="H3047">
        <v>0.49</v>
      </c>
      <c r="I3047">
        <v>2.373</v>
      </c>
      <c r="J3047">
        <v>22.72</v>
      </c>
      <c r="K3047">
        <v>27.0</v>
      </c>
      <c r="L3047">
        <v>19.13</v>
      </c>
      <c r="M3047">
        <v>1.54</v>
      </c>
      <c r="N3047">
        <v>0.078</v>
      </c>
      <c r="O3047">
        <v>22.87</v>
      </c>
      <c r="P3047">
        <v>27.03</v>
      </c>
      <c r="Q3047">
        <v>19.9</v>
      </c>
      <c r="R3047">
        <v>0.79</v>
      </c>
    </row>
    <row r="3048">
      <c r="A3048" s="9">
        <v>41579</v>
      </c>
      <c r="B3048" s="2" t="inlineStr">
        <is>
          <t xml:space="preserve">2013-11</t>
        </is>
      </c>
      <c r="C3048" s="2" t="inlineStr">
        <is>
          <t xml:space="preserve">2013/14</t>
        </is>
      </c>
      <c r="D3048">
        <v>1.981</v>
      </c>
      <c r="E3048">
        <v>22.06</v>
      </c>
      <c r="F3048">
        <v>27.58</v>
      </c>
      <c r="G3048">
        <v>17.96</v>
      </c>
      <c r="H3048">
        <v>0.84</v>
      </c>
      <c r="I3048">
        <v>4.891</v>
      </c>
      <c r="J3048">
        <v>22.78</v>
      </c>
      <c r="K3048">
        <v>27.22</v>
      </c>
      <c r="L3048">
        <v>19.38</v>
      </c>
      <c r="M3048">
        <v>2.81</v>
      </c>
      <c r="N3048">
        <v>0.342</v>
      </c>
      <c r="O3048">
        <v>23.51</v>
      </c>
      <c r="P3048">
        <v>28.14</v>
      </c>
      <c r="Q3048">
        <v>20.32</v>
      </c>
      <c r="R3048">
        <v>0.79</v>
      </c>
    </row>
    <row r="3049">
      <c r="A3049" s="9">
        <v>41580</v>
      </c>
      <c r="B3049" s="2" t="inlineStr">
        <is>
          <t xml:space="preserve">2013-11</t>
        </is>
      </c>
      <c r="C3049" s="2" t="inlineStr">
        <is>
          <t xml:space="preserve">2013/14</t>
        </is>
      </c>
      <c r="D3049">
        <v>0.403</v>
      </c>
      <c r="E3049">
        <v>21.39</v>
      </c>
      <c r="F3049">
        <v>27.16</v>
      </c>
      <c r="G3049">
        <v>16.39</v>
      </c>
      <c r="H3049">
        <v>0.6</v>
      </c>
      <c r="I3049">
        <v>0.0</v>
      </c>
      <c r="J3049">
        <v>22.81</v>
      </c>
      <c r="K3049">
        <v>27.58</v>
      </c>
      <c r="L3049">
        <v>19.03</v>
      </c>
      <c r="M3049">
        <v>0.6</v>
      </c>
      <c r="N3049">
        <v>0.0</v>
      </c>
      <c r="O3049">
        <v>22.83</v>
      </c>
      <c r="P3049">
        <v>27.87</v>
      </c>
      <c r="Q3049">
        <v>19.68</v>
      </c>
      <c r="R3049">
        <v>0.41</v>
      </c>
    </row>
    <row r="3050">
      <c r="A3050" s="9">
        <v>41581</v>
      </c>
      <c r="B3050" s="2" t="inlineStr">
        <is>
          <t xml:space="preserve">2013-11</t>
        </is>
      </c>
      <c r="C3050" s="2" t="inlineStr">
        <is>
          <t xml:space="preserve">2013/14</t>
        </is>
      </c>
      <c r="D3050">
        <v>0.718</v>
      </c>
      <c r="E3050">
        <v>20.05</v>
      </c>
      <c r="F3050">
        <v>24.94</v>
      </c>
      <c r="G3050">
        <v>16.22</v>
      </c>
      <c r="H3050">
        <v>0.33</v>
      </c>
      <c r="I3050">
        <v>0.745</v>
      </c>
      <c r="J3050">
        <v>20.8</v>
      </c>
      <c r="K3050">
        <v>24.69</v>
      </c>
      <c r="L3050">
        <v>17.96</v>
      </c>
      <c r="M3050">
        <v>1.28</v>
      </c>
      <c r="N3050">
        <v>0.0</v>
      </c>
      <c r="O3050">
        <v>20.95</v>
      </c>
      <c r="P3050">
        <v>23.9</v>
      </c>
      <c r="Q3050">
        <v>18.82</v>
      </c>
      <c r="R3050">
        <v>0.82</v>
      </c>
    </row>
    <row r="3051">
      <c r="A3051" s="9">
        <v>41582</v>
      </c>
      <c r="B3051" s="2" t="inlineStr">
        <is>
          <t xml:space="preserve">2013-11</t>
        </is>
      </c>
      <c r="C3051" s="2" t="inlineStr">
        <is>
          <t xml:space="preserve">2013/14</t>
        </is>
      </c>
      <c r="D3051">
        <v>0.0</v>
      </c>
      <c r="E3051">
        <v>19.91</v>
      </c>
      <c r="F3051">
        <v>25.34</v>
      </c>
      <c r="G3051">
        <v>15.87</v>
      </c>
      <c r="H3051">
        <v>1.14</v>
      </c>
      <c r="I3051">
        <v>0.112</v>
      </c>
      <c r="J3051">
        <v>20.44</v>
      </c>
      <c r="K3051">
        <v>25.28</v>
      </c>
      <c r="L3051">
        <v>16.47</v>
      </c>
      <c r="M3051">
        <v>0.42</v>
      </c>
      <c r="N3051">
        <v>0.26</v>
      </c>
      <c r="O3051">
        <v>20.59</v>
      </c>
      <c r="P3051">
        <v>25.03</v>
      </c>
      <c r="Q3051">
        <v>17.73</v>
      </c>
      <c r="R3051">
        <v>0.81</v>
      </c>
    </row>
    <row r="3052">
      <c r="A3052" s="9">
        <v>41583</v>
      </c>
      <c r="B3052" s="2" t="inlineStr">
        <is>
          <t xml:space="preserve">2013-11</t>
        </is>
      </c>
      <c r="C3052" s="2" t="inlineStr">
        <is>
          <t xml:space="preserve">2013/14</t>
        </is>
      </c>
      <c r="D3052">
        <v>2.223</v>
      </c>
      <c r="E3052">
        <v>20.03</v>
      </c>
      <c r="F3052">
        <v>25.41</v>
      </c>
      <c r="G3052">
        <v>16.09</v>
      </c>
      <c r="H3052">
        <v>0.33</v>
      </c>
      <c r="I3052">
        <v>0.0</v>
      </c>
      <c r="J3052">
        <v>20.31</v>
      </c>
      <c r="K3052">
        <v>25.6</v>
      </c>
      <c r="L3052">
        <v>16.28</v>
      </c>
      <c r="M3052">
        <v>0.37</v>
      </c>
      <c r="N3052">
        <v>0.171</v>
      </c>
      <c r="O3052">
        <v>20.32</v>
      </c>
      <c r="P3052">
        <v>24.95</v>
      </c>
      <c r="Q3052">
        <v>17.38</v>
      </c>
      <c r="R3052">
        <v>0.86</v>
      </c>
    </row>
    <row r="3053">
      <c r="A3053" s="9">
        <v>41584</v>
      </c>
      <c r="B3053" s="2" t="inlineStr">
        <is>
          <t xml:space="preserve">2013-11</t>
        </is>
      </c>
      <c r="C3053" s="2" t="inlineStr">
        <is>
          <t xml:space="preserve">2013/14</t>
        </is>
      </c>
      <c r="D3053">
        <v>0.07</v>
      </c>
      <c r="E3053">
        <v>20.92</v>
      </c>
      <c r="F3053">
        <v>26.08</v>
      </c>
      <c r="G3053">
        <v>16.5</v>
      </c>
      <c r="H3053">
        <v>1.48</v>
      </c>
      <c r="I3053">
        <v>0.0</v>
      </c>
      <c r="J3053">
        <v>20.79</v>
      </c>
      <c r="K3053">
        <v>26.44</v>
      </c>
      <c r="L3053">
        <v>15.96</v>
      </c>
      <c r="M3053">
        <v>1.29</v>
      </c>
      <c r="N3053">
        <v>0.0</v>
      </c>
      <c r="O3053">
        <v>21.14</v>
      </c>
      <c r="P3053">
        <v>26.24</v>
      </c>
      <c r="Q3053">
        <v>16.92</v>
      </c>
      <c r="R3053">
        <v>2.31</v>
      </c>
    </row>
    <row r="3054">
      <c r="A3054" s="9">
        <v>41585</v>
      </c>
      <c r="B3054" s="2" t="inlineStr">
        <is>
          <t xml:space="preserve">2013-11</t>
        </is>
      </c>
      <c r="C3054" s="2" t="inlineStr">
        <is>
          <t xml:space="preserve">2013/14</t>
        </is>
      </c>
      <c r="D3054">
        <v>2.441</v>
      </c>
      <c r="E3054">
        <v>20.27</v>
      </c>
      <c r="F3054">
        <v>24.27</v>
      </c>
      <c r="G3054">
        <v>17.64</v>
      </c>
      <c r="H3054">
        <v>5.19</v>
      </c>
      <c r="I3054">
        <v>2.331</v>
      </c>
      <c r="J3054">
        <v>20.89</v>
      </c>
      <c r="K3054">
        <v>24.96</v>
      </c>
      <c r="L3054">
        <v>18.24</v>
      </c>
      <c r="M3054">
        <v>4.9</v>
      </c>
      <c r="N3054">
        <v>9.13</v>
      </c>
      <c r="O3054">
        <v>20.84</v>
      </c>
      <c r="P3054">
        <v>23.05</v>
      </c>
      <c r="Q3054">
        <v>18.37</v>
      </c>
      <c r="R3054">
        <v>10.19</v>
      </c>
    </row>
    <row r="3055">
      <c r="A3055" s="9">
        <v>41586</v>
      </c>
      <c r="B3055" s="2" t="inlineStr">
        <is>
          <t xml:space="preserve">2013-11</t>
        </is>
      </c>
      <c r="C3055" s="2" t="inlineStr">
        <is>
          <t xml:space="preserve">2013/14</t>
        </is>
      </c>
      <c r="D3055">
        <v>1.238</v>
      </c>
      <c r="E3055">
        <v>20.13</v>
      </c>
      <c r="F3055">
        <v>23.42</v>
      </c>
      <c r="G3055">
        <v>17.64</v>
      </c>
      <c r="H3055">
        <v>8.96</v>
      </c>
      <c r="I3055">
        <v>0.907</v>
      </c>
      <c r="J3055">
        <v>20.79</v>
      </c>
      <c r="K3055">
        <v>23.97</v>
      </c>
      <c r="L3055">
        <v>18.02</v>
      </c>
      <c r="M3055">
        <v>3.4</v>
      </c>
      <c r="N3055">
        <v>4.461</v>
      </c>
      <c r="O3055">
        <v>20.79</v>
      </c>
      <c r="P3055">
        <v>23.16</v>
      </c>
      <c r="Q3055">
        <v>18.82</v>
      </c>
      <c r="R3055">
        <v>9.11</v>
      </c>
    </row>
    <row r="3056">
      <c r="A3056" s="9">
        <v>41587</v>
      </c>
      <c r="B3056" s="2" t="inlineStr">
        <is>
          <t xml:space="preserve">2013-11</t>
        </is>
      </c>
      <c r="C3056" s="2" t="inlineStr">
        <is>
          <t xml:space="preserve">2013/14</t>
        </is>
      </c>
      <c r="D3056">
        <v>1.202</v>
      </c>
      <c r="E3056">
        <v>20.05</v>
      </c>
      <c r="F3056">
        <v>23.66</v>
      </c>
      <c r="G3056">
        <v>17.1</v>
      </c>
      <c r="H3056">
        <v>5.01</v>
      </c>
      <c r="I3056">
        <v>1.954</v>
      </c>
      <c r="J3056">
        <v>20.49</v>
      </c>
      <c r="K3056">
        <v>24.26</v>
      </c>
      <c r="L3056">
        <v>17.09</v>
      </c>
      <c r="M3056">
        <v>5.41</v>
      </c>
      <c r="N3056">
        <v>8.455</v>
      </c>
      <c r="O3056">
        <v>20.57</v>
      </c>
      <c r="P3056">
        <v>23.82</v>
      </c>
      <c r="Q3056">
        <v>17.62</v>
      </c>
      <c r="R3056">
        <v>12.58</v>
      </c>
    </row>
    <row r="3057">
      <c r="A3057" s="9">
        <v>41588</v>
      </c>
      <c r="B3057" s="2" t="inlineStr">
        <is>
          <t xml:space="preserve">2013-11</t>
        </is>
      </c>
      <c r="C3057" s="2" t="inlineStr">
        <is>
          <t xml:space="preserve">2013/14</t>
        </is>
      </c>
      <c r="D3057">
        <v>3.811</v>
      </c>
      <c r="E3057">
        <v>20.28</v>
      </c>
      <c r="F3057">
        <v>24.23</v>
      </c>
      <c r="G3057">
        <v>17.56</v>
      </c>
      <c r="H3057">
        <v>3.88</v>
      </c>
      <c r="I3057">
        <v>3.477</v>
      </c>
      <c r="J3057">
        <v>21.4</v>
      </c>
      <c r="K3057">
        <v>25.79</v>
      </c>
      <c r="L3057">
        <v>18.87</v>
      </c>
      <c r="M3057">
        <v>5.86</v>
      </c>
      <c r="N3057">
        <v>6.092</v>
      </c>
      <c r="O3057">
        <v>21.37</v>
      </c>
      <c r="P3057">
        <v>25.04</v>
      </c>
      <c r="Q3057">
        <v>19.54</v>
      </c>
      <c r="R3057">
        <v>10.04</v>
      </c>
    </row>
    <row r="3058">
      <c r="A3058" s="9">
        <v>41589</v>
      </c>
      <c r="B3058" s="2" t="inlineStr">
        <is>
          <t xml:space="preserve">2013-11</t>
        </is>
      </c>
      <c r="C3058" s="2" t="inlineStr">
        <is>
          <t xml:space="preserve">2013/14</t>
        </is>
      </c>
      <c r="D3058">
        <v>2.767</v>
      </c>
      <c r="E3058">
        <v>20.46</v>
      </c>
      <c r="F3058">
        <v>24.81</v>
      </c>
      <c r="G3058">
        <v>17.69</v>
      </c>
      <c r="H3058">
        <v>3.96</v>
      </c>
      <c r="I3058">
        <v>2.273</v>
      </c>
      <c r="J3058">
        <v>20.72</v>
      </c>
      <c r="K3058">
        <v>24.88</v>
      </c>
      <c r="L3058">
        <v>18.1</v>
      </c>
      <c r="M3058">
        <v>3.9</v>
      </c>
      <c r="N3058">
        <v>4.43</v>
      </c>
      <c r="O3058">
        <v>21.18</v>
      </c>
      <c r="P3058">
        <v>24.63</v>
      </c>
      <c r="Q3058">
        <v>19.37</v>
      </c>
      <c r="R3058">
        <v>7.77</v>
      </c>
    </row>
    <row r="3059">
      <c r="A3059" s="9">
        <v>41590</v>
      </c>
      <c r="B3059" s="2" t="inlineStr">
        <is>
          <t xml:space="preserve">2013-11</t>
        </is>
      </c>
      <c r="C3059" s="2" t="inlineStr">
        <is>
          <t xml:space="preserve">2013/14</t>
        </is>
      </c>
      <c r="D3059">
        <v>0.275</v>
      </c>
      <c r="E3059">
        <v>20.66</v>
      </c>
      <c r="F3059">
        <v>25.34</v>
      </c>
      <c r="G3059">
        <v>17.14</v>
      </c>
      <c r="H3059">
        <v>1.41</v>
      </c>
      <c r="I3059">
        <v>0.598</v>
      </c>
      <c r="J3059">
        <v>20.97</v>
      </c>
      <c r="K3059">
        <v>25.08</v>
      </c>
      <c r="L3059">
        <v>18.09</v>
      </c>
      <c r="M3059">
        <v>2.32</v>
      </c>
      <c r="N3059">
        <v>2.717</v>
      </c>
      <c r="O3059">
        <v>21.53</v>
      </c>
      <c r="P3059">
        <v>25.62</v>
      </c>
      <c r="Q3059">
        <v>19.11</v>
      </c>
      <c r="R3059">
        <v>7.99</v>
      </c>
    </row>
    <row r="3060">
      <c r="A3060" s="9">
        <v>41591</v>
      </c>
      <c r="B3060" s="2" t="inlineStr">
        <is>
          <t xml:space="preserve">2013-11</t>
        </is>
      </c>
      <c r="C3060" s="2" t="inlineStr">
        <is>
          <t xml:space="preserve">2013/14</t>
        </is>
      </c>
      <c r="D3060">
        <v>0.299</v>
      </c>
      <c r="E3060">
        <v>20.35</v>
      </c>
      <c r="F3060">
        <v>24.54</v>
      </c>
      <c r="G3060">
        <v>17.25</v>
      </c>
      <c r="H3060">
        <v>2.7</v>
      </c>
      <c r="I3060">
        <v>0.566</v>
      </c>
      <c r="J3060">
        <v>20.98</v>
      </c>
      <c r="K3060">
        <v>25.32</v>
      </c>
      <c r="L3060">
        <v>18.35</v>
      </c>
      <c r="M3060">
        <v>4.44</v>
      </c>
      <c r="N3060">
        <v>3.874</v>
      </c>
      <c r="O3060">
        <v>21.16</v>
      </c>
      <c r="P3060">
        <v>24.46</v>
      </c>
      <c r="Q3060">
        <v>19.43</v>
      </c>
      <c r="R3060">
        <v>15.88</v>
      </c>
    </row>
    <row r="3061">
      <c r="A3061" s="9">
        <v>41592</v>
      </c>
      <c r="B3061" s="2" t="inlineStr">
        <is>
          <t xml:space="preserve">2013-11</t>
        </is>
      </c>
      <c r="C3061" s="2" t="inlineStr">
        <is>
          <t xml:space="preserve">2013/14</t>
        </is>
      </c>
      <c r="D3061">
        <v>0.43</v>
      </c>
      <c r="E3061">
        <v>20.58</v>
      </c>
      <c r="F3061">
        <v>24.38</v>
      </c>
      <c r="G3061">
        <v>18.03</v>
      </c>
      <c r="H3061">
        <v>3.06</v>
      </c>
      <c r="I3061">
        <v>0.137</v>
      </c>
      <c r="J3061">
        <v>20.86</v>
      </c>
      <c r="K3061">
        <v>24.98</v>
      </c>
      <c r="L3061">
        <v>17.62</v>
      </c>
      <c r="M3061">
        <v>5.86</v>
      </c>
      <c r="N3061">
        <v>2.924</v>
      </c>
      <c r="O3061">
        <v>21.33</v>
      </c>
      <c r="P3061">
        <v>24.74</v>
      </c>
      <c r="Q3061">
        <v>19.21</v>
      </c>
      <c r="R3061">
        <v>12.42</v>
      </c>
    </row>
    <row r="3062">
      <c r="A3062" s="9">
        <v>41593</v>
      </c>
      <c r="B3062" s="2" t="inlineStr">
        <is>
          <t xml:space="preserve">2013-11</t>
        </is>
      </c>
      <c r="C3062" s="2" t="inlineStr">
        <is>
          <t xml:space="preserve">2013/14</t>
        </is>
      </c>
      <c r="D3062">
        <v>2.906</v>
      </c>
      <c r="E3062">
        <v>20.14</v>
      </c>
      <c r="F3062">
        <v>25.04</v>
      </c>
      <c r="G3062">
        <v>16.33</v>
      </c>
      <c r="H3062">
        <v>2.23</v>
      </c>
      <c r="I3062">
        <v>11.393</v>
      </c>
      <c r="J3062">
        <v>21.48</v>
      </c>
      <c r="K3062">
        <v>25.68</v>
      </c>
      <c r="L3062">
        <v>18.29</v>
      </c>
      <c r="M3062">
        <v>6.27</v>
      </c>
      <c r="N3062">
        <v>5.807</v>
      </c>
      <c r="O3062">
        <v>21.85</v>
      </c>
      <c r="P3062">
        <v>26.13</v>
      </c>
      <c r="Q3062">
        <v>19.26</v>
      </c>
      <c r="R3062">
        <v>3.46</v>
      </c>
    </row>
    <row r="3063">
      <c r="A3063" s="9">
        <v>41594</v>
      </c>
      <c r="B3063" s="2" t="inlineStr">
        <is>
          <t xml:space="preserve">2013-11</t>
        </is>
      </c>
      <c r="C3063" s="2" t="inlineStr">
        <is>
          <t xml:space="preserve">2013/14</t>
        </is>
      </c>
      <c r="D3063">
        <v>0.617</v>
      </c>
      <c r="E3063">
        <v>20.08</v>
      </c>
      <c r="F3063">
        <v>25.42</v>
      </c>
      <c r="G3063">
        <v>15.77</v>
      </c>
      <c r="H3063">
        <v>0.06</v>
      </c>
      <c r="I3063">
        <v>2.377</v>
      </c>
      <c r="J3063">
        <v>22.18</v>
      </c>
      <c r="K3063">
        <v>26.8</v>
      </c>
      <c r="L3063">
        <v>19.06</v>
      </c>
      <c r="M3063">
        <v>0.87</v>
      </c>
      <c r="N3063">
        <v>1.865</v>
      </c>
      <c r="O3063">
        <v>22.19</v>
      </c>
      <c r="P3063">
        <v>26.27</v>
      </c>
      <c r="Q3063">
        <v>19.35</v>
      </c>
      <c r="R3063">
        <v>0.84</v>
      </c>
    </row>
    <row r="3064">
      <c r="A3064" s="9">
        <v>41595</v>
      </c>
      <c r="B3064" s="2" t="inlineStr">
        <is>
          <t xml:space="preserve">2013-11</t>
        </is>
      </c>
      <c r="C3064" s="2" t="inlineStr">
        <is>
          <t xml:space="preserve">2013/14</t>
        </is>
      </c>
      <c r="D3064">
        <v>0.038</v>
      </c>
      <c r="E3064">
        <v>20.6</v>
      </c>
      <c r="F3064">
        <v>25.93</v>
      </c>
      <c r="G3064">
        <v>16.18</v>
      </c>
      <c r="H3064">
        <v>0.08</v>
      </c>
      <c r="I3064">
        <v>0.0</v>
      </c>
      <c r="J3064">
        <v>21.76</v>
      </c>
      <c r="K3064">
        <v>26.97</v>
      </c>
      <c r="L3064">
        <v>17.98</v>
      </c>
      <c r="M3064">
        <v>0.01</v>
      </c>
      <c r="N3064">
        <v>0.0</v>
      </c>
      <c r="O3064">
        <v>21.95</v>
      </c>
      <c r="P3064">
        <v>26.13</v>
      </c>
      <c r="Q3064">
        <v>19.2</v>
      </c>
      <c r="R3064">
        <v>0.01</v>
      </c>
    </row>
    <row r="3065">
      <c r="A3065" s="9">
        <v>41596</v>
      </c>
      <c r="B3065" s="2" t="inlineStr">
        <is>
          <t xml:space="preserve">2013-11</t>
        </is>
      </c>
      <c r="C3065" s="2" t="inlineStr">
        <is>
          <t xml:space="preserve">2013/14</t>
        </is>
      </c>
      <c r="D3065">
        <v>0.118</v>
      </c>
      <c r="E3065">
        <v>20.96</v>
      </c>
      <c r="F3065">
        <v>26.26</v>
      </c>
      <c r="G3065">
        <v>17.52</v>
      </c>
      <c r="H3065">
        <v>0.1</v>
      </c>
      <c r="I3065">
        <v>0.0</v>
      </c>
      <c r="J3065">
        <v>21.96</v>
      </c>
      <c r="K3065">
        <v>27.08</v>
      </c>
      <c r="L3065">
        <v>17.92</v>
      </c>
      <c r="M3065">
        <v>0.06</v>
      </c>
      <c r="N3065">
        <v>0.0</v>
      </c>
      <c r="O3065">
        <v>21.91</v>
      </c>
      <c r="P3065">
        <v>26.51</v>
      </c>
      <c r="Q3065">
        <v>18.68</v>
      </c>
      <c r="R3065">
        <v>0.01</v>
      </c>
    </row>
    <row r="3066">
      <c r="A3066" s="9">
        <v>41597</v>
      </c>
      <c r="B3066" s="2" t="inlineStr">
        <is>
          <t xml:space="preserve">2013-11</t>
        </is>
      </c>
      <c r="C3066" s="2" t="inlineStr">
        <is>
          <t xml:space="preserve">2013/14</t>
        </is>
      </c>
      <c r="D3066">
        <v>0.0</v>
      </c>
      <c r="E3066">
        <v>20.44</v>
      </c>
      <c r="F3066">
        <v>25.8</v>
      </c>
      <c r="G3066">
        <v>16.03</v>
      </c>
      <c r="H3066">
        <v>0.11</v>
      </c>
      <c r="I3066">
        <v>0.073</v>
      </c>
      <c r="J3066">
        <v>20.82</v>
      </c>
      <c r="K3066">
        <v>25.77</v>
      </c>
      <c r="L3066">
        <v>17.01</v>
      </c>
      <c r="M3066">
        <v>0.01</v>
      </c>
      <c r="N3066">
        <v>0.0</v>
      </c>
      <c r="O3066">
        <v>20.93</v>
      </c>
      <c r="P3066">
        <v>25.4</v>
      </c>
      <c r="Q3066">
        <v>17.69</v>
      </c>
      <c r="R3066">
        <v>0.0</v>
      </c>
    </row>
    <row r="3067">
      <c r="A3067" s="9">
        <v>41598</v>
      </c>
      <c r="B3067" s="2" t="inlineStr">
        <is>
          <t xml:space="preserve">2013-11</t>
        </is>
      </c>
      <c r="C3067" s="2" t="inlineStr">
        <is>
          <t xml:space="preserve">2013/14</t>
        </is>
      </c>
      <c r="D3067">
        <v>0.0</v>
      </c>
      <c r="E3067">
        <v>20.91</v>
      </c>
      <c r="F3067">
        <v>25.67</v>
      </c>
      <c r="G3067">
        <v>17.56</v>
      </c>
      <c r="H3067">
        <v>0.14</v>
      </c>
      <c r="I3067">
        <v>0.0</v>
      </c>
      <c r="J3067">
        <v>21.24</v>
      </c>
      <c r="K3067">
        <v>25.86</v>
      </c>
      <c r="L3067">
        <v>17.72</v>
      </c>
      <c r="M3067">
        <v>0.05</v>
      </c>
      <c r="N3067">
        <v>0.0</v>
      </c>
      <c r="O3067">
        <v>21.45</v>
      </c>
      <c r="P3067">
        <v>25.84</v>
      </c>
      <c r="Q3067">
        <v>18.71</v>
      </c>
      <c r="R3067">
        <v>0.16</v>
      </c>
    </row>
    <row r="3068">
      <c r="A3068" s="9">
        <v>41599</v>
      </c>
      <c r="B3068" s="2" t="inlineStr">
        <is>
          <t xml:space="preserve">2013-11</t>
        </is>
      </c>
      <c r="C3068" s="2" t="inlineStr">
        <is>
          <t xml:space="preserve">2013/14</t>
        </is>
      </c>
      <c r="D3068">
        <v>0.0</v>
      </c>
      <c r="E3068">
        <v>20.83</v>
      </c>
      <c r="F3068">
        <v>25.53</v>
      </c>
      <c r="G3068">
        <v>17.63</v>
      </c>
      <c r="H3068">
        <v>0.23</v>
      </c>
      <c r="I3068">
        <v>0.0</v>
      </c>
      <c r="J3068">
        <v>21.28</v>
      </c>
      <c r="K3068">
        <v>25.57</v>
      </c>
      <c r="L3068">
        <v>17.67</v>
      </c>
      <c r="M3068">
        <v>0.88</v>
      </c>
      <c r="N3068">
        <v>0.105</v>
      </c>
      <c r="O3068">
        <v>21.48</v>
      </c>
      <c r="P3068">
        <v>25.78</v>
      </c>
      <c r="Q3068">
        <v>18.53</v>
      </c>
      <c r="R3068">
        <v>0.84</v>
      </c>
    </row>
    <row r="3069">
      <c r="A3069" s="9">
        <v>41600</v>
      </c>
      <c r="B3069" s="2" t="inlineStr">
        <is>
          <t xml:space="preserve">2013-11</t>
        </is>
      </c>
      <c r="C3069" s="2" t="inlineStr">
        <is>
          <t xml:space="preserve">2013/14</t>
        </is>
      </c>
      <c r="D3069">
        <v>0.043</v>
      </c>
      <c r="E3069">
        <v>20.6</v>
      </c>
      <c r="F3069">
        <v>25.46</v>
      </c>
      <c r="G3069">
        <v>16.77</v>
      </c>
      <c r="H3069">
        <v>0.59</v>
      </c>
      <c r="I3069">
        <v>1.385</v>
      </c>
      <c r="J3069">
        <v>20.41</v>
      </c>
      <c r="K3069">
        <v>23.97</v>
      </c>
      <c r="L3069">
        <v>18.03</v>
      </c>
      <c r="M3069">
        <v>0.44</v>
      </c>
      <c r="N3069">
        <v>0.044</v>
      </c>
      <c r="O3069">
        <v>21.22</v>
      </c>
      <c r="P3069">
        <v>24.86</v>
      </c>
      <c r="Q3069">
        <v>18.72</v>
      </c>
      <c r="R3069">
        <v>0.93</v>
      </c>
    </row>
    <row r="3070">
      <c r="A3070" s="9">
        <v>41601</v>
      </c>
      <c r="B3070" s="2" t="inlineStr">
        <is>
          <t xml:space="preserve">2013-11</t>
        </is>
      </c>
      <c r="C3070" s="2" t="inlineStr">
        <is>
          <t xml:space="preserve">2013/14</t>
        </is>
      </c>
      <c r="D3070">
        <v>0.343</v>
      </c>
      <c r="E3070">
        <v>20.4</v>
      </c>
      <c r="F3070">
        <v>24.27</v>
      </c>
      <c r="G3070">
        <v>18.02</v>
      </c>
      <c r="H3070">
        <v>1.7</v>
      </c>
      <c r="I3070">
        <v>0.105</v>
      </c>
      <c r="J3070">
        <v>20.95</v>
      </c>
      <c r="K3070">
        <v>25.07</v>
      </c>
      <c r="L3070">
        <v>17.95</v>
      </c>
      <c r="M3070">
        <v>2.06</v>
      </c>
      <c r="N3070">
        <v>1.314</v>
      </c>
      <c r="O3070">
        <v>21.18</v>
      </c>
      <c r="P3070">
        <v>24.33</v>
      </c>
      <c r="Q3070">
        <v>19.33</v>
      </c>
      <c r="R3070">
        <v>4.43</v>
      </c>
    </row>
    <row r="3071">
      <c r="A3071" s="9">
        <v>41602</v>
      </c>
      <c r="B3071" s="2" t="inlineStr">
        <is>
          <t xml:space="preserve">2013-11</t>
        </is>
      </c>
      <c r="C3071" s="2" t="inlineStr">
        <is>
          <t xml:space="preserve">2013/14</t>
        </is>
      </c>
      <c r="D3071">
        <v>4.438</v>
      </c>
      <c r="E3071">
        <v>19.53</v>
      </c>
      <c r="F3071">
        <v>23.92</v>
      </c>
      <c r="G3071">
        <v>16.72</v>
      </c>
      <c r="H3071">
        <v>5.06</v>
      </c>
      <c r="I3071">
        <v>1.781</v>
      </c>
      <c r="J3071">
        <v>19.82</v>
      </c>
      <c r="K3071">
        <v>23.9</v>
      </c>
      <c r="L3071">
        <v>17.27</v>
      </c>
      <c r="M3071">
        <v>2.66</v>
      </c>
      <c r="N3071">
        <v>6.504</v>
      </c>
      <c r="O3071">
        <v>20.21</v>
      </c>
      <c r="P3071">
        <v>23.82</v>
      </c>
      <c r="Q3071">
        <v>17.94</v>
      </c>
      <c r="R3071">
        <v>4.59</v>
      </c>
    </row>
    <row r="3072">
      <c r="A3072" s="9">
        <v>41603</v>
      </c>
      <c r="B3072" s="2" t="inlineStr">
        <is>
          <t xml:space="preserve">2013-11</t>
        </is>
      </c>
      <c r="C3072" s="2" t="inlineStr">
        <is>
          <t xml:space="preserve">2013/14</t>
        </is>
      </c>
      <c r="D3072">
        <v>0.196</v>
      </c>
      <c r="E3072">
        <v>19.69</v>
      </c>
      <c r="F3072">
        <v>24.58</v>
      </c>
      <c r="G3072">
        <v>16.21</v>
      </c>
      <c r="H3072">
        <v>1.12</v>
      </c>
      <c r="I3072">
        <v>1.273</v>
      </c>
      <c r="J3072">
        <v>19.83</v>
      </c>
      <c r="K3072">
        <v>24.2</v>
      </c>
      <c r="L3072">
        <v>16.9</v>
      </c>
      <c r="M3072">
        <v>1.62</v>
      </c>
      <c r="N3072">
        <v>4.711</v>
      </c>
      <c r="O3072">
        <v>20.04</v>
      </c>
      <c r="P3072">
        <v>24.19</v>
      </c>
      <c r="Q3072">
        <v>17.36</v>
      </c>
      <c r="R3072">
        <v>1.92</v>
      </c>
    </row>
    <row r="3073">
      <c r="A3073" s="9">
        <v>41604</v>
      </c>
      <c r="B3073" s="2" t="inlineStr">
        <is>
          <t xml:space="preserve">2013-11</t>
        </is>
      </c>
      <c r="C3073" s="2" t="inlineStr">
        <is>
          <t xml:space="preserve">2013/14</t>
        </is>
      </c>
      <c r="D3073">
        <v>0.057</v>
      </c>
      <c r="E3073">
        <v>20.66</v>
      </c>
      <c r="F3073">
        <v>25.81</v>
      </c>
      <c r="G3073">
        <v>16.97</v>
      </c>
      <c r="H3073">
        <v>2.66</v>
      </c>
      <c r="I3073">
        <v>0.0</v>
      </c>
      <c r="J3073">
        <v>21.02</v>
      </c>
      <c r="K3073">
        <v>26.91</v>
      </c>
      <c r="L3073">
        <v>16.81</v>
      </c>
      <c r="M3073">
        <v>1.36</v>
      </c>
      <c r="N3073">
        <v>0.0</v>
      </c>
      <c r="O3073">
        <v>21.08</v>
      </c>
      <c r="P3073">
        <v>26.24</v>
      </c>
      <c r="Q3073">
        <v>17.33</v>
      </c>
      <c r="R3073">
        <v>1.63</v>
      </c>
    </row>
    <row r="3074">
      <c r="A3074" s="9">
        <v>41605</v>
      </c>
      <c r="B3074" s="2" t="inlineStr">
        <is>
          <t xml:space="preserve">2013-11</t>
        </is>
      </c>
      <c r="C3074" s="2" t="inlineStr">
        <is>
          <t xml:space="preserve">2013/14</t>
        </is>
      </c>
      <c r="D3074">
        <v>3.197</v>
      </c>
      <c r="E3074">
        <v>17.99</v>
      </c>
      <c r="F3074">
        <v>22.07</v>
      </c>
      <c r="G3074">
        <v>14.21</v>
      </c>
      <c r="H3074">
        <v>9.8</v>
      </c>
      <c r="I3074">
        <v>2.504</v>
      </c>
      <c r="J3074">
        <v>17.95</v>
      </c>
      <c r="K3074">
        <v>20.95</v>
      </c>
      <c r="L3074">
        <v>13.77</v>
      </c>
      <c r="M3074">
        <v>2.63</v>
      </c>
      <c r="N3074">
        <v>6.371</v>
      </c>
      <c r="O3074">
        <v>18.06</v>
      </c>
      <c r="P3074">
        <v>19.72</v>
      </c>
      <c r="Q3074">
        <v>14.36</v>
      </c>
      <c r="R3074">
        <v>4.98</v>
      </c>
    </row>
    <row r="3075">
      <c r="A3075" s="9">
        <v>41606</v>
      </c>
      <c r="B3075" s="2" t="inlineStr">
        <is>
          <t xml:space="preserve">2013-11</t>
        </is>
      </c>
      <c r="C3075" s="2" t="inlineStr">
        <is>
          <t xml:space="preserve">2013/14</t>
        </is>
      </c>
      <c r="D3075">
        <v>0.0</v>
      </c>
      <c r="E3075">
        <v>15.28</v>
      </c>
      <c r="F3075">
        <v>18.79</v>
      </c>
      <c r="G3075">
        <v>12.96</v>
      </c>
      <c r="H3075">
        <v>1.54</v>
      </c>
      <c r="I3075">
        <v>0.0</v>
      </c>
      <c r="J3075">
        <v>14.95</v>
      </c>
      <c r="K3075">
        <v>18.42</v>
      </c>
      <c r="L3075">
        <v>12.89</v>
      </c>
      <c r="M3075">
        <v>0.43</v>
      </c>
      <c r="N3075">
        <v>0.086</v>
      </c>
      <c r="O3075">
        <v>15.03</v>
      </c>
      <c r="P3075">
        <v>17.98</v>
      </c>
      <c r="Q3075">
        <v>13.06</v>
      </c>
      <c r="R3075">
        <v>0.92</v>
      </c>
    </row>
    <row r="3076">
      <c r="A3076" s="9">
        <v>41607</v>
      </c>
      <c r="B3076" s="2" t="inlineStr">
        <is>
          <t xml:space="preserve">2013-11</t>
        </is>
      </c>
      <c r="C3076" s="2" t="inlineStr">
        <is>
          <t xml:space="preserve">2013/14</t>
        </is>
      </c>
      <c r="D3076">
        <v>0.537</v>
      </c>
      <c r="E3076">
        <v>15.97</v>
      </c>
      <c r="F3076">
        <v>19.0</v>
      </c>
      <c r="G3076">
        <v>14.01</v>
      </c>
      <c r="H3076">
        <v>4.49</v>
      </c>
      <c r="I3076">
        <v>0.627</v>
      </c>
      <c r="J3076">
        <v>15.84</v>
      </c>
      <c r="K3076">
        <v>19.76</v>
      </c>
      <c r="L3076">
        <v>13.16</v>
      </c>
      <c r="M3076">
        <v>0.97</v>
      </c>
      <c r="N3076">
        <v>2.388</v>
      </c>
      <c r="O3076">
        <v>16.04</v>
      </c>
      <c r="P3076">
        <v>19.21</v>
      </c>
      <c r="Q3076">
        <v>13.94</v>
      </c>
      <c r="R3076">
        <v>1.29</v>
      </c>
    </row>
    <row r="3077">
      <c r="A3077" s="9">
        <v>41608</v>
      </c>
      <c r="B3077" s="2" t="inlineStr">
        <is>
          <t xml:space="preserve">2013-11</t>
        </is>
      </c>
      <c r="C3077" s="2" t="inlineStr">
        <is>
          <t xml:space="preserve">2013/14</t>
        </is>
      </c>
      <c r="D3077">
        <v>0.287</v>
      </c>
      <c r="E3077">
        <v>16.72</v>
      </c>
      <c r="F3077">
        <v>19.98</v>
      </c>
      <c r="G3077">
        <v>13.98</v>
      </c>
      <c r="H3077">
        <v>1.75</v>
      </c>
      <c r="I3077">
        <v>0.024</v>
      </c>
      <c r="J3077">
        <v>16.63</v>
      </c>
      <c r="K3077">
        <v>20.37</v>
      </c>
      <c r="L3077">
        <v>13.83</v>
      </c>
      <c r="M3077">
        <v>0.46</v>
      </c>
      <c r="N3077">
        <v>0.257</v>
      </c>
      <c r="O3077">
        <v>16.84</v>
      </c>
      <c r="P3077">
        <v>19.81</v>
      </c>
      <c r="Q3077">
        <v>14.4</v>
      </c>
      <c r="R3077">
        <v>0.44</v>
      </c>
    </row>
    <row r="3078">
      <c r="A3078" s="9">
        <v>41609</v>
      </c>
      <c r="B3078" s="2" t="inlineStr">
        <is>
          <t xml:space="preserve">2013-12</t>
        </is>
      </c>
      <c r="C3078" s="2" t="inlineStr">
        <is>
          <t xml:space="preserve">2013/14</t>
        </is>
      </c>
      <c r="D3078">
        <v>2.262</v>
      </c>
      <c r="E3078">
        <v>18.82</v>
      </c>
      <c r="F3078">
        <v>24.0</v>
      </c>
      <c r="G3078">
        <v>15.93</v>
      </c>
      <c r="H3078">
        <v>2.16</v>
      </c>
      <c r="I3078">
        <v>1.079</v>
      </c>
      <c r="J3078">
        <v>18.16</v>
      </c>
      <c r="K3078">
        <v>22.74</v>
      </c>
      <c r="L3078">
        <v>14.85</v>
      </c>
      <c r="M3078">
        <v>1.6</v>
      </c>
      <c r="N3078">
        <v>3.713</v>
      </c>
      <c r="O3078">
        <v>18.29</v>
      </c>
      <c r="P3078">
        <v>21.79</v>
      </c>
      <c r="Q3078">
        <v>15.44</v>
      </c>
      <c r="R3078">
        <v>2.07</v>
      </c>
    </row>
    <row r="3079">
      <c r="A3079" s="9">
        <v>41610</v>
      </c>
      <c r="B3079" s="2" t="inlineStr">
        <is>
          <t xml:space="preserve">2013-12</t>
        </is>
      </c>
      <c r="C3079" s="2" t="inlineStr">
        <is>
          <t xml:space="preserve">2013/14</t>
        </is>
      </c>
      <c r="D3079">
        <v>0.0</v>
      </c>
      <c r="E3079">
        <v>19.57</v>
      </c>
      <c r="F3079">
        <v>25.02</v>
      </c>
      <c r="G3079">
        <v>14.95</v>
      </c>
      <c r="H3079">
        <v>0.15</v>
      </c>
      <c r="I3079">
        <v>0.024</v>
      </c>
      <c r="J3079">
        <v>20.08</v>
      </c>
      <c r="K3079">
        <v>25.44</v>
      </c>
      <c r="L3079">
        <v>15.46</v>
      </c>
      <c r="M3079">
        <v>0.06</v>
      </c>
      <c r="N3079">
        <v>0.244</v>
      </c>
      <c r="O3079">
        <v>19.87</v>
      </c>
      <c r="P3079">
        <v>24.94</v>
      </c>
      <c r="Q3079">
        <v>16.39</v>
      </c>
      <c r="R3079">
        <v>0.07</v>
      </c>
    </row>
    <row r="3080">
      <c r="A3080" s="9">
        <v>41611</v>
      </c>
      <c r="B3080" s="2" t="inlineStr">
        <is>
          <t xml:space="preserve">2013-12</t>
        </is>
      </c>
      <c r="C3080" s="2" t="inlineStr">
        <is>
          <t xml:space="preserve">2013/14</t>
        </is>
      </c>
      <c r="D3080">
        <v>0.0</v>
      </c>
      <c r="E3080">
        <v>20.31</v>
      </c>
      <c r="F3080">
        <v>25.54</v>
      </c>
      <c r="G3080">
        <v>16.09</v>
      </c>
      <c r="H3080">
        <v>0.0</v>
      </c>
      <c r="I3080">
        <v>0.0</v>
      </c>
      <c r="J3080">
        <v>19.88</v>
      </c>
      <c r="K3080">
        <v>25.45</v>
      </c>
      <c r="L3080">
        <v>15.52</v>
      </c>
      <c r="M3080">
        <v>0.0</v>
      </c>
      <c r="N3080">
        <v>0.0</v>
      </c>
      <c r="O3080">
        <v>20.56</v>
      </c>
      <c r="P3080">
        <v>26.45</v>
      </c>
      <c r="Q3080">
        <v>16.05</v>
      </c>
      <c r="R3080">
        <v>0.0</v>
      </c>
    </row>
    <row r="3081">
      <c r="A3081" s="9">
        <v>41612</v>
      </c>
      <c r="B3081" s="2" t="inlineStr">
        <is>
          <t xml:space="preserve">2013-12</t>
        </is>
      </c>
      <c r="C3081" s="2" t="inlineStr">
        <is>
          <t xml:space="preserve">2013/14</t>
        </is>
      </c>
      <c r="D3081">
        <v>0.0</v>
      </c>
      <c r="E3081">
        <v>19.93</v>
      </c>
      <c r="F3081">
        <v>26.05</v>
      </c>
      <c r="G3081">
        <v>14.49</v>
      </c>
      <c r="H3081">
        <v>0.0</v>
      </c>
      <c r="I3081">
        <v>0.0</v>
      </c>
      <c r="J3081">
        <v>20.1</v>
      </c>
      <c r="K3081">
        <v>26.15</v>
      </c>
      <c r="L3081">
        <v>15.5</v>
      </c>
      <c r="M3081">
        <v>0.0</v>
      </c>
      <c r="N3081">
        <v>0.0</v>
      </c>
      <c r="O3081">
        <v>21.22</v>
      </c>
      <c r="P3081">
        <v>27.12</v>
      </c>
      <c r="Q3081">
        <v>15.56</v>
      </c>
      <c r="R3081">
        <v>0.0</v>
      </c>
    </row>
    <row r="3082">
      <c r="A3082" s="9">
        <v>41613</v>
      </c>
      <c r="B3082" s="2" t="inlineStr">
        <is>
          <t xml:space="preserve">2013-12</t>
        </is>
      </c>
      <c r="C3082" s="2" t="inlineStr">
        <is>
          <t xml:space="preserve">2013/14</t>
        </is>
      </c>
      <c r="D3082">
        <v>0.0</v>
      </c>
      <c r="E3082">
        <v>19.61</v>
      </c>
      <c r="F3082">
        <v>25.57</v>
      </c>
      <c r="G3082">
        <v>14.7</v>
      </c>
      <c r="H3082">
        <v>0.0</v>
      </c>
      <c r="I3082">
        <v>0.0</v>
      </c>
      <c r="J3082">
        <v>20.94</v>
      </c>
      <c r="K3082">
        <v>26.98</v>
      </c>
      <c r="L3082">
        <v>15.72</v>
      </c>
      <c r="M3082">
        <v>0.0</v>
      </c>
      <c r="N3082">
        <v>0.0</v>
      </c>
      <c r="O3082">
        <v>21.17</v>
      </c>
      <c r="P3082">
        <v>26.72</v>
      </c>
      <c r="Q3082">
        <v>16.7</v>
      </c>
      <c r="R3082">
        <v>0.0</v>
      </c>
    </row>
    <row r="3083">
      <c r="A3083" s="9">
        <v>41614</v>
      </c>
      <c r="B3083" s="2" t="inlineStr">
        <is>
          <t xml:space="preserve">2013-12</t>
        </is>
      </c>
      <c r="C3083" s="2" t="inlineStr">
        <is>
          <t xml:space="preserve">2013/14</t>
        </is>
      </c>
      <c r="D3083">
        <v>0.0</v>
      </c>
      <c r="E3083">
        <v>19.82</v>
      </c>
      <c r="F3083">
        <v>25.35</v>
      </c>
      <c r="G3083">
        <v>14.81</v>
      </c>
      <c r="H3083">
        <v>0.2</v>
      </c>
      <c r="I3083">
        <v>0.0</v>
      </c>
      <c r="J3083">
        <v>21.2</v>
      </c>
      <c r="K3083">
        <v>26.87</v>
      </c>
      <c r="L3083">
        <v>16.45</v>
      </c>
      <c r="M3083">
        <v>0.1</v>
      </c>
      <c r="N3083">
        <v>0.0</v>
      </c>
      <c r="O3083">
        <v>21.26</v>
      </c>
      <c r="P3083">
        <v>26.26</v>
      </c>
      <c r="Q3083">
        <v>17.22</v>
      </c>
      <c r="R3083">
        <v>0.12</v>
      </c>
    </row>
    <row r="3084">
      <c r="A3084" s="9">
        <v>41615</v>
      </c>
      <c r="B3084" s="2" t="inlineStr">
        <is>
          <t xml:space="preserve">2013-12</t>
        </is>
      </c>
      <c r="C3084" s="2" t="inlineStr">
        <is>
          <t xml:space="preserve">2013/14</t>
        </is>
      </c>
      <c r="D3084">
        <v>0.639</v>
      </c>
      <c r="E3084">
        <v>20.3</v>
      </c>
      <c r="F3084">
        <v>25.08</v>
      </c>
      <c r="G3084">
        <v>16.61</v>
      </c>
      <c r="H3084">
        <v>2.89</v>
      </c>
      <c r="I3084">
        <v>0.069</v>
      </c>
      <c r="J3084">
        <v>21.21</v>
      </c>
      <c r="K3084">
        <v>26.0</v>
      </c>
      <c r="L3084">
        <v>17.79</v>
      </c>
      <c r="M3084">
        <v>0.83</v>
      </c>
      <c r="N3084">
        <v>0.727</v>
      </c>
      <c r="O3084">
        <v>21.34</v>
      </c>
      <c r="P3084">
        <v>25.37</v>
      </c>
      <c r="Q3084">
        <v>18.68</v>
      </c>
      <c r="R3084">
        <v>1.14</v>
      </c>
    </row>
    <row r="3085">
      <c r="A3085" s="9">
        <v>41616</v>
      </c>
      <c r="B3085" s="2" t="inlineStr">
        <is>
          <t xml:space="preserve">2013-12</t>
        </is>
      </c>
      <c r="C3085" s="2" t="inlineStr">
        <is>
          <t xml:space="preserve">2013/14</t>
        </is>
      </c>
      <c r="D3085">
        <v>1.088</v>
      </c>
      <c r="E3085">
        <v>19.74</v>
      </c>
      <c r="F3085">
        <v>24.41</v>
      </c>
      <c r="G3085">
        <v>16.92</v>
      </c>
      <c r="H3085">
        <v>1.01</v>
      </c>
      <c r="I3085">
        <v>1.976</v>
      </c>
      <c r="J3085">
        <v>20.42</v>
      </c>
      <c r="K3085">
        <v>24.74</v>
      </c>
      <c r="L3085">
        <v>17.96</v>
      </c>
      <c r="M3085">
        <v>1.22</v>
      </c>
      <c r="N3085">
        <v>1.375</v>
      </c>
      <c r="O3085">
        <v>20.62</v>
      </c>
      <c r="P3085">
        <v>24.28</v>
      </c>
      <c r="Q3085">
        <v>18.47</v>
      </c>
      <c r="R3085">
        <v>2.03</v>
      </c>
    </row>
    <row r="3086">
      <c r="A3086" s="9">
        <v>41617</v>
      </c>
      <c r="B3086" s="2" t="inlineStr">
        <is>
          <t xml:space="preserve">2013-12</t>
        </is>
      </c>
      <c r="C3086" s="2" t="inlineStr">
        <is>
          <t xml:space="preserve">2013/14</t>
        </is>
      </c>
      <c r="D3086">
        <v>0.0</v>
      </c>
      <c r="E3086">
        <v>19.44</v>
      </c>
      <c r="F3086">
        <v>24.34</v>
      </c>
      <c r="G3086">
        <v>15.48</v>
      </c>
      <c r="H3086">
        <v>1.44</v>
      </c>
      <c r="I3086">
        <v>0.0</v>
      </c>
      <c r="J3086">
        <v>20.0</v>
      </c>
      <c r="K3086">
        <v>25.04</v>
      </c>
      <c r="L3086">
        <v>16.87</v>
      </c>
      <c r="M3086">
        <v>1.0</v>
      </c>
      <c r="N3086">
        <v>0.0</v>
      </c>
      <c r="O3086">
        <v>20.19</v>
      </c>
      <c r="P3086">
        <v>24.45</v>
      </c>
      <c r="Q3086">
        <v>17.46</v>
      </c>
      <c r="R3086">
        <v>2.07</v>
      </c>
    </row>
    <row r="3087">
      <c r="A3087" s="9">
        <v>41618</v>
      </c>
      <c r="B3087" s="2" t="inlineStr">
        <is>
          <t xml:space="preserve">2013-12</t>
        </is>
      </c>
      <c r="C3087" s="2" t="inlineStr">
        <is>
          <t xml:space="preserve">2013/14</t>
        </is>
      </c>
      <c r="D3087">
        <v>2.891</v>
      </c>
      <c r="E3087">
        <v>19.23</v>
      </c>
      <c r="F3087">
        <v>24.4</v>
      </c>
      <c r="G3087">
        <v>15.96</v>
      </c>
      <c r="H3087">
        <v>0.92</v>
      </c>
      <c r="I3087">
        <v>0.602</v>
      </c>
      <c r="J3087">
        <v>19.68</v>
      </c>
      <c r="K3087">
        <v>24.01</v>
      </c>
      <c r="L3087">
        <v>17.18</v>
      </c>
      <c r="M3087">
        <v>1.97</v>
      </c>
      <c r="N3087">
        <v>1.763</v>
      </c>
      <c r="O3087">
        <v>19.98</v>
      </c>
      <c r="P3087">
        <v>23.57</v>
      </c>
      <c r="Q3087">
        <v>17.43</v>
      </c>
      <c r="R3087">
        <v>7.39</v>
      </c>
    </row>
    <row r="3088">
      <c r="A3088" s="9">
        <v>41619</v>
      </c>
      <c r="B3088" s="2" t="inlineStr">
        <is>
          <t xml:space="preserve">2013-12</t>
        </is>
      </c>
      <c r="C3088" s="2" t="inlineStr">
        <is>
          <t xml:space="preserve">2013/14</t>
        </is>
      </c>
      <c r="D3088">
        <v>0.306</v>
      </c>
      <c r="E3088">
        <v>19.19</v>
      </c>
      <c r="F3088">
        <v>24.08</v>
      </c>
      <c r="G3088">
        <v>14.84</v>
      </c>
      <c r="H3088">
        <v>3.0</v>
      </c>
      <c r="I3088">
        <v>0.957</v>
      </c>
      <c r="J3088">
        <v>19.09</v>
      </c>
      <c r="K3088">
        <v>23.89</v>
      </c>
      <c r="L3088">
        <v>16.06</v>
      </c>
      <c r="M3088">
        <v>2.1</v>
      </c>
      <c r="N3088">
        <v>3.902</v>
      </c>
      <c r="O3088">
        <v>19.22</v>
      </c>
      <c r="P3088">
        <v>22.71</v>
      </c>
      <c r="Q3088">
        <v>16.71</v>
      </c>
      <c r="R3088">
        <v>4.28</v>
      </c>
    </row>
    <row r="3089">
      <c r="A3089" s="9">
        <v>41620</v>
      </c>
      <c r="B3089" s="2" t="inlineStr">
        <is>
          <t xml:space="preserve">2013-12</t>
        </is>
      </c>
      <c r="C3089" s="2" t="inlineStr">
        <is>
          <t xml:space="preserve">2013/14</t>
        </is>
      </c>
      <c r="D3089">
        <v>0.491</v>
      </c>
      <c r="E3089">
        <v>19.65</v>
      </c>
      <c r="F3089">
        <v>23.92</v>
      </c>
      <c r="G3089">
        <v>16.73</v>
      </c>
      <c r="H3089">
        <v>1.13</v>
      </c>
      <c r="I3089">
        <v>0.431</v>
      </c>
      <c r="J3089">
        <v>19.83</v>
      </c>
      <c r="K3089">
        <v>24.84</v>
      </c>
      <c r="L3089">
        <v>16.31</v>
      </c>
      <c r="M3089">
        <v>1.4</v>
      </c>
      <c r="N3089">
        <v>1.807</v>
      </c>
      <c r="O3089">
        <v>19.82</v>
      </c>
      <c r="P3089">
        <v>24.27</v>
      </c>
      <c r="Q3089">
        <v>17.08</v>
      </c>
      <c r="R3089">
        <v>4.88</v>
      </c>
    </row>
    <row r="3090">
      <c r="A3090" s="9">
        <v>41621</v>
      </c>
      <c r="B3090" s="2" t="inlineStr">
        <is>
          <t xml:space="preserve">2013-12</t>
        </is>
      </c>
      <c r="C3090" s="2" t="inlineStr">
        <is>
          <t xml:space="preserve">2013/14</t>
        </is>
      </c>
      <c r="D3090">
        <v>0.112</v>
      </c>
      <c r="E3090">
        <v>19.08</v>
      </c>
      <c r="F3090">
        <v>23.26</v>
      </c>
      <c r="G3090">
        <v>16.13</v>
      </c>
      <c r="H3090">
        <v>0.99</v>
      </c>
      <c r="I3090">
        <v>0.04</v>
      </c>
      <c r="J3090">
        <v>19.54</v>
      </c>
      <c r="K3090">
        <v>23.53</v>
      </c>
      <c r="L3090">
        <v>16.89</v>
      </c>
      <c r="M3090">
        <v>1.36</v>
      </c>
      <c r="N3090">
        <v>1.046</v>
      </c>
      <c r="O3090">
        <v>19.48</v>
      </c>
      <c r="P3090">
        <v>22.94</v>
      </c>
      <c r="Q3090">
        <v>17.28</v>
      </c>
      <c r="R3090">
        <v>4.76</v>
      </c>
    </row>
    <row r="3091">
      <c r="A3091" s="9">
        <v>41622</v>
      </c>
      <c r="B3091" s="2" t="inlineStr">
        <is>
          <t xml:space="preserve">2013-12</t>
        </is>
      </c>
      <c r="C3091" s="2" t="inlineStr">
        <is>
          <t xml:space="preserve">2013/14</t>
        </is>
      </c>
      <c r="D3091">
        <v>0.157</v>
      </c>
      <c r="E3091">
        <v>19.36</v>
      </c>
      <c r="F3091">
        <v>23.44</v>
      </c>
      <c r="G3091">
        <v>16.75</v>
      </c>
      <c r="H3091">
        <v>0.11</v>
      </c>
      <c r="I3091">
        <v>0.0</v>
      </c>
      <c r="J3091">
        <v>20.92</v>
      </c>
      <c r="K3091">
        <v>26.54</v>
      </c>
      <c r="L3091">
        <v>16.48</v>
      </c>
      <c r="M3091">
        <v>0.03</v>
      </c>
      <c r="N3091">
        <v>0.0</v>
      </c>
      <c r="O3091">
        <v>20.38</v>
      </c>
      <c r="P3091">
        <v>24.69</v>
      </c>
      <c r="Q3091">
        <v>17.44</v>
      </c>
      <c r="R3091">
        <v>0.11</v>
      </c>
    </row>
    <row r="3092">
      <c r="A3092" s="9">
        <v>41623</v>
      </c>
      <c r="B3092" s="2" t="inlineStr">
        <is>
          <t xml:space="preserve">2013-12</t>
        </is>
      </c>
      <c r="C3092" s="2" t="inlineStr">
        <is>
          <t xml:space="preserve">2013/14</t>
        </is>
      </c>
      <c r="D3092">
        <v>0.0</v>
      </c>
      <c r="E3092">
        <v>19.86</v>
      </c>
      <c r="F3092">
        <v>24.99</v>
      </c>
      <c r="G3092">
        <v>16.01</v>
      </c>
      <c r="H3092">
        <v>0.77</v>
      </c>
      <c r="I3092">
        <v>0.0</v>
      </c>
      <c r="J3092">
        <v>21.18</v>
      </c>
      <c r="K3092">
        <v>26.36</v>
      </c>
      <c r="L3092">
        <v>17.47</v>
      </c>
      <c r="M3092">
        <v>1.69</v>
      </c>
      <c r="N3092">
        <v>0.0</v>
      </c>
      <c r="O3092">
        <v>21.34</v>
      </c>
      <c r="P3092">
        <v>25.36</v>
      </c>
      <c r="Q3092">
        <v>18.6</v>
      </c>
      <c r="R3092">
        <v>5.75</v>
      </c>
    </row>
    <row r="3093">
      <c r="A3093" s="9">
        <v>41624</v>
      </c>
      <c r="B3093" s="2" t="inlineStr">
        <is>
          <t xml:space="preserve">2013-12</t>
        </is>
      </c>
      <c r="C3093" s="2" t="inlineStr">
        <is>
          <t xml:space="preserve">2013/14</t>
        </is>
      </c>
      <c r="D3093">
        <v>0.161</v>
      </c>
      <c r="E3093">
        <v>18.85</v>
      </c>
      <c r="F3093">
        <v>21.98</v>
      </c>
      <c r="G3093">
        <v>16.43</v>
      </c>
      <c r="H3093">
        <v>2.79</v>
      </c>
      <c r="I3093">
        <v>1.18</v>
      </c>
      <c r="J3093">
        <v>19.05</v>
      </c>
      <c r="K3093">
        <v>21.69</v>
      </c>
      <c r="L3093">
        <v>16.84</v>
      </c>
      <c r="M3093">
        <v>8.03</v>
      </c>
      <c r="N3093">
        <v>7.214</v>
      </c>
      <c r="O3093">
        <v>19.57</v>
      </c>
      <c r="P3093">
        <v>21.59</v>
      </c>
      <c r="Q3093">
        <v>17.49</v>
      </c>
      <c r="R3093">
        <v>29.05</v>
      </c>
    </row>
    <row r="3094">
      <c r="A3094" s="9">
        <v>41625</v>
      </c>
      <c r="B3094" s="2" t="inlineStr">
        <is>
          <t xml:space="preserve">2013-12</t>
        </is>
      </c>
      <c r="C3094" s="2" t="inlineStr">
        <is>
          <t xml:space="preserve">2013/14</t>
        </is>
      </c>
      <c r="D3094">
        <v>0.12</v>
      </c>
      <c r="E3094">
        <v>17.99</v>
      </c>
      <c r="F3094">
        <v>21.28</v>
      </c>
      <c r="G3094">
        <v>16.0</v>
      </c>
      <c r="H3094">
        <v>3.41</v>
      </c>
      <c r="I3094">
        <v>0.475</v>
      </c>
      <c r="J3094">
        <v>18.43</v>
      </c>
      <c r="K3094">
        <v>21.83</v>
      </c>
      <c r="L3094">
        <v>16.8</v>
      </c>
      <c r="M3094">
        <v>7.97</v>
      </c>
      <c r="N3094">
        <v>5.436</v>
      </c>
      <c r="O3094">
        <v>18.75</v>
      </c>
      <c r="P3094">
        <v>21.65</v>
      </c>
      <c r="Q3094">
        <v>17.03</v>
      </c>
      <c r="R3094">
        <v>28.43</v>
      </c>
    </row>
    <row r="3095">
      <c r="A3095" s="9">
        <v>41626</v>
      </c>
      <c r="B3095" s="2" t="inlineStr">
        <is>
          <t xml:space="preserve">2013-12</t>
        </is>
      </c>
      <c r="C3095" s="2" t="inlineStr">
        <is>
          <t xml:space="preserve">2013/14</t>
        </is>
      </c>
      <c r="D3095">
        <v>0.535</v>
      </c>
      <c r="E3095">
        <v>18.02</v>
      </c>
      <c r="F3095">
        <v>22.28</v>
      </c>
      <c r="G3095">
        <v>15.86</v>
      </c>
      <c r="H3095">
        <v>1.75</v>
      </c>
      <c r="I3095">
        <v>0.975</v>
      </c>
      <c r="J3095">
        <v>18.79</v>
      </c>
      <c r="K3095">
        <v>23.08</v>
      </c>
      <c r="L3095">
        <v>16.28</v>
      </c>
      <c r="M3095">
        <v>2.0</v>
      </c>
      <c r="N3095">
        <v>4.116</v>
      </c>
      <c r="O3095">
        <v>18.7</v>
      </c>
      <c r="P3095">
        <v>22.09</v>
      </c>
      <c r="Q3095">
        <v>16.86</v>
      </c>
      <c r="R3095">
        <v>4.49</v>
      </c>
    </row>
    <row r="3096">
      <c r="A3096" s="9">
        <v>41627</v>
      </c>
      <c r="B3096" s="2" t="inlineStr">
        <is>
          <t xml:space="preserve">2013-12</t>
        </is>
      </c>
      <c r="C3096" s="2" t="inlineStr">
        <is>
          <t xml:space="preserve">2013/14</t>
        </is>
      </c>
      <c r="D3096">
        <v>0.0</v>
      </c>
      <c r="E3096">
        <v>18.77</v>
      </c>
      <c r="F3096">
        <v>23.92</v>
      </c>
      <c r="G3096">
        <v>15.69</v>
      </c>
      <c r="H3096">
        <v>0.82</v>
      </c>
      <c r="I3096">
        <v>0.0</v>
      </c>
      <c r="J3096">
        <v>19.36</v>
      </c>
      <c r="K3096">
        <v>24.8</v>
      </c>
      <c r="L3096">
        <v>15.81</v>
      </c>
      <c r="M3096">
        <v>0.22</v>
      </c>
      <c r="N3096">
        <v>0.12</v>
      </c>
      <c r="O3096">
        <v>19.47</v>
      </c>
      <c r="P3096">
        <v>23.91</v>
      </c>
      <c r="Q3096">
        <v>16.58</v>
      </c>
      <c r="R3096">
        <v>0.78</v>
      </c>
    </row>
    <row r="3097">
      <c r="A3097" s="9">
        <v>41628</v>
      </c>
      <c r="B3097" s="2" t="inlineStr">
        <is>
          <t xml:space="preserve">2013-12</t>
        </is>
      </c>
      <c r="C3097" s="2" t="inlineStr">
        <is>
          <t xml:space="preserve">2013/14</t>
        </is>
      </c>
      <c r="D3097">
        <v>0.0</v>
      </c>
      <c r="E3097">
        <v>19.07</v>
      </c>
      <c r="F3097">
        <v>24.21</v>
      </c>
      <c r="G3097">
        <v>14.49</v>
      </c>
      <c r="H3097">
        <v>0.31</v>
      </c>
      <c r="I3097">
        <v>0.0</v>
      </c>
      <c r="J3097">
        <v>20.12</v>
      </c>
      <c r="K3097">
        <v>25.59</v>
      </c>
      <c r="L3097">
        <v>15.85</v>
      </c>
      <c r="M3097">
        <v>0.08</v>
      </c>
      <c r="N3097">
        <v>0.0</v>
      </c>
      <c r="O3097">
        <v>19.88</v>
      </c>
      <c r="P3097">
        <v>24.02</v>
      </c>
      <c r="Q3097">
        <v>16.95</v>
      </c>
      <c r="R3097">
        <v>0.06</v>
      </c>
    </row>
    <row r="3098">
      <c r="A3098" s="9">
        <v>41629</v>
      </c>
      <c r="B3098" s="2" t="inlineStr">
        <is>
          <t xml:space="preserve">2013-12</t>
        </is>
      </c>
      <c r="C3098" s="2" t="inlineStr">
        <is>
          <t xml:space="preserve">2013/14</t>
        </is>
      </c>
      <c r="D3098">
        <v>1.644</v>
      </c>
      <c r="E3098">
        <v>19.22</v>
      </c>
      <c r="F3098">
        <v>25.17</v>
      </c>
      <c r="G3098">
        <v>13.77</v>
      </c>
      <c r="H3098">
        <v>0.96</v>
      </c>
      <c r="I3098">
        <v>0.09</v>
      </c>
      <c r="J3098">
        <v>21.77</v>
      </c>
      <c r="K3098">
        <v>27.39</v>
      </c>
      <c r="L3098">
        <v>17.56</v>
      </c>
      <c r="M3098">
        <v>0.15</v>
      </c>
      <c r="N3098">
        <v>0.189</v>
      </c>
      <c r="O3098">
        <v>20.96</v>
      </c>
      <c r="P3098">
        <v>26.12</v>
      </c>
      <c r="Q3098">
        <v>16.7</v>
      </c>
      <c r="R3098">
        <v>0.13</v>
      </c>
    </row>
    <row r="3099">
      <c r="A3099" s="9">
        <v>41630</v>
      </c>
      <c r="B3099" s="2" t="inlineStr">
        <is>
          <t xml:space="preserve">2013-12</t>
        </is>
      </c>
      <c r="C3099" s="2" t="inlineStr">
        <is>
          <t xml:space="preserve">2013/14</t>
        </is>
      </c>
      <c r="D3099">
        <v>0.0</v>
      </c>
      <c r="E3099">
        <v>19.37</v>
      </c>
      <c r="F3099">
        <v>25.16</v>
      </c>
      <c r="G3099">
        <v>14.35</v>
      </c>
      <c r="H3099">
        <v>0.32</v>
      </c>
      <c r="I3099">
        <v>0.0</v>
      </c>
      <c r="J3099">
        <v>22.04</v>
      </c>
      <c r="K3099">
        <v>27.67</v>
      </c>
      <c r="L3099">
        <v>17.64</v>
      </c>
      <c r="M3099">
        <v>0.04</v>
      </c>
      <c r="N3099">
        <v>0.0</v>
      </c>
      <c r="O3099">
        <v>20.99</v>
      </c>
      <c r="P3099">
        <v>26.23</v>
      </c>
      <c r="Q3099">
        <v>16.95</v>
      </c>
      <c r="R3099">
        <v>0.01</v>
      </c>
    </row>
    <row r="3100">
      <c r="A3100" s="9">
        <v>41631</v>
      </c>
      <c r="B3100" s="2" t="inlineStr">
        <is>
          <t xml:space="preserve">2013-12</t>
        </is>
      </c>
      <c r="C3100" s="2" t="inlineStr">
        <is>
          <t xml:space="preserve">2013/14</t>
        </is>
      </c>
      <c r="D3100">
        <v>0.322</v>
      </c>
      <c r="E3100">
        <v>19.27</v>
      </c>
      <c r="F3100">
        <v>24.77</v>
      </c>
      <c r="G3100">
        <v>15.45</v>
      </c>
      <c r="H3100">
        <v>0.88</v>
      </c>
      <c r="I3100">
        <v>0.058</v>
      </c>
      <c r="J3100">
        <v>21.55</v>
      </c>
      <c r="K3100">
        <v>27.19</v>
      </c>
      <c r="L3100">
        <v>18.18</v>
      </c>
      <c r="M3100">
        <v>0.74</v>
      </c>
      <c r="N3100">
        <v>0.0</v>
      </c>
      <c r="O3100">
        <v>21.09</v>
      </c>
      <c r="P3100">
        <v>25.4</v>
      </c>
      <c r="Q3100">
        <v>18.88</v>
      </c>
      <c r="R3100">
        <v>2.02</v>
      </c>
    </row>
    <row r="3101">
      <c r="A3101" s="9">
        <v>41632</v>
      </c>
      <c r="B3101" s="2" t="inlineStr">
        <is>
          <t xml:space="preserve">2013-12</t>
        </is>
      </c>
      <c r="C3101" s="2" t="inlineStr">
        <is>
          <t xml:space="preserve">2013/14</t>
        </is>
      </c>
      <c r="D3101">
        <v>0.093</v>
      </c>
      <c r="E3101">
        <v>18.76</v>
      </c>
      <c r="F3101">
        <v>23.6</v>
      </c>
      <c r="G3101">
        <v>15.84</v>
      </c>
      <c r="H3101">
        <v>1.03</v>
      </c>
      <c r="I3101">
        <v>0.06</v>
      </c>
      <c r="J3101">
        <v>19.67</v>
      </c>
      <c r="K3101">
        <v>23.92</v>
      </c>
      <c r="L3101">
        <v>16.58</v>
      </c>
      <c r="M3101">
        <v>1.99</v>
      </c>
      <c r="N3101">
        <v>1.371</v>
      </c>
      <c r="O3101">
        <v>19.6</v>
      </c>
      <c r="P3101">
        <v>22.9</v>
      </c>
      <c r="Q3101">
        <v>17.04</v>
      </c>
      <c r="R3101">
        <v>7.83</v>
      </c>
    </row>
    <row r="3102">
      <c r="A3102" s="9">
        <v>41633</v>
      </c>
      <c r="B3102" s="2" t="inlineStr">
        <is>
          <t xml:space="preserve">2013-12</t>
        </is>
      </c>
      <c r="C3102" s="2" t="inlineStr">
        <is>
          <t xml:space="preserve">2013/14</t>
        </is>
      </c>
      <c r="D3102">
        <v>0.15</v>
      </c>
      <c r="E3102">
        <v>17.66</v>
      </c>
      <c r="F3102">
        <v>22.43</v>
      </c>
      <c r="G3102">
        <v>14.62</v>
      </c>
      <c r="H3102">
        <v>1.43</v>
      </c>
      <c r="I3102">
        <v>1.363</v>
      </c>
      <c r="J3102">
        <v>18.51</v>
      </c>
      <c r="K3102">
        <v>23.21</v>
      </c>
      <c r="L3102">
        <v>15.47</v>
      </c>
      <c r="M3102">
        <v>3.91</v>
      </c>
      <c r="N3102">
        <v>6.172</v>
      </c>
      <c r="O3102">
        <v>18.41</v>
      </c>
      <c r="P3102">
        <v>22.41</v>
      </c>
      <c r="Q3102">
        <v>16.09</v>
      </c>
      <c r="R3102">
        <v>9.82</v>
      </c>
    </row>
    <row r="3103">
      <c r="A3103" s="9">
        <v>41634</v>
      </c>
      <c r="B3103" s="2" t="inlineStr">
        <is>
          <t xml:space="preserve">2013-12</t>
        </is>
      </c>
      <c r="C3103" s="2" t="inlineStr">
        <is>
          <t xml:space="preserve">2013/14</t>
        </is>
      </c>
      <c r="D3103">
        <v>0.0</v>
      </c>
      <c r="E3103">
        <v>18.05</v>
      </c>
      <c r="F3103">
        <v>23.92</v>
      </c>
      <c r="G3103">
        <v>14.09</v>
      </c>
      <c r="H3103">
        <v>0.2</v>
      </c>
      <c r="I3103">
        <v>0.379</v>
      </c>
      <c r="J3103">
        <v>18.89</v>
      </c>
      <c r="K3103">
        <v>24.44</v>
      </c>
      <c r="L3103">
        <v>14.77</v>
      </c>
      <c r="M3103">
        <v>0.53</v>
      </c>
      <c r="N3103">
        <v>1.414</v>
      </c>
      <c r="O3103">
        <v>18.5</v>
      </c>
      <c r="P3103">
        <v>23.19</v>
      </c>
      <c r="Q3103">
        <v>15.46</v>
      </c>
      <c r="R3103">
        <v>0.95</v>
      </c>
    </row>
    <row r="3104">
      <c r="A3104" s="9">
        <v>41635</v>
      </c>
      <c r="B3104" s="2" t="inlineStr">
        <is>
          <t xml:space="preserve">2013-12</t>
        </is>
      </c>
      <c r="C3104" s="2" t="inlineStr">
        <is>
          <t xml:space="preserve">2013/14</t>
        </is>
      </c>
      <c r="D3104">
        <v>0.0</v>
      </c>
      <c r="E3104">
        <v>18.95</v>
      </c>
      <c r="F3104">
        <v>24.99</v>
      </c>
      <c r="G3104">
        <v>13.82</v>
      </c>
      <c r="H3104">
        <v>0.68</v>
      </c>
      <c r="I3104">
        <v>0.0</v>
      </c>
      <c r="J3104">
        <v>19.54</v>
      </c>
      <c r="K3104">
        <v>25.78</v>
      </c>
      <c r="L3104">
        <v>14.6</v>
      </c>
      <c r="M3104">
        <v>0.02</v>
      </c>
      <c r="N3104">
        <v>0.0</v>
      </c>
      <c r="O3104">
        <v>18.96</v>
      </c>
      <c r="P3104">
        <v>23.85</v>
      </c>
      <c r="Q3104">
        <v>15.42</v>
      </c>
      <c r="R3104">
        <v>0.26</v>
      </c>
    </row>
    <row r="3105">
      <c r="A3105" s="9">
        <v>41636</v>
      </c>
      <c r="B3105" s="2" t="inlineStr">
        <is>
          <t xml:space="preserve">2013-12</t>
        </is>
      </c>
      <c r="C3105" s="2" t="inlineStr">
        <is>
          <t xml:space="preserve">2013/14</t>
        </is>
      </c>
      <c r="D3105">
        <v>0.969</v>
      </c>
      <c r="E3105">
        <v>19.54</v>
      </c>
      <c r="F3105">
        <v>25.21</v>
      </c>
      <c r="G3105">
        <v>15.81</v>
      </c>
      <c r="H3105">
        <v>0.85</v>
      </c>
      <c r="I3105">
        <v>0.0</v>
      </c>
      <c r="J3105">
        <v>20.41</v>
      </c>
      <c r="K3105">
        <v>26.02</v>
      </c>
      <c r="L3105">
        <v>16.27</v>
      </c>
      <c r="M3105">
        <v>0.3</v>
      </c>
      <c r="N3105">
        <v>0.098</v>
      </c>
      <c r="O3105">
        <v>20.07</v>
      </c>
      <c r="P3105">
        <v>24.68</v>
      </c>
      <c r="Q3105">
        <v>17.13</v>
      </c>
      <c r="R3105">
        <v>0.53</v>
      </c>
    </row>
    <row r="3106">
      <c r="A3106" s="9">
        <v>41637</v>
      </c>
      <c r="B3106" s="2" t="inlineStr">
        <is>
          <t xml:space="preserve">2013-12</t>
        </is>
      </c>
      <c r="C3106" s="2" t="inlineStr">
        <is>
          <t xml:space="preserve">2013/14</t>
        </is>
      </c>
      <c r="D3106">
        <v>0.281</v>
      </c>
      <c r="E3106">
        <v>19.93</v>
      </c>
      <c r="F3106">
        <v>25.61</v>
      </c>
      <c r="G3106">
        <v>16.21</v>
      </c>
      <c r="H3106">
        <v>0.95</v>
      </c>
      <c r="I3106">
        <v>0.706</v>
      </c>
      <c r="J3106">
        <v>20.39</v>
      </c>
      <c r="K3106">
        <v>26.06</v>
      </c>
      <c r="L3106">
        <v>16.15</v>
      </c>
      <c r="M3106">
        <v>1.22</v>
      </c>
      <c r="N3106">
        <v>2.743</v>
      </c>
      <c r="O3106">
        <v>19.97</v>
      </c>
      <c r="P3106">
        <v>24.46</v>
      </c>
      <c r="Q3106">
        <v>16.7</v>
      </c>
      <c r="R3106">
        <v>1.77</v>
      </c>
    </row>
    <row r="3107">
      <c r="A3107" s="9">
        <v>41638</v>
      </c>
      <c r="B3107" s="2" t="inlineStr">
        <is>
          <t xml:space="preserve">2013-12</t>
        </is>
      </c>
      <c r="C3107" s="2" t="inlineStr">
        <is>
          <t xml:space="preserve">2013/14</t>
        </is>
      </c>
      <c r="D3107">
        <v>0.0</v>
      </c>
      <c r="E3107">
        <v>19.79</v>
      </c>
      <c r="F3107">
        <v>25.78</v>
      </c>
      <c r="G3107">
        <v>15.97</v>
      </c>
      <c r="H3107">
        <v>0.13</v>
      </c>
      <c r="I3107">
        <v>0.356</v>
      </c>
      <c r="J3107">
        <v>20.97</v>
      </c>
      <c r="K3107">
        <v>26.26</v>
      </c>
      <c r="L3107">
        <v>17.45</v>
      </c>
      <c r="M3107">
        <v>0.49</v>
      </c>
      <c r="N3107">
        <v>1.329</v>
      </c>
      <c r="O3107">
        <v>20.7</v>
      </c>
      <c r="P3107">
        <v>25.22</v>
      </c>
      <c r="Q3107">
        <v>18.29</v>
      </c>
      <c r="R3107">
        <v>1.09</v>
      </c>
    </row>
    <row r="3108">
      <c r="A3108" s="9">
        <v>41639</v>
      </c>
      <c r="B3108" s="2" t="inlineStr">
        <is>
          <t xml:space="preserve">2013-12</t>
        </is>
      </c>
      <c r="C3108" s="2" t="inlineStr">
        <is>
          <t xml:space="preserve">2013/14</t>
        </is>
      </c>
      <c r="D3108">
        <v>0.0</v>
      </c>
      <c r="E3108">
        <v>19.71</v>
      </c>
      <c r="F3108">
        <v>25.13</v>
      </c>
      <c r="G3108">
        <v>15.98</v>
      </c>
      <c r="H3108">
        <v>0.73</v>
      </c>
      <c r="I3108">
        <v>0.0</v>
      </c>
      <c r="J3108">
        <v>20.45</v>
      </c>
      <c r="K3108">
        <v>26.04</v>
      </c>
      <c r="L3108">
        <v>16.64</v>
      </c>
      <c r="M3108">
        <v>1.72</v>
      </c>
      <c r="N3108">
        <v>0.465</v>
      </c>
      <c r="O3108">
        <v>20.16</v>
      </c>
      <c r="P3108">
        <v>24.2</v>
      </c>
      <c r="Q3108">
        <v>17.46</v>
      </c>
      <c r="R3108">
        <v>4.63</v>
      </c>
    </row>
    <row r="3109">
      <c r="A3109" s="9">
        <v>41640</v>
      </c>
      <c r="B3109" s="2" t="inlineStr">
        <is>
          <t xml:space="preserve">2014-01</t>
        </is>
      </c>
      <c r="C3109" s="2" t="inlineStr">
        <is>
          <t xml:space="preserve">2013/14</t>
        </is>
      </c>
      <c r="D3109">
        <v>0.024</v>
      </c>
      <c r="E3109">
        <v>19.31</v>
      </c>
      <c r="F3109">
        <v>25.37</v>
      </c>
      <c r="G3109">
        <v>14.97</v>
      </c>
      <c r="H3109">
        <v>1.99</v>
      </c>
      <c r="I3109">
        <v>1.074</v>
      </c>
      <c r="J3109">
        <v>20.47</v>
      </c>
      <c r="K3109">
        <v>26.03</v>
      </c>
      <c r="L3109">
        <v>17.18</v>
      </c>
      <c r="M3109">
        <v>1.1</v>
      </c>
      <c r="N3109">
        <v>4.109</v>
      </c>
      <c r="O3109">
        <v>20.24</v>
      </c>
      <c r="P3109">
        <v>24.31</v>
      </c>
      <c r="Q3109">
        <v>18.04</v>
      </c>
      <c r="R3109">
        <v>2.22</v>
      </c>
    </row>
    <row r="3110">
      <c r="A3110" s="9">
        <v>41641</v>
      </c>
      <c r="B3110" s="2" t="inlineStr">
        <is>
          <t xml:space="preserve">2014-01</t>
        </is>
      </c>
      <c r="C3110" s="2" t="inlineStr">
        <is>
          <t xml:space="preserve">2013/14</t>
        </is>
      </c>
      <c r="D3110">
        <v>0.0</v>
      </c>
      <c r="E3110">
        <v>18.86</v>
      </c>
      <c r="F3110">
        <v>25.38</v>
      </c>
      <c r="G3110">
        <v>14.72</v>
      </c>
      <c r="H3110">
        <v>0.41</v>
      </c>
      <c r="I3110">
        <v>0.0</v>
      </c>
      <c r="J3110">
        <v>20.21</v>
      </c>
      <c r="K3110">
        <v>26.16</v>
      </c>
      <c r="L3110">
        <v>16.16</v>
      </c>
      <c r="M3110">
        <v>0.34</v>
      </c>
      <c r="N3110">
        <v>0.096</v>
      </c>
      <c r="O3110">
        <v>19.65</v>
      </c>
      <c r="P3110">
        <v>23.97</v>
      </c>
      <c r="Q3110">
        <v>17.31</v>
      </c>
      <c r="R3110">
        <v>0.77</v>
      </c>
    </row>
    <row r="3111">
      <c r="A3111" s="9">
        <v>41642</v>
      </c>
      <c r="B3111" s="2" t="inlineStr">
        <is>
          <t xml:space="preserve">2014-01</t>
        </is>
      </c>
      <c r="C3111" s="2" t="inlineStr">
        <is>
          <t xml:space="preserve">2013/14</t>
        </is>
      </c>
      <c r="D3111">
        <v>0.0</v>
      </c>
      <c r="E3111">
        <v>19.17</v>
      </c>
      <c r="F3111">
        <v>24.54</v>
      </c>
      <c r="G3111">
        <v>15.73</v>
      </c>
      <c r="H3111">
        <v>2.49</v>
      </c>
      <c r="I3111">
        <v>0.403</v>
      </c>
      <c r="J3111">
        <v>19.22</v>
      </c>
      <c r="K3111">
        <v>24.09</v>
      </c>
      <c r="L3111">
        <v>15.85</v>
      </c>
      <c r="M3111">
        <v>0.79</v>
      </c>
      <c r="N3111">
        <v>1.545</v>
      </c>
      <c r="O3111">
        <v>18.93</v>
      </c>
      <c r="P3111">
        <v>22.64</v>
      </c>
      <c r="Q3111">
        <v>16.47</v>
      </c>
      <c r="R3111">
        <v>1.49</v>
      </c>
    </row>
    <row r="3112">
      <c r="A3112" s="9">
        <v>41643</v>
      </c>
      <c r="B3112" s="2" t="inlineStr">
        <is>
          <t xml:space="preserve">2014-01</t>
        </is>
      </c>
      <c r="C3112" s="2" t="inlineStr">
        <is>
          <t xml:space="preserve">2013/14</t>
        </is>
      </c>
      <c r="D3112">
        <v>0.359</v>
      </c>
      <c r="E3112">
        <v>19.44</v>
      </c>
      <c r="F3112">
        <v>24.98</v>
      </c>
      <c r="G3112">
        <v>15.51</v>
      </c>
      <c r="H3112">
        <v>1.79</v>
      </c>
      <c r="I3112">
        <v>0.607</v>
      </c>
      <c r="J3112">
        <v>18.76</v>
      </c>
      <c r="K3112">
        <v>23.07</v>
      </c>
      <c r="L3112">
        <v>16.07</v>
      </c>
      <c r="M3112">
        <v>0.81</v>
      </c>
      <c r="N3112">
        <v>2.333</v>
      </c>
      <c r="O3112">
        <v>18.28</v>
      </c>
      <c r="P3112">
        <v>21.41</v>
      </c>
      <c r="Q3112">
        <v>16.34</v>
      </c>
      <c r="R3112">
        <v>1.23</v>
      </c>
    </row>
    <row r="3113">
      <c r="A3113" s="9">
        <v>41644</v>
      </c>
      <c r="B3113" s="2" t="inlineStr">
        <is>
          <t xml:space="preserve">2014-01</t>
        </is>
      </c>
      <c r="C3113" s="2" t="inlineStr">
        <is>
          <t xml:space="preserve">2013/14</t>
        </is>
      </c>
      <c r="D3113">
        <v>0.743</v>
      </c>
      <c r="E3113">
        <v>20.27</v>
      </c>
      <c r="F3113">
        <v>25.99</v>
      </c>
      <c r="G3113">
        <v>16.41</v>
      </c>
      <c r="H3113">
        <v>0.55</v>
      </c>
      <c r="I3113">
        <v>0.0</v>
      </c>
      <c r="J3113">
        <v>20.28</v>
      </c>
      <c r="K3113">
        <v>26.65</v>
      </c>
      <c r="L3113">
        <v>15.51</v>
      </c>
      <c r="M3113">
        <v>0.07</v>
      </c>
      <c r="N3113">
        <v>0.149</v>
      </c>
      <c r="O3113">
        <v>19.99</v>
      </c>
      <c r="P3113">
        <v>24.85</v>
      </c>
      <c r="Q3113">
        <v>16.76</v>
      </c>
      <c r="R3113">
        <v>0.07</v>
      </c>
    </row>
    <row r="3114">
      <c r="A3114" s="9">
        <v>41645</v>
      </c>
      <c r="B3114" s="2" t="inlineStr">
        <is>
          <t xml:space="preserve">2014-01</t>
        </is>
      </c>
      <c r="C3114" s="2" t="inlineStr">
        <is>
          <t xml:space="preserve">2013/14</t>
        </is>
      </c>
      <c r="D3114">
        <v>0.0</v>
      </c>
      <c r="E3114">
        <v>19.73</v>
      </c>
      <c r="F3114">
        <v>25.53</v>
      </c>
      <c r="G3114">
        <v>15.76</v>
      </c>
      <c r="H3114">
        <v>1.61</v>
      </c>
      <c r="I3114">
        <v>0.0</v>
      </c>
      <c r="J3114">
        <v>20.25</v>
      </c>
      <c r="K3114">
        <v>25.33</v>
      </c>
      <c r="L3114">
        <v>16.79</v>
      </c>
      <c r="M3114">
        <v>1.0</v>
      </c>
      <c r="N3114">
        <v>0.0</v>
      </c>
      <c r="O3114">
        <v>20.14</v>
      </c>
      <c r="P3114">
        <v>24.14</v>
      </c>
      <c r="Q3114">
        <v>16.77</v>
      </c>
      <c r="R3114">
        <v>3.31</v>
      </c>
    </row>
    <row r="3115">
      <c r="A3115" s="9">
        <v>41646</v>
      </c>
      <c r="B3115" s="2" t="inlineStr">
        <is>
          <t xml:space="preserve">2014-01</t>
        </is>
      </c>
      <c r="C3115" s="2" t="inlineStr">
        <is>
          <t xml:space="preserve">2013/14</t>
        </is>
      </c>
      <c r="D3115">
        <v>4.248</v>
      </c>
      <c r="E3115">
        <v>16.7</v>
      </c>
      <c r="F3115">
        <v>19.76</v>
      </c>
      <c r="G3115">
        <v>12.09</v>
      </c>
      <c r="H3115">
        <v>21.27</v>
      </c>
      <c r="I3115">
        <v>1.013</v>
      </c>
      <c r="J3115">
        <v>16.38</v>
      </c>
      <c r="K3115">
        <v>19.63</v>
      </c>
      <c r="L3115">
        <v>12.71</v>
      </c>
      <c r="M3115">
        <v>5.2</v>
      </c>
      <c r="N3115">
        <v>5.303</v>
      </c>
      <c r="O3115">
        <v>15.97</v>
      </c>
      <c r="P3115">
        <v>18.35</v>
      </c>
      <c r="Q3115">
        <v>13.09</v>
      </c>
      <c r="R3115">
        <v>14.44</v>
      </c>
    </row>
    <row r="3116">
      <c r="A3116" s="9">
        <v>41647</v>
      </c>
      <c r="B3116" s="2" t="inlineStr">
        <is>
          <t xml:space="preserve">2014-01</t>
        </is>
      </c>
      <c r="C3116" s="2" t="inlineStr">
        <is>
          <t xml:space="preserve">2013/14</t>
        </is>
      </c>
      <c r="D3116">
        <v>1.387</v>
      </c>
      <c r="E3116">
        <v>14.79</v>
      </c>
      <c r="F3116">
        <v>20.43</v>
      </c>
      <c r="G3116">
        <v>11.64</v>
      </c>
      <c r="H3116">
        <v>5.61</v>
      </c>
      <c r="I3116">
        <v>1.471</v>
      </c>
      <c r="J3116">
        <v>15.19</v>
      </c>
      <c r="K3116">
        <v>20.03</v>
      </c>
      <c r="L3116">
        <v>11.92</v>
      </c>
      <c r="M3116">
        <v>1.81</v>
      </c>
      <c r="N3116">
        <v>5.484</v>
      </c>
      <c r="O3116">
        <v>14.49</v>
      </c>
      <c r="P3116">
        <v>17.37</v>
      </c>
      <c r="Q3116">
        <v>12.22</v>
      </c>
      <c r="R3116">
        <v>2.36</v>
      </c>
    </row>
    <row r="3117">
      <c r="A3117" s="9">
        <v>41648</v>
      </c>
      <c r="B3117" s="2" t="inlineStr">
        <is>
          <t xml:space="preserve">2014-01</t>
        </is>
      </c>
      <c r="C3117" s="2" t="inlineStr">
        <is>
          <t xml:space="preserve">2013/14</t>
        </is>
      </c>
      <c r="D3117">
        <v>1.344</v>
      </c>
      <c r="E3117">
        <v>18.0</v>
      </c>
      <c r="F3117">
        <v>24.15</v>
      </c>
      <c r="G3117">
        <v>13.48</v>
      </c>
      <c r="H3117">
        <v>1.4</v>
      </c>
      <c r="I3117">
        <v>0.264</v>
      </c>
      <c r="J3117">
        <v>17.99</v>
      </c>
      <c r="K3117">
        <v>24.35</v>
      </c>
      <c r="L3117">
        <v>13.11</v>
      </c>
      <c r="M3117">
        <v>0.34</v>
      </c>
      <c r="N3117">
        <v>0.92</v>
      </c>
      <c r="O3117">
        <v>17.29</v>
      </c>
      <c r="P3117">
        <v>22.44</v>
      </c>
      <c r="Q3117">
        <v>13.23</v>
      </c>
      <c r="R3117">
        <v>0.39</v>
      </c>
    </row>
    <row r="3118">
      <c r="A3118" s="9">
        <v>41649</v>
      </c>
      <c r="B3118" s="2" t="inlineStr">
        <is>
          <t xml:space="preserve">2014-01</t>
        </is>
      </c>
      <c r="C3118" s="2" t="inlineStr">
        <is>
          <t xml:space="preserve">2013/14</t>
        </is>
      </c>
      <c r="D3118">
        <v>0.307</v>
      </c>
      <c r="E3118">
        <v>18.65</v>
      </c>
      <c r="F3118">
        <v>24.84</v>
      </c>
      <c r="G3118">
        <v>13.85</v>
      </c>
      <c r="H3118">
        <v>0.45</v>
      </c>
      <c r="I3118">
        <v>0.0</v>
      </c>
      <c r="J3118">
        <v>19.82</v>
      </c>
      <c r="K3118">
        <v>26.64</v>
      </c>
      <c r="L3118">
        <v>15.04</v>
      </c>
      <c r="M3118">
        <v>0.0</v>
      </c>
      <c r="N3118">
        <v>0.0</v>
      </c>
      <c r="O3118">
        <v>19.0</v>
      </c>
      <c r="P3118">
        <v>24.17</v>
      </c>
      <c r="Q3118">
        <v>15.4</v>
      </c>
      <c r="R3118">
        <v>0.01</v>
      </c>
    </row>
    <row r="3119">
      <c r="A3119" s="9">
        <v>41650</v>
      </c>
      <c r="B3119" s="2" t="inlineStr">
        <is>
          <t xml:space="preserve">2014-01</t>
        </is>
      </c>
      <c r="C3119" s="2" t="inlineStr">
        <is>
          <t xml:space="preserve">2013/14</t>
        </is>
      </c>
      <c r="D3119">
        <v>0.0</v>
      </c>
      <c r="E3119">
        <v>19.06</v>
      </c>
      <c r="F3119">
        <v>25.0</v>
      </c>
      <c r="G3119">
        <v>13.57</v>
      </c>
      <c r="H3119">
        <v>0.17</v>
      </c>
      <c r="I3119">
        <v>0.0</v>
      </c>
      <c r="J3119">
        <v>20.8</v>
      </c>
      <c r="K3119">
        <v>28.11</v>
      </c>
      <c r="L3119">
        <v>15.63</v>
      </c>
      <c r="M3119">
        <v>0.0</v>
      </c>
      <c r="N3119">
        <v>0.0</v>
      </c>
      <c r="O3119">
        <v>20.04</v>
      </c>
      <c r="P3119">
        <v>25.22</v>
      </c>
      <c r="Q3119">
        <v>16.16</v>
      </c>
      <c r="R3119">
        <v>0.02</v>
      </c>
    </row>
    <row r="3120">
      <c r="A3120" s="9">
        <v>41651</v>
      </c>
      <c r="B3120" s="2" t="inlineStr">
        <is>
          <t xml:space="preserve">2014-01</t>
        </is>
      </c>
      <c r="C3120" s="2" t="inlineStr">
        <is>
          <t xml:space="preserve">2013/14</t>
        </is>
      </c>
      <c r="D3120">
        <v>0.0</v>
      </c>
      <c r="E3120">
        <v>19.21</v>
      </c>
      <c r="F3120">
        <v>25.1</v>
      </c>
      <c r="G3120">
        <v>14.32</v>
      </c>
      <c r="H3120">
        <v>0.14</v>
      </c>
      <c r="I3120">
        <v>0.0</v>
      </c>
      <c r="J3120">
        <v>20.94</v>
      </c>
      <c r="K3120">
        <v>26.67</v>
      </c>
      <c r="L3120">
        <v>16.58</v>
      </c>
      <c r="M3120">
        <v>0.0</v>
      </c>
      <c r="N3120">
        <v>0.0</v>
      </c>
      <c r="O3120">
        <v>20.3</v>
      </c>
      <c r="P3120">
        <v>24.43</v>
      </c>
      <c r="Q3120">
        <v>17.19</v>
      </c>
      <c r="R3120">
        <v>0.0</v>
      </c>
    </row>
    <row r="3121">
      <c r="A3121" s="9">
        <v>41652</v>
      </c>
      <c r="B3121" s="2" t="inlineStr">
        <is>
          <t xml:space="preserve">2014-01</t>
        </is>
      </c>
      <c r="C3121" s="2" t="inlineStr">
        <is>
          <t xml:space="preserve">2013/14</t>
        </is>
      </c>
      <c r="D3121">
        <v>0.0</v>
      </c>
      <c r="E3121">
        <v>18.19</v>
      </c>
      <c r="F3121">
        <v>24.92</v>
      </c>
      <c r="G3121">
        <v>12.62</v>
      </c>
      <c r="H3121">
        <v>0.02</v>
      </c>
      <c r="I3121">
        <v>0.0</v>
      </c>
      <c r="J3121">
        <v>20.68</v>
      </c>
      <c r="K3121">
        <v>27.15</v>
      </c>
      <c r="L3121">
        <v>16.22</v>
      </c>
      <c r="M3121">
        <v>0.0</v>
      </c>
      <c r="N3121">
        <v>0.0</v>
      </c>
      <c r="O3121">
        <v>19.53</v>
      </c>
      <c r="P3121">
        <v>23.91</v>
      </c>
      <c r="Q3121">
        <v>16.54</v>
      </c>
      <c r="R3121">
        <v>0.0</v>
      </c>
    </row>
    <row r="3122">
      <c r="A3122" s="9">
        <v>41653</v>
      </c>
      <c r="B3122" s="2" t="inlineStr">
        <is>
          <t xml:space="preserve">2014-01</t>
        </is>
      </c>
      <c r="C3122" s="2" t="inlineStr">
        <is>
          <t xml:space="preserve">2013/14</t>
        </is>
      </c>
      <c r="D3122">
        <v>0.0</v>
      </c>
      <c r="E3122">
        <v>19.25</v>
      </c>
      <c r="F3122">
        <v>25.33</v>
      </c>
      <c r="G3122">
        <v>14.12</v>
      </c>
      <c r="H3122">
        <v>0.53</v>
      </c>
      <c r="I3122">
        <v>0.0</v>
      </c>
      <c r="J3122">
        <v>20.01</v>
      </c>
      <c r="K3122">
        <v>26.36</v>
      </c>
      <c r="L3122">
        <v>14.73</v>
      </c>
      <c r="M3122">
        <v>0.92</v>
      </c>
      <c r="N3122">
        <v>0.0</v>
      </c>
      <c r="O3122">
        <v>19.54</v>
      </c>
      <c r="P3122">
        <v>24.06</v>
      </c>
      <c r="Q3122">
        <v>15.96</v>
      </c>
      <c r="R3122">
        <v>2.29</v>
      </c>
    </row>
    <row r="3123">
      <c r="A3123" s="9">
        <v>41654</v>
      </c>
      <c r="B3123" s="2" t="inlineStr">
        <is>
          <t xml:space="preserve">2014-01</t>
        </is>
      </c>
      <c r="C3123" s="2" t="inlineStr">
        <is>
          <t xml:space="preserve">2013/14</t>
        </is>
      </c>
      <c r="D3123">
        <v>0.0</v>
      </c>
      <c r="E3123">
        <v>19.34</v>
      </c>
      <c r="F3123">
        <v>25.06</v>
      </c>
      <c r="G3123">
        <v>15.32</v>
      </c>
      <c r="H3123">
        <v>4.83</v>
      </c>
      <c r="I3123">
        <v>1.475</v>
      </c>
      <c r="J3123">
        <v>19.49</v>
      </c>
      <c r="K3123">
        <v>25.34</v>
      </c>
      <c r="L3123">
        <v>13.43</v>
      </c>
      <c r="M3123">
        <v>6.12</v>
      </c>
      <c r="N3123">
        <v>6.188</v>
      </c>
      <c r="O3123">
        <v>19.28</v>
      </c>
      <c r="P3123">
        <v>23.18</v>
      </c>
      <c r="Q3123">
        <v>14.93</v>
      </c>
      <c r="R3123">
        <v>15.05</v>
      </c>
    </row>
    <row r="3124">
      <c r="A3124" s="9">
        <v>41655</v>
      </c>
      <c r="B3124" s="2" t="inlineStr">
        <is>
          <t xml:space="preserve">2014-01</t>
        </is>
      </c>
      <c r="C3124" s="2" t="inlineStr">
        <is>
          <t xml:space="preserve">2013/14</t>
        </is>
      </c>
      <c r="D3124">
        <v>0.485</v>
      </c>
      <c r="E3124">
        <v>14.06</v>
      </c>
      <c r="F3124">
        <v>17.34</v>
      </c>
      <c r="G3124">
        <v>11.77</v>
      </c>
      <c r="H3124">
        <v>3.62</v>
      </c>
      <c r="I3124">
        <v>1.45</v>
      </c>
      <c r="J3124">
        <v>13.49</v>
      </c>
      <c r="K3124">
        <v>17.76</v>
      </c>
      <c r="L3124">
        <v>10.6</v>
      </c>
      <c r="M3124">
        <v>0.93</v>
      </c>
      <c r="N3124">
        <v>6.324</v>
      </c>
      <c r="O3124">
        <v>13.62</v>
      </c>
      <c r="P3124">
        <v>16.91</v>
      </c>
      <c r="Q3124">
        <v>11.15</v>
      </c>
      <c r="R3124">
        <v>1.34</v>
      </c>
    </row>
    <row r="3125">
      <c r="A3125" s="9">
        <v>41656</v>
      </c>
      <c r="B3125" s="2" t="inlineStr">
        <is>
          <t xml:space="preserve">2014-01</t>
        </is>
      </c>
      <c r="C3125" s="2" t="inlineStr">
        <is>
          <t xml:space="preserve">2013/14</t>
        </is>
      </c>
      <c r="D3125">
        <v>0.0</v>
      </c>
      <c r="E3125">
        <v>16.56</v>
      </c>
      <c r="F3125">
        <v>23.35</v>
      </c>
      <c r="G3125">
        <v>11.14</v>
      </c>
      <c r="H3125">
        <v>0.09</v>
      </c>
      <c r="I3125">
        <v>0.0</v>
      </c>
      <c r="J3125">
        <v>15.43</v>
      </c>
      <c r="K3125">
        <v>22.64</v>
      </c>
      <c r="L3125">
        <v>10.19</v>
      </c>
      <c r="M3125">
        <v>0.15</v>
      </c>
      <c r="N3125">
        <v>0.0</v>
      </c>
      <c r="O3125">
        <v>15.04</v>
      </c>
      <c r="P3125">
        <v>20.1</v>
      </c>
      <c r="Q3125">
        <v>11.08</v>
      </c>
      <c r="R3125">
        <v>0.22</v>
      </c>
    </row>
    <row r="3126">
      <c r="A3126" s="9">
        <v>41657</v>
      </c>
      <c r="B3126" s="2" t="inlineStr">
        <is>
          <t xml:space="preserve">2014-01</t>
        </is>
      </c>
      <c r="C3126" s="2" t="inlineStr">
        <is>
          <t xml:space="preserve">2013/14</t>
        </is>
      </c>
      <c r="D3126">
        <v>0.0</v>
      </c>
      <c r="E3126">
        <v>17.74</v>
      </c>
      <c r="F3126">
        <v>23.03</v>
      </c>
      <c r="G3126">
        <v>14.48</v>
      </c>
      <c r="H3126">
        <v>0.53</v>
      </c>
      <c r="I3126">
        <v>0.63</v>
      </c>
      <c r="J3126">
        <v>16.54</v>
      </c>
      <c r="K3126">
        <v>21.11</v>
      </c>
      <c r="L3126">
        <v>13.71</v>
      </c>
      <c r="M3126">
        <v>1.21</v>
      </c>
      <c r="N3126">
        <v>2.414</v>
      </c>
      <c r="O3126">
        <v>16.22</v>
      </c>
      <c r="P3126">
        <v>19.59</v>
      </c>
      <c r="Q3126">
        <v>14.27</v>
      </c>
      <c r="R3126">
        <v>1.69</v>
      </c>
    </row>
    <row r="3127">
      <c r="A3127" s="9">
        <v>41658</v>
      </c>
      <c r="B3127" s="2" t="inlineStr">
        <is>
          <t xml:space="preserve">2014-01</t>
        </is>
      </c>
      <c r="C3127" s="2" t="inlineStr">
        <is>
          <t xml:space="preserve">2013/14</t>
        </is>
      </c>
      <c r="D3127">
        <v>0.066</v>
      </c>
      <c r="E3127">
        <v>17.51</v>
      </c>
      <c r="F3127">
        <v>23.22</v>
      </c>
      <c r="G3127">
        <v>13.72</v>
      </c>
      <c r="H3127">
        <v>0.7</v>
      </c>
      <c r="I3127">
        <v>0.843</v>
      </c>
      <c r="J3127">
        <v>17.8</v>
      </c>
      <c r="K3127">
        <v>23.67</v>
      </c>
      <c r="L3127">
        <v>14.22</v>
      </c>
      <c r="M3127">
        <v>1.48</v>
      </c>
      <c r="N3127">
        <v>3.306</v>
      </c>
      <c r="O3127">
        <v>17.4</v>
      </c>
      <c r="P3127">
        <v>21.83</v>
      </c>
      <c r="Q3127">
        <v>14.82</v>
      </c>
      <c r="R3127">
        <v>2.36</v>
      </c>
    </row>
    <row r="3128">
      <c r="A3128" s="9">
        <v>41659</v>
      </c>
      <c r="B3128" s="2" t="inlineStr">
        <is>
          <t xml:space="preserve">2014-01</t>
        </is>
      </c>
      <c r="C3128" s="2" t="inlineStr">
        <is>
          <t xml:space="preserve">2013/14</t>
        </is>
      </c>
      <c r="D3128">
        <v>0.026</v>
      </c>
      <c r="E3128">
        <v>17.78</v>
      </c>
      <c r="F3128">
        <v>23.57</v>
      </c>
      <c r="G3128">
        <v>13.98</v>
      </c>
      <c r="H3128">
        <v>0.64</v>
      </c>
      <c r="I3128">
        <v>0.764</v>
      </c>
      <c r="J3128">
        <v>18.35</v>
      </c>
      <c r="K3128">
        <v>24.47</v>
      </c>
      <c r="L3128">
        <v>14.83</v>
      </c>
      <c r="M3128">
        <v>1.28</v>
      </c>
      <c r="N3128">
        <v>3.064</v>
      </c>
      <c r="O3128">
        <v>17.47</v>
      </c>
      <c r="P3128">
        <v>22.02</v>
      </c>
      <c r="Q3128">
        <v>15.05</v>
      </c>
      <c r="R3128">
        <v>2.78</v>
      </c>
    </row>
    <row r="3129">
      <c r="A3129" s="9">
        <v>41660</v>
      </c>
      <c r="B3129" s="2" t="inlineStr">
        <is>
          <t xml:space="preserve">2014-01</t>
        </is>
      </c>
      <c r="C3129" s="2" t="inlineStr">
        <is>
          <t xml:space="preserve">2013/14</t>
        </is>
      </c>
      <c r="D3129">
        <v>0.0</v>
      </c>
      <c r="E3129">
        <v>18.87</v>
      </c>
      <c r="F3129">
        <v>24.91</v>
      </c>
      <c r="G3129">
        <v>14.11</v>
      </c>
      <c r="H3129">
        <v>0.48</v>
      </c>
      <c r="I3129">
        <v>0.0</v>
      </c>
      <c r="J3129">
        <v>19.21</v>
      </c>
      <c r="K3129">
        <v>26.12</v>
      </c>
      <c r="L3129">
        <v>13.98</v>
      </c>
      <c r="M3129">
        <v>0.3</v>
      </c>
      <c r="N3129">
        <v>0.0</v>
      </c>
      <c r="O3129">
        <v>18.4</v>
      </c>
      <c r="P3129">
        <v>23.78</v>
      </c>
      <c r="Q3129">
        <v>14.33</v>
      </c>
      <c r="R3129">
        <v>0.55</v>
      </c>
    </row>
    <row r="3130">
      <c r="A3130" s="9">
        <v>41661</v>
      </c>
      <c r="B3130" s="2" t="inlineStr">
        <is>
          <t xml:space="preserve">2014-01</t>
        </is>
      </c>
      <c r="C3130" s="2" t="inlineStr">
        <is>
          <t xml:space="preserve">2013/14</t>
        </is>
      </c>
      <c r="D3130">
        <v>0.039</v>
      </c>
      <c r="E3130">
        <v>17.58</v>
      </c>
      <c r="F3130">
        <v>23.19</v>
      </c>
      <c r="G3130">
        <v>14.58</v>
      </c>
      <c r="H3130">
        <v>2.53</v>
      </c>
      <c r="I3130">
        <v>0.449</v>
      </c>
      <c r="J3130">
        <v>17.82</v>
      </c>
      <c r="K3130">
        <v>22.31</v>
      </c>
      <c r="L3130">
        <v>14.58</v>
      </c>
      <c r="M3130">
        <v>0.92</v>
      </c>
      <c r="N3130">
        <v>1.882</v>
      </c>
      <c r="O3130">
        <v>17.05</v>
      </c>
      <c r="P3130">
        <v>20.93</v>
      </c>
      <c r="Q3130">
        <v>14.29</v>
      </c>
      <c r="R3130">
        <v>1.72</v>
      </c>
    </row>
    <row r="3131">
      <c r="A3131" s="9">
        <v>41662</v>
      </c>
      <c r="B3131" s="2" t="inlineStr">
        <is>
          <t xml:space="preserve">2014-01</t>
        </is>
      </c>
      <c r="C3131" s="2" t="inlineStr">
        <is>
          <t xml:space="preserve">2013/14</t>
        </is>
      </c>
      <c r="D3131">
        <v>0.172</v>
      </c>
      <c r="E3131">
        <v>18.78</v>
      </c>
      <c r="F3131">
        <v>25.67</v>
      </c>
      <c r="G3131">
        <v>13.76</v>
      </c>
      <c r="H3131">
        <v>1.42</v>
      </c>
      <c r="I3131">
        <v>0.026</v>
      </c>
      <c r="J3131">
        <v>19.3</v>
      </c>
      <c r="K3131">
        <v>26.81</v>
      </c>
      <c r="L3131">
        <v>13.51</v>
      </c>
      <c r="M3131">
        <v>0.21</v>
      </c>
      <c r="N3131">
        <v>0.316</v>
      </c>
      <c r="O3131">
        <v>18.06</v>
      </c>
      <c r="P3131">
        <v>23.51</v>
      </c>
      <c r="Q3131">
        <v>13.93</v>
      </c>
      <c r="R3131">
        <v>0.5</v>
      </c>
    </row>
    <row r="3132">
      <c r="A3132" s="9">
        <v>41663</v>
      </c>
      <c r="B3132" s="2" t="inlineStr">
        <is>
          <t xml:space="preserve">2014-01</t>
        </is>
      </c>
      <c r="C3132" s="2" t="inlineStr">
        <is>
          <t xml:space="preserve">2013/14</t>
        </is>
      </c>
      <c r="D3132">
        <v>0.062</v>
      </c>
      <c r="E3132">
        <v>19.54</v>
      </c>
      <c r="F3132">
        <v>24.98</v>
      </c>
      <c r="G3132">
        <v>16.23</v>
      </c>
      <c r="H3132">
        <v>1.84</v>
      </c>
      <c r="I3132">
        <v>0.0</v>
      </c>
      <c r="J3132">
        <v>20.27</v>
      </c>
      <c r="K3132">
        <v>26.04</v>
      </c>
      <c r="L3132">
        <v>16.47</v>
      </c>
      <c r="M3132">
        <v>1.35</v>
      </c>
      <c r="N3132">
        <v>0.101</v>
      </c>
      <c r="O3132">
        <v>19.66</v>
      </c>
      <c r="P3132">
        <v>24.13</v>
      </c>
      <c r="Q3132">
        <v>16.94</v>
      </c>
      <c r="R3132">
        <v>4.44</v>
      </c>
    </row>
    <row r="3133">
      <c r="A3133" s="9">
        <v>41664</v>
      </c>
      <c r="B3133" s="2" t="inlineStr">
        <is>
          <t xml:space="preserve">2014-01</t>
        </is>
      </c>
      <c r="C3133" s="2" t="inlineStr">
        <is>
          <t xml:space="preserve">2013/14</t>
        </is>
      </c>
      <c r="D3133">
        <v>3.057</v>
      </c>
      <c r="E3133">
        <v>19.47</v>
      </c>
      <c r="F3133">
        <v>24.57</v>
      </c>
      <c r="G3133">
        <v>16.21</v>
      </c>
      <c r="H3133">
        <v>4.77</v>
      </c>
      <c r="I3133">
        <v>1.561</v>
      </c>
      <c r="J3133">
        <v>18.95</v>
      </c>
      <c r="K3133">
        <v>23.87</v>
      </c>
      <c r="L3133">
        <v>15.93</v>
      </c>
      <c r="M3133">
        <v>3.5</v>
      </c>
      <c r="N3133">
        <v>6.305</v>
      </c>
      <c r="O3133">
        <v>18.5</v>
      </c>
      <c r="P3133">
        <v>22.05</v>
      </c>
      <c r="Q3133">
        <v>16.5</v>
      </c>
      <c r="R3133">
        <v>6.34</v>
      </c>
    </row>
    <row r="3134">
      <c r="A3134" s="9">
        <v>41665</v>
      </c>
      <c r="B3134" s="2" t="inlineStr">
        <is>
          <t xml:space="preserve">2014-01</t>
        </is>
      </c>
      <c r="C3134" s="2" t="inlineStr">
        <is>
          <t xml:space="preserve">2013/14</t>
        </is>
      </c>
      <c r="D3134">
        <v>1.051</v>
      </c>
      <c r="E3134">
        <v>19.18</v>
      </c>
      <c r="F3134">
        <v>25.17</v>
      </c>
      <c r="G3134">
        <v>15.17</v>
      </c>
      <c r="H3134">
        <v>2.32</v>
      </c>
      <c r="I3134">
        <v>0.541</v>
      </c>
      <c r="J3134">
        <v>19.89</v>
      </c>
      <c r="K3134">
        <v>25.96</v>
      </c>
      <c r="L3134">
        <v>15.68</v>
      </c>
      <c r="M3134">
        <v>0.78</v>
      </c>
      <c r="N3134">
        <v>2.009</v>
      </c>
      <c r="O3134">
        <v>18.97</v>
      </c>
      <c r="P3134">
        <v>23.71</v>
      </c>
      <c r="Q3134">
        <v>16.17</v>
      </c>
      <c r="R3134">
        <v>0.93</v>
      </c>
    </row>
    <row r="3135">
      <c r="A3135" s="9">
        <v>41666</v>
      </c>
      <c r="B3135" s="2" t="inlineStr">
        <is>
          <t xml:space="preserve">2014-01</t>
        </is>
      </c>
      <c r="C3135" s="2" t="inlineStr">
        <is>
          <t xml:space="preserve">2013/14</t>
        </is>
      </c>
      <c r="D3135">
        <v>0.04</v>
      </c>
      <c r="E3135">
        <v>19.86</v>
      </c>
      <c r="F3135">
        <v>27.16</v>
      </c>
      <c r="G3135">
        <v>15.0</v>
      </c>
      <c r="H3135">
        <v>0.04</v>
      </c>
      <c r="I3135">
        <v>0.0</v>
      </c>
      <c r="J3135">
        <v>21.35</v>
      </c>
      <c r="K3135">
        <v>28.76</v>
      </c>
      <c r="L3135">
        <v>15.82</v>
      </c>
      <c r="M3135">
        <v>0.0</v>
      </c>
      <c r="N3135">
        <v>0.0</v>
      </c>
      <c r="O3135">
        <v>19.9</v>
      </c>
      <c r="P3135">
        <v>25.6</v>
      </c>
      <c r="Q3135">
        <v>16.13</v>
      </c>
      <c r="R3135">
        <v>0.0</v>
      </c>
    </row>
    <row r="3136">
      <c r="A3136" s="9">
        <v>41667</v>
      </c>
      <c r="B3136" s="2" t="inlineStr">
        <is>
          <t xml:space="preserve">2014-01</t>
        </is>
      </c>
      <c r="C3136" s="2" t="inlineStr">
        <is>
          <t xml:space="preserve">2013/14</t>
        </is>
      </c>
      <c r="D3136">
        <v>0.0</v>
      </c>
      <c r="E3136">
        <v>20.14</v>
      </c>
      <c r="F3136">
        <v>27.11</v>
      </c>
      <c r="G3136">
        <v>14.8</v>
      </c>
      <c r="H3136">
        <v>0.1</v>
      </c>
      <c r="I3136">
        <v>0.0</v>
      </c>
      <c r="J3136">
        <v>21.58</v>
      </c>
      <c r="K3136">
        <v>28.65</v>
      </c>
      <c r="L3136">
        <v>15.77</v>
      </c>
      <c r="M3136">
        <v>0.02</v>
      </c>
      <c r="N3136">
        <v>0.0</v>
      </c>
      <c r="O3136">
        <v>20.52</v>
      </c>
      <c r="P3136">
        <v>25.76</v>
      </c>
      <c r="Q3136">
        <v>17.0</v>
      </c>
      <c r="R3136">
        <v>0.06</v>
      </c>
    </row>
    <row r="3137">
      <c r="A3137" s="9">
        <v>41668</v>
      </c>
      <c r="B3137" s="2" t="inlineStr">
        <is>
          <t xml:space="preserve">2014-01</t>
        </is>
      </c>
      <c r="C3137" s="2" t="inlineStr">
        <is>
          <t xml:space="preserve">2013/14</t>
        </is>
      </c>
      <c r="D3137">
        <v>0.0</v>
      </c>
      <c r="E3137">
        <v>20.12</v>
      </c>
      <c r="F3137">
        <v>27.09</v>
      </c>
      <c r="G3137">
        <v>15.45</v>
      </c>
      <c r="H3137">
        <v>0.04</v>
      </c>
      <c r="I3137">
        <v>0.0</v>
      </c>
      <c r="J3137">
        <v>21.59</v>
      </c>
      <c r="K3137">
        <v>27.98</v>
      </c>
      <c r="L3137">
        <v>16.68</v>
      </c>
      <c r="M3137">
        <v>0.5</v>
      </c>
      <c r="N3137">
        <v>0.06</v>
      </c>
      <c r="O3137">
        <v>20.33</v>
      </c>
      <c r="P3137">
        <v>25.12</v>
      </c>
      <c r="Q3137">
        <v>17.16</v>
      </c>
      <c r="R3137">
        <v>0.81</v>
      </c>
    </row>
    <row r="3138">
      <c r="A3138" s="9">
        <v>41669</v>
      </c>
      <c r="B3138" s="2" t="inlineStr">
        <is>
          <t xml:space="preserve">2014-01</t>
        </is>
      </c>
      <c r="C3138" s="2" t="inlineStr">
        <is>
          <t xml:space="preserve">2013/14</t>
        </is>
      </c>
      <c r="D3138">
        <v>0.0</v>
      </c>
      <c r="E3138">
        <v>19.33</v>
      </c>
      <c r="F3138">
        <v>25.9</v>
      </c>
      <c r="G3138">
        <v>14.37</v>
      </c>
      <c r="H3138">
        <v>0.32</v>
      </c>
      <c r="I3138">
        <v>0.601</v>
      </c>
      <c r="J3138">
        <v>19.36</v>
      </c>
      <c r="K3138">
        <v>24.93</v>
      </c>
      <c r="L3138">
        <v>15.75</v>
      </c>
      <c r="M3138">
        <v>0.51</v>
      </c>
      <c r="N3138">
        <v>2.228</v>
      </c>
      <c r="O3138">
        <v>18.62</v>
      </c>
      <c r="P3138">
        <v>22.69</v>
      </c>
      <c r="Q3138">
        <v>15.7</v>
      </c>
      <c r="R3138">
        <v>0.8</v>
      </c>
    </row>
    <row r="3139">
      <c r="A3139" s="9">
        <v>41670</v>
      </c>
      <c r="B3139" s="2" t="inlineStr">
        <is>
          <t xml:space="preserve">2014-01</t>
        </is>
      </c>
      <c r="C3139" s="2" t="inlineStr">
        <is>
          <t xml:space="preserve">2013/14</t>
        </is>
      </c>
      <c r="D3139">
        <v>0.0</v>
      </c>
      <c r="E3139">
        <v>19.47</v>
      </c>
      <c r="F3139">
        <v>26.44</v>
      </c>
      <c r="G3139">
        <v>15.22</v>
      </c>
      <c r="H3139">
        <v>0.41</v>
      </c>
      <c r="I3139">
        <v>0.0</v>
      </c>
      <c r="J3139">
        <v>20.41</v>
      </c>
      <c r="K3139">
        <v>26.98</v>
      </c>
      <c r="L3139">
        <v>15.6</v>
      </c>
      <c r="M3139">
        <v>0.03</v>
      </c>
      <c r="N3139">
        <v>0.0</v>
      </c>
      <c r="O3139">
        <v>19.07</v>
      </c>
      <c r="P3139">
        <v>23.85</v>
      </c>
      <c r="Q3139">
        <v>15.6</v>
      </c>
      <c r="R3139">
        <v>0.11</v>
      </c>
    </row>
    <row r="3140">
      <c r="A3140" s="9">
        <v>41671</v>
      </c>
      <c r="B3140" s="2" t="inlineStr">
        <is>
          <t xml:space="preserve">2014-02</t>
        </is>
      </c>
      <c r="C3140" s="2" t="inlineStr">
        <is>
          <t xml:space="preserve">2013/14</t>
        </is>
      </c>
      <c r="D3140">
        <v>0.039</v>
      </c>
      <c r="E3140">
        <v>19.25</v>
      </c>
      <c r="F3140">
        <v>26.36</v>
      </c>
      <c r="G3140">
        <v>14.09</v>
      </c>
      <c r="H3140">
        <v>0.06</v>
      </c>
      <c r="I3140">
        <v>0.0</v>
      </c>
      <c r="J3140">
        <v>21.17</v>
      </c>
      <c r="K3140">
        <v>27.75</v>
      </c>
      <c r="L3140">
        <v>16.01</v>
      </c>
      <c r="M3140">
        <v>0.0</v>
      </c>
      <c r="N3140">
        <v>0.0</v>
      </c>
      <c r="O3140">
        <v>19.71</v>
      </c>
      <c r="P3140">
        <v>24.96</v>
      </c>
      <c r="Q3140">
        <v>16.17</v>
      </c>
      <c r="R3140">
        <v>0.0</v>
      </c>
    </row>
    <row r="3141">
      <c r="A3141" s="9">
        <v>41672</v>
      </c>
      <c r="B3141" s="2" t="inlineStr">
        <is>
          <t xml:space="preserve">2014-02</t>
        </is>
      </c>
      <c r="C3141" s="2" t="inlineStr">
        <is>
          <t xml:space="preserve">2013/14</t>
        </is>
      </c>
      <c r="D3141">
        <v>0.0</v>
      </c>
      <c r="E3141">
        <v>19.8</v>
      </c>
      <c r="F3141">
        <v>28.02</v>
      </c>
      <c r="G3141">
        <v>12.63</v>
      </c>
      <c r="H3141">
        <v>0.0</v>
      </c>
      <c r="I3141">
        <v>0.0</v>
      </c>
      <c r="J3141">
        <v>22.04</v>
      </c>
      <c r="K3141">
        <v>28.75</v>
      </c>
      <c r="L3141">
        <v>16.84</v>
      </c>
      <c r="M3141">
        <v>0.0</v>
      </c>
      <c r="N3141">
        <v>0.0</v>
      </c>
      <c r="O3141">
        <v>20.39</v>
      </c>
      <c r="P3141">
        <v>26.12</v>
      </c>
      <c r="Q3141">
        <v>15.98</v>
      </c>
      <c r="R3141">
        <v>0.0</v>
      </c>
    </row>
    <row r="3142">
      <c r="A3142" s="9">
        <v>41673</v>
      </c>
      <c r="B3142" s="2" t="inlineStr">
        <is>
          <t xml:space="preserve">2014-02</t>
        </is>
      </c>
      <c r="C3142" s="2" t="inlineStr">
        <is>
          <t xml:space="preserve">2013/14</t>
        </is>
      </c>
      <c r="D3142">
        <v>0.0</v>
      </c>
      <c r="E3142">
        <v>20.49</v>
      </c>
      <c r="F3142">
        <v>28.35</v>
      </c>
      <c r="G3142">
        <v>14.26</v>
      </c>
      <c r="H3142">
        <v>0.0</v>
      </c>
      <c r="I3142">
        <v>0.0</v>
      </c>
      <c r="J3142">
        <v>21.95</v>
      </c>
      <c r="K3142">
        <v>28.71</v>
      </c>
      <c r="L3142">
        <v>16.48</v>
      </c>
      <c r="M3142">
        <v>0.0</v>
      </c>
      <c r="N3142">
        <v>0.0</v>
      </c>
      <c r="O3142">
        <v>20.49</v>
      </c>
      <c r="P3142">
        <v>25.97</v>
      </c>
      <c r="Q3142">
        <v>15.91</v>
      </c>
      <c r="R3142">
        <v>0.12</v>
      </c>
    </row>
    <row r="3143">
      <c r="A3143" s="9">
        <v>41674</v>
      </c>
      <c r="B3143" s="2" t="inlineStr">
        <is>
          <t xml:space="preserve">2014-02</t>
        </is>
      </c>
      <c r="C3143" s="2" t="inlineStr">
        <is>
          <t xml:space="preserve">2013/14</t>
        </is>
      </c>
      <c r="D3143">
        <v>0.0</v>
      </c>
      <c r="E3143">
        <v>20.87</v>
      </c>
      <c r="F3143">
        <v>28.42</v>
      </c>
      <c r="G3143">
        <v>14.72</v>
      </c>
      <c r="H3143">
        <v>0.0</v>
      </c>
      <c r="I3143">
        <v>0.0</v>
      </c>
      <c r="J3143">
        <v>22.19</v>
      </c>
      <c r="K3143">
        <v>28.73</v>
      </c>
      <c r="L3143">
        <v>16.68</v>
      </c>
      <c r="M3143">
        <v>0.01</v>
      </c>
      <c r="N3143">
        <v>0.0</v>
      </c>
      <c r="O3143">
        <v>20.76</v>
      </c>
      <c r="P3143">
        <v>25.85</v>
      </c>
      <c r="Q3143">
        <v>17.75</v>
      </c>
      <c r="R3143">
        <v>0.14</v>
      </c>
    </row>
    <row r="3144">
      <c r="A3144" s="9">
        <v>41675</v>
      </c>
      <c r="B3144" s="2" t="inlineStr">
        <is>
          <t xml:space="preserve">2014-02</t>
        </is>
      </c>
      <c r="C3144" s="2" t="inlineStr">
        <is>
          <t xml:space="preserve">2013/14</t>
        </is>
      </c>
      <c r="D3144">
        <v>0.0</v>
      </c>
      <c r="E3144">
        <v>21.3</v>
      </c>
      <c r="F3144">
        <v>29.48</v>
      </c>
      <c r="G3144">
        <v>15.53</v>
      </c>
      <c r="H3144">
        <v>0.01</v>
      </c>
      <c r="I3144">
        <v>0.0</v>
      </c>
      <c r="J3144">
        <v>22.45</v>
      </c>
      <c r="K3144">
        <v>29.43</v>
      </c>
      <c r="L3144">
        <v>17.24</v>
      </c>
      <c r="M3144">
        <v>0.0</v>
      </c>
      <c r="N3144">
        <v>0.0</v>
      </c>
      <c r="O3144">
        <v>21.08</v>
      </c>
      <c r="P3144">
        <v>26.19</v>
      </c>
      <c r="Q3144">
        <v>17.41</v>
      </c>
      <c r="R3144">
        <v>0.01</v>
      </c>
    </row>
    <row r="3145">
      <c r="A3145" s="9">
        <v>41676</v>
      </c>
      <c r="B3145" s="2" t="inlineStr">
        <is>
          <t xml:space="preserve">2014-02</t>
        </is>
      </c>
      <c r="C3145" s="2" t="inlineStr">
        <is>
          <t xml:space="preserve">2013/14</t>
        </is>
      </c>
      <c r="D3145">
        <v>0.0</v>
      </c>
      <c r="E3145">
        <v>20.73</v>
      </c>
      <c r="F3145">
        <v>27.79</v>
      </c>
      <c r="G3145">
        <v>15.89</v>
      </c>
      <c r="H3145">
        <v>0.15</v>
      </c>
      <c r="I3145">
        <v>0.0</v>
      </c>
      <c r="J3145">
        <v>22.11</v>
      </c>
      <c r="K3145">
        <v>28.11</v>
      </c>
      <c r="L3145">
        <v>17.62</v>
      </c>
      <c r="M3145">
        <v>0.29</v>
      </c>
      <c r="N3145">
        <v>0.0</v>
      </c>
      <c r="O3145">
        <v>20.9</v>
      </c>
      <c r="P3145">
        <v>25.53</v>
      </c>
      <c r="Q3145">
        <v>18.14</v>
      </c>
      <c r="R3145">
        <v>0.97</v>
      </c>
    </row>
    <row r="3146">
      <c r="A3146" s="9">
        <v>41677</v>
      </c>
      <c r="B3146" s="2" t="inlineStr">
        <is>
          <t xml:space="preserve">2014-02</t>
        </is>
      </c>
      <c r="C3146" s="2" t="inlineStr">
        <is>
          <t xml:space="preserve">2013/14</t>
        </is>
      </c>
      <c r="D3146">
        <v>0.0</v>
      </c>
      <c r="E3146">
        <v>19.95</v>
      </c>
      <c r="F3146">
        <v>27.31</v>
      </c>
      <c r="G3146">
        <v>14.22</v>
      </c>
      <c r="H3146">
        <v>0.16</v>
      </c>
      <c r="I3146">
        <v>0.0</v>
      </c>
      <c r="J3146">
        <v>20.65</v>
      </c>
      <c r="K3146">
        <v>26.67</v>
      </c>
      <c r="L3146">
        <v>16.73</v>
      </c>
      <c r="M3146">
        <v>0.65</v>
      </c>
      <c r="N3146">
        <v>0.437</v>
      </c>
      <c r="O3146">
        <v>19.58</v>
      </c>
      <c r="P3146">
        <v>23.84</v>
      </c>
      <c r="Q3146">
        <v>16.87</v>
      </c>
      <c r="R3146">
        <v>2.67</v>
      </c>
    </row>
    <row r="3147">
      <c r="A3147" s="9">
        <v>41678</v>
      </c>
      <c r="B3147" s="2" t="inlineStr">
        <is>
          <t xml:space="preserve">2014-02</t>
        </is>
      </c>
      <c r="C3147" s="2" t="inlineStr">
        <is>
          <t xml:space="preserve">2013/14</t>
        </is>
      </c>
      <c r="D3147">
        <v>0.031</v>
      </c>
      <c r="E3147">
        <v>20.38</v>
      </c>
      <c r="F3147">
        <v>26.63</v>
      </c>
      <c r="G3147">
        <v>15.35</v>
      </c>
      <c r="H3147">
        <v>0.92</v>
      </c>
      <c r="I3147">
        <v>0.227</v>
      </c>
      <c r="J3147">
        <v>20.87</v>
      </c>
      <c r="K3147">
        <v>26.9</v>
      </c>
      <c r="L3147">
        <v>16.76</v>
      </c>
      <c r="M3147">
        <v>2.32</v>
      </c>
      <c r="N3147">
        <v>1.053</v>
      </c>
      <c r="O3147">
        <v>19.99</v>
      </c>
      <c r="P3147">
        <v>24.1</v>
      </c>
      <c r="Q3147">
        <v>17.03</v>
      </c>
      <c r="R3147">
        <v>5.97</v>
      </c>
    </row>
    <row r="3148">
      <c r="A3148" s="9">
        <v>41679</v>
      </c>
      <c r="B3148" s="2" t="inlineStr">
        <is>
          <t xml:space="preserve">2014-02</t>
        </is>
      </c>
      <c r="C3148" s="2" t="inlineStr">
        <is>
          <t xml:space="preserve">2013/14</t>
        </is>
      </c>
      <c r="D3148">
        <v>0.278</v>
      </c>
      <c r="E3148">
        <v>20.83</v>
      </c>
      <c r="F3148">
        <v>27.54</v>
      </c>
      <c r="G3148">
        <v>16.12</v>
      </c>
      <c r="H3148">
        <v>0.87</v>
      </c>
      <c r="I3148">
        <v>2.058</v>
      </c>
      <c r="J3148">
        <v>21.18</v>
      </c>
      <c r="K3148">
        <v>27.11</v>
      </c>
      <c r="L3148">
        <v>17.7</v>
      </c>
      <c r="M3148">
        <v>4.97</v>
      </c>
      <c r="N3148">
        <v>6.198</v>
      </c>
      <c r="O3148">
        <v>20.23</v>
      </c>
      <c r="P3148">
        <v>24.13</v>
      </c>
      <c r="Q3148">
        <v>17.82</v>
      </c>
      <c r="R3148">
        <v>14.78</v>
      </c>
    </row>
    <row r="3149">
      <c r="A3149" s="9">
        <v>41680</v>
      </c>
      <c r="B3149" s="2" t="inlineStr">
        <is>
          <t xml:space="preserve">2014-02</t>
        </is>
      </c>
      <c r="C3149" s="2" t="inlineStr">
        <is>
          <t xml:space="preserve">2013/14</t>
        </is>
      </c>
      <c r="D3149">
        <v>0.116</v>
      </c>
      <c r="E3149">
        <v>20.88</v>
      </c>
      <c r="F3149">
        <v>28.32</v>
      </c>
      <c r="G3149">
        <v>15.54</v>
      </c>
      <c r="H3149">
        <v>0.33</v>
      </c>
      <c r="I3149">
        <v>0.0</v>
      </c>
      <c r="J3149">
        <v>21.26</v>
      </c>
      <c r="K3149">
        <v>27.32</v>
      </c>
      <c r="L3149">
        <v>16.61</v>
      </c>
      <c r="M3149">
        <v>1.47</v>
      </c>
      <c r="N3149">
        <v>1.213</v>
      </c>
      <c r="O3149">
        <v>19.64</v>
      </c>
      <c r="P3149">
        <v>23.83</v>
      </c>
      <c r="Q3149">
        <v>16.52</v>
      </c>
      <c r="R3149">
        <v>6.09</v>
      </c>
    </row>
    <row r="3150">
      <c r="A3150" s="9">
        <v>41681</v>
      </c>
      <c r="B3150" s="2" t="inlineStr">
        <is>
          <t xml:space="preserve">2014-02</t>
        </is>
      </c>
      <c r="C3150" s="2" t="inlineStr">
        <is>
          <t xml:space="preserve">2013/14</t>
        </is>
      </c>
      <c r="D3150">
        <v>0.0</v>
      </c>
      <c r="E3150">
        <v>21.78</v>
      </c>
      <c r="F3150">
        <v>29.37</v>
      </c>
      <c r="G3150">
        <v>15.55</v>
      </c>
      <c r="H3150">
        <v>0.06</v>
      </c>
      <c r="I3150">
        <v>0.0</v>
      </c>
      <c r="J3150">
        <v>22.44</v>
      </c>
      <c r="K3150">
        <v>29.4</v>
      </c>
      <c r="L3150">
        <v>16.72</v>
      </c>
      <c r="M3150">
        <v>0.05</v>
      </c>
      <c r="N3150">
        <v>0.111</v>
      </c>
      <c r="O3150">
        <v>21.02</v>
      </c>
      <c r="P3150">
        <v>26.26</v>
      </c>
      <c r="Q3150">
        <v>17.39</v>
      </c>
      <c r="R3150">
        <v>0.23</v>
      </c>
    </row>
    <row r="3151">
      <c r="A3151" s="9">
        <v>41682</v>
      </c>
      <c r="B3151" s="2" t="inlineStr">
        <is>
          <t xml:space="preserve">2014-02</t>
        </is>
      </c>
      <c r="C3151" s="2" t="inlineStr">
        <is>
          <t xml:space="preserve">2013/14</t>
        </is>
      </c>
      <c r="D3151">
        <v>0.121</v>
      </c>
      <c r="E3151">
        <v>22.68</v>
      </c>
      <c r="F3151">
        <v>30.34</v>
      </c>
      <c r="G3151">
        <v>16.16</v>
      </c>
      <c r="H3151">
        <v>1.67</v>
      </c>
      <c r="I3151">
        <v>0.0</v>
      </c>
      <c r="J3151">
        <v>23.43</v>
      </c>
      <c r="K3151">
        <v>30.97</v>
      </c>
      <c r="L3151">
        <v>17.58</v>
      </c>
      <c r="M3151">
        <v>1.01</v>
      </c>
      <c r="N3151">
        <v>0.0</v>
      </c>
      <c r="O3151">
        <v>21.89</v>
      </c>
      <c r="P3151">
        <v>27.31</v>
      </c>
      <c r="Q3151">
        <v>18.14</v>
      </c>
      <c r="R3151">
        <v>1.12</v>
      </c>
    </row>
    <row r="3152">
      <c r="A3152" s="9">
        <v>41683</v>
      </c>
      <c r="B3152" s="2" t="inlineStr">
        <is>
          <t xml:space="preserve">2014-02</t>
        </is>
      </c>
      <c r="C3152" s="2" t="inlineStr">
        <is>
          <t xml:space="preserve">2013/14</t>
        </is>
      </c>
      <c r="D3152">
        <v>1.471</v>
      </c>
      <c r="E3152">
        <v>20.88</v>
      </c>
      <c r="F3152">
        <v>26.98</v>
      </c>
      <c r="G3152">
        <v>17.32</v>
      </c>
      <c r="H3152">
        <v>3.93</v>
      </c>
      <c r="I3152">
        <v>1.353</v>
      </c>
      <c r="J3152">
        <v>21.41</v>
      </c>
      <c r="K3152">
        <v>26.99</v>
      </c>
      <c r="L3152">
        <v>18.02</v>
      </c>
      <c r="M3152">
        <v>1.86</v>
      </c>
      <c r="N3152">
        <v>4.901</v>
      </c>
      <c r="O3152">
        <v>20.29</v>
      </c>
      <c r="P3152">
        <v>24.67</v>
      </c>
      <c r="Q3152">
        <v>17.52</v>
      </c>
      <c r="R3152">
        <v>5.26</v>
      </c>
    </row>
    <row r="3153">
      <c r="A3153" s="9">
        <v>41684</v>
      </c>
      <c r="B3153" s="2" t="inlineStr">
        <is>
          <t xml:space="preserve">2014-02</t>
        </is>
      </c>
      <c r="C3153" s="2" t="inlineStr">
        <is>
          <t xml:space="preserve">2013/14</t>
        </is>
      </c>
      <c r="D3153">
        <v>0.125</v>
      </c>
      <c r="E3153">
        <v>21.29</v>
      </c>
      <c r="F3153">
        <v>27.88</v>
      </c>
      <c r="G3153">
        <v>16.06</v>
      </c>
      <c r="H3153">
        <v>0.54</v>
      </c>
      <c r="I3153">
        <v>0.0</v>
      </c>
      <c r="J3153">
        <v>21.84</v>
      </c>
      <c r="K3153">
        <v>28.37</v>
      </c>
      <c r="L3153">
        <v>16.68</v>
      </c>
      <c r="M3153">
        <v>2.09</v>
      </c>
      <c r="N3153">
        <v>1.313</v>
      </c>
      <c r="O3153">
        <v>19.99</v>
      </c>
      <c r="P3153">
        <v>24.98</v>
      </c>
      <c r="Q3153">
        <v>16.25</v>
      </c>
      <c r="R3153">
        <v>7.39</v>
      </c>
    </row>
    <row r="3154">
      <c r="A3154" s="9">
        <v>41685</v>
      </c>
      <c r="B3154" s="2" t="inlineStr">
        <is>
          <t xml:space="preserve">2014-02</t>
        </is>
      </c>
      <c r="C3154" s="2" t="inlineStr">
        <is>
          <t xml:space="preserve">2013/14</t>
        </is>
      </c>
      <c r="D3154">
        <v>0.0</v>
      </c>
      <c r="E3154">
        <v>21.53</v>
      </c>
      <c r="F3154">
        <v>28.23</v>
      </c>
      <c r="G3154">
        <v>17.04</v>
      </c>
      <c r="H3154">
        <v>0.32</v>
      </c>
      <c r="I3154">
        <v>0.309</v>
      </c>
      <c r="J3154">
        <v>21.78</v>
      </c>
      <c r="K3154">
        <v>28.23</v>
      </c>
      <c r="L3154">
        <v>17.54</v>
      </c>
      <c r="M3154">
        <v>0.46</v>
      </c>
      <c r="N3154">
        <v>0.317</v>
      </c>
      <c r="O3154">
        <v>20.41</v>
      </c>
      <c r="P3154">
        <v>24.96</v>
      </c>
      <c r="Q3154">
        <v>16.91</v>
      </c>
      <c r="R3154">
        <v>1.04</v>
      </c>
    </row>
    <row r="3155">
      <c r="A3155" s="9">
        <v>41686</v>
      </c>
      <c r="B3155" s="2" t="inlineStr">
        <is>
          <t xml:space="preserve">2014-02</t>
        </is>
      </c>
      <c r="C3155" s="2" t="inlineStr">
        <is>
          <t xml:space="preserve">2013/14</t>
        </is>
      </c>
      <c r="D3155">
        <v>0.028</v>
      </c>
      <c r="E3155">
        <v>20.46</v>
      </c>
      <c r="F3155">
        <v>27.27</v>
      </c>
      <c r="G3155">
        <v>16.02</v>
      </c>
      <c r="H3155">
        <v>1.94</v>
      </c>
      <c r="I3155">
        <v>0.256</v>
      </c>
      <c r="J3155">
        <v>20.7</v>
      </c>
      <c r="K3155">
        <v>27.16</v>
      </c>
      <c r="L3155">
        <v>17.11</v>
      </c>
      <c r="M3155">
        <v>1.36</v>
      </c>
      <c r="N3155">
        <v>1.443</v>
      </c>
      <c r="O3155">
        <v>19.52</v>
      </c>
      <c r="P3155">
        <v>23.8</v>
      </c>
      <c r="Q3155">
        <v>16.99</v>
      </c>
      <c r="R3155">
        <v>3.85</v>
      </c>
    </row>
    <row r="3156">
      <c r="A3156" s="9">
        <v>41687</v>
      </c>
      <c r="B3156" s="2" t="inlineStr">
        <is>
          <t xml:space="preserve">2014-02</t>
        </is>
      </c>
      <c r="C3156" s="2" t="inlineStr">
        <is>
          <t xml:space="preserve">2013/14</t>
        </is>
      </c>
      <c r="D3156">
        <v>0.0</v>
      </c>
      <c r="E3156">
        <v>20.5</v>
      </c>
      <c r="F3156">
        <v>27.59</v>
      </c>
      <c r="G3156">
        <v>15.39</v>
      </c>
      <c r="H3156">
        <v>1.62</v>
      </c>
      <c r="I3156">
        <v>0.0</v>
      </c>
      <c r="J3156">
        <v>21.33</v>
      </c>
      <c r="K3156">
        <v>28.58</v>
      </c>
      <c r="L3156">
        <v>16.42</v>
      </c>
      <c r="M3156">
        <v>0.61</v>
      </c>
      <c r="N3156">
        <v>0.037</v>
      </c>
      <c r="O3156">
        <v>20.23</v>
      </c>
      <c r="P3156">
        <v>25.08</v>
      </c>
      <c r="Q3156">
        <v>17.09</v>
      </c>
      <c r="R3156">
        <v>1.41</v>
      </c>
    </row>
    <row r="3157">
      <c r="A3157" s="9">
        <v>41688</v>
      </c>
      <c r="B3157" s="2" t="inlineStr">
        <is>
          <t xml:space="preserve">2014-02</t>
        </is>
      </c>
      <c r="C3157" s="2" t="inlineStr">
        <is>
          <t xml:space="preserve">2013/14</t>
        </is>
      </c>
      <c r="D3157">
        <v>0.0</v>
      </c>
      <c r="E3157">
        <v>20.95</v>
      </c>
      <c r="F3157">
        <v>27.73</v>
      </c>
      <c r="G3157">
        <v>15.94</v>
      </c>
      <c r="H3157">
        <v>1.21</v>
      </c>
      <c r="I3157">
        <v>0.044</v>
      </c>
      <c r="J3157">
        <v>21.43</v>
      </c>
      <c r="K3157">
        <v>27.52</v>
      </c>
      <c r="L3157">
        <v>17.01</v>
      </c>
      <c r="M3157">
        <v>2.88</v>
      </c>
      <c r="N3157">
        <v>1.531</v>
      </c>
      <c r="O3157">
        <v>20.1</v>
      </c>
      <c r="P3157">
        <v>24.68</v>
      </c>
      <c r="Q3157">
        <v>17.02</v>
      </c>
      <c r="R3157">
        <v>10.64</v>
      </c>
    </row>
    <row r="3158">
      <c r="A3158" s="9">
        <v>41689</v>
      </c>
      <c r="B3158" s="2" t="inlineStr">
        <is>
          <t xml:space="preserve">2014-02</t>
        </is>
      </c>
      <c r="C3158" s="2" t="inlineStr">
        <is>
          <t xml:space="preserve">2013/14</t>
        </is>
      </c>
      <c r="D3158">
        <v>0.109</v>
      </c>
      <c r="E3158">
        <v>21.46</v>
      </c>
      <c r="F3158">
        <v>29.29</v>
      </c>
      <c r="G3158">
        <v>15.84</v>
      </c>
      <c r="H3158">
        <v>0.32</v>
      </c>
      <c r="I3158">
        <v>0.378</v>
      </c>
      <c r="J3158">
        <v>21.92</v>
      </c>
      <c r="K3158">
        <v>28.37</v>
      </c>
      <c r="L3158">
        <v>17.15</v>
      </c>
      <c r="M3158">
        <v>0.67</v>
      </c>
      <c r="N3158">
        <v>1.73</v>
      </c>
      <c r="O3158">
        <v>20.47</v>
      </c>
      <c r="P3158">
        <v>24.97</v>
      </c>
      <c r="Q3158">
        <v>17.34</v>
      </c>
      <c r="R3158">
        <v>2.29</v>
      </c>
    </row>
    <row r="3159">
      <c r="A3159" s="9">
        <v>41690</v>
      </c>
      <c r="B3159" s="2" t="inlineStr">
        <is>
          <t xml:space="preserve">2014-02</t>
        </is>
      </c>
      <c r="C3159" s="2" t="inlineStr">
        <is>
          <t xml:space="preserve">2013/14</t>
        </is>
      </c>
      <c r="D3159">
        <v>0.0</v>
      </c>
      <c r="E3159">
        <v>21.73</v>
      </c>
      <c r="F3159">
        <v>30.06</v>
      </c>
      <c r="G3159">
        <v>14.52</v>
      </c>
      <c r="H3159">
        <v>0.0</v>
      </c>
      <c r="I3159">
        <v>0.0</v>
      </c>
      <c r="J3159">
        <v>23.17</v>
      </c>
      <c r="K3159">
        <v>30.7</v>
      </c>
      <c r="L3159">
        <v>17.35</v>
      </c>
      <c r="M3159">
        <v>0.03</v>
      </c>
      <c r="N3159">
        <v>0.0</v>
      </c>
      <c r="O3159">
        <v>21.14</v>
      </c>
      <c r="P3159">
        <v>27.08</v>
      </c>
      <c r="Q3159">
        <v>17.26</v>
      </c>
      <c r="R3159">
        <v>0.0</v>
      </c>
    </row>
    <row r="3160">
      <c r="A3160" s="9">
        <v>41691</v>
      </c>
      <c r="B3160" s="2" t="inlineStr">
        <is>
          <t xml:space="preserve">2014-02</t>
        </is>
      </c>
      <c r="C3160" s="2" t="inlineStr">
        <is>
          <t xml:space="preserve">2013/14</t>
        </is>
      </c>
      <c r="D3160">
        <v>0.0</v>
      </c>
      <c r="E3160">
        <v>22.42</v>
      </c>
      <c r="F3160">
        <v>30.32</v>
      </c>
      <c r="G3160">
        <v>15.69</v>
      </c>
      <c r="H3160">
        <v>1.57</v>
      </c>
      <c r="I3160">
        <v>0.0</v>
      </c>
      <c r="J3160">
        <v>23.27</v>
      </c>
      <c r="K3160">
        <v>31.1</v>
      </c>
      <c r="L3160">
        <v>16.71</v>
      </c>
      <c r="M3160">
        <v>0.71</v>
      </c>
      <c r="N3160">
        <v>0.0</v>
      </c>
      <c r="O3160">
        <v>21.15</v>
      </c>
      <c r="P3160">
        <v>27.2</v>
      </c>
      <c r="Q3160">
        <v>16.16</v>
      </c>
      <c r="R3160">
        <v>0.79</v>
      </c>
    </row>
    <row r="3161">
      <c r="A3161" s="9">
        <v>41692</v>
      </c>
      <c r="B3161" s="2" t="inlineStr">
        <is>
          <t xml:space="preserve">2014-02</t>
        </is>
      </c>
      <c r="C3161" s="2" t="inlineStr">
        <is>
          <t xml:space="preserve">2013/14</t>
        </is>
      </c>
      <c r="D3161">
        <v>7.294</v>
      </c>
      <c r="E3161">
        <v>21.59</v>
      </c>
      <c r="F3161">
        <v>29.09</v>
      </c>
      <c r="G3161">
        <v>15.87</v>
      </c>
      <c r="H3161">
        <v>2.0</v>
      </c>
      <c r="I3161">
        <v>0.348</v>
      </c>
      <c r="J3161">
        <v>22.85</v>
      </c>
      <c r="K3161">
        <v>29.58</v>
      </c>
      <c r="L3161">
        <v>17.76</v>
      </c>
      <c r="M3161">
        <v>1.52</v>
      </c>
      <c r="N3161">
        <v>1.562</v>
      </c>
      <c r="O3161">
        <v>21.29</v>
      </c>
      <c r="P3161">
        <v>26.3</v>
      </c>
      <c r="Q3161">
        <v>18.26</v>
      </c>
      <c r="R3161">
        <v>2.93</v>
      </c>
    </row>
    <row r="3162">
      <c r="A3162" s="9">
        <v>41693</v>
      </c>
      <c r="B3162" s="2" t="inlineStr">
        <is>
          <t xml:space="preserve">2014-02</t>
        </is>
      </c>
      <c r="C3162" s="2" t="inlineStr">
        <is>
          <t xml:space="preserve">2013/14</t>
        </is>
      </c>
      <c r="D3162">
        <v>0.0</v>
      </c>
      <c r="E3162">
        <v>21.91</v>
      </c>
      <c r="F3162">
        <v>30.2</v>
      </c>
      <c r="G3162">
        <v>15.65</v>
      </c>
      <c r="H3162">
        <v>0.04</v>
      </c>
      <c r="I3162">
        <v>0.0</v>
      </c>
      <c r="J3162">
        <v>23.23</v>
      </c>
      <c r="K3162">
        <v>30.64</v>
      </c>
      <c r="L3162">
        <v>17.85</v>
      </c>
      <c r="M3162">
        <v>0.3</v>
      </c>
      <c r="N3162">
        <v>0.274</v>
      </c>
      <c r="O3162">
        <v>21.35</v>
      </c>
      <c r="P3162">
        <v>26.87</v>
      </c>
      <c r="Q3162">
        <v>18.39</v>
      </c>
      <c r="R3162">
        <v>1.47</v>
      </c>
    </row>
    <row r="3163">
      <c r="A3163" s="9">
        <v>41694</v>
      </c>
      <c r="B3163" s="2" t="inlineStr">
        <is>
          <t xml:space="preserve">2014-02</t>
        </is>
      </c>
      <c r="C3163" s="2" t="inlineStr">
        <is>
          <t xml:space="preserve">2013/14</t>
        </is>
      </c>
      <c r="D3163">
        <v>0.0</v>
      </c>
      <c r="E3163">
        <v>22.04</v>
      </c>
      <c r="F3163">
        <v>31.04</v>
      </c>
      <c r="G3163">
        <v>14.8</v>
      </c>
      <c r="H3163">
        <v>0.01</v>
      </c>
      <c r="I3163">
        <v>0.0</v>
      </c>
      <c r="J3163">
        <v>23.2</v>
      </c>
      <c r="K3163">
        <v>31.12</v>
      </c>
      <c r="L3163">
        <v>16.99</v>
      </c>
      <c r="M3163">
        <v>0.13</v>
      </c>
      <c r="N3163">
        <v>0.0</v>
      </c>
      <c r="O3163">
        <v>21.42</v>
      </c>
      <c r="P3163">
        <v>27.57</v>
      </c>
      <c r="Q3163">
        <v>16.95</v>
      </c>
      <c r="R3163">
        <v>0.26</v>
      </c>
    </row>
    <row r="3164">
      <c r="A3164" s="9">
        <v>41695</v>
      </c>
      <c r="B3164" s="2" t="inlineStr">
        <is>
          <t xml:space="preserve">2014-02</t>
        </is>
      </c>
      <c r="C3164" s="2" t="inlineStr">
        <is>
          <t xml:space="preserve">2013/14</t>
        </is>
      </c>
      <c r="D3164">
        <v>0.0</v>
      </c>
      <c r="E3164">
        <v>21.28</v>
      </c>
      <c r="F3164">
        <v>29.19</v>
      </c>
      <c r="G3164">
        <v>13.63</v>
      </c>
      <c r="H3164">
        <v>0.11</v>
      </c>
      <c r="I3164">
        <v>0.0</v>
      </c>
      <c r="J3164">
        <v>22.46</v>
      </c>
      <c r="K3164">
        <v>29.64</v>
      </c>
      <c r="L3164">
        <v>17.17</v>
      </c>
      <c r="M3164">
        <v>0.27</v>
      </c>
      <c r="N3164">
        <v>0.182</v>
      </c>
      <c r="O3164">
        <v>20.86</v>
      </c>
      <c r="P3164">
        <v>26.08</v>
      </c>
      <c r="Q3164">
        <v>17.69</v>
      </c>
      <c r="R3164">
        <v>1.17</v>
      </c>
    </row>
    <row r="3165">
      <c r="A3165" s="9">
        <v>41696</v>
      </c>
      <c r="B3165" s="2" t="inlineStr">
        <is>
          <t xml:space="preserve">2014-02</t>
        </is>
      </c>
      <c r="C3165" s="2" t="inlineStr">
        <is>
          <t xml:space="preserve">2013/14</t>
        </is>
      </c>
      <c r="D3165">
        <v>0.0</v>
      </c>
      <c r="E3165">
        <v>22.65</v>
      </c>
      <c r="F3165">
        <v>31.03</v>
      </c>
      <c r="G3165">
        <v>15.4</v>
      </c>
      <c r="H3165">
        <v>0.0</v>
      </c>
      <c r="I3165">
        <v>0.0</v>
      </c>
      <c r="J3165">
        <v>23.47</v>
      </c>
      <c r="K3165">
        <v>30.93</v>
      </c>
      <c r="L3165">
        <v>17.85</v>
      </c>
      <c r="M3165">
        <v>0.0</v>
      </c>
      <c r="N3165">
        <v>0.0</v>
      </c>
      <c r="O3165">
        <v>22.12</v>
      </c>
      <c r="P3165">
        <v>28.33</v>
      </c>
      <c r="Q3165">
        <v>18.0</v>
      </c>
      <c r="R3165">
        <v>0.0</v>
      </c>
    </row>
    <row r="3166">
      <c r="A3166" s="9">
        <v>41697</v>
      </c>
      <c r="B3166" s="2" t="inlineStr">
        <is>
          <t xml:space="preserve">2014-02</t>
        </is>
      </c>
      <c r="C3166" s="2" t="inlineStr">
        <is>
          <t xml:space="preserve">2013/14</t>
        </is>
      </c>
      <c r="D3166">
        <v>0.0</v>
      </c>
      <c r="E3166">
        <v>23.07</v>
      </c>
      <c r="F3166">
        <v>31.27</v>
      </c>
      <c r="G3166">
        <v>15.76</v>
      </c>
      <c r="H3166">
        <v>0.0</v>
      </c>
      <c r="I3166">
        <v>0.0</v>
      </c>
      <c r="J3166">
        <v>23.47</v>
      </c>
      <c r="K3166">
        <v>30.6</v>
      </c>
      <c r="L3166">
        <v>18.59</v>
      </c>
      <c r="M3166">
        <v>0.0</v>
      </c>
      <c r="N3166">
        <v>0.0</v>
      </c>
      <c r="O3166">
        <v>21.89</v>
      </c>
      <c r="P3166">
        <v>27.43</v>
      </c>
      <c r="Q3166">
        <v>18.19</v>
      </c>
      <c r="R3166">
        <v>0.0</v>
      </c>
    </row>
    <row r="3167">
      <c r="A3167" s="9">
        <v>41698</v>
      </c>
      <c r="B3167" s="2" t="inlineStr">
        <is>
          <t xml:space="preserve">2014-02</t>
        </is>
      </c>
      <c r="C3167" s="2" t="inlineStr">
        <is>
          <t xml:space="preserve">2013/14</t>
        </is>
      </c>
      <c r="D3167">
        <v>0.0</v>
      </c>
      <c r="E3167">
        <v>23.28</v>
      </c>
      <c r="F3167">
        <v>31.49</v>
      </c>
      <c r="G3167">
        <v>17.88</v>
      </c>
      <c r="H3167">
        <v>0.0</v>
      </c>
      <c r="I3167">
        <v>0.0</v>
      </c>
      <c r="J3167">
        <v>22.99</v>
      </c>
      <c r="K3167">
        <v>31.2</v>
      </c>
      <c r="L3167">
        <v>16.49</v>
      </c>
      <c r="M3167">
        <v>0.03</v>
      </c>
      <c r="N3167">
        <v>0.0</v>
      </c>
      <c r="O3167">
        <v>21.03</v>
      </c>
      <c r="P3167">
        <v>27.17</v>
      </c>
      <c r="Q3167">
        <v>16.82</v>
      </c>
      <c r="R3167">
        <v>0.08</v>
      </c>
    </row>
    <row r="3168">
      <c r="A3168" s="9">
        <v>41699</v>
      </c>
      <c r="B3168" s="2" t="inlineStr">
        <is>
          <t xml:space="preserve">2014-03</t>
        </is>
      </c>
      <c r="C3168" s="2" t="inlineStr">
        <is>
          <t xml:space="preserve">2013/14</t>
        </is>
      </c>
      <c r="D3168">
        <v>0.0</v>
      </c>
      <c r="E3168">
        <v>22.25</v>
      </c>
      <c r="F3168">
        <v>30.66</v>
      </c>
      <c r="G3168">
        <v>15.89</v>
      </c>
      <c r="H3168">
        <v>0.0</v>
      </c>
      <c r="I3168">
        <v>0.077</v>
      </c>
      <c r="J3168">
        <v>22.21</v>
      </c>
      <c r="K3168">
        <v>30.28</v>
      </c>
      <c r="L3168">
        <v>16.32</v>
      </c>
      <c r="M3168">
        <v>0.01</v>
      </c>
      <c r="N3168">
        <v>0.0</v>
      </c>
      <c r="O3168">
        <v>20.58</v>
      </c>
      <c r="P3168">
        <v>26.36</v>
      </c>
      <c r="Q3168">
        <v>16.62</v>
      </c>
      <c r="R3168">
        <v>0.0</v>
      </c>
    </row>
    <row r="3169">
      <c r="A3169" s="9">
        <v>41700</v>
      </c>
      <c r="B3169" s="2" t="inlineStr">
        <is>
          <t xml:space="preserve">2014-03</t>
        </is>
      </c>
      <c r="C3169" s="2" t="inlineStr">
        <is>
          <t xml:space="preserve">2013/14</t>
        </is>
      </c>
      <c r="D3169">
        <v>0.0</v>
      </c>
      <c r="E3169">
        <v>21.83</v>
      </c>
      <c r="F3169">
        <v>29.93</v>
      </c>
      <c r="G3169">
        <v>15.42</v>
      </c>
      <c r="H3169">
        <v>0.01</v>
      </c>
      <c r="I3169">
        <v>0.0</v>
      </c>
      <c r="J3169">
        <v>22.17</v>
      </c>
      <c r="K3169">
        <v>29.54</v>
      </c>
      <c r="L3169">
        <v>16.43</v>
      </c>
      <c r="M3169">
        <v>0.01</v>
      </c>
      <c r="N3169">
        <v>0.0</v>
      </c>
      <c r="O3169">
        <v>20.52</v>
      </c>
      <c r="P3169">
        <v>26.16</v>
      </c>
      <c r="Q3169">
        <v>16.4</v>
      </c>
      <c r="R3169">
        <v>0.09</v>
      </c>
    </row>
    <row r="3170">
      <c r="A3170" s="9">
        <v>41701</v>
      </c>
      <c r="B3170" s="2" t="inlineStr">
        <is>
          <t xml:space="preserve">2014-03</t>
        </is>
      </c>
      <c r="C3170" s="2" t="inlineStr">
        <is>
          <t xml:space="preserve">2013/14</t>
        </is>
      </c>
      <c r="D3170">
        <v>0.0</v>
      </c>
      <c r="E3170">
        <v>22.54</v>
      </c>
      <c r="F3170">
        <v>31.15</v>
      </c>
      <c r="G3170">
        <v>15.92</v>
      </c>
      <c r="H3170">
        <v>0.01</v>
      </c>
      <c r="I3170">
        <v>0.0</v>
      </c>
      <c r="J3170">
        <v>23.51</v>
      </c>
      <c r="K3170">
        <v>31.46</v>
      </c>
      <c r="L3170">
        <v>17.48</v>
      </c>
      <c r="M3170">
        <v>0.01</v>
      </c>
      <c r="N3170">
        <v>0.0</v>
      </c>
      <c r="O3170">
        <v>21.49</v>
      </c>
      <c r="P3170">
        <v>28.04</v>
      </c>
      <c r="Q3170">
        <v>17.18</v>
      </c>
      <c r="R3170">
        <v>0.05</v>
      </c>
    </row>
    <row r="3171">
      <c r="A3171" s="9">
        <v>41702</v>
      </c>
      <c r="B3171" s="2" t="inlineStr">
        <is>
          <t xml:space="preserve">2014-03</t>
        </is>
      </c>
      <c r="C3171" s="2" t="inlineStr">
        <is>
          <t xml:space="preserve">2013/14</t>
        </is>
      </c>
      <c r="D3171">
        <v>0.0</v>
      </c>
      <c r="E3171">
        <v>23.19</v>
      </c>
      <c r="F3171">
        <v>30.64</v>
      </c>
      <c r="G3171">
        <v>17.16</v>
      </c>
      <c r="H3171">
        <v>0.07</v>
      </c>
      <c r="I3171">
        <v>0.0</v>
      </c>
      <c r="J3171">
        <v>23.54</v>
      </c>
      <c r="K3171">
        <v>30.59</v>
      </c>
      <c r="L3171">
        <v>17.33</v>
      </c>
      <c r="M3171">
        <v>0.05</v>
      </c>
      <c r="N3171">
        <v>0.0</v>
      </c>
      <c r="O3171">
        <v>21.72</v>
      </c>
      <c r="P3171">
        <v>27.86</v>
      </c>
      <c r="Q3171">
        <v>17.12</v>
      </c>
      <c r="R3171">
        <v>0.03</v>
      </c>
    </row>
    <row r="3172">
      <c r="A3172" s="9">
        <v>41703</v>
      </c>
      <c r="B3172" s="2" t="inlineStr">
        <is>
          <t xml:space="preserve">2014-03</t>
        </is>
      </c>
      <c r="C3172" s="2" t="inlineStr">
        <is>
          <t xml:space="preserve">2013/14</t>
        </is>
      </c>
      <c r="D3172">
        <v>0.0</v>
      </c>
      <c r="E3172">
        <v>23.67</v>
      </c>
      <c r="F3172">
        <v>30.56</v>
      </c>
      <c r="G3172">
        <v>17.51</v>
      </c>
      <c r="H3172">
        <v>0.0</v>
      </c>
      <c r="I3172">
        <v>0.024</v>
      </c>
      <c r="J3172">
        <v>24.15</v>
      </c>
      <c r="K3172">
        <v>30.82</v>
      </c>
      <c r="L3172">
        <v>19.53</v>
      </c>
      <c r="M3172">
        <v>0.08</v>
      </c>
      <c r="N3172">
        <v>0.246</v>
      </c>
      <c r="O3172">
        <v>23.09</v>
      </c>
      <c r="P3172">
        <v>28.84</v>
      </c>
      <c r="Q3172">
        <v>18.72</v>
      </c>
      <c r="R3172">
        <v>0.09</v>
      </c>
    </row>
    <row r="3173">
      <c r="A3173" s="9">
        <v>41704</v>
      </c>
      <c r="B3173" s="2" t="inlineStr">
        <is>
          <t xml:space="preserve">2014-03</t>
        </is>
      </c>
      <c r="C3173" s="2" t="inlineStr">
        <is>
          <t xml:space="preserve">2013/14</t>
        </is>
      </c>
      <c r="D3173">
        <v>0.0</v>
      </c>
      <c r="E3173">
        <v>23.15</v>
      </c>
      <c r="F3173">
        <v>29.9</v>
      </c>
      <c r="G3173">
        <v>18.06</v>
      </c>
      <c r="H3173">
        <v>1.12</v>
      </c>
      <c r="I3173">
        <v>0.024</v>
      </c>
      <c r="J3173">
        <v>23.76</v>
      </c>
      <c r="K3173">
        <v>30.59</v>
      </c>
      <c r="L3173">
        <v>18.2</v>
      </c>
      <c r="M3173">
        <v>0.71</v>
      </c>
      <c r="N3173">
        <v>0.246</v>
      </c>
      <c r="O3173">
        <v>22.29</v>
      </c>
      <c r="P3173">
        <v>27.69</v>
      </c>
      <c r="Q3173">
        <v>18.33</v>
      </c>
      <c r="R3173">
        <v>1.84</v>
      </c>
    </row>
    <row r="3174">
      <c r="A3174" s="9">
        <v>41705</v>
      </c>
      <c r="B3174" s="2" t="inlineStr">
        <is>
          <t xml:space="preserve">2014-03</t>
        </is>
      </c>
      <c r="C3174" s="2" t="inlineStr">
        <is>
          <t xml:space="preserve">2013/14</t>
        </is>
      </c>
      <c r="D3174">
        <v>2.306</v>
      </c>
      <c r="E3174">
        <v>22.41</v>
      </c>
      <c r="F3174">
        <v>29.29</v>
      </c>
      <c r="G3174">
        <v>18.03</v>
      </c>
      <c r="H3174">
        <v>2.63</v>
      </c>
      <c r="I3174">
        <v>1.435</v>
      </c>
      <c r="J3174">
        <v>22.67</v>
      </c>
      <c r="K3174">
        <v>29.18</v>
      </c>
      <c r="L3174">
        <v>18.48</v>
      </c>
      <c r="M3174">
        <v>1.8</v>
      </c>
      <c r="N3174">
        <v>0.798</v>
      </c>
      <c r="O3174">
        <v>20.69</v>
      </c>
      <c r="P3174">
        <v>24.82</v>
      </c>
      <c r="Q3174">
        <v>18.11</v>
      </c>
      <c r="R3174">
        <v>3.1</v>
      </c>
    </row>
    <row r="3175">
      <c r="A3175" s="9">
        <v>41706</v>
      </c>
      <c r="B3175" s="2" t="inlineStr">
        <is>
          <t xml:space="preserve">2014-03</t>
        </is>
      </c>
      <c r="C3175" s="2" t="inlineStr">
        <is>
          <t xml:space="preserve">2013/14</t>
        </is>
      </c>
      <c r="D3175">
        <v>0.459</v>
      </c>
      <c r="E3175">
        <v>23.42</v>
      </c>
      <c r="F3175">
        <v>31.34</v>
      </c>
      <c r="G3175">
        <v>17.53</v>
      </c>
      <c r="H3175">
        <v>1.0</v>
      </c>
      <c r="I3175">
        <v>5.97</v>
      </c>
      <c r="J3175">
        <v>23.22</v>
      </c>
      <c r="K3175">
        <v>29.78</v>
      </c>
      <c r="L3175">
        <v>19.2</v>
      </c>
      <c r="M3175">
        <v>6.59</v>
      </c>
      <c r="N3175">
        <v>0.432</v>
      </c>
      <c r="O3175">
        <v>21.77</v>
      </c>
      <c r="P3175">
        <v>27.5</v>
      </c>
      <c r="Q3175">
        <v>17.9</v>
      </c>
      <c r="R3175">
        <v>5.57</v>
      </c>
    </row>
    <row r="3176">
      <c r="A3176" s="9">
        <v>41707</v>
      </c>
      <c r="B3176" s="2" t="inlineStr">
        <is>
          <t xml:space="preserve">2014-03</t>
        </is>
      </c>
      <c r="C3176" s="2" t="inlineStr">
        <is>
          <t xml:space="preserve">2013/14</t>
        </is>
      </c>
      <c r="D3176">
        <v>0.104</v>
      </c>
      <c r="E3176">
        <v>23.86</v>
      </c>
      <c r="F3176">
        <v>31.97</v>
      </c>
      <c r="G3176">
        <v>17.46</v>
      </c>
      <c r="H3176">
        <v>1.3</v>
      </c>
      <c r="I3176">
        <v>8.4</v>
      </c>
      <c r="J3176">
        <v>23.92</v>
      </c>
      <c r="K3176">
        <v>30.25</v>
      </c>
      <c r="L3176">
        <v>19.16</v>
      </c>
      <c r="M3176">
        <v>9.64</v>
      </c>
      <c r="N3176">
        <v>31.928</v>
      </c>
      <c r="O3176">
        <v>22.5</v>
      </c>
      <c r="P3176">
        <v>28.32</v>
      </c>
      <c r="Q3176">
        <v>18.69</v>
      </c>
      <c r="R3176">
        <v>13.26</v>
      </c>
    </row>
    <row r="3177">
      <c r="A3177" s="9">
        <v>41708</v>
      </c>
      <c r="B3177" s="2" t="inlineStr">
        <is>
          <t xml:space="preserve">2014-03</t>
        </is>
      </c>
      <c r="C3177" s="2" t="inlineStr">
        <is>
          <t xml:space="preserve">2013/14</t>
        </is>
      </c>
      <c r="D3177">
        <v>0.0</v>
      </c>
      <c r="E3177">
        <v>23.88</v>
      </c>
      <c r="F3177">
        <v>31.44</v>
      </c>
      <c r="G3177">
        <v>18.17</v>
      </c>
      <c r="H3177">
        <v>0.39</v>
      </c>
      <c r="I3177">
        <v>0.258</v>
      </c>
      <c r="J3177">
        <v>23.95</v>
      </c>
      <c r="K3177">
        <v>30.35</v>
      </c>
      <c r="L3177">
        <v>19.25</v>
      </c>
      <c r="M3177">
        <v>0.51</v>
      </c>
      <c r="N3177">
        <v>0.35</v>
      </c>
      <c r="O3177">
        <v>22.04</v>
      </c>
      <c r="P3177">
        <v>27.19</v>
      </c>
      <c r="Q3177">
        <v>18.43</v>
      </c>
      <c r="R3177">
        <v>1.26</v>
      </c>
    </row>
    <row r="3178">
      <c r="A3178" s="9">
        <v>41709</v>
      </c>
      <c r="B3178" s="2" t="inlineStr">
        <is>
          <t xml:space="preserve">2014-03</t>
        </is>
      </c>
      <c r="C3178" s="2" t="inlineStr">
        <is>
          <t xml:space="preserve">2013/14</t>
        </is>
      </c>
      <c r="D3178">
        <v>0.0</v>
      </c>
      <c r="E3178">
        <v>24.88</v>
      </c>
      <c r="F3178">
        <v>32.81</v>
      </c>
      <c r="G3178">
        <v>18.34</v>
      </c>
      <c r="H3178">
        <v>0.06</v>
      </c>
      <c r="I3178">
        <v>0.528</v>
      </c>
      <c r="J3178">
        <v>24.7</v>
      </c>
      <c r="K3178">
        <v>32.43</v>
      </c>
      <c r="L3178">
        <v>18.58</v>
      </c>
      <c r="M3178">
        <v>0.23</v>
      </c>
      <c r="N3178">
        <v>0.028</v>
      </c>
      <c r="O3178">
        <v>23.71</v>
      </c>
      <c r="P3178">
        <v>30.05</v>
      </c>
      <c r="Q3178">
        <v>18.68</v>
      </c>
      <c r="R3178">
        <v>0.05</v>
      </c>
    </row>
    <row r="3179">
      <c r="A3179" s="9">
        <v>41710</v>
      </c>
      <c r="B3179" s="2" t="inlineStr">
        <is>
          <t xml:space="preserve">2014-03</t>
        </is>
      </c>
      <c r="C3179" s="2" t="inlineStr">
        <is>
          <t xml:space="preserve">2013/14</t>
        </is>
      </c>
      <c r="D3179">
        <v>0.0</v>
      </c>
      <c r="E3179">
        <v>25.14</v>
      </c>
      <c r="F3179">
        <v>32.96</v>
      </c>
      <c r="G3179">
        <v>18.25</v>
      </c>
      <c r="H3179">
        <v>0.35</v>
      </c>
      <c r="I3179">
        <v>0.0</v>
      </c>
      <c r="J3179">
        <v>25.09</v>
      </c>
      <c r="K3179">
        <v>32.15</v>
      </c>
      <c r="L3179">
        <v>19.26</v>
      </c>
      <c r="M3179">
        <v>0.73</v>
      </c>
      <c r="N3179">
        <v>0.0</v>
      </c>
      <c r="O3179">
        <v>23.84</v>
      </c>
      <c r="P3179">
        <v>30.29</v>
      </c>
      <c r="Q3179">
        <v>18.56</v>
      </c>
      <c r="R3179">
        <v>1.56</v>
      </c>
    </row>
    <row r="3180">
      <c r="A3180" s="9">
        <v>41711</v>
      </c>
      <c r="B3180" s="2" t="inlineStr">
        <is>
          <t xml:space="preserve">2014-03</t>
        </is>
      </c>
      <c r="C3180" s="2" t="inlineStr">
        <is>
          <t xml:space="preserve">2013/14</t>
        </is>
      </c>
      <c r="D3180">
        <v>0.155</v>
      </c>
      <c r="E3180">
        <v>22.98</v>
      </c>
      <c r="F3180">
        <v>29.58</v>
      </c>
      <c r="G3180">
        <v>18.22</v>
      </c>
      <c r="H3180">
        <v>1.84</v>
      </c>
      <c r="I3180">
        <v>2.216</v>
      </c>
      <c r="J3180">
        <v>22.72</v>
      </c>
      <c r="K3180">
        <v>27.46</v>
      </c>
      <c r="L3180">
        <v>19.4</v>
      </c>
      <c r="M3180">
        <v>8.3</v>
      </c>
      <c r="N3180">
        <v>9.679</v>
      </c>
      <c r="O3180">
        <v>21.5</v>
      </c>
      <c r="P3180">
        <v>25.45</v>
      </c>
      <c r="Q3180">
        <v>18.89</v>
      </c>
      <c r="R3180">
        <v>19.78</v>
      </c>
    </row>
    <row r="3181">
      <c r="A3181" s="9">
        <v>41712</v>
      </c>
      <c r="B3181" s="2" t="inlineStr">
        <is>
          <t xml:space="preserve">2014-03</t>
        </is>
      </c>
      <c r="C3181" s="2" t="inlineStr">
        <is>
          <t xml:space="preserve">2013/14</t>
        </is>
      </c>
      <c r="D3181">
        <v>0.086</v>
      </c>
      <c r="E3181">
        <v>22.32</v>
      </c>
      <c r="F3181">
        <v>30.39</v>
      </c>
      <c r="G3181">
        <v>16.47</v>
      </c>
      <c r="H3181">
        <v>1.06</v>
      </c>
      <c r="I3181">
        <v>5.362</v>
      </c>
      <c r="J3181">
        <v>21.42</v>
      </c>
      <c r="K3181">
        <v>27.86</v>
      </c>
      <c r="L3181">
        <v>16.87</v>
      </c>
      <c r="M3181">
        <v>6.57</v>
      </c>
      <c r="N3181">
        <v>20.349</v>
      </c>
      <c r="O3181">
        <v>20.23</v>
      </c>
      <c r="P3181">
        <v>24.64</v>
      </c>
      <c r="Q3181">
        <v>17.34</v>
      </c>
      <c r="R3181">
        <v>8.91</v>
      </c>
    </row>
    <row r="3182">
      <c r="A3182" s="9">
        <v>41713</v>
      </c>
      <c r="B3182" s="2" t="inlineStr">
        <is>
          <t xml:space="preserve">2014-03</t>
        </is>
      </c>
      <c r="C3182" s="2" t="inlineStr">
        <is>
          <t xml:space="preserve">2013/14</t>
        </is>
      </c>
      <c r="D3182">
        <v>0.0</v>
      </c>
      <c r="E3182">
        <v>23.7</v>
      </c>
      <c r="F3182">
        <v>32.24</v>
      </c>
      <c r="G3182">
        <v>16.21</v>
      </c>
      <c r="H3182">
        <v>0.08</v>
      </c>
      <c r="I3182">
        <v>0.0</v>
      </c>
      <c r="J3182">
        <v>23.34</v>
      </c>
      <c r="K3182">
        <v>30.81</v>
      </c>
      <c r="L3182">
        <v>16.76</v>
      </c>
      <c r="M3182">
        <v>0.0</v>
      </c>
      <c r="N3182">
        <v>0.0</v>
      </c>
      <c r="O3182">
        <v>21.82</v>
      </c>
      <c r="P3182">
        <v>28.0</v>
      </c>
      <c r="Q3182">
        <v>17.43</v>
      </c>
      <c r="R3182">
        <v>0.0</v>
      </c>
    </row>
    <row r="3183">
      <c r="A3183" s="9">
        <v>41714</v>
      </c>
      <c r="B3183" s="2" t="inlineStr">
        <is>
          <t xml:space="preserve">2014-03</t>
        </is>
      </c>
      <c r="C3183" s="2" t="inlineStr">
        <is>
          <t xml:space="preserve">2013/14</t>
        </is>
      </c>
      <c r="D3183">
        <v>0.0</v>
      </c>
      <c r="E3183">
        <v>24.64</v>
      </c>
      <c r="F3183">
        <v>33.33</v>
      </c>
      <c r="G3183">
        <v>17.53</v>
      </c>
      <c r="H3183">
        <v>0.0</v>
      </c>
      <c r="I3183">
        <v>0.0</v>
      </c>
      <c r="J3183">
        <v>23.92</v>
      </c>
      <c r="K3183">
        <v>30.94</v>
      </c>
      <c r="L3183">
        <v>17.96</v>
      </c>
      <c r="M3183">
        <v>0.0</v>
      </c>
      <c r="N3183">
        <v>0.0</v>
      </c>
      <c r="O3183">
        <v>23.12</v>
      </c>
      <c r="P3183">
        <v>30.21</v>
      </c>
      <c r="Q3183">
        <v>16.82</v>
      </c>
      <c r="R3183">
        <v>0.0</v>
      </c>
    </row>
    <row r="3184">
      <c r="A3184" s="9">
        <v>41715</v>
      </c>
      <c r="B3184" s="2" t="inlineStr">
        <is>
          <t xml:space="preserve">2014-03</t>
        </is>
      </c>
      <c r="C3184" s="2" t="inlineStr">
        <is>
          <t xml:space="preserve">2013/14</t>
        </is>
      </c>
      <c r="D3184">
        <v>0.0</v>
      </c>
      <c r="E3184">
        <v>24.46</v>
      </c>
      <c r="F3184">
        <v>33.58</v>
      </c>
      <c r="G3184">
        <v>17.1</v>
      </c>
      <c r="H3184">
        <v>0.54</v>
      </c>
      <c r="I3184">
        <v>0.0</v>
      </c>
      <c r="J3184">
        <v>23.13</v>
      </c>
      <c r="K3184">
        <v>28.86</v>
      </c>
      <c r="L3184">
        <v>17.65</v>
      </c>
      <c r="M3184">
        <v>0.05</v>
      </c>
      <c r="N3184">
        <v>0.0</v>
      </c>
      <c r="O3184">
        <v>22.04</v>
      </c>
      <c r="P3184">
        <v>26.02</v>
      </c>
      <c r="Q3184">
        <v>17.77</v>
      </c>
      <c r="R3184">
        <v>0.11</v>
      </c>
    </row>
    <row r="3185">
      <c r="A3185" s="9">
        <v>41716</v>
      </c>
      <c r="B3185" s="2" t="inlineStr">
        <is>
          <t xml:space="preserve">2014-03</t>
        </is>
      </c>
      <c r="C3185" s="2" t="inlineStr">
        <is>
          <t xml:space="preserve">2013/14</t>
        </is>
      </c>
      <c r="D3185">
        <v>0.028</v>
      </c>
      <c r="E3185">
        <v>22.27</v>
      </c>
      <c r="F3185">
        <v>28.07</v>
      </c>
      <c r="G3185">
        <v>18.37</v>
      </c>
      <c r="H3185">
        <v>1.18</v>
      </c>
      <c r="I3185">
        <v>0.0</v>
      </c>
      <c r="J3185">
        <v>22.7</v>
      </c>
      <c r="K3185">
        <v>30.62</v>
      </c>
      <c r="L3185">
        <v>15.74</v>
      </c>
      <c r="M3185">
        <v>0.02</v>
      </c>
      <c r="N3185">
        <v>0.029</v>
      </c>
      <c r="O3185">
        <v>20.4</v>
      </c>
      <c r="P3185">
        <v>26.23</v>
      </c>
      <c r="Q3185">
        <v>15.95</v>
      </c>
      <c r="R3185">
        <v>0.04</v>
      </c>
    </row>
    <row r="3186">
      <c r="A3186" s="9">
        <v>41717</v>
      </c>
      <c r="B3186" s="2" t="inlineStr">
        <is>
          <t xml:space="preserve">2014-03</t>
        </is>
      </c>
      <c r="C3186" s="2" t="inlineStr">
        <is>
          <t xml:space="preserve">2013/14</t>
        </is>
      </c>
      <c r="D3186">
        <v>0.0</v>
      </c>
      <c r="E3186">
        <v>23.94</v>
      </c>
      <c r="F3186">
        <v>32.86</v>
      </c>
      <c r="G3186">
        <v>17.33</v>
      </c>
      <c r="H3186">
        <v>0.01</v>
      </c>
      <c r="I3186">
        <v>0.0</v>
      </c>
      <c r="J3186">
        <v>24.38</v>
      </c>
      <c r="K3186">
        <v>32.53</v>
      </c>
      <c r="L3186">
        <v>17.43</v>
      </c>
      <c r="M3186">
        <v>0.03</v>
      </c>
      <c r="N3186">
        <v>0.0</v>
      </c>
      <c r="O3186">
        <v>22.04</v>
      </c>
      <c r="P3186">
        <v>28.72</v>
      </c>
      <c r="Q3186">
        <v>16.55</v>
      </c>
      <c r="R3186">
        <v>0.06</v>
      </c>
    </row>
    <row r="3187">
      <c r="A3187" s="9">
        <v>41718</v>
      </c>
      <c r="B3187" s="2" t="inlineStr">
        <is>
          <t xml:space="preserve">2014-03</t>
        </is>
      </c>
      <c r="C3187" s="2" t="inlineStr">
        <is>
          <t xml:space="preserve">2013/14</t>
        </is>
      </c>
      <c r="D3187">
        <v>0.0</v>
      </c>
      <c r="E3187">
        <v>23.78</v>
      </c>
      <c r="F3187">
        <v>32.25</v>
      </c>
      <c r="G3187">
        <v>17.06</v>
      </c>
      <c r="H3187">
        <v>0.36</v>
      </c>
      <c r="I3187">
        <v>0.0</v>
      </c>
      <c r="J3187">
        <v>23.59</v>
      </c>
      <c r="K3187">
        <v>31.21</v>
      </c>
      <c r="L3187">
        <v>18.05</v>
      </c>
      <c r="M3187">
        <v>0.42</v>
      </c>
      <c r="N3187">
        <v>0.163</v>
      </c>
      <c r="O3187">
        <v>21.83</v>
      </c>
      <c r="P3187">
        <v>27.34</v>
      </c>
      <c r="Q3187">
        <v>18.24</v>
      </c>
      <c r="R3187">
        <v>1.39</v>
      </c>
    </row>
    <row r="3188">
      <c r="A3188" s="9">
        <v>41719</v>
      </c>
      <c r="B3188" s="2" t="inlineStr">
        <is>
          <t xml:space="preserve">2014-03</t>
        </is>
      </c>
      <c r="C3188" s="2" t="inlineStr">
        <is>
          <t xml:space="preserve">2013/14</t>
        </is>
      </c>
      <c r="D3188">
        <v>0.0</v>
      </c>
      <c r="E3188">
        <v>23.64</v>
      </c>
      <c r="F3188">
        <v>32.28</v>
      </c>
      <c r="G3188">
        <v>17.33</v>
      </c>
      <c r="H3188">
        <v>0.26</v>
      </c>
      <c r="I3188">
        <v>0.041</v>
      </c>
      <c r="J3188">
        <v>23.53</v>
      </c>
      <c r="K3188">
        <v>30.7</v>
      </c>
      <c r="L3188">
        <v>18.01</v>
      </c>
      <c r="M3188">
        <v>0.16</v>
      </c>
      <c r="N3188">
        <v>0.493</v>
      </c>
      <c r="O3188">
        <v>21.97</v>
      </c>
      <c r="P3188">
        <v>27.59</v>
      </c>
      <c r="Q3188">
        <v>18.09</v>
      </c>
      <c r="R3188">
        <v>0.28</v>
      </c>
    </row>
    <row r="3189">
      <c r="A3189" s="9">
        <v>41720</v>
      </c>
      <c r="B3189" s="2" t="inlineStr">
        <is>
          <t xml:space="preserve">2014-03</t>
        </is>
      </c>
      <c r="C3189" s="2" t="inlineStr">
        <is>
          <t xml:space="preserve">2013/14</t>
        </is>
      </c>
      <c r="D3189">
        <v>0.0</v>
      </c>
      <c r="E3189">
        <v>24.11</v>
      </c>
      <c r="F3189">
        <v>33.07</v>
      </c>
      <c r="G3189">
        <v>17.34</v>
      </c>
      <c r="H3189">
        <v>0.0</v>
      </c>
      <c r="I3189">
        <v>0.0</v>
      </c>
      <c r="J3189">
        <v>24.65</v>
      </c>
      <c r="K3189">
        <v>32.57</v>
      </c>
      <c r="L3189">
        <v>18.09</v>
      </c>
      <c r="M3189">
        <v>0.0</v>
      </c>
      <c r="N3189">
        <v>0.0</v>
      </c>
      <c r="O3189">
        <v>22.57</v>
      </c>
      <c r="P3189">
        <v>29.04</v>
      </c>
      <c r="Q3189">
        <v>18.01</v>
      </c>
      <c r="R3189">
        <v>0.0</v>
      </c>
    </row>
    <row r="3190">
      <c r="A3190" s="9">
        <v>41721</v>
      </c>
      <c r="B3190" s="2" t="inlineStr">
        <is>
          <t xml:space="preserve">2014-03</t>
        </is>
      </c>
      <c r="C3190" s="2" t="inlineStr">
        <is>
          <t xml:space="preserve">2013/14</t>
        </is>
      </c>
      <c r="D3190">
        <v>0.0</v>
      </c>
      <c r="E3190">
        <v>24.01</v>
      </c>
      <c r="F3190">
        <v>33.69</v>
      </c>
      <c r="G3190">
        <v>16.63</v>
      </c>
      <c r="H3190">
        <v>0.0</v>
      </c>
      <c r="I3190">
        <v>0.0</v>
      </c>
      <c r="J3190">
        <v>24.84</v>
      </c>
      <c r="K3190">
        <v>32.58</v>
      </c>
      <c r="L3190">
        <v>17.96</v>
      </c>
      <c r="M3190">
        <v>0.01</v>
      </c>
      <c r="N3190">
        <v>0.0</v>
      </c>
      <c r="O3190">
        <v>22.82</v>
      </c>
      <c r="P3190">
        <v>29.24</v>
      </c>
      <c r="Q3190">
        <v>18.62</v>
      </c>
      <c r="R3190">
        <v>0.07</v>
      </c>
    </row>
    <row r="3191">
      <c r="A3191" s="9">
        <v>41722</v>
      </c>
      <c r="B3191" s="2" t="inlineStr">
        <is>
          <t xml:space="preserve">2014-03</t>
        </is>
      </c>
      <c r="C3191" s="2" t="inlineStr">
        <is>
          <t xml:space="preserve">2013/14</t>
        </is>
      </c>
      <c r="D3191">
        <v>0.0</v>
      </c>
      <c r="E3191">
        <v>24.06</v>
      </c>
      <c r="F3191">
        <v>33.2</v>
      </c>
      <c r="G3191">
        <v>15.83</v>
      </c>
      <c r="H3191">
        <v>0.0</v>
      </c>
      <c r="I3191">
        <v>0.0</v>
      </c>
      <c r="J3191">
        <v>24.66</v>
      </c>
      <c r="K3191">
        <v>32.61</v>
      </c>
      <c r="L3191">
        <v>17.82</v>
      </c>
      <c r="M3191">
        <v>0.0</v>
      </c>
      <c r="N3191">
        <v>0.0</v>
      </c>
      <c r="O3191">
        <v>22.4</v>
      </c>
      <c r="P3191">
        <v>28.73</v>
      </c>
      <c r="Q3191">
        <v>18.01</v>
      </c>
      <c r="R3191">
        <v>0.0</v>
      </c>
    </row>
    <row r="3192">
      <c r="A3192" s="9">
        <v>41723</v>
      </c>
      <c r="B3192" s="2" t="inlineStr">
        <is>
          <t xml:space="preserve">2014-03</t>
        </is>
      </c>
      <c r="C3192" s="2" t="inlineStr">
        <is>
          <t xml:space="preserve">2013/14</t>
        </is>
      </c>
      <c r="D3192">
        <v>0.0</v>
      </c>
      <c r="E3192">
        <v>24.93</v>
      </c>
      <c r="F3192">
        <v>34.23</v>
      </c>
      <c r="G3192">
        <v>17.38</v>
      </c>
      <c r="H3192">
        <v>0.01</v>
      </c>
      <c r="I3192">
        <v>0.0</v>
      </c>
      <c r="J3192">
        <v>24.67</v>
      </c>
      <c r="K3192">
        <v>32.7</v>
      </c>
      <c r="L3192">
        <v>18.22</v>
      </c>
      <c r="M3192">
        <v>0.39</v>
      </c>
      <c r="N3192">
        <v>0.0</v>
      </c>
      <c r="O3192">
        <v>22.76</v>
      </c>
      <c r="P3192">
        <v>28.92</v>
      </c>
      <c r="Q3192">
        <v>18.26</v>
      </c>
      <c r="R3192">
        <v>0.08</v>
      </c>
    </row>
    <row r="3193">
      <c r="A3193" s="9">
        <v>41724</v>
      </c>
      <c r="B3193" s="2" t="inlineStr">
        <is>
          <t xml:space="preserve">2014-03</t>
        </is>
      </c>
      <c r="C3193" s="2" t="inlineStr">
        <is>
          <t xml:space="preserve">2013/14</t>
        </is>
      </c>
      <c r="D3193">
        <v>0.0</v>
      </c>
      <c r="E3193">
        <v>24.77</v>
      </c>
      <c r="F3193">
        <v>33.58</v>
      </c>
      <c r="G3193">
        <v>18.15</v>
      </c>
      <c r="H3193">
        <v>0.09</v>
      </c>
      <c r="I3193">
        <v>0.918</v>
      </c>
      <c r="J3193">
        <v>24.08</v>
      </c>
      <c r="K3193">
        <v>31.42</v>
      </c>
      <c r="L3193">
        <v>18.39</v>
      </c>
      <c r="M3193">
        <v>0.58</v>
      </c>
      <c r="N3193">
        <v>0.05</v>
      </c>
      <c r="O3193">
        <v>22.24</v>
      </c>
      <c r="P3193">
        <v>27.67</v>
      </c>
      <c r="Q3193">
        <v>18.23</v>
      </c>
      <c r="R3193">
        <v>1.21</v>
      </c>
    </row>
    <row r="3194">
      <c r="A3194" s="9">
        <v>41725</v>
      </c>
      <c r="B3194" s="2" t="inlineStr">
        <is>
          <t xml:space="preserve">2014-03</t>
        </is>
      </c>
      <c r="C3194" s="2" t="inlineStr">
        <is>
          <t xml:space="preserve">2013/14</t>
        </is>
      </c>
      <c r="D3194">
        <v>0.0</v>
      </c>
      <c r="E3194">
        <v>24.14</v>
      </c>
      <c r="F3194">
        <v>32.95</v>
      </c>
      <c r="G3194">
        <v>15.76</v>
      </c>
      <c r="H3194">
        <v>0.17</v>
      </c>
      <c r="I3194">
        <v>0.0</v>
      </c>
      <c r="J3194">
        <v>24.93</v>
      </c>
      <c r="K3194">
        <v>33.46</v>
      </c>
      <c r="L3194">
        <v>18.45</v>
      </c>
      <c r="M3194">
        <v>1.13</v>
      </c>
      <c r="N3194">
        <v>0.808</v>
      </c>
      <c r="O3194">
        <v>23.08</v>
      </c>
      <c r="P3194">
        <v>29.92</v>
      </c>
      <c r="Q3194">
        <v>18.83</v>
      </c>
      <c r="R3194">
        <v>5.32</v>
      </c>
    </row>
    <row r="3195">
      <c r="A3195" s="9">
        <v>41726</v>
      </c>
      <c r="B3195" s="2" t="inlineStr">
        <is>
          <t xml:space="preserve">2014-03</t>
        </is>
      </c>
      <c r="C3195" s="2" t="inlineStr">
        <is>
          <t xml:space="preserve">2013/14</t>
        </is>
      </c>
      <c r="D3195">
        <v>0.0</v>
      </c>
      <c r="E3195">
        <v>24.44</v>
      </c>
      <c r="F3195">
        <v>33.63</v>
      </c>
      <c r="G3195">
        <v>15.24</v>
      </c>
      <c r="H3195">
        <v>0.0</v>
      </c>
      <c r="I3195">
        <v>0.0</v>
      </c>
      <c r="J3195">
        <v>25.62</v>
      </c>
      <c r="K3195">
        <v>35.2</v>
      </c>
      <c r="L3195">
        <v>18.29</v>
      </c>
      <c r="M3195">
        <v>0.0</v>
      </c>
      <c r="N3195">
        <v>0.0</v>
      </c>
      <c r="O3195">
        <v>23.58</v>
      </c>
      <c r="P3195">
        <v>31.67</v>
      </c>
      <c r="Q3195">
        <v>17.41</v>
      </c>
      <c r="R3195">
        <v>0.0</v>
      </c>
    </row>
    <row r="3196">
      <c r="A3196" s="9">
        <v>41727</v>
      </c>
      <c r="B3196" s="2" t="inlineStr">
        <is>
          <t xml:space="preserve">2014-03</t>
        </is>
      </c>
      <c r="C3196" s="2" t="inlineStr">
        <is>
          <t xml:space="preserve">2013/14</t>
        </is>
      </c>
      <c r="D3196">
        <v>0.0</v>
      </c>
      <c r="E3196">
        <v>25.14</v>
      </c>
      <c r="F3196">
        <v>35.68</v>
      </c>
      <c r="G3196">
        <v>16.61</v>
      </c>
      <c r="H3196">
        <v>0.0</v>
      </c>
      <c r="I3196">
        <v>0.0</v>
      </c>
      <c r="J3196">
        <v>25.82</v>
      </c>
      <c r="K3196">
        <v>34.99</v>
      </c>
      <c r="L3196">
        <v>18.18</v>
      </c>
      <c r="M3196">
        <v>0.0</v>
      </c>
      <c r="N3196">
        <v>0.0</v>
      </c>
      <c r="O3196">
        <v>23.89</v>
      </c>
      <c r="P3196">
        <v>31.0</v>
      </c>
      <c r="Q3196">
        <v>19.12</v>
      </c>
      <c r="R3196">
        <v>0.0</v>
      </c>
    </row>
    <row r="3197">
      <c r="A3197" s="9">
        <v>41728</v>
      </c>
      <c r="B3197" s="2" t="inlineStr">
        <is>
          <t xml:space="preserve">2014-03</t>
        </is>
      </c>
      <c r="C3197" s="2" t="inlineStr">
        <is>
          <t xml:space="preserve">2013/14</t>
        </is>
      </c>
      <c r="D3197">
        <v>0.0</v>
      </c>
      <c r="E3197">
        <v>24.32</v>
      </c>
      <c r="F3197">
        <v>33.51</v>
      </c>
      <c r="G3197">
        <v>17.15</v>
      </c>
      <c r="H3197">
        <v>0.08</v>
      </c>
      <c r="I3197">
        <v>0.0</v>
      </c>
      <c r="J3197">
        <v>23.57</v>
      </c>
      <c r="K3197">
        <v>31.12</v>
      </c>
      <c r="L3197">
        <v>17.37</v>
      </c>
      <c r="M3197">
        <v>0.02</v>
      </c>
      <c r="N3197">
        <v>0.0</v>
      </c>
      <c r="O3197">
        <v>22.28</v>
      </c>
      <c r="P3197">
        <v>28.38</v>
      </c>
      <c r="Q3197">
        <v>17.99</v>
      </c>
      <c r="R3197">
        <v>0.12</v>
      </c>
    </row>
    <row r="3198">
      <c r="A3198" s="9">
        <v>41729</v>
      </c>
      <c r="B3198" s="2" t="inlineStr">
        <is>
          <t xml:space="preserve">2014-03</t>
        </is>
      </c>
      <c r="C3198" s="2" t="inlineStr">
        <is>
          <t xml:space="preserve">2013/14</t>
        </is>
      </c>
      <c r="D3198">
        <v>0.0</v>
      </c>
      <c r="E3198">
        <v>24.76</v>
      </c>
      <c r="F3198">
        <v>33.22</v>
      </c>
      <c r="G3198">
        <v>17.77</v>
      </c>
      <c r="H3198">
        <v>0.48</v>
      </c>
      <c r="I3198">
        <v>0.0</v>
      </c>
      <c r="J3198">
        <v>24.44</v>
      </c>
      <c r="K3198">
        <v>32.58</v>
      </c>
      <c r="L3198">
        <v>17.42</v>
      </c>
      <c r="M3198">
        <v>0.17</v>
      </c>
      <c r="N3198">
        <v>0.0</v>
      </c>
      <c r="O3198">
        <v>22.57</v>
      </c>
      <c r="P3198">
        <v>29.05</v>
      </c>
      <c r="Q3198">
        <v>18.08</v>
      </c>
      <c r="R3198">
        <v>0.75</v>
      </c>
    </row>
    <row r="3199">
      <c r="A3199" s="9">
        <v>41730</v>
      </c>
      <c r="B3199" s="2" t="inlineStr">
        <is>
          <t xml:space="preserve">2014-04</t>
        </is>
      </c>
      <c r="C3199" s="2" t="inlineStr">
        <is>
          <t xml:space="preserve">2013/14</t>
        </is>
      </c>
      <c r="D3199">
        <v>0.0</v>
      </c>
      <c r="E3199">
        <v>25.45</v>
      </c>
      <c r="F3199">
        <v>33.88</v>
      </c>
      <c r="G3199">
        <v>18.3</v>
      </c>
      <c r="H3199">
        <v>0.05</v>
      </c>
      <c r="I3199">
        <v>0.0</v>
      </c>
      <c r="J3199">
        <v>24.83</v>
      </c>
      <c r="K3199">
        <v>32.29</v>
      </c>
      <c r="L3199">
        <v>18.79</v>
      </c>
      <c r="M3199">
        <v>0.37</v>
      </c>
      <c r="N3199">
        <v>0.262</v>
      </c>
      <c r="O3199">
        <v>22.76</v>
      </c>
      <c r="P3199">
        <v>28.77</v>
      </c>
      <c r="Q3199">
        <v>18.78</v>
      </c>
      <c r="R3199">
        <v>1.38</v>
      </c>
    </row>
    <row r="3200">
      <c r="A3200" s="9">
        <v>41731</v>
      </c>
      <c r="B3200" s="2" t="inlineStr">
        <is>
          <t xml:space="preserve">2014-04</t>
        </is>
      </c>
      <c r="C3200" s="2" t="inlineStr">
        <is>
          <t xml:space="preserve">2013/14</t>
        </is>
      </c>
      <c r="D3200">
        <v>0.0</v>
      </c>
      <c r="E3200">
        <v>25.83</v>
      </c>
      <c r="F3200">
        <v>34.17</v>
      </c>
      <c r="G3200">
        <v>17.83</v>
      </c>
      <c r="H3200">
        <v>0.0</v>
      </c>
      <c r="I3200">
        <v>0.0</v>
      </c>
      <c r="J3200">
        <v>25.79</v>
      </c>
      <c r="K3200">
        <v>33.29</v>
      </c>
      <c r="L3200">
        <v>18.97</v>
      </c>
      <c r="M3200">
        <v>0.03</v>
      </c>
      <c r="N3200">
        <v>0.026</v>
      </c>
      <c r="O3200">
        <v>23.61</v>
      </c>
      <c r="P3200">
        <v>30.31</v>
      </c>
      <c r="Q3200">
        <v>19.21</v>
      </c>
      <c r="R3200">
        <v>0.16</v>
      </c>
    </row>
    <row r="3201">
      <c r="A3201" s="9">
        <v>41732</v>
      </c>
      <c r="B3201" s="2" t="inlineStr">
        <is>
          <t xml:space="preserve">2014-04</t>
        </is>
      </c>
      <c r="C3201" s="2" t="inlineStr">
        <is>
          <t xml:space="preserve">2013/14</t>
        </is>
      </c>
      <c r="D3201">
        <v>0.0</v>
      </c>
      <c r="E3201">
        <v>26.35</v>
      </c>
      <c r="F3201">
        <v>34.58</v>
      </c>
      <c r="G3201">
        <v>18.64</v>
      </c>
      <c r="H3201">
        <v>0.0</v>
      </c>
      <c r="I3201">
        <v>0.0</v>
      </c>
      <c r="J3201">
        <v>26.38</v>
      </c>
      <c r="K3201">
        <v>34.05</v>
      </c>
      <c r="L3201">
        <v>19.89</v>
      </c>
      <c r="M3201">
        <v>0.0</v>
      </c>
      <c r="N3201">
        <v>0.0</v>
      </c>
      <c r="O3201">
        <v>24.52</v>
      </c>
      <c r="P3201">
        <v>31.24</v>
      </c>
      <c r="Q3201">
        <v>19.49</v>
      </c>
      <c r="R3201">
        <v>0.0</v>
      </c>
    </row>
    <row r="3202">
      <c r="A3202" s="9">
        <v>41733</v>
      </c>
      <c r="B3202" s="2" t="inlineStr">
        <is>
          <t xml:space="preserve">2014-04</t>
        </is>
      </c>
      <c r="C3202" s="2" t="inlineStr">
        <is>
          <t xml:space="preserve">2013/14</t>
        </is>
      </c>
      <c r="D3202">
        <v>0.0</v>
      </c>
      <c r="E3202">
        <v>27.17</v>
      </c>
      <c r="F3202">
        <v>35.9</v>
      </c>
      <c r="G3202">
        <v>18.37</v>
      </c>
      <c r="H3202">
        <v>0.0</v>
      </c>
      <c r="I3202">
        <v>0.0</v>
      </c>
      <c r="J3202">
        <v>26.71</v>
      </c>
      <c r="K3202">
        <v>34.3</v>
      </c>
      <c r="L3202">
        <v>20.38</v>
      </c>
      <c r="M3202">
        <v>0.02</v>
      </c>
      <c r="N3202">
        <v>0.0</v>
      </c>
      <c r="O3202">
        <v>25.1</v>
      </c>
      <c r="P3202">
        <v>32.43</v>
      </c>
      <c r="Q3202">
        <v>19.24</v>
      </c>
      <c r="R3202">
        <v>0.04</v>
      </c>
    </row>
    <row r="3203">
      <c r="A3203" s="9">
        <v>41734</v>
      </c>
      <c r="B3203" s="2" t="inlineStr">
        <is>
          <t xml:space="preserve">2014-04</t>
        </is>
      </c>
      <c r="C3203" s="2" t="inlineStr">
        <is>
          <t xml:space="preserve">2013/14</t>
        </is>
      </c>
      <c r="D3203">
        <v>0.0</v>
      </c>
      <c r="E3203">
        <v>26.69</v>
      </c>
      <c r="F3203">
        <v>34.59</v>
      </c>
      <c r="G3203">
        <v>19.44</v>
      </c>
      <c r="H3203">
        <v>0.0</v>
      </c>
      <c r="I3203">
        <v>0.0</v>
      </c>
      <c r="J3203">
        <v>26.62</v>
      </c>
      <c r="K3203">
        <v>33.78</v>
      </c>
      <c r="L3203">
        <v>20.78</v>
      </c>
      <c r="M3203">
        <v>0.18</v>
      </c>
      <c r="N3203">
        <v>0.0</v>
      </c>
      <c r="O3203">
        <v>24.67</v>
      </c>
      <c r="P3203">
        <v>31.15</v>
      </c>
      <c r="Q3203">
        <v>20.04</v>
      </c>
      <c r="R3203">
        <v>0.14</v>
      </c>
    </row>
    <row r="3204">
      <c r="A3204" s="9">
        <v>41735</v>
      </c>
      <c r="B3204" s="2" t="inlineStr">
        <is>
          <t xml:space="preserve">2014-04</t>
        </is>
      </c>
      <c r="C3204" s="2" t="inlineStr">
        <is>
          <t xml:space="preserve">2013/14</t>
        </is>
      </c>
      <c r="D3204">
        <v>0.0</v>
      </c>
      <c r="E3204">
        <v>26.42</v>
      </c>
      <c r="F3204">
        <v>34.6</v>
      </c>
      <c r="G3204">
        <v>19.29</v>
      </c>
      <c r="H3204">
        <v>0.0</v>
      </c>
      <c r="I3204">
        <v>0.0</v>
      </c>
      <c r="J3204">
        <v>24.97</v>
      </c>
      <c r="K3204">
        <v>30.52</v>
      </c>
      <c r="L3204">
        <v>21.33</v>
      </c>
      <c r="M3204">
        <v>0.0</v>
      </c>
      <c r="N3204">
        <v>0.0</v>
      </c>
      <c r="O3204">
        <v>24.53</v>
      </c>
      <c r="P3204">
        <v>30.44</v>
      </c>
      <c r="Q3204">
        <v>20.21</v>
      </c>
      <c r="R3204">
        <v>0.0</v>
      </c>
    </row>
    <row r="3205">
      <c r="A3205" s="9">
        <v>41736</v>
      </c>
      <c r="B3205" s="2" t="inlineStr">
        <is>
          <t xml:space="preserve">2014-04</t>
        </is>
      </c>
      <c r="C3205" s="2" t="inlineStr">
        <is>
          <t xml:space="preserve">2013/14</t>
        </is>
      </c>
      <c r="D3205">
        <v>0.0</v>
      </c>
      <c r="E3205">
        <v>25.46</v>
      </c>
      <c r="F3205">
        <v>34.91</v>
      </c>
      <c r="G3205">
        <v>18.22</v>
      </c>
      <c r="H3205">
        <v>0.0</v>
      </c>
      <c r="I3205">
        <v>0.0</v>
      </c>
      <c r="J3205">
        <v>24.72</v>
      </c>
      <c r="K3205">
        <v>32.99</v>
      </c>
      <c r="L3205">
        <v>18.28</v>
      </c>
      <c r="M3205">
        <v>0.0</v>
      </c>
      <c r="N3205">
        <v>0.0</v>
      </c>
      <c r="O3205">
        <v>25.1</v>
      </c>
      <c r="P3205">
        <v>33.03</v>
      </c>
      <c r="Q3205">
        <v>18.87</v>
      </c>
      <c r="R3205">
        <v>0.0</v>
      </c>
    </row>
    <row r="3206">
      <c r="A3206" s="9">
        <v>41737</v>
      </c>
      <c r="B3206" s="2" t="inlineStr">
        <is>
          <t xml:space="preserve">2014-04</t>
        </is>
      </c>
      <c r="C3206" s="2" t="inlineStr">
        <is>
          <t xml:space="preserve">2013/14</t>
        </is>
      </c>
      <c r="D3206">
        <v>0.0</v>
      </c>
      <c r="E3206">
        <v>25.78</v>
      </c>
      <c r="F3206">
        <v>36.65</v>
      </c>
      <c r="G3206">
        <v>16.67</v>
      </c>
      <c r="H3206">
        <v>1.55</v>
      </c>
      <c r="I3206">
        <v>0.0</v>
      </c>
      <c r="J3206">
        <v>24.96</v>
      </c>
      <c r="K3206">
        <v>33.67</v>
      </c>
      <c r="L3206">
        <v>18.01</v>
      </c>
      <c r="M3206">
        <v>1.73</v>
      </c>
      <c r="N3206">
        <v>0.0</v>
      </c>
      <c r="O3206">
        <v>23.91</v>
      </c>
      <c r="P3206">
        <v>31.22</v>
      </c>
      <c r="Q3206">
        <v>17.64</v>
      </c>
      <c r="R3206">
        <v>2.51</v>
      </c>
    </row>
    <row r="3207">
      <c r="A3207" s="9">
        <v>41738</v>
      </c>
      <c r="B3207" s="2" t="inlineStr">
        <is>
          <t xml:space="preserve">2014-04</t>
        </is>
      </c>
      <c r="C3207" s="2" t="inlineStr">
        <is>
          <t xml:space="preserve">2013/14</t>
        </is>
      </c>
      <c r="D3207">
        <v>0.339</v>
      </c>
      <c r="E3207">
        <v>19.58</v>
      </c>
      <c r="F3207">
        <v>25.95</v>
      </c>
      <c r="G3207">
        <v>14.56</v>
      </c>
      <c r="H3207">
        <v>0.83</v>
      </c>
      <c r="I3207">
        <v>1.988</v>
      </c>
      <c r="J3207">
        <v>19.1</v>
      </c>
      <c r="K3207">
        <v>25.42</v>
      </c>
      <c r="L3207">
        <v>14.52</v>
      </c>
      <c r="M3207">
        <v>0.16</v>
      </c>
      <c r="N3207">
        <v>2.964</v>
      </c>
      <c r="O3207">
        <v>18.66</v>
      </c>
      <c r="P3207">
        <v>23.73</v>
      </c>
      <c r="Q3207">
        <v>13.45</v>
      </c>
      <c r="R3207">
        <v>0.21</v>
      </c>
    </row>
    <row r="3208">
      <c r="A3208" s="9">
        <v>41739</v>
      </c>
      <c r="B3208" s="2" t="inlineStr">
        <is>
          <t xml:space="preserve">2014-04</t>
        </is>
      </c>
      <c r="C3208" s="2" t="inlineStr">
        <is>
          <t xml:space="preserve">2013/14</t>
        </is>
      </c>
      <c r="D3208">
        <v>0.0</v>
      </c>
      <c r="E3208">
        <v>20.03</v>
      </c>
      <c r="F3208">
        <v>28.2</v>
      </c>
      <c r="G3208">
        <v>14.09</v>
      </c>
      <c r="H3208">
        <v>0.14</v>
      </c>
      <c r="I3208">
        <v>0.0</v>
      </c>
      <c r="J3208">
        <v>19.7</v>
      </c>
      <c r="K3208">
        <v>28.26</v>
      </c>
      <c r="L3208">
        <v>13.27</v>
      </c>
      <c r="M3208">
        <v>0.01</v>
      </c>
      <c r="N3208">
        <v>0.0</v>
      </c>
      <c r="O3208">
        <v>18.42</v>
      </c>
      <c r="P3208">
        <v>25.51</v>
      </c>
      <c r="Q3208">
        <v>12.54</v>
      </c>
      <c r="R3208">
        <v>0.02</v>
      </c>
    </row>
    <row r="3209">
      <c r="A3209" s="9">
        <v>41740</v>
      </c>
      <c r="B3209" s="2" t="inlineStr">
        <is>
          <t xml:space="preserve">2014-04</t>
        </is>
      </c>
      <c r="C3209" s="2" t="inlineStr">
        <is>
          <t xml:space="preserve">2013/14</t>
        </is>
      </c>
      <c r="D3209">
        <v>0.0</v>
      </c>
      <c r="E3209">
        <v>23.08</v>
      </c>
      <c r="F3209">
        <v>31.89</v>
      </c>
      <c r="G3209">
        <v>16.12</v>
      </c>
      <c r="H3209">
        <v>0.16</v>
      </c>
      <c r="I3209">
        <v>0.108</v>
      </c>
      <c r="J3209">
        <v>22.46</v>
      </c>
      <c r="K3209">
        <v>30.25</v>
      </c>
      <c r="L3209">
        <v>16.18</v>
      </c>
      <c r="M3209">
        <v>0.07</v>
      </c>
      <c r="N3209">
        <v>0.169</v>
      </c>
      <c r="O3209">
        <v>20.79</v>
      </c>
      <c r="P3209">
        <v>26.98</v>
      </c>
      <c r="Q3209">
        <v>16.23</v>
      </c>
      <c r="R3209">
        <v>0.07</v>
      </c>
    </row>
    <row r="3210">
      <c r="A3210" s="9">
        <v>41741</v>
      </c>
      <c r="B3210" s="2" t="inlineStr">
        <is>
          <t xml:space="preserve">2014-04</t>
        </is>
      </c>
      <c r="C3210" s="2" t="inlineStr">
        <is>
          <t xml:space="preserve">2013/14</t>
        </is>
      </c>
      <c r="D3210">
        <v>0.0</v>
      </c>
      <c r="E3210">
        <v>24.33</v>
      </c>
      <c r="F3210">
        <v>33.04</v>
      </c>
      <c r="G3210">
        <v>17.22</v>
      </c>
      <c r="H3210">
        <v>0.11</v>
      </c>
      <c r="I3210">
        <v>0.0</v>
      </c>
      <c r="J3210">
        <v>24.15</v>
      </c>
      <c r="K3210">
        <v>32.76</v>
      </c>
      <c r="L3210">
        <v>18.14</v>
      </c>
      <c r="M3210">
        <v>0.43</v>
      </c>
      <c r="N3210">
        <v>0.0</v>
      </c>
      <c r="O3210">
        <v>22.59</v>
      </c>
      <c r="P3210">
        <v>29.83</v>
      </c>
      <c r="Q3210">
        <v>18.09</v>
      </c>
      <c r="R3210">
        <v>0.75</v>
      </c>
    </row>
    <row r="3211">
      <c r="A3211" s="9">
        <v>41742</v>
      </c>
      <c r="B3211" s="2" t="inlineStr">
        <is>
          <t xml:space="preserve">2014-04</t>
        </is>
      </c>
      <c r="C3211" s="2" t="inlineStr">
        <is>
          <t xml:space="preserve">2013/14</t>
        </is>
      </c>
      <c r="D3211">
        <v>0.0</v>
      </c>
      <c r="E3211">
        <v>24.43</v>
      </c>
      <c r="F3211">
        <v>33.9</v>
      </c>
      <c r="G3211">
        <v>16.14</v>
      </c>
      <c r="H3211">
        <v>0.07</v>
      </c>
      <c r="I3211">
        <v>0.164</v>
      </c>
      <c r="J3211">
        <v>24.94</v>
      </c>
      <c r="K3211">
        <v>33.57</v>
      </c>
      <c r="L3211">
        <v>17.68</v>
      </c>
      <c r="M3211">
        <v>0.63</v>
      </c>
      <c r="N3211">
        <v>0.623</v>
      </c>
      <c r="O3211">
        <v>23.08</v>
      </c>
      <c r="P3211">
        <v>30.01</v>
      </c>
      <c r="Q3211">
        <v>18.6</v>
      </c>
      <c r="R3211">
        <v>2.82</v>
      </c>
    </row>
    <row r="3212">
      <c r="A3212" s="9">
        <v>41743</v>
      </c>
      <c r="B3212" s="2" t="inlineStr">
        <is>
          <t xml:space="preserve">2014-04</t>
        </is>
      </c>
      <c r="C3212" s="2" t="inlineStr">
        <is>
          <t xml:space="preserve">2013/14</t>
        </is>
      </c>
      <c r="D3212">
        <v>0.0</v>
      </c>
      <c r="E3212">
        <v>25.15</v>
      </c>
      <c r="F3212">
        <v>34.45</v>
      </c>
      <c r="G3212">
        <v>16.21</v>
      </c>
      <c r="H3212">
        <v>0.0</v>
      </c>
      <c r="I3212">
        <v>0.0</v>
      </c>
      <c r="J3212">
        <v>25.6</v>
      </c>
      <c r="K3212">
        <v>34.01</v>
      </c>
      <c r="L3212">
        <v>19.07</v>
      </c>
      <c r="M3212">
        <v>0.0</v>
      </c>
      <c r="N3212">
        <v>0.0</v>
      </c>
      <c r="O3212">
        <v>24.39</v>
      </c>
      <c r="P3212">
        <v>32.7</v>
      </c>
      <c r="Q3212">
        <v>16.9</v>
      </c>
      <c r="R3212">
        <v>0.0</v>
      </c>
    </row>
    <row r="3213">
      <c r="A3213" s="9">
        <v>41744</v>
      </c>
      <c r="B3213" s="2" t="inlineStr">
        <is>
          <t xml:space="preserve">2014-04</t>
        </is>
      </c>
      <c r="C3213" s="2" t="inlineStr">
        <is>
          <t xml:space="preserve">2013/14</t>
        </is>
      </c>
      <c r="D3213">
        <v>0.0</v>
      </c>
      <c r="E3213">
        <v>25.6</v>
      </c>
      <c r="F3213">
        <v>34.12</v>
      </c>
      <c r="G3213">
        <v>18.29</v>
      </c>
      <c r="H3213">
        <v>0.02</v>
      </c>
      <c r="I3213">
        <v>0.0</v>
      </c>
      <c r="J3213">
        <v>25.82</v>
      </c>
      <c r="K3213">
        <v>34.34</v>
      </c>
      <c r="L3213">
        <v>17.72</v>
      </c>
      <c r="M3213">
        <v>0.0</v>
      </c>
      <c r="N3213">
        <v>0.0</v>
      </c>
      <c r="O3213">
        <v>24.25</v>
      </c>
      <c r="P3213">
        <v>31.89</v>
      </c>
      <c r="Q3213">
        <v>17.5</v>
      </c>
      <c r="R3213">
        <v>0.0</v>
      </c>
    </row>
    <row r="3214">
      <c r="A3214" s="9">
        <v>41745</v>
      </c>
      <c r="B3214" s="2" t="inlineStr">
        <is>
          <t xml:space="preserve">2014-04</t>
        </is>
      </c>
      <c r="C3214" s="2" t="inlineStr">
        <is>
          <t xml:space="preserve">2013/14</t>
        </is>
      </c>
      <c r="D3214">
        <v>0.023</v>
      </c>
      <c r="E3214">
        <v>24.93</v>
      </c>
      <c r="F3214">
        <v>32.43</v>
      </c>
      <c r="G3214">
        <v>19.96</v>
      </c>
      <c r="H3214">
        <v>0.07</v>
      </c>
      <c r="I3214">
        <v>0.0</v>
      </c>
      <c r="J3214">
        <v>25.15</v>
      </c>
      <c r="K3214">
        <v>30.72</v>
      </c>
      <c r="L3214">
        <v>21.21</v>
      </c>
      <c r="M3214">
        <v>0.01</v>
      </c>
      <c r="N3214">
        <v>0.0</v>
      </c>
      <c r="O3214">
        <v>23.06</v>
      </c>
      <c r="P3214">
        <v>27.51</v>
      </c>
      <c r="Q3214">
        <v>19.99</v>
      </c>
      <c r="R3214">
        <v>0.01</v>
      </c>
    </row>
    <row r="3215">
      <c r="A3215" s="9">
        <v>41746</v>
      </c>
      <c r="B3215" s="2" t="inlineStr">
        <is>
          <t xml:space="preserve">2014-04</t>
        </is>
      </c>
      <c r="C3215" s="2" t="inlineStr">
        <is>
          <t xml:space="preserve">2013/14</t>
        </is>
      </c>
      <c r="D3215">
        <v>0.192</v>
      </c>
      <c r="E3215">
        <v>25.6</v>
      </c>
      <c r="F3215">
        <v>33.27</v>
      </c>
      <c r="G3215">
        <v>19.28</v>
      </c>
      <c r="H3215">
        <v>0.03</v>
      </c>
      <c r="I3215">
        <v>0.0</v>
      </c>
      <c r="J3215">
        <v>23.9</v>
      </c>
      <c r="K3215">
        <v>29.25</v>
      </c>
      <c r="L3215">
        <v>19.91</v>
      </c>
      <c r="M3215">
        <v>0.04</v>
      </c>
      <c r="N3215">
        <v>0.0</v>
      </c>
      <c r="O3215">
        <v>22.8</v>
      </c>
      <c r="P3215">
        <v>28.47</v>
      </c>
      <c r="Q3215">
        <v>18.99</v>
      </c>
      <c r="R3215">
        <v>0.05</v>
      </c>
    </row>
    <row r="3216">
      <c r="A3216" s="9">
        <v>41747</v>
      </c>
      <c r="B3216" s="2" t="inlineStr">
        <is>
          <t xml:space="preserve">2014-04</t>
        </is>
      </c>
      <c r="C3216" s="2" t="inlineStr">
        <is>
          <t xml:space="preserve">2013/14</t>
        </is>
      </c>
      <c r="D3216">
        <v>0.0</v>
      </c>
      <c r="E3216">
        <v>26.25</v>
      </c>
      <c r="F3216">
        <v>34.29</v>
      </c>
      <c r="G3216">
        <v>19.1</v>
      </c>
      <c r="H3216">
        <v>0.1</v>
      </c>
      <c r="I3216">
        <v>0.0</v>
      </c>
      <c r="J3216">
        <v>25.06</v>
      </c>
      <c r="K3216">
        <v>31.9</v>
      </c>
      <c r="L3216">
        <v>19.21</v>
      </c>
      <c r="M3216">
        <v>0.1</v>
      </c>
      <c r="N3216">
        <v>0.026</v>
      </c>
      <c r="O3216">
        <v>23.55</v>
      </c>
      <c r="P3216">
        <v>29.99</v>
      </c>
      <c r="Q3216">
        <v>19.12</v>
      </c>
      <c r="R3216">
        <v>0.23</v>
      </c>
    </row>
    <row r="3217">
      <c r="A3217" s="9">
        <v>41748</v>
      </c>
      <c r="B3217" s="2" t="inlineStr">
        <is>
          <t xml:space="preserve">2014-04</t>
        </is>
      </c>
      <c r="C3217" s="2" t="inlineStr">
        <is>
          <t xml:space="preserve">2013/14</t>
        </is>
      </c>
      <c r="D3217">
        <v>0.508</v>
      </c>
      <c r="E3217">
        <v>24.92</v>
      </c>
      <c r="F3217">
        <v>33.2</v>
      </c>
      <c r="G3217">
        <v>19.4</v>
      </c>
      <c r="H3217">
        <v>0.38</v>
      </c>
      <c r="I3217">
        <v>0.025</v>
      </c>
      <c r="J3217">
        <v>24.04</v>
      </c>
      <c r="K3217">
        <v>31.36</v>
      </c>
      <c r="L3217">
        <v>19.16</v>
      </c>
      <c r="M3217">
        <v>0.22</v>
      </c>
      <c r="N3217">
        <v>0.096</v>
      </c>
      <c r="O3217">
        <v>22.82</v>
      </c>
      <c r="P3217">
        <v>27.84</v>
      </c>
      <c r="Q3217">
        <v>19.53</v>
      </c>
      <c r="R3217">
        <v>0.43</v>
      </c>
    </row>
    <row r="3218">
      <c r="A3218" s="9">
        <v>41749</v>
      </c>
      <c r="B3218" s="2" t="inlineStr">
        <is>
          <t xml:space="preserve">2014-04</t>
        </is>
      </c>
      <c r="C3218" s="2" t="inlineStr">
        <is>
          <t xml:space="preserve">2013/14</t>
        </is>
      </c>
      <c r="D3218">
        <v>0.282</v>
      </c>
      <c r="E3218">
        <v>24.28</v>
      </c>
      <c r="F3218">
        <v>32.51</v>
      </c>
      <c r="G3218">
        <v>18.53</v>
      </c>
      <c r="H3218">
        <v>0.8</v>
      </c>
      <c r="I3218">
        <v>0.056</v>
      </c>
      <c r="J3218">
        <v>24.45</v>
      </c>
      <c r="K3218">
        <v>31.8</v>
      </c>
      <c r="L3218">
        <v>19.34</v>
      </c>
      <c r="M3218">
        <v>0.86</v>
      </c>
      <c r="N3218">
        <v>0.691</v>
      </c>
      <c r="O3218">
        <v>22.81</v>
      </c>
      <c r="P3218">
        <v>28.33</v>
      </c>
      <c r="Q3218">
        <v>19.36</v>
      </c>
      <c r="R3218">
        <v>2.18</v>
      </c>
    </row>
    <row r="3219">
      <c r="A3219" s="9">
        <v>41750</v>
      </c>
      <c r="B3219" s="2" t="inlineStr">
        <is>
          <t xml:space="preserve">2014-04</t>
        </is>
      </c>
      <c r="C3219" s="2" t="inlineStr">
        <is>
          <t xml:space="preserve">2013/14</t>
        </is>
      </c>
      <c r="D3219">
        <v>0.0</v>
      </c>
      <c r="E3219">
        <v>25.15</v>
      </c>
      <c r="F3219">
        <v>33.25</v>
      </c>
      <c r="G3219">
        <v>18.67</v>
      </c>
      <c r="H3219">
        <v>0.11</v>
      </c>
      <c r="I3219">
        <v>0.923</v>
      </c>
      <c r="J3219">
        <v>24.8</v>
      </c>
      <c r="K3219">
        <v>31.96</v>
      </c>
      <c r="L3219">
        <v>18.76</v>
      </c>
      <c r="M3219">
        <v>0.38</v>
      </c>
      <c r="N3219">
        <v>0.051</v>
      </c>
      <c r="O3219">
        <v>23.12</v>
      </c>
      <c r="P3219">
        <v>29.08</v>
      </c>
      <c r="Q3219">
        <v>18.75</v>
      </c>
      <c r="R3219">
        <v>0.25</v>
      </c>
    </row>
    <row r="3220">
      <c r="A3220" s="9">
        <v>41751</v>
      </c>
      <c r="B3220" s="2" t="inlineStr">
        <is>
          <t xml:space="preserve">2014-04</t>
        </is>
      </c>
      <c r="C3220" s="2" t="inlineStr">
        <is>
          <t xml:space="preserve">2013/14</t>
        </is>
      </c>
      <c r="D3220">
        <v>0.0</v>
      </c>
      <c r="E3220">
        <v>25.42</v>
      </c>
      <c r="F3220">
        <v>33.51</v>
      </c>
      <c r="G3220">
        <v>18.88</v>
      </c>
      <c r="H3220">
        <v>0.08</v>
      </c>
      <c r="I3220">
        <v>0.0</v>
      </c>
      <c r="J3220">
        <v>25.4</v>
      </c>
      <c r="K3220">
        <v>32.57</v>
      </c>
      <c r="L3220">
        <v>19.18</v>
      </c>
      <c r="M3220">
        <v>0.14</v>
      </c>
      <c r="N3220">
        <v>0.079</v>
      </c>
      <c r="O3220">
        <v>23.4</v>
      </c>
      <c r="P3220">
        <v>29.38</v>
      </c>
      <c r="Q3220">
        <v>18.91</v>
      </c>
      <c r="R3220">
        <v>0.58</v>
      </c>
    </row>
    <row r="3221">
      <c r="A3221" s="9">
        <v>41752</v>
      </c>
      <c r="B3221" s="2" t="inlineStr">
        <is>
          <t xml:space="preserve">2014-04</t>
        </is>
      </c>
      <c r="C3221" s="2" t="inlineStr">
        <is>
          <t xml:space="preserve">2013/14</t>
        </is>
      </c>
      <c r="D3221">
        <v>0.171</v>
      </c>
      <c r="E3221">
        <v>24.49</v>
      </c>
      <c r="F3221">
        <v>30.18</v>
      </c>
      <c r="G3221">
        <v>19.7</v>
      </c>
      <c r="H3221">
        <v>0.11</v>
      </c>
      <c r="I3221">
        <v>0.0</v>
      </c>
      <c r="J3221">
        <v>24.8</v>
      </c>
      <c r="K3221">
        <v>31.06</v>
      </c>
      <c r="L3221">
        <v>20.28</v>
      </c>
      <c r="M3221">
        <v>0.02</v>
      </c>
      <c r="N3221">
        <v>0.0</v>
      </c>
      <c r="O3221">
        <v>23.16</v>
      </c>
      <c r="P3221">
        <v>29.15</v>
      </c>
      <c r="Q3221">
        <v>19.15</v>
      </c>
      <c r="R3221">
        <v>0.0</v>
      </c>
    </row>
    <row r="3222">
      <c r="A3222" s="9">
        <v>41753</v>
      </c>
      <c r="B3222" s="2" t="inlineStr">
        <is>
          <t xml:space="preserve">2014-04</t>
        </is>
      </c>
      <c r="C3222" s="2" t="inlineStr">
        <is>
          <t xml:space="preserve">2013/14</t>
        </is>
      </c>
      <c r="D3222">
        <v>0.081</v>
      </c>
      <c r="E3222">
        <v>26.2</v>
      </c>
      <c r="F3222">
        <v>33.7</v>
      </c>
      <c r="G3222">
        <v>19.11</v>
      </c>
      <c r="H3222">
        <v>0.04</v>
      </c>
      <c r="I3222">
        <v>0.239</v>
      </c>
      <c r="J3222">
        <v>25.79</v>
      </c>
      <c r="K3222">
        <v>33.57</v>
      </c>
      <c r="L3222">
        <v>18.25</v>
      </c>
      <c r="M3222">
        <v>0.17</v>
      </c>
      <c r="N3222">
        <v>0.023</v>
      </c>
      <c r="O3222">
        <v>24.35</v>
      </c>
      <c r="P3222">
        <v>31.57</v>
      </c>
      <c r="Q3222">
        <v>17.68</v>
      </c>
      <c r="R3222">
        <v>0.05</v>
      </c>
    </row>
    <row r="3223">
      <c r="A3223" s="9">
        <v>41754</v>
      </c>
      <c r="B3223" s="2" t="inlineStr">
        <is>
          <t xml:space="preserve">2014-04</t>
        </is>
      </c>
      <c r="C3223" s="2" t="inlineStr">
        <is>
          <t xml:space="preserve">2013/14</t>
        </is>
      </c>
      <c r="D3223">
        <v>0.0</v>
      </c>
      <c r="E3223">
        <v>26.8</v>
      </c>
      <c r="F3223">
        <v>35.03</v>
      </c>
      <c r="G3223">
        <v>19.42</v>
      </c>
      <c r="H3223">
        <v>0.0</v>
      </c>
      <c r="I3223">
        <v>0.0</v>
      </c>
      <c r="J3223">
        <v>26.94</v>
      </c>
      <c r="K3223">
        <v>34.14</v>
      </c>
      <c r="L3223">
        <v>21.0</v>
      </c>
      <c r="M3223">
        <v>0.29</v>
      </c>
      <c r="N3223">
        <v>0.0</v>
      </c>
      <c r="O3223">
        <v>25.33</v>
      </c>
      <c r="P3223">
        <v>32.53</v>
      </c>
      <c r="Q3223">
        <v>20.29</v>
      </c>
      <c r="R3223">
        <v>0.29</v>
      </c>
    </row>
    <row r="3224">
      <c r="A3224" s="9">
        <v>41755</v>
      </c>
      <c r="B3224" s="2" t="inlineStr">
        <is>
          <t xml:space="preserve">2014-04</t>
        </is>
      </c>
      <c r="C3224" s="2" t="inlineStr">
        <is>
          <t xml:space="preserve">2013/14</t>
        </is>
      </c>
      <c r="D3224">
        <v>0.0</v>
      </c>
      <c r="E3224">
        <v>26.33</v>
      </c>
      <c r="F3224">
        <v>32.83</v>
      </c>
      <c r="G3224">
        <v>20.74</v>
      </c>
      <c r="H3224">
        <v>0.04</v>
      </c>
      <c r="I3224">
        <v>0.0</v>
      </c>
      <c r="J3224">
        <v>25.91</v>
      </c>
      <c r="K3224">
        <v>32.16</v>
      </c>
      <c r="L3224">
        <v>21.51</v>
      </c>
      <c r="M3224">
        <v>0.3</v>
      </c>
      <c r="N3224">
        <v>0.0</v>
      </c>
      <c r="O3224">
        <v>24.37</v>
      </c>
      <c r="P3224">
        <v>30.5</v>
      </c>
      <c r="Q3224">
        <v>20.63</v>
      </c>
      <c r="R3224">
        <v>0.33</v>
      </c>
    </row>
    <row r="3225">
      <c r="A3225" s="9">
        <v>41756</v>
      </c>
      <c r="B3225" s="2" t="inlineStr">
        <is>
          <t xml:space="preserve">2014-04</t>
        </is>
      </c>
      <c r="C3225" s="2" t="inlineStr">
        <is>
          <t xml:space="preserve">2013/14</t>
        </is>
      </c>
      <c r="D3225">
        <v>0.0</v>
      </c>
      <c r="E3225">
        <v>27.09</v>
      </c>
      <c r="F3225">
        <v>34.1</v>
      </c>
      <c r="G3225">
        <v>20.89</v>
      </c>
      <c r="H3225">
        <v>0.2</v>
      </c>
      <c r="I3225">
        <v>1.292</v>
      </c>
      <c r="J3225">
        <v>25.36</v>
      </c>
      <c r="K3225">
        <v>31.74</v>
      </c>
      <c r="L3225">
        <v>20.93</v>
      </c>
      <c r="M3225">
        <v>1.93</v>
      </c>
      <c r="N3225">
        <v>3.976</v>
      </c>
      <c r="O3225">
        <v>24.86</v>
      </c>
      <c r="P3225">
        <v>30.05</v>
      </c>
      <c r="Q3225">
        <v>20.47</v>
      </c>
      <c r="R3225">
        <v>2.52</v>
      </c>
    </row>
    <row r="3226">
      <c r="A3226" s="9">
        <v>41757</v>
      </c>
      <c r="B3226" s="2" t="inlineStr">
        <is>
          <t xml:space="preserve">2014-04</t>
        </is>
      </c>
      <c r="C3226" s="2" t="inlineStr">
        <is>
          <t xml:space="preserve">2013/14</t>
        </is>
      </c>
      <c r="D3226">
        <v>0.0</v>
      </c>
      <c r="E3226">
        <v>26.75</v>
      </c>
      <c r="F3226">
        <v>34.17</v>
      </c>
      <c r="G3226">
        <v>20.36</v>
      </c>
      <c r="H3226">
        <v>0.14</v>
      </c>
      <c r="I3226">
        <v>1.158</v>
      </c>
      <c r="J3226">
        <v>25.74</v>
      </c>
      <c r="K3226">
        <v>33.29</v>
      </c>
      <c r="L3226">
        <v>20.0</v>
      </c>
      <c r="M3226">
        <v>1.27</v>
      </c>
      <c r="N3226">
        <v>4.291</v>
      </c>
      <c r="O3226">
        <v>26.63</v>
      </c>
      <c r="P3226">
        <v>34.04</v>
      </c>
      <c r="Q3226">
        <v>20.16</v>
      </c>
      <c r="R3226">
        <v>1.52</v>
      </c>
    </row>
    <row r="3227">
      <c r="A3227" s="9">
        <v>41758</v>
      </c>
      <c r="B3227" s="2" t="inlineStr">
        <is>
          <t xml:space="preserve">2014-04</t>
        </is>
      </c>
      <c r="C3227" s="2" t="inlineStr">
        <is>
          <t xml:space="preserve">2013/14</t>
        </is>
      </c>
      <c r="D3227">
        <v>0.0</v>
      </c>
      <c r="E3227">
        <v>26.32</v>
      </c>
      <c r="F3227">
        <v>33.84</v>
      </c>
      <c r="G3227">
        <v>20.73</v>
      </c>
      <c r="H3227">
        <v>0.65</v>
      </c>
      <c r="I3227">
        <v>0.0</v>
      </c>
      <c r="J3227">
        <v>26.35</v>
      </c>
      <c r="K3227">
        <v>34.23</v>
      </c>
      <c r="L3227">
        <v>19.94</v>
      </c>
      <c r="M3227">
        <v>0.14</v>
      </c>
      <c r="N3227">
        <v>0.0</v>
      </c>
      <c r="O3227">
        <v>26.32</v>
      </c>
      <c r="P3227">
        <v>32.45</v>
      </c>
      <c r="Q3227">
        <v>21.3</v>
      </c>
      <c r="R3227">
        <v>0.32</v>
      </c>
    </row>
    <row r="3228">
      <c r="A3228" s="9">
        <v>41759</v>
      </c>
      <c r="B3228" s="2" t="inlineStr">
        <is>
          <t xml:space="preserve">2014-04</t>
        </is>
      </c>
      <c r="C3228" s="2" t="inlineStr">
        <is>
          <t xml:space="preserve">2013/14</t>
        </is>
      </c>
      <c r="D3228">
        <v>3.786</v>
      </c>
      <c r="E3228">
        <v>25.56</v>
      </c>
      <c r="F3228">
        <v>31.24</v>
      </c>
      <c r="G3228">
        <v>21.29</v>
      </c>
      <c r="H3228">
        <v>4.61</v>
      </c>
      <c r="I3228">
        <v>0.21</v>
      </c>
      <c r="J3228">
        <v>26.12</v>
      </c>
      <c r="K3228">
        <v>33.57</v>
      </c>
      <c r="L3228">
        <v>21.46</v>
      </c>
      <c r="M3228">
        <v>2.48</v>
      </c>
      <c r="N3228">
        <v>1.077</v>
      </c>
      <c r="O3228">
        <v>26.34</v>
      </c>
      <c r="P3228">
        <v>33.94</v>
      </c>
      <c r="Q3228">
        <v>22.46</v>
      </c>
      <c r="R3228">
        <v>3.4</v>
      </c>
    </row>
    <row r="3229">
      <c r="A3229" s="9">
        <v>41760</v>
      </c>
      <c r="B3229" s="2" t="inlineStr">
        <is>
          <t xml:space="preserve">2014-05</t>
        </is>
      </c>
      <c r="C3229" s="2" t="inlineStr">
        <is>
          <t xml:space="preserve">2013/14</t>
        </is>
      </c>
      <c r="D3229">
        <v>17.788</v>
      </c>
      <c r="E3229">
        <v>24.27</v>
      </c>
      <c r="F3229">
        <v>28.69</v>
      </c>
      <c r="G3229">
        <v>20.62</v>
      </c>
      <c r="H3229">
        <v>8.6</v>
      </c>
      <c r="I3229">
        <v>2.77</v>
      </c>
      <c r="J3229">
        <v>24.53</v>
      </c>
      <c r="K3229">
        <v>30.2</v>
      </c>
      <c r="L3229">
        <v>20.6</v>
      </c>
      <c r="M3229">
        <v>6.88</v>
      </c>
      <c r="N3229">
        <v>6.753</v>
      </c>
      <c r="O3229">
        <v>24.21</v>
      </c>
      <c r="P3229">
        <v>28.84</v>
      </c>
      <c r="Q3229">
        <v>21.7</v>
      </c>
      <c r="R3229">
        <v>9.24</v>
      </c>
    </row>
    <row r="3230">
      <c r="A3230" s="9">
        <v>41761</v>
      </c>
      <c r="B3230" s="2" t="inlineStr">
        <is>
          <t xml:space="preserve">2014-05</t>
        </is>
      </c>
      <c r="C3230" s="2" t="inlineStr">
        <is>
          <t xml:space="preserve">2013/14</t>
        </is>
      </c>
      <c r="D3230">
        <v>4.703</v>
      </c>
      <c r="E3230">
        <v>23.57</v>
      </c>
      <c r="F3230">
        <v>28.34</v>
      </c>
      <c r="G3230">
        <v>19.97</v>
      </c>
      <c r="H3230">
        <v>2.96</v>
      </c>
      <c r="I3230">
        <v>0.967</v>
      </c>
      <c r="J3230">
        <v>25.26</v>
      </c>
      <c r="K3230">
        <v>31.77</v>
      </c>
      <c r="L3230">
        <v>21.06</v>
      </c>
      <c r="M3230">
        <v>5.06</v>
      </c>
      <c r="N3230">
        <v>3.395</v>
      </c>
      <c r="O3230">
        <v>24.71</v>
      </c>
      <c r="P3230">
        <v>31.09</v>
      </c>
      <c r="Q3230">
        <v>20.91</v>
      </c>
      <c r="R3230">
        <v>7.55</v>
      </c>
    </row>
    <row r="3231">
      <c r="A3231" s="9">
        <v>41762</v>
      </c>
      <c r="B3231" s="2" t="inlineStr">
        <is>
          <t xml:space="preserve">2014-05</t>
        </is>
      </c>
      <c r="C3231" s="2" t="inlineStr">
        <is>
          <t xml:space="preserve">2013/14</t>
        </is>
      </c>
      <c r="D3231">
        <v>2.876</v>
      </c>
      <c r="E3231">
        <v>22.86</v>
      </c>
      <c r="F3231">
        <v>27.23</v>
      </c>
      <c r="G3231">
        <v>19.6</v>
      </c>
      <c r="H3231">
        <v>3.24</v>
      </c>
      <c r="I3231">
        <v>22.137</v>
      </c>
      <c r="J3231">
        <v>22.46</v>
      </c>
      <c r="K3231">
        <v>24.59</v>
      </c>
      <c r="L3231">
        <v>20.71</v>
      </c>
      <c r="M3231">
        <v>13.21</v>
      </c>
      <c r="N3231">
        <v>6.283</v>
      </c>
      <c r="O3231">
        <v>22.31</v>
      </c>
      <c r="P3231">
        <v>24.27</v>
      </c>
      <c r="Q3231">
        <v>20.77</v>
      </c>
      <c r="R3231">
        <v>19.48</v>
      </c>
    </row>
    <row r="3232">
      <c r="A3232" s="9">
        <v>41763</v>
      </c>
      <c r="B3232" s="2" t="inlineStr">
        <is>
          <t xml:space="preserve">2014-05</t>
        </is>
      </c>
      <c r="C3232" s="2" t="inlineStr">
        <is>
          <t xml:space="preserve">2013/14</t>
        </is>
      </c>
      <c r="D3232">
        <v>1.283</v>
      </c>
      <c r="E3232">
        <v>23.73</v>
      </c>
      <c r="F3232">
        <v>29.9</v>
      </c>
      <c r="G3232">
        <v>19.92</v>
      </c>
      <c r="H3232">
        <v>2.1</v>
      </c>
      <c r="I3232">
        <v>1.444</v>
      </c>
      <c r="J3232">
        <v>23.76</v>
      </c>
      <c r="K3232">
        <v>29.8</v>
      </c>
      <c r="L3232">
        <v>20.33</v>
      </c>
      <c r="M3232">
        <v>5.28</v>
      </c>
      <c r="N3232">
        <v>7.436</v>
      </c>
      <c r="O3232">
        <v>22.42</v>
      </c>
      <c r="P3232">
        <v>27.04</v>
      </c>
      <c r="Q3232">
        <v>20.14</v>
      </c>
      <c r="R3232">
        <v>15.33</v>
      </c>
    </row>
    <row r="3233">
      <c r="A3233" s="9">
        <v>41764</v>
      </c>
      <c r="B3233" s="2" t="inlineStr">
        <is>
          <t xml:space="preserve">2014-05</t>
        </is>
      </c>
      <c r="C3233" s="2" t="inlineStr">
        <is>
          <t xml:space="preserve">2013/14</t>
        </is>
      </c>
      <c r="D3233">
        <v>0.0</v>
      </c>
      <c r="E3233">
        <v>23.55</v>
      </c>
      <c r="F3233">
        <v>30.07</v>
      </c>
      <c r="G3233">
        <v>18.96</v>
      </c>
      <c r="H3233">
        <v>1.19</v>
      </c>
      <c r="I3233">
        <v>0.0</v>
      </c>
      <c r="J3233">
        <v>24.55</v>
      </c>
      <c r="K3233">
        <v>31.8</v>
      </c>
      <c r="L3233">
        <v>18.75</v>
      </c>
      <c r="M3233">
        <v>0.17</v>
      </c>
      <c r="N3233">
        <v>0.0</v>
      </c>
      <c r="O3233">
        <v>23.04</v>
      </c>
      <c r="P3233">
        <v>28.71</v>
      </c>
      <c r="Q3233">
        <v>18.82</v>
      </c>
      <c r="R3233">
        <v>0.05</v>
      </c>
    </row>
    <row r="3234">
      <c r="A3234" s="9">
        <v>41765</v>
      </c>
      <c r="B3234" s="2" t="inlineStr">
        <is>
          <t xml:space="preserve">2014-05</t>
        </is>
      </c>
      <c r="C3234" s="2" t="inlineStr">
        <is>
          <t xml:space="preserve">2013/14</t>
        </is>
      </c>
      <c r="D3234">
        <v>0.219</v>
      </c>
      <c r="E3234">
        <v>24.72</v>
      </c>
      <c r="F3234">
        <v>32.07</v>
      </c>
      <c r="G3234">
        <v>19.24</v>
      </c>
      <c r="H3234">
        <v>1.11</v>
      </c>
      <c r="I3234">
        <v>2.066</v>
      </c>
      <c r="J3234">
        <v>25.4</v>
      </c>
      <c r="K3234">
        <v>32.89</v>
      </c>
      <c r="L3234">
        <v>19.32</v>
      </c>
      <c r="M3234">
        <v>5.86</v>
      </c>
      <c r="N3234">
        <v>0.112</v>
      </c>
      <c r="O3234">
        <v>24.02</v>
      </c>
      <c r="P3234">
        <v>30.64</v>
      </c>
      <c r="Q3234">
        <v>19.41</v>
      </c>
      <c r="R3234">
        <v>4.04</v>
      </c>
    </row>
    <row r="3235">
      <c r="A3235" s="9">
        <v>41766</v>
      </c>
      <c r="B3235" s="2" t="inlineStr">
        <is>
          <t xml:space="preserve">2014-05</t>
        </is>
      </c>
      <c r="C3235" s="2" t="inlineStr">
        <is>
          <t xml:space="preserve">2013/14</t>
        </is>
      </c>
      <c r="D3235">
        <v>13.715</v>
      </c>
      <c r="E3235">
        <v>25.0</v>
      </c>
      <c r="F3235">
        <v>32.18</v>
      </c>
      <c r="G3235">
        <v>19.83</v>
      </c>
      <c r="H3235">
        <v>8.48</v>
      </c>
      <c r="I3235">
        <v>16.609</v>
      </c>
      <c r="J3235">
        <v>23.53</v>
      </c>
      <c r="K3235">
        <v>26.93</v>
      </c>
      <c r="L3235">
        <v>20.82</v>
      </c>
      <c r="M3235">
        <v>17.57</v>
      </c>
      <c r="N3235">
        <v>32.816</v>
      </c>
      <c r="O3235">
        <v>24.09</v>
      </c>
      <c r="P3235">
        <v>29.3</v>
      </c>
      <c r="Q3235">
        <v>20.08</v>
      </c>
      <c r="R3235">
        <v>18.94</v>
      </c>
    </row>
    <row r="3236">
      <c r="A3236" s="9">
        <v>41767</v>
      </c>
      <c r="B3236" s="2" t="inlineStr">
        <is>
          <t xml:space="preserve">2014-05</t>
        </is>
      </c>
      <c r="C3236" s="2" t="inlineStr">
        <is>
          <t xml:space="preserve">2013/14</t>
        </is>
      </c>
      <c r="D3236">
        <v>5.854</v>
      </c>
      <c r="E3236">
        <v>24.58</v>
      </c>
      <c r="F3236">
        <v>31.21</v>
      </c>
      <c r="G3236">
        <v>20.08</v>
      </c>
      <c r="H3236">
        <v>5.41</v>
      </c>
      <c r="I3236">
        <v>7.428</v>
      </c>
      <c r="J3236">
        <v>24.55</v>
      </c>
      <c r="K3236">
        <v>30.91</v>
      </c>
      <c r="L3236">
        <v>19.86</v>
      </c>
      <c r="M3236">
        <v>10.31</v>
      </c>
      <c r="N3236">
        <v>27.423</v>
      </c>
      <c r="O3236">
        <v>24.52</v>
      </c>
      <c r="P3236">
        <v>29.79</v>
      </c>
      <c r="Q3236">
        <v>21.13</v>
      </c>
      <c r="R3236">
        <v>14.05</v>
      </c>
    </row>
    <row r="3237">
      <c r="A3237" s="9">
        <v>41768</v>
      </c>
      <c r="B3237" s="2" t="inlineStr">
        <is>
          <t xml:space="preserve">2014-05</t>
        </is>
      </c>
      <c r="C3237" s="2" t="inlineStr">
        <is>
          <t xml:space="preserve">2013/14</t>
        </is>
      </c>
      <c r="D3237">
        <v>2.071</v>
      </c>
      <c r="E3237">
        <v>24.86</v>
      </c>
      <c r="F3237">
        <v>31.51</v>
      </c>
      <c r="G3237">
        <v>20.16</v>
      </c>
      <c r="H3237">
        <v>2.38</v>
      </c>
      <c r="I3237">
        <v>2.628</v>
      </c>
      <c r="J3237">
        <v>24.56</v>
      </c>
      <c r="K3237">
        <v>30.57</v>
      </c>
      <c r="L3237">
        <v>20.55</v>
      </c>
      <c r="M3237">
        <v>4.47</v>
      </c>
      <c r="N3237">
        <v>10.085</v>
      </c>
      <c r="O3237">
        <v>24.8</v>
      </c>
      <c r="P3237">
        <v>30.08</v>
      </c>
      <c r="Q3237">
        <v>20.88</v>
      </c>
      <c r="R3237">
        <v>7.42</v>
      </c>
    </row>
    <row r="3238">
      <c r="A3238" s="9">
        <v>41769</v>
      </c>
      <c r="B3238" s="2" t="inlineStr">
        <is>
          <t xml:space="preserve">2014-05</t>
        </is>
      </c>
      <c r="C3238" s="2" t="inlineStr">
        <is>
          <t xml:space="preserve">2013/14</t>
        </is>
      </c>
      <c r="D3238">
        <v>7.129</v>
      </c>
      <c r="E3238">
        <v>23.52</v>
      </c>
      <c r="F3238">
        <v>28.47</v>
      </c>
      <c r="G3238">
        <v>20.76</v>
      </c>
      <c r="H3238">
        <v>4.49</v>
      </c>
      <c r="I3238">
        <v>2.501</v>
      </c>
      <c r="J3238">
        <v>24.34</v>
      </c>
      <c r="K3238">
        <v>30.75</v>
      </c>
      <c r="L3238">
        <v>21.18</v>
      </c>
      <c r="M3238">
        <v>4.52</v>
      </c>
      <c r="N3238">
        <v>8.697</v>
      </c>
      <c r="O3238">
        <v>24.28</v>
      </c>
      <c r="P3238">
        <v>28.95</v>
      </c>
      <c r="Q3238">
        <v>21.83</v>
      </c>
      <c r="R3238">
        <v>5.33</v>
      </c>
    </row>
    <row r="3239">
      <c r="A3239" s="9">
        <v>41770</v>
      </c>
      <c r="B3239" s="2" t="inlineStr">
        <is>
          <t xml:space="preserve">2014-05</t>
        </is>
      </c>
      <c r="C3239" s="2" t="inlineStr">
        <is>
          <t xml:space="preserve">2013/14</t>
        </is>
      </c>
      <c r="D3239">
        <v>6.13</v>
      </c>
      <c r="E3239">
        <v>23.86</v>
      </c>
      <c r="F3239">
        <v>29.6</v>
      </c>
      <c r="G3239">
        <v>19.06</v>
      </c>
      <c r="H3239">
        <v>1.77</v>
      </c>
      <c r="I3239">
        <v>1.393</v>
      </c>
      <c r="J3239">
        <v>24.44</v>
      </c>
      <c r="K3239">
        <v>31.1</v>
      </c>
      <c r="L3239">
        <v>19.75</v>
      </c>
      <c r="M3239">
        <v>2.13</v>
      </c>
      <c r="N3239">
        <v>4.445</v>
      </c>
      <c r="O3239">
        <v>24.02</v>
      </c>
      <c r="P3239">
        <v>29.41</v>
      </c>
      <c r="Q3239">
        <v>20.23</v>
      </c>
      <c r="R3239">
        <v>2.76</v>
      </c>
    </row>
    <row r="3240">
      <c r="A3240" s="9">
        <v>41771</v>
      </c>
      <c r="B3240" s="2" t="inlineStr">
        <is>
          <t xml:space="preserve">2014-05</t>
        </is>
      </c>
      <c r="C3240" s="2" t="inlineStr">
        <is>
          <t xml:space="preserve">2013/14</t>
        </is>
      </c>
      <c r="D3240">
        <v>0.099</v>
      </c>
      <c r="E3240">
        <v>24.26</v>
      </c>
      <c r="F3240">
        <v>30.14</v>
      </c>
      <c r="G3240">
        <v>19.84</v>
      </c>
      <c r="H3240">
        <v>0.34</v>
      </c>
      <c r="I3240">
        <v>2.654</v>
      </c>
      <c r="J3240">
        <v>24.31</v>
      </c>
      <c r="K3240">
        <v>29.47</v>
      </c>
      <c r="L3240">
        <v>20.17</v>
      </c>
      <c r="M3240">
        <v>3.13</v>
      </c>
      <c r="N3240">
        <v>2.769</v>
      </c>
      <c r="O3240">
        <v>23.88</v>
      </c>
      <c r="P3240">
        <v>29.2</v>
      </c>
      <c r="Q3240">
        <v>20.74</v>
      </c>
      <c r="R3240">
        <v>3.04</v>
      </c>
    </row>
    <row r="3241">
      <c r="A3241" s="9">
        <v>41772</v>
      </c>
      <c r="B3241" s="2" t="inlineStr">
        <is>
          <t xml:space="preserve">2014-05</t>
        </is>
      </c>
      <c r="C3241" s="2" t="inlineStr">
        <is>
          <t xml:space="preserve">2013/14</t>
        </is>
      </c>
      <c r="D3241">
        <v>0.0</v>
      </c>
      <c r="E3241">
        <v>25.28</v>
      </c>
      <c r="F3241">
        <v>32.71</v>
      </c>
      <c r="G3241">
        <v>18.82</v>
      </c>
      <c r="H3241">
        <v>0.0</v>
      </c>
      <c r="I3241">
        <v>0.036</v>
      </c>
      <c r="J3241">
        <v>24.29</v>
      </c>
      <c r="K3241">
        <v>29.47</v>
      </c>
      <c r="L3241">
        <v>20.18</v>
      </c>
      <c r="M3241">
        <v>5.76</v>
      </c>
      <c r="N3241">
        <v>0.0</v>
      </c>
      <c r="O3241">
        <v>23.53</v>
      </c>
      <c r="P3241">
        <v>28.84</v>
      </c>
      <c r="Q3241">
        <v>19.93</v>
      </c>
      <c r="R3241">
        <v>3.7</v>
      </c>
    </row>
    <row r="3242">
      <c r="A3242" s="9">
        <v>41773</v>
      </c>
      <c r="B3242" s="2" t="inlineStr">
        <is>
          <t xml:space="preserve">2014-05</t>
        </is>
      </c>
      <c r="C3242" s="2" t="inlineStr">
        <is>
          <t xml:space="preserve">2013/14</t>
        </is>
      </c>
      <c r="D3242">
        <v>0.159</v>
      </c>
      <c r="E3242">
        <v>24.9</v>
      </c>
      <c r="F3242">
        <v>32.52</v>
      </c>
      <c r="G3242">
        <v>18.74</v>
      </c>
      <c r="H3242">
        <v>0.44</v>
      </c>
      <c r="I3242">
        <v>15.189</v>
      </c>
      <c r="J3242">
        <v>23.92</v>
      </c>
      <c r="K3242">
        <v>28.6</v>
      </c>
      <c r="L3242">
        <v>20.87</v>
      </c>
      <c r="M3242">
        <v>6.21</v>
      </c>
      <c r="N3242">
        <v>0.887</v>
      </c>
      <c r="O3242">
        <v>23.36</v>
      </c>
      <c r="P3242">
        <v>28.39</v>
      </c>
      <c r="Q3242">
        <v>19.66</v>
      </c>
      <c r="R3242">
        <v>4.45</v>
      </c>
    </row>
    <row r="3243">
      <c r="A3243" s="9">
        <v>41774</v>
      </c>
      <c r="B3243" s="2" t="inlineStr">
        <is>
          <t xml:space="preserve">2014-05</t>
        </is>
      </c>
      <c r="C3243" s="2" t="inlineStr">
        <is>
          <t xml:space="preserve">2013/14</t>
        </is>
      </c>
      <c r="D3243">
        <v>0.919</v>
      </c>
      <c r="E3243">
        <v>23.38</v>
      </c>
      <c r="F3243">
        <v>30.06</v>
      </c>
      <c r="G3243">
        <v>19.58</v>
      </c>
      <c r="H3243">
        <v>1.58</v>
      </c>
      <c r="I3243">
        <v>0.366</v>
      </c>
      <c r="J3243">
        <v>22.72</v>
      </c>
      <c r="K3243">
        <v>28.2</v>
      </c>
      <c r="L3243">
        <v>19.55</v>
      </c>
      <c r="M3243">
        <v>0.97</v>
      </c>
      <c r="N3243">
        <v>0.502</v>
      </c>
      <c r="O3243">
        <v>22.21</v>
      </c>
      <c r="P3243">
        <v>27.06</v>
      </c>
      <c r="Q3243">
        <v>19.44</v>
      </c>
      <c r="R3243">
        <v>4.65</v>
      </c>
    </row>
    <row r="3244">
      <c r="A3244" s="9">
        <v>41775</v>
      </c>
      <c r="B3244" s="2" t="inlineStr">
        <is>
          <t xml:space="preserve">2014-05</t>
        </is>
      </c>
      <c r="C3244" s="2" t="inlineStr">
        <is>
          <t xml:space="preserve">2013/14</t>
        </is>
      </c>
      <c r="D3244">
        <v>0.616</v>
      </c>
      <c r="E3244">
        <v>22.58</v>
      </c>
      <c r="F3244">
        <v>29.48</v>
      </c>
      <c r="G3244">
        <v>18.18</v>
      </c>
      <c r="H3244">
        <v>7.09</v>
      </c>
      <c r="I3244">
        <v>0.41</v>
      </c>
      <c r="J3244">
        <v>21.89</v>
      </c>
      <c r="K3244">
        <v>26.9</v>
      </c>
      <c r="L3244">
        <v>18.82</v>
      </c>
      <c r="M3244">
        <v>2.99</v>
      </c>
      <c r="N3244">
        <v>2.702</v>
      </c>
      <c r="O3244">
        <v>21.31</v>
      </c>
      <c r="P3244">
        <v>25.25</v>
      </c>
      <c r="Q3244">
        <v>18.95</v>
      </c>
      <c r="R3244">
        <v>6.93</v>
      </c>
    </row>
    <row r="3245">
      <c r="A3245" s="9">
        <v>41776</v>
      </c>
      <c r="B3245" s="2" t="inlineStr">
        <is>
          <t xml:space="preserve">2014-05</t>
        </is>
      </c>
      <c r="C3245" s="2" t="inlineStr">
        <is>
          <t xml:space="preserve">2013/14</t>
        </is>
      </c>
      <c r="D3245">
        <v>3.139</v>
      </c>
      <c r="E3245">
        <v>22.91</v>
      </c>
      <c r="F3245">
        <v>28.78</v>
      </c>
      <c r="G3245">
        <v>18.8</v>
      </c>
      <c r="H3245">
        <v>6.11</v>
      </c>
      <c r="I3245">
        <v>0.752</v>
      </c>
      <c r="J3245">
        <v>21.67</v>
      </c>
      <c r="K3245">
        <v>27.5</v>
      </c>
      <c r="L3245">
        <v>17.99</v>
      </c>
      <c r="M3245">
        <v>1.9</v>
      </c>
      <c r="N3245">
        <v>2.93</v>
      </c>
      <c r="O3245">
        <v>21.01</v>
      </c>
      <c r="P3245">
        <v>25.1</v>
      </c>
      <c r="Q3245">
        <v>18.45</v>
      </c>
      <c r="R3245">
        <v>3.0</v>
      </c>
    </row>
    <row r="3246">
      <c r="A3246" s="9">
        <v>41777</v>
      </c>
      <c r="B3246" s="2" t="inlineStr">
        <is>
          <t xml:space="preserve">2014-05</t>
        </is>
      </c>
      <c r="C3246" s="2" t="inlineStr">
        <is>
          <t xml:space="preserve">2013/14</t>
        </is>
      </c>
      <c r="D3246">
        <v>0.0</v>
      </c>
      <c r="E3246">
        <v>23.37</v>
      </c>
      <c r="F3246">
        <v>30.53</v>
      </c>
      <c r="G3246">
        <v>18.42</v>
      </c>
      <c r="H3246">
        <v>2.75</v>
      </c>
      <c r="I3246">
        <v>0.117</v>
      </c>
      <c r="J3246">
        <v>23.47</v>
      </c>
      <c r="K3246">
        <v>30.03</v>
      </c>
      <c r="L3246">
        <v>18.16</v>
      </c>
      <c r="M3246">
        <v>0.18</v>
      </c>
      <c r="N3246">
        <v>0.577</v>
      </c>
      <c r="O3246">
        <v>22.45</v>
      </c>
      <c r="P3246">
        <v>28.23</v>
      </c>
      <c r="Q3246">
        <v>18.64</v>
      </c>
      <c r="R3246">
        <v>0.21</v>
      </c>
    </row>
    <row r="3247">
      <c r="A3247" s="9">
        <v>41778</v>
      </c>
      <c r="B3247" s="2" t="inlineStr">
        <is>
          <t xml:space="preserve">2014-05</t>
        </is>
      </c>
      <c r="C3247" s="2" t="inlineStr">
        <is>
          <t xml:space="preserve">2013/14</t>
        </is>
      </c>
      <c r="D3247">
        <v>0.838</v>
      </c>
      <c r="E3247">
        <v>23.44</v>
      </c>
      <c r="F3247">
        <v>29.61</v>
      </c>
      <c r="G3247">
        <v>19.41</v>
      </c>
      <c r="H3247">
        <v>6.98</v>
      </c>
      <c r="I3247">
        <v>0.0</v>
      </c>
      <c r="J3247">
        <v>23.23</v>
      </c>
      <c r="K3247">
        <v>28.94</v>
      </c>
      <c r="L3247">
        <v>19.01</v>
      </c>
      <c r="M3247">
        <v>1.34</v>
      </c>
      <c r="N3247">
        <v>0.0</v>
      </c>
      <c r="O3247">
        <v>22.62</v>
      </c>
      <c r="P3247">
        <v>28.25</v>
      </c>
      <c r="Q3247">
        <v>18.8</v>
      </c>
      <c r="R3247">
        <v>1.75</v>
      </c>
    </row>
    <row r="3248">
      <c r="A3248" s="9">
        <v>41779</v>
      </c>
      <c r="B3248" s="2" t="inlineStr">
        <is>
          <t xml:space="preserve">2014-05</t>
        </is>
      </c>
      <c r="C3248" s="2" t="inlineStr">
        <is>
          <t xml:space="preserve">2013/14</t>
        </is>
      </c>
      <c r="D3248">
        <v>2.108</v>
      </c>
      <c r="E3248">
        <v>23.54</v>
      </c>
      <c r="F3248">
        <v>30.71</v>
      </c>
      <c r="G3248">
        <v>18.82</v>
      </c>
      <c r="H3248">
        <v>3.36</v>
      </c>
      <c r="I3248">
        <v>2.615</v>
      </c>
      <c r="J3248">
        <v>23.54</v>
      </c>
      <c r="K3248">
        <v>29.22</v>
      </c>
      <c r="L3248">
        <v>19.49</v>
      </c>
      <c r="M3248">
        <v>3.84</v>
      </c>
      <c r="N3248">
        <v>9.652</v>
      </c>
      <c r="O3248">
        <v>22.81</v>
      </c>
      <c r="P3248">
        <v>28.18</v>
      </c>
      <c r="Q3248">
        <v>19.3</v>
      </c>
      <c r="R3248">
        <v>5.74</v>
      </c>
    </row>
    <row r="3249">
      <c r="A3249" s="9">
        <v>41780</v>
      </c>
      <c r="B3249" s="2" t="inlineStr">
        <is>
          <t xml:space="preserve">2014-05</t>
        </is>
      </c>
      <c r="C3249" s="2" t="inlineStr">
        <is>
          <t xml:space="preserve">2013/14</t>
        </is>
      </c>
      <c r="D3249">
        <v>1.945</v>
      </c>
      <c r="E3249">
        <v>23.47</v>
      </c>
      <c r="F3249">
        <v>29.95</v>
      </c>
      <c r="G3249">
        <v>19.22</v>
      </c>
      <c r="H3249">
        <v>3.46</v>
      </c>
      <c r="I3249">
        <v>7.722</v>
      </c>
      <c r="J3249">
        <v>23.58</v>
      </c>
      <c r="K3249">
        <v>28.96</v>
      </c>
      <c r="L3249">
        <v>19.13</v>
      </c>
      <c r="M3249">
        <v>4.18</v>
      </c>
      <c r="N3249">
        <v>0.971</v>
      </c>
      <c r="O3249">
        <v>22.67</v>
      </c>
      <c r="P3249">
        <v>27.8</v>
      </c>
      <c r="Q3249">
        <v>19.44</v>
      </c>
      <c r="R3249">
        <v>6.28</v>
      </c>
    </row>
    <row r="3250">
      <c r="A3250" s="9">
        <v>41781</v>
      </c>
      <c r="B3250" s="2" t="inlineStr">
        <is>
          <t xml:space="preserve">2014-05</t>
        </is>
      </c>
      <c r="C3250" s="2" t="inlineStr">
        <is>
          <t xml:space="preserve">2013/14</t>
        </is>
      </c>
      <c r="D3250">
        <v>3.398</v>
      </c>
      <c r="E3250">
        <v>23.44</v>
      </c>
      <c r="F3250">
        <v>30.07</v>
      </c>
      <c r="G3250">
        <v>18.52</v>
      </c>
      <c r="H3250">
        <v>7.46</v>
      </c>
      <c r="I3250">
        <v>1.684</v>
      </c>
      <c r="J3250">
        <v>23.46</v>
      </c>
      <c r="K3250">
        <v>28.85</v>
      </c>
      <c r="L3250">
        <v>19.62</v>
      </c>
      <c r="M3250">
        <v>3.05</v>
      </c>
      <c r="N3250">
        <v>1.049</v>
      </c>
      <c r="O3250">
        <v>22.65</v>
      </c>
      <c r="P3250">
        <v>27.82</v>
      </c>
      <c r="Q3250">
        <v>19.4</v>
      </c>
      <c r="R3250">
        <v>6.7</v>
      </c>
    </row>
    <row r="3251">
      <c r="A3251" s="9">
        <v>41782</v>
      </c>
      <c r="B3251" s="2" t="inlineStr">
        <is>
          <t xml:space="preserve">2014-05</t>
        </is>
      </c>
      <c r="C3251" s="2" t="inlineStr">
        <is>
          <t xml:space="preserve">2013/14</t>
        </is>
      </c>
      <c r="D3251">
        <v>1.941</v>
      </c>
      <c r="E3251">
        <v>24.09</v>
      </c>
      <c r="F3251">
        <v>31.03</v>
      </c>
      <c r="G3251">
        <v>18.94</v>
      </c>
      <c r="H3251">
        <v>0.71</v>
      </c>
      <c r="I3251">
        <v>2.665</v>
      </c>
      <c r="J3251">
        <v>23.29</v>
      </c>
      <c r="K3251">
        <v>27.27</v>
      </c>
      <c r="L3251">
        <v>20.25</v>
      </c>
      <c r="M3251">
        <v>2.42</v>
      </c>
      <c r="N3251">
        <v>1.095</v>
      </c>
      <c r="O3251">
        <v>23.11</v>
      </c>
      <c r="P3251">
        <v>28.42</v>
      </c>
      <c r="Q3251">
        <v>19.94</v>
      </c>
      <c r="R3251">
        <v>4.23</v>
      </c>
    </row>
    <row r="3252">
      <c r="A3252" s="9">
        <v>41783</v>
      </c>
      <c r="B3252" s="2" t="inlineStr">
        <is>
          <t xml:space="preserve">2014-05</t>
        </is>
      </c>
      <c r="C3252" s="2" t="inlineStr">
        <is>
          <t xml:space="preserve">2013/14</t>
        </is>
      </c>
      <c r="D3252">
        <v>0.071</v>
      </c>
      <c r="E3252">
        <v>24.37</v>
      </c>
      <c r="F3252">
        <v>31.45</v>
      </c>
      <c r="G3252">
        <v>18.16</v>
      </c>
      <c r="H3252">
        <v>1.0</v>
      </c>
      <c r="I3252">
        <v>0.723</v>
      </c>
      <c r="J3252">
        <v>24.85</v>
      </c>
      <c r="K3252">
        <v>31.07</v>
      </c>
      <c r="L3252">
        <v>20.05</v>
      </c>
      <c r="M3252">
        <v>1.93</v>
      </c>
      <c r="N3252">
        <v>0.816</v>
      </c>
      <c r="O3252">
        <v>23.47</v>
      </c>
      <c r="P3252">
        <v>28.99</v>
      </c>
      <c r="Q3252">
        <v>20.09</v>
      </c>
      <c r="R3252">
        <v>5.8</v>
      </c>
    </row>
    <row r="3253">
      <c r="A3253" s="9">
        <v>41784</v>
      </c>
      <c r="B3253" s="2" t="inlineStr">
        <is>
          <t xml:space="preserve">2014-05</t>
        </is>
      </c>
      <c r="C3253" s="2" t="inlineStr">
        <is>
          <t xml:space="preserve">2013/14</t>
        </is>
      </c>
      <c r="D3253">
        <v>0.0</v>
      </c>
      <c r="E3253">
        <v>24.89</v>
      </c>
      <c r="F3253">
        <v>32.59</v>
      </c>
      <c r="G3253">
        <v>17.91</v>
      </c>
      <c r="H3253">
        <v>0.18</v>
      </c>
      <c r="I3253">
        <v>0.971</v>
      </c>
      <c r="J3253">
        <v>25.33</v>
      </c>
      <c r="K3253">
        <v>31.62</v>
      </c>
      <c r="L3253">
        <v>20.62</v>
      </c>
      <c r="M3253">
        <v>2.55</v>
      </c>
      <c r="N3253">
        <v>0.456</v>
      </c>
      <c r="O3253">
        <v>23.79</v>
      </c>
      <c r="P3253">
        <v>29.58</v>
      </c>
      <c r="Q3253">
        <v>20.24</v>
      </c>
      <c r="R3253">
        <v>3.59</v>
      </c>
    </row>
    <row r="3254">
      <c r="A3254" s="9">
        <v>41785</v>
      </c>
      <c r="B3254" s="2" t="inlineStr">
        <is>
          <t xml:space="preserve">2014-05</t>
        </is>
      </c>
      <c r="C3254" s="2" t="inlineStr">
        <is>
          <t xml:space="preserve">2013/14</t>
        </is>
      </c>
      <c r="D3254">
        <v>0.0</v>
      </c>
      <c r="E3254">
        <v>25.46</v>
      </c>
      <c r="F3254">
        <v>32.15</v>
      </c>
      <c r="G3254">
        <v>19.76</v>
      </c>
      <c r="H3254">
        <v>0.08</v>
      </c>
      <c r="I3254">
        <v>8.72</v>
      </c>
      <c r="J3254">
        <v>24.56</v>
      </c>
      <c r="K3254">
        <v>30.48</v>
      </c>
      <c r="L3254">
        <v>19.87</v>
      </c>
      <c r="M3254">
        <v>6.86</v>
      </c>
      <c r="N3254">
        <v>0.85</v>
      </c>
      <c r="O3254">
        <v>23.48</v>
      </c>
      <c r="P3254">
        <v>28.7</v>
      </c>
      <c r="Q3254">
        <v>20.08</v>
      </c>
      <c r="R3254">
        <v>4.44</v>
      </c>
    </row>
    <row r="3255">
      <c r="A3255" s="9">
        <v>41786</v>
      </c>
      <c r="B3255" s="2" t="inlineStr">
        <is>
          <t xml:space="preserve">2014-05</t>
        </is>
      </c>
      <c r="C3255" s="2" t="inlineStr">
        <is>
          <t xml:space="preserve">2013/14</t>
        </is>
      </c>
      <c r="D3255">
        <v>0.0</v>
      </c>
      <c r="E3255">
        <v>25.36</v>
      </c>
      <c r="F3255">
        <v>33.54</v>
      </c>
      <c r="G3255">
        <v>18.39</v>
      </c>
      <c r="H3255">
        <v>0.01</v>
      </c>
      <c r="I3255">
        <v>33.224</v>
      </c>
      <c r="J3255">
        <v>24.99</v>
      </c>
      <c r="K3255">
        <v>30.87</v>
      </c>
      <c r="L3255">
        <v>20.57</v>
      </c>
      <c r="M3255">
        <v>10.24</v>
      </c>
      <c r="N3255">
        <v>1.094</v>
      </c>
      <c r="O3255">
        <v>23.94</v>
      </c>
      <c r="P3255">
        <v>29.94</v>
      </c>
      <c r="Q3255">
        <v>20.22</v>
      </c>
      <c r="R3255">
        <v>3.39</v>
      </c>
    </row>
    <row r="3256">
      <c r="A3256" s="9">
        <v>41787</v>
      </c>
      <c r="B3256" s="2" t="inlineStr">
        <is>
          <t xml:space="preserve">2014-05</t>
        </is>
      </c>
      <c r="C3256" s="2" t="inlineStr">
        <is>
          <t xml:space="preserve">2013/14</t>
        </is>
      </c>
      <c r="D3256">
        <v>0.0</v>
      </c>
      <c r="E3256">
        <v>25.86</v>
      </c>
      <c r="F3256">
        <v>33.58</v>
      </c>
      <c r="G3256">
        <v>18.99</v>
      </c>
      <c r="H3256">
        <v>0.19</v>
      </c>
      <c r="I3256">
        <v>0.0</v>
      </c>
      <c r="J3256">
        <v>25.65</v>
      </c>
      <c r="K3256">
        <v>32.83</v>
      </c>
      <c r="L3256">
        <v>19.12</v>
      </c>
      <c r="M3256">
        <v>0.71</v>
      </c>
      <c r="N3256">
        <v>0.0</v>
      </c>
      <c r="O3256">
        <v>24.9</v>
      </c>
      <c r="P3256">
        <v>31.54</v>
      </c>
      <c r="Q3256">
        <v>19.79</v>
      </c>
      <c r="R3256">
        <v>0.44</v>
      </c>
    </row>
    <row r="3257">
      <c r="A3257" s="9">
        <v>41788</v>
      </c>
      <c r="B3257" s="2" t="inlineStr">
        <is>
          <t xml:space="preserve">2014-05</t>
        </is>
      </c>
      <c r="C3257" s="2" t="inlineStr">
        <is>
          <t xml:space="preserve">2013/14</t>
        </is>
      </c>
      <c r="D3257">
        <v>1.906</v>
      </c>
      <c r="E3257">
        <v>24.64</v>
      </c>
      <c r="F3257">
        <v>29.34</v>
      </c>
      <c r="G3257">
        <v>20.44</v>
      </c>
      <c r="H3257">
        <v>1.44</v>
      </c>
      <c r="I3257">
        <v>1.804</v>
      </c>
      <c r="J3257">
        <v>23.94</v>
      </c>
      <c r="K3257">
        <v>27.69</v>
      </c>
      <c r="L3257">
        <v>20.98</v>
      </c>
      <c r="M3257">
        <v>3.63</v>
      </c>
      <c r="N3257">
        <v>0.481</v>
      </c>
      <c r="O3257">
        <v>23.51</v>
      </c>
      <c r="P3257">
        <v>27.57</v>
      </c>
      <c r="Q3257">
        <v>20.78</v>
      </c>
      <c r="R3257">
        <v>3.34</v>
      </c>
    </row>
    <row r="3258">
      <c r="A3258" s="9">
        <v>41789</v>
      </c>
      <c r="B3258" s="2" t="inlineStr">
        <is>
          <t xml:space="preserve">2014-05</t>
        </is>
      </c>
      <c r="C3258" s="2" t="inlineStr">
        <is>
          <t xml:space="preserve">2013/14</t>
        </is>
      </c>
      <c r="D3258">
        <v>5.229</v>
      </c>
      <c r="E3258">
        <v>22.57</v>
      </c>
      <c r="F3258">
        <v>25.35</v>
      </c>
      <c r="G3258">
        <v>20.57</v>
      </c>
      <c r="H3258">
        <v>7.5</v>
      </c>
      <c r="I3258">
        <v>3.314</v>
      </c>
      <c r="J3258">
        <v>23.89</v>
      </c>
      <c r="K3258">
        <v>27.89</v>
      </c>
      <c r="L3258">
        <v>21.26</v>
      </c>
      <c r="M3258">
        <v>5.62</v>
      </c>
      <c r="N3258">
        <v>8.317</v>
      </c>
      <c r="O3258">
        <v>22.93</v>
      </c>
      <c r="P3258">
        <v>26.61</v>
      </c>
      <c r="Q3258">
        <v>21.02</v>
      </c>
      <c r="R3258">
        <v>8.74</v>
      </c>
    </row>
    <row r="3259">
      <c r="A3259" s="9">
        <v>41790</v>
      </c>
      <c r="B3259" s="2" t="inlineStr">
        <is>
          <t xml:space="preserve">2014-05</t>
        </is>
      </c>
      <c r="C3259" s="2" t="inlineStr">
        <is>
          <t xml:space="preserve">2013/14</t>
        </is>
      </c>
      <c r="D3259">
        <v>8.511</v>
      </c>
      <c r="E3259">
        <v>23.03</v>
      </c>
      <c r="F3259">
        <v>28.52</v>
      </c>
      <c r="G3259">
        <v>19.61</v>
      </c>
      <c r="H3259">
        <v>6.57</v>
      </c>
      <c r="I3259">
        <v>0.042</v>
      </c>
      <c r="J3259">
        <v>23.45</v>
      </c>
      <c r="K3259">
        <v>29.03</v>
      </c>
      <c r="L3259">
        <v>20.41</v>
      </c>
      <c r="M3259">
        <v>17.2</v>
      </c>
      <c r="N3259">
        <v>0.253</v>
      </c>
      <c r="O3259">
        <v>23.06</v>
      </c>
      <c r="P3259">
        <v>27.85</v>
      </c>
      <c r="Q3259">
        <v>20.33</v>
      </c>
      <c r="R3259">
        <v>20.75</v>
      </c>
    </row>
    <row r="3260">
      <c r="A3260" s="9">
        <v>41791</v>
      </c>
      <c r="B3260" s="2" t="inlineStr">
        <is>
          <t xml:space="preserve">2014-06</t>
        </is>
      </c>
      <c r="C3260" s="2" t="inlineStr">
        <is>
          <t xml:space="preserve">2013/14</t>
        </is>
      </c>
      <c r="D3260">
        <v>1.791</v>
      </c>
      <c r="E3260">
        <v>22.15</v>
      </c>
      <c r="F3260">
        <v>27.1</v>
      </c>
      <c r="G3260">
        <v>19.75</v>
      </c>
      <c r="H3260">
        <v>3.96</v>
      </c>
      <c r="I3260">
        <v>31.76</v>
      </c>
      <c r="J3260">
        <v>22.3</v>
      </c>
      <c r="K3260">
        <v>26.0</v>
      </c>
      <c r="L3260">
        <v>19.4</v>
      </c>
      <c r="M3260">
        <v>24.69</v>
      </c>
      <c r="N3260">
        <v>56.953</v>
      </c>
      <c r="O3260">
        <v>22.8</v>
      </c>
      <c r="P3260">
        <v>27.16</v>
      </c>
      <c r="Q3260">
        <v>19.98</v>
      </c>
      <c r="R3260">
        <v>26.68</v>
      </c>
    </row>
    <row r="3261">
      <c r="A3261" s="9">
        <v>41792</v>
      </c>
      <c r="B3261" s="2" t="inlineStr">
        <is>
          <t xml:space="preserve">2014-06</t>
        </is>
      </c>
      <c r="C3261" s="2" t="inlineStr">
        <is>
          <t xml:space="preserve">2013/14</t>
        </is>
      </c>
      <c r="D3261">
        <v>4.301</v>
      </c>
      <c r="E3261">
        <v>22.94</v>
      </c>
      <c r="F3261">
        <v>28.01</v>
      </c>
      <c r="G3261">
        <v>19.09</v>
      </c>
      <c r="H3261">
        <v>4.46</v>
      </c>
      <c r="I3261">
        <v>31.723</v>
      </c>
      <c r="J3261">
        <v>21.78</v>
      </c>
      <c r="K3261">
        <v>25.34</v>
      </c>
      <c r="L3261">
        <v>19.26</v>
      </c>
      <c r="M3261">
        <v>16.27</v>
      </c>
      <c r="N3261">
        <v>2.301</v>
      </c>
      <c r="O3261">
        <v>23.31</v>
      </c>
      <c r="P3261">
        <v>28.22</v>
      </c>
      <c r="Q3261">
        <v>19.79</v>
      </c>
      <c r="R3261">
        <v>9.84</v>
      </c>
    </row>
    <row r="3262">
      <c r="A3262" s="9">
        <v>41793</v>
      </c>
      <c r="B3262" s="2" t="inlineStr">
        <is>
          <t xml:space="preserve">2014-06</t>
        </is>
      </c>
      <c r="C3262" s="2" t="inlineStr">
        <is>
          <t xml:space="preserve">2013/14</t>
        </is>
      </c>
      <c r="D3262">
        <v>17.263</v>
      </c>
      <c r="E3262">
        <v>23.98</v>
      </c>
      <c r="F3262">
        <v>29.76</v>
      </c>
      <c r="G3262">
        <v>19.47</v>
      </c>
      <c r="H3262">
        <v>10.88</v>
      </c>
      <c r="I3262">
        <v>3.171</v>
      </c>
      <c r="J3262">
        <v>22.52</v>
      </c>
      <c r="K3262">
        <v>26.39</v>
      </c>
      <c r="L3262">
        <v>19.54</v>
      </c>
      <c r="M3262">
        <v>7.74</v>
      </c>
      <c r="N3262">
        <v>9.399</v>
      </c>
      <c r="O3262">
        <v>23.38</v>
      </c>
      <c r="P3262">
        <v>27.72</v>
      </c>
      <c r="Q3262">
        <v>19.42</v>
      </c>
      <c r="R3262">
        <v>8.55</v>
      </c>
    </row>
    <row r="3263">
      <c r="A3263" s="9">
        <v>41794</v>
      </c>
      <c r="B3263" s="2" t="inlineStr">
        <is>
          <t xml:space="preserve">2014-06</t>
        </is>
      </c>
      <c r="C3263" s="2" t="inlineStr">
        <is>
          <t xml:space="preserve">2013/14</t>
        </is>
      </c>
      <c r="D3263">
        <v>11.353</v>
      </c>
      <c r="E3263">
        <v>23.14</v>
      </c>
      <c r="F3263">
        <v>27.2</v>
      </c>
      <c r="G3263">
        <v>20.1</v>
      </c>
      <c r="H3263">
        <v>6.35</v>
      </c>
      <c r="I3263">
        <v>3.184</v>
      </c>
      <c r="J3263">
        <v>22.53</v>
      </c>
      <c r="K3263">
        <v>25.66</v>
      </c>
      <c r="L3263">
        <v>19.71</v>
      </c>
      <c r="M3263">
        <v>9.91</v>
      </c>
      <c r="N3263">
        <v>9.993</v>
      </c>
      <c r="O3263">
        <v>22.92</v>
      </c>
      <c r="P3263">
        <v>25.16</v>
      </c>
      <c r="Q3263">
        <v>21.11</v>
      </c>
      <c r="R3263">
        <v>11.34</v>
      </c>
    </row>
    <row r="3264">
      <c r="A3264" s="9">
        <v>41795</v>
      </c>
      <c r="B3264" s="2" t="inlineStr">
        <is>
          <t xml:space="preserve">2014-06</t>
        </is>
      </c>
      <c r="C3264" s="2" t="inlineStr">
        <is>
          <t xml:space="preserve">2013/14</t>
        </is>
      </c>
      <c r="D3264">
        <v>2.608</v>
      </c>
      <c r="E3264">
        <v>23.33</v>
      </c>
      <c r="F3264">
        <v>29.89</v>
      </c>
      <c r="G3264">
        <v>18.19</v>
      </c>
      <c r="H3264">
        <v>1.31</v>
      </c>
      <c r="I3264">
        <v>7.652</v>
      </c>
      <c r="J3264">
        <v>23.07</v>
      </c>
      <c r="K3264">
        <v>26.43</v>
      </c>
      <c r="L3264">
        <v>20.78</v>
      </c>
      <c r="M3264">
        <v>6.85</v>
      </c>
      <c r="N3264">
        <v>24.745</v>
      </c>
      <c r="O3264">
        <v>23.12</v>
      </c>
      <c r="P3264">
        <v>26.06</v>
      </c>
      <c r="Q3264">
        <v>21.08</v>
      </c>
      <c r="R3264">
        <v>8.62</v>
      </c>
    </row>
    <row r="3265">
      <c r="A3265" s="9">
        <v>41796</v>
      </c>
      <c r="B3265" s="2" t="inlineStr">
        <is>
          <t xml:space="preserve">2014-06</t>
        </is>
      </c>
      <c r="C3265" s="2" t="inlineStr">
        <is>
          <t xml:space="preserve">2013/14</t>
        </is>
      </c>
      <c r="D3265">
        <v>3.759</v>
      </c>
      <c r="E3265">
        <v>24.58</v>
      </c>
      <c r="F3265">
        <v>31.27</v>
      </c>
      <c r="G3265">
        <v>18.81</v>
      </c>
      <c r="H3265">
        <v>1.9</v>
      </c>
      <c r="I3265">
        <v>0.203</v>
      </c>
      <c r="J3265">
        <v>23.69</v>
      </c>
      <c r="K3265">
        <v>28.39</v>
      </c>
      <c r="L3265">
        <v>19.9</v>
      </c>
      <c r="M3265">
        <v>1.52</v>
      </c>
      <c r="N3265">
        <v>0.708</v>
      </c>
      <c r="O3265">
        <v>23.15</v>
      </c>
      <c r="P3265">
        <v>27.49</v>
      </c>
      <c r="Q3265">
        <v>20.25</v>
      </c>
      <c r="R3265">
        <v>2.19</v>
      </c>
    </row>
    <row r="3266">
      <c r="A3266" s="9">
        <v>41797</v>
      </c>
      <c r="B3266" s="2" t="inlineStr">
        <is>
          <t xml:space="preserve">2014-06</t>
        </is>
      </c>
      <c r="C3266" s="2" t="inlineStr">
        <is>
          <t xml:space="preserve">2013/14</t>
        </is>
      </c>
      <c r="D3266">
        <v>4.06</v>
      </c>
      <c r="E3266">
        <v>23.19</v>
      </c>
      <c r="F3266">
        <v>27.62</v>
      </c>
      <c r="G3266">
        <v>20.07</v>
      </c>
      <c r="H3266">
        <v>2.92</v>
      </c>
      <c r="I3266">
        <v>8.254</v>
      </c>
      <c r="J3266">
        <v>22.91</v>
      </c>
      <c r="K3266">
        <v>26.95</v>
      </c>
      <c r="L3266">
        <v>20.08</v>
      </c>
      <c r="M3266">
        <v>13.04</v>
      </c>
      <c r="N3266">
        <v>13.944</v>
      </c>
      <c r="O3266">
        <v>22.58</v>
      </c>
      <c r="P3266">
        <v>26.09</v>
      </c>
      <c r="Q3266">
        <v>20.46</v>
      </c>
      <c r="R3266">
        <v>12.04</v>
      </c>
    </row>
    <row r="3267">
      <c r="A3267" s="9">
        <v>41798</v>
      </c>
      <c r="B3267" s="2" t="inlineStr">
        <is>
          <t xml:space="preserve">2014-06</t>
        </is>
      </c>
      <c r="C3267" s="2" t="inlineStr">
        <is>
          <t xml:space="preserve">2013/14</t>
        </is>
      </c>
      <c r="D3267">
        <v>3.72</v>
      </c>
      <c r="E3267">
        <v>22.82</v>
      </c>
      <c r="F3267">
        <v>27.87</v>
      </c>
      <c r="G3267">
        <v>19.17</v>
      </c>
      <c r="H3267">
        <v>1.47</v>
      </c>
      <c r="I3267">
        <v>16.38</v>
      </c>
      <c r="J3267">
        <v>21.16</v>
      </c>
      <c r="K3267">
        <v>24.04</v>
      </c>
      <c r="L3267">
        <v>18.51</v>
      </c>
      <c r="M3267">
        <v>7.66</v>
      </c>
      <c r="N3267">
        <v>1.83</v>
      </c>
      <c r="O3267">
        <v>21.43</v>
      </c>
      <c r="P3267">
        <v>23.71</v>
      </c>
      <c r="Q3267">
        <v>19.53</v>
      </c>
      <c r="R3267">
        <v>5.74</v>
      </c>
    </row>
    <row r="3268">
      <c r="A3268" s="9">
        <v>41799</v>
      </c>
      <c r="B3268" s="2" t="inlineStr">
        <is>
          <t xml:space="preserve">2014-06</t>
        </is>
      </c>
      <c r="C3268" s="2" t="inlineStr">
        <is>
          <t xml:space="preserve">2013/14</t>
        </is>
      </c>
      <c r="D3268">
        <v>5.654</v>
      </c>
      <c r="E3268">
        <v>23.72</v>
      </c>
      <c r="F3268">
        <v>29.49</v>
      </c>
      <c r="G3268">
        <v>18.99</v>
      </c>
      <c r="H3268">
        <v>3.52</v>
      </c>
      <c r="I3268">
        <v>19.5</v>
      </c>
      <c r="J3268">
        <v>22.42</v>
      </c>
      <c r="K3268">
        <v>26.7</v>
      </c>
      <c r="L3268">
        <v>18.15</v>
      </c>
      <c r="M3268">
        <v>12.6</v>
      </c>
      <c r="N3268">
        <v>2.188</v>
      </c>
      <c r="O3268">
        <v>22.4</v>
      </c>
      <c r="P3268">
        <v>26.24</v>
      </c>
      <c r="Q3268">
        <v>19.44</v>
      </c>
      <c r="R3268">
        <v>5.79</v>
      </c>
    </row>
    <row r="3269">
      <c r="A3269" s="9">
        <v>41800</v>
      </c>
      <c r="B3269" s="2" t="inlineStr">
        <is>
          <t xml:space="preserve">2014-06</t>
        </is>
      </c>
      <c r="C3269" s="2" t="inlineStr">
        <is>
          <t xml:space="preserve">2013/14</t>
        </is>
      </c>
      <c r="D3269">
        <v>6.853</v>
      </c>
      <c r="E3269">
        <v>23.86</v>
      </c>
      <c r="F3269">
        <v>30.89</v>
      </c>
      <c r="G3269">
        <v>19.32</v>
      </c>
      <c r="H3269">
        <v>7.65</v>
      </c>
      <c r="I3269">
        <v>4.104</v>
      </c>
      <c r="J3269">
        <v>23.26</v>
      </c>
      <c r="K3269">
        <v>27.49</v>
      </c>
      <c r="L3269">
        <v>19.92</v>
      </c>
      <c r="M3269">
        <v>7.21</v>
      </c>
      <c r="N3269">
        <v>15.322</v>
      </c>
      <c r="O3269">
        <v>23.49</v>
      </c>
      <c r="P3269">
        <v>28.0</v>
      </c>
      <c r="Q3269">
        <v>19.88</v>
      </c>
      <c r="R3269">
        <v>8.79</v>
      </c>
    </row>
    <row r="3270">
      <c r="A3270" s="9">
        <v>41801</v>
      </c>
      <c r="B3270" s="2" t="inlineStr">
        <is>
          <t xml:space="preserve">2014-06</t>
        </is>
      </c>
      <c r="C3270" s="2" t="inlineStr">
        <is>
          <t xml:space="preserve">2013/14</t>
        </is>
      </c>
      <c r="D3270">
        <v>3.462</v>
      </c>
      <c r="E3270">
        <v>22.28</v>
      </c>
      <c r="F3270">
        <v>25.71</v>
      </c>
      <c r="G3270">
        <v>20.14</v>
      </c>
      <c r="H3270">
        <v>3.12</v>
      </c>
      <c r="I3270">
        <v>0.212</v>
      </c>
      <c r="J3270">
        <v>22.63</v>
      </c>
      <c r="K3270">
        <v>25.22</v>
      </c>
      <c r="L3270">
        <v>20.56</v>
      </c>
      <c r="M3270">
        <v>1.67</v>
      </c>
      <c r="N3270">
        <v>1.129</v>
      </c>
      <c r="O3270">
        <v>22.46</v>
      </c>
      <c r="P3270">
        <v>25.08</v>
      </c>
      <c r="Q3270">
        <v>20.82</v>
      </c>
      <c r="R3270">
        <v>2.21</v>
      </c>
    </row>
    <row r="3271">
      <c r="A3271" s="9">
        <v>41802</v>
      </c>
      <c r="B3271" s="2" t="inlineStr">
        <is>
          <t xml:space="preserve">2014-06</t>
        </is>
      </c>
      <c r="C3271" s="2" t="inlineStr">
        <is>
          <t xml:space="preserve">2013/14</t>
        </is>
      </c>
      <c r="D3271">
        <v>1.277</v>
      </c>
      <c r="E3271">
        <v>24.1</v>
      </c>
      <c r="F3271">
        <v>30.16</v>
      </c>
      <c r="G3271">
        <v>19.48</v>
      </c>
      <c r="H3271">
        <v>1.31</v>
      </c>
      <c r="I3271">
        <v>0.0</v>
      </c>
      <c r="J3271">
        <v>23.82</v>
      </c>
      <c r="K3271">
        <v>27.59</v>
      </c>
      <c r="L3271">
        <v>20.39</v>
      </c>
      <c r="M3271">
        <v>1.34</v>
      </c>
      <c r="N3271">
        <v>0.183</v>
      </c>
      <c r="O3271">
        <v>23.62</v>
      </c>
      <c r="P3271">
        <v>27.54</v>
      </c>
      <c r="Q3271">
        <v>20.67</v>
      </c>
      <c r="R3271">
        <v>2.36</v>
      </c>
    </row>
    <row r="3272">
      <c r="A3272" s="9">
        <v>41803</v>
      </c>
      <c r="B3272" s="2" t="inlineStr">
        <is>
          <t xml:space="preserve">2014-06</t>
        </is>
      </c>
      <c r="C3272" s="2" t="inlineStr">
        <is>
          <t xml:space="preserve">2013/14</t>
        </is>
      </c>
      <c r="D3272">
        <v>1.913</v>
      </c>
      <c r="E3272">
        <v>23.6</v>
      </c>
      <c r="F3272">
        <v>28.65</v>
      </c>
      <c r="G3272">
        <v>19.74</v>
      </c>
      <c r="H3272">
        <v>1.17</v>
      </c>
      <c r="I3272">
        <v>11.028</v>
      </c>
      <c r="J3272">
        <v>22.69</v>
      </c>
      <c r="K3272">
        <v>25.39</v>
      </c>
      <c r="L3272">
        <v>20.2</v>
      </c>
      <c r="M3272">
        <v>7.61</v>
      </c>
      <c r="N3272">
        <v>1.031</v>
      </c>
      <c r="O3272">
        <v>22.56</v>
      </c>
      <c r="P3272">
        <v>24.98</v>
      </c>
      <c r="Q3272">
        <v>20.94</v>
      </c>
      <c r="R3272">
        <v>3.96</v>
      </c>
    </row>
    <row r="3273">
      <c r="A3273" s="9">
        <v>41804</v>
      </c>
      <c r="B3273" s="2" t="inlineStr">
        <is>
          <t xml:space="preserve">2014-06</t>
        </is>
      </c>
      <c r="C3273" s="2" t="inlineStr">
        <is>
          <t xml:space="preserve">2013/14</t>
        </is>
      </c>
      <c r="D3273">
        <v>1.968</v>
      </c>
      <c r="E3273">
        <v>23.66</v>
      </c>
      <c r="F3273">
        <v>29.0</v>
      </c>
      <c r="G3273">
        <v>19.61</v>
      </c>
      <c r="H3273">
        <v>4.09</v>
      </c>
      <c r="I3273">
        <v>6.119</v>
      </c>
      <c r="J3273">
        <v>22.12</v>
      </c>
      <c r="K3273">
        <v>24.27</v>
      </c>
      <c r="L3273">
        <v>20.03</v>
      </c>
      <c r="M3273">
        <v>4.6</v>
      </c>
      <c r="N3273">
        <v>0.409</v>
      </c>
      <c r="O3273">
        <v>22.82</v>
      </c>
      <c r="P3273">
        <v>25.94</v>
      </c>
      <c r="Q3273">
        <v>20.63</v>
      </c>
      <c r="R3273">
        <v>5.8</v>
      </c>
    </row>
    <row r="3274">
      <c r="A3274" s="9">
        <v>41805</v>
      </c>
      <c r="B3274" s="2" t="inlineStr">
        <is>
          <t xml:space="preserve">2014-06</t>
        </is>
      </c>
      <c r="C3274" s="2" t="inlineStr">
        <is>
          <t xml:space="preserve">2013/14</t>
        </is>
      </c>
      <c r="D3274">
        <v>6.239</v>
      </c>
      <c r="E3274">
        <v>22.43</v>
      </c>
      <c r="F3274">
        <v>27.84</v>
      </c>
      <c r="G3274">
        <v>17.85</v>
      </c>
      <c r="H3274">
        <v>10.98</v>
      </c>
      <c r="I3274">
        <v>4.454</v>
      </c>
      <c r="J3274">
        <v>23.21</v>
      </c>
      <c r="K3274">
        <v>27.28</v>
      </c>
      <c r="L3274">
        <v>20.35</v>
      </c>
      <c r="M3274">
        <v>9.8</v>
      </c>
      <c r="N3274">
        <v>7.938</v>
      </c>
      <c r="O3274">
        <v>23.06</v>
      </c>
      <c r="P3274">
        <v>27.08</v>
      </c>
      <c r="Q3274">
        <v>20.29</v>
      </c>
      <c r="R3274">
        <v>10.5</v>
      </c>
    </row>
    <row r="3275">
      <c r="A3275" s="9">
        <v>41806</v>
      </c>
      <c r="B3275" s="2" t="inlineStr">
        <is>
          <t xml:space="preserve">2014-06</t>
        </is>
      </c>
      <c r="C3275" s="2" t="inlineStr">
        <is>
          <t xml:space="preserve">2013/14</t>
        </is>
      </c>
      <c r="D3275">
        <v>13.373</v>
      </c>
      <c r="E3275">
        <v>20.59</v>
      </c>
      <c r="F3275">
        <v>25.64</v>
      </c>
      <c r="G3275">
        <v>17.16</v>
      </c>
      <c r="H3275">
        <v>11.71</v>
      </c>
      <c r="I3275">
        <v>22.753</v>
      </c>
      <c r="J3275">
        <v>22.46</v>
      </c>
      <c r="K3275">
        <v>26.59</v>
      </c>
      <c r="L3275">
        <v>18.76</v>
      </c>
      <c r="M3275">
        <v>9.19</v>
      </c>
      <c r="N3275">
        <v>3.793</v>
      </c>
      <c r="O3275">
        <v>22.05</v>
      </c>
      <c r="P3275">
        <v>26.58</v>
      </c>
      <c r="Q3275">
        <v>18.96</v>
      </c>
      <c r="R3275">
        <v>6.91</v>
      </c>
    </row>
    <row r="3276">
      <c r="A3276" s="9">
        <v>41807</v>
      </c>
      <c r="B3276" s="2" t="inlineStr">
        <is>
          <t xml:space="preserve">2014-06</t>
        </is>
      </c>
      <c r="C3276" s="2" t="inlineStr">
        <is>
          <t xml:space="preserve">2013/14</t>
        </is>
      </c>
      <c r="D3276">
        <v>1.789</v>
      </c>
      <c r="E3276">
        <v>21.98</v>
      </c>
      <c r="F3276">
        <v>28.4</v>
      </c>
      <c r="G3276">
        <v>16.68</v>
      </c>
      <c r="H3276">
        <v>1.79</v>
      </c>
      <c r="I3276">
        <v>5.563</v>
      </c>
      <c r="J3276">
        <v>22.95</v>
      </c>
      <c r="K3276">
        <v>27.84</v>
      </c>
      <c r="L3276">
        <v>19.04</v>
      </c>
      <c r="M3276">
        <v>4.1</v>
      </c>
      <c r="N3276">
        <v>3.321</v>
      </c>
      <c r="O3276">
        <v>22.59</v>
      </c>
      <c r="P3276">
        <v>27.36</v>
      </c>
      <c r="Q3276">
        <v>19.07</v>
      </c>
      <c r="R3276">
        <v>4.72</v>
      </c>
    </row>
    <row r="3277">
      <c r="A3277" s="9">
        <v>41808</v>
      </c>
      <c r="B3277" s="2" t="inlineStr">
        <is>
          <t xml:space="preserve">2014-06</t>
        </is>
      </c>
      <c r="C3277" s="2" t="inlineStr">
        <is>
          <t xml:space="preserve">2013/14</t>
        </is>
      </c>
      <c r="D3277">
        <v>6.398</v>
      </c>
      <c r="E3277">
        <v>22.47</v>
      </c>
      <c r="F3277">
        <v>28.06</v>
      </c>
      <c r="G3277">
        <v>18.31</v>
      </c>
      <c r="H3277">
        <v>3.62</v>
      </c>
      <c r="I3277">
        <v>2.198</v>
      </c>
      <c r="J3277">
        <v>22.92</v>
      </c>
      <c r="K3277">
        <v>27.19</v>
      </c>
      <c r="L3277">
        <v>19.26</v>
      </c>
      <c r="M3277">
        <v>5.35</v>
      </c>
      <c r="N3277">
        <v>8.155</v>
      </c>
      <c r="O3277">
        <v>22.54</v>
      </c>
      <c r="P3277">
        <v>26.99</v>
      </c>
      <c r="Q3277">
        <v>19.81</v>
      </c>
      <c r="R3277">
        <v>8.23</v>
      </c>
    </row>
    <row r="3278">
      <c r="A3278" s="9">
        <v>41809</v>
      </c>
      <c r="B3278" s="2" t="inlineStr">
        <is>
          <t xml:space="preserve">2014-06</t>
        </is>
      </c>
      <c r="C3278" s="2" t="inlineStr">
        <is>
          <t xml:space="preserve">2013/14</t>
        </is>
      </c>
      <c r="D3278">
        <v>1.157</v>
      </c>
      <c r="E3278">
        <v>22.79</v>
      </c>
      <c r="F3278">
        <v>28.14</v>
      </c>
      <c r="G3278">
        <v>18.44</v>
      </c>
      <c r="H3278">
        <v>1.02</v>
      </c>
      <c r="I3278">
        <v>8.483</v>
      </c>
      <c r="J3278">
        <v>23.23</v>
      </c>
      <c r="K3278">
        <v>27.36</v>
      </c>
      <c r="L3278">
        <v>20.47</v>
      </c>
      <c r="M3278">
        <v>5.16</v>
      </c>
      <c r="N3278">
        <v>4.117</v>
      </c>
      <c r="O3278">
        <v>23.29</v>
      </c>
      <c r="P3278">
        <v>28.47</v>
      </c>
      <c r="Q3278">
        <v>19.95</v>
      </c>
      <c r="R3278">
        <v>4.9</v>
      </c>
    </row>
    <row r="3279">
      <c r="A3279" s="9">
        <v>41810</v>
      </c>
      <c r="B3279" s="2" t="inlineStr">
        <is>
          <t xml:space="preserve">2014-06</t>
        </is>
      </c>
      <c r="C3279" s="2" t="inlineStr">
        <is>
          <t xml:space="preserve">2013/14</t>
        </is>
      </c>
      <c r="D3279">
        <v>0.0</v>
      </c>
      <c r="E3279">
        <v>23.66</v>
      </c>
      <c r="F3279">
        <v>29.91</v>
      </c>
      <c r="G3279">
        <v>18.42</v>
      </c>
      <c r="H3279">
        <v>0.1</v>
      </c>
      <c r="I3279">
        <v>0.71</v>
      </c>
      <c r="J3279">
        <v>23.98</v>
      </c>
      <c r="K3279">
        <v>28.05</v>
      </c>
      <c r="L3279">
        <v>20.5</v>
      </c>
      <c r="M3279">
        <v>0.2</v>
      </c>
      <c r="N3279">
        <v>0.0</v>
      </c>
      <c r="O3279">
        <v>23.37</v>
      </c>
      <c r="P3279">
        <v>27.88</v>
      </c>
      <c r="Q3279">
        <v>20.37</v>
      </c>
      <c r="R3279">
        <v>0.18</v>
      </c>
    </row>
    <row r="3280">
      <c r="A3280" s="9">
        <v>41811</v>
      </c>
      <c r="B3280" s="2" t="inlineStr">
        <is>
          <t xml:space="preserve">2014-06</t>
        </is>
      </c>
      <c r="C3280" s="2" t="inlineStr">
        <is>
          <t xml:space="preserve">2013/14</t>
        </is>
      </c>
      <c r="D3280">
        <v>0.0</v>
      </c>
      <c r="E3280">
        <v>23.32</v>
      </c>
      <c r="F3280">
        <v>30.14</v>
      </c>
      <c r="G3280">
        <v>18.6</v>
      </c>
      <c r="H3280">
        <v>0.75</v>
      </c>
      <c r="I3280">
        <v>0.0</v>
      </c>
      <c r="J3280">
        <v>23.77</v>
      </c>
      <c r="K3280">
        <v>27.95</v>
      </c>
      <c r="L3280">
        <v>20.5</v>
      </c>
      <c r="M3280">
        <v>2.78</v>
      </c>
      <c r="N3280">
        <v>0.0</v>
      </c>
      <c r="O3280">
        <v>23.45</v>
      </c>
      <c r="P3280">
        <v>28.01</v>
      </c>
      <c r="Q3280">
        <v>20.86</v>
      </c>
      <c r="R3280">
        <v>1.66</v>
      </c>
    </row>
    <row r="3281">
      <c r="A3281" s="9">
        <v>41812</v>
      </c>
      <c r="B3281" s="2" t="inlineStr">
        <is>
          <t xml:space="preserve">2014-06</t>
        </is>
      </c>
      <c r="C3281" s="2" t="inlineStr">
        <is>
          <t xml:space="preserve">2013/14</t>
        </is>
      </c>
      <c r="D3281">
        <v>0.165</v>
      </c>
      <c r="E3281">
        <v>23.8</v>
      </c>
      <c r="F3281">
        <v>30.02</v>
      </c>
      <c r="G3281">
        <v>18.55</v>
      </c>
      <c r="H3281">
        <v>6.21</v>
      </c>
      <c r="I3281">
        <v>20.787</v>
      </c>
      <c r="J3281">
        <v>23.97</v>
      </c>
      <c r="K3281">
        <v>28.64</v>
      </c>
      <c r="L3281">
        <v>20.16</v>
      </c>
      <c r="M3281">
        <v>16.16</v>
      </c>
      <c r="N3281">
        <v>4.358</v>
      </c>
      <c r="O3281">
        <v>23.7</v>
      </c>
      <c r="P3281">
        <v>27.94</v>
      </c>
      <c r="Q3281">
        <v>20.89</v>
      </c>
      <c r="R3281">
        <v>11.48</v>
      </c>
    </row>
    <row r="3282">
      <c r="A3282" s="9">
        <v>41813</v>
      </c>
      <c r="B3282" s="2" t="inlineStr">
        <is>
          <t xml:space="preserve">2014-06</t>
        </is>
      </c>
      <c r="C3282" s="2" t="inlineStr">
        <is>
          <t xml:space="preserve">2013/14</t>
        </is>
      </c>
      <c r="D3282">
        <v>17.674</v>
      </c>
      <c r="E3282">
        <v>23.05</v>
      </c>
      <c r="F3282">
        <v>28.56</v>
      </c>
      <c r="G3282">
        <v>19.26</v>
      </c>
      <c r="H3282">
        <v>6.71</v>
      </c>
      <c r="I3282">
        <v>26.937</v>
      </c>
      <c r="J3282">
        <v>23.5</v>
      </c>
      <c r="K3282">
        <v>26.81</v>
      </c>
      <c r="L3282">
        <v>21.09</v>
      </c>
      <c r="M3282">
        <v>19.07</v>
      </c>
      <c r="N3282">
        <v>31.342</v>
      </c>
      <c r="O3282">
        <v>23.81</v>
      </c>
      <c r="P3282">
        <v>27.47</v>
      </c>
      <c r="Q3282">
        <v>21.65</v>
      </c>
      <c r="R3282">
        <v>19.1</v>
      </c>
    </row>
    <row r="3283">
      <c r="A3283" s="9">
        <v>41814</v>
      </c>
      <c r="B3283" s="2" t="inlineStr">
        <is>
          <t xml:space="preserve">2014-06</t>
        </is>
      </c>
      <c r="C3283" s="2" t="inlineStr">
        <is>
          <t xml:space="preserve">2013/14</t>
        </is>
      </c>
      <c r="D3283">
        <v>6.516</v>
      </c>
      <c r="E3283">
        <v>22.29</v>
      </c>
      <c r="F3283">
        <v>27.21</v>
      </c>
      <c r="G3283">
        <v>18.08</v>
      </c>
      <c r="H3283">
        <v>4.43</v>
      </c>
      <c r="I3283">
        <v>2.468</v>
      </c>
      <c r="J3283">
        <v>23.95</v>
      </c>
      <c r="K3283">
        <v>28.63</v>
      </c>
      <c r="L3283">
        <v>20.81</v>
      </c>
      <c r="M3283">
        <v>3.3</v>
      </c>
      <c r="N3283">
        <v>0.339</v>
      </c>
      <c r="O3283">
        <v>23.51</v>
      </c>
      <c r="P3283">
        <v>27.87</v>
      </c>
      <c r="Q3283">
        <v>20.58</v>
      </c>
      <c r="R3283">
        <v>2.82</v>
      </c>
    </row>
    <row r="3284">
      <c r="A3284" s="9">
        <v>41815</v>
      </c>
      <c r="B3284" s="2" t="inlineStr">
        <is>
          <t xml:space="preserve">2014-06</t>
        </is>
      </c>
      <c r="C3284" s="2" t="inlineStr">
        <is>
          <t xml:space="preserve">2013/14</t>
        </is>
      </c>
      <c r="D3284">
        <v>0.0</v>
      </c>
      <c r="E3284">
        <v>23.63</v>
      </c>
      <c r="F3284">
        <v>30.86</v>
      </c>
      <c r="G3284">
        <v>18.12</v>
      </c>
      <c r="H3284">
        <v>0.0</v>
      </c>
      <c r="I3284">
        <v>0.0</v>
      </c>
      <c r="J3284">
        <v>24.03</v>
      </c>
      <c r="K3284">
        <v>28.89</v>
      </c>
      <c r="L3284">
        <v>20.26</v>
      </c>
      <c r="M3284">
        <v>1.25</v>
      </c>
      <c r="N3284">
        <v>0.0</v>
      </c>
      <c r="O3284">
        <v>23.41</v>
      </c>
      <c r="P3284">
        <v>28.57</v>
      </c>
      <c r="Q3284">
        <v>20.02</v>
      </c>
      <c r="R3284">
        <v>0.28</v>
      </c>
    </row>
    <row r="3285">
      <c r="A3285" s="9">
        <v>41816</v>
      </c>
      <c r="B3285" s="2" t="inlineStr">
        <is>
          <t xml:space="preserve">2014-06</t>
        </is>
      </c>
      <c r="C3285" s="2" t="inlineStr">
        <is>
          <t xml:space="preserve">2013/14</t>
        </is>
      </c>
      <c r="D3285">
        <v>0.0</v>
      </c>
      <c r="E3285">
        <v>23.55</v>
      </c>
      <c r="F3285">
        <v>30.73</v>
      </c>
      <c r="G3285">
        <v>17.02</v>
      </c>
      <c r="H3285">
        <v>1.66</v>
      </c>
      <c r="I3285">
        <v>3.59</v>
      </c>
      <c r="J3285">
        <v>23.41</v>
      </c>
      <c r="K3285">
        <v>27.82</v>
      </c>
      <c r="L3285">
        <v>18.85</v>
      </c>
      <c r="M3285">
        <v>0.34</v>
      </c>
      <c r="N3285">
        <v>0.118</v>
      </c>
      <c r="O3285">
        <v>23.24</v>
      </c>
      <c r="P3285">
        <v>27.81</v>
      </c>
      <c r="Q3285">
        <v>20.07</v>
      </c>
      <c r="R3285">
        <v>0.27</v>
      </c>
    </row>
    <row r="3286">
      <c r="A3286" s="9">
        <v>41817</v>
      </c>
      <c r="B3286" s="2" t="inlineStr">
        <is>
          <t xml:space="preserve">2014-06</t>
        </is>
      </c>
      <c r="C3286" s="2" t="inlineStr">
        <is>
          <t xml:space="preserve">2013/14</t>
        </is>
      </c>
      <c r="D3286">
        <v>4.966</v>
      </c>
      <c r="E3286">
        <v>22.92</v>
      </c>
      <c r="F3286">
        <v>27.97</v>
      </c>
      <c r="G3286">
        <v>18.7</v>
      </c>
      <c r="H3286">
        <v>3.11</v>
      </c>
      <c r="I3286">
        <v>0.125</v>
      </c>
      <c r="J3286">
        <v>23.53</v>
      </c>
      <c r="K3286">
        <v>27.69</v>
      </c>
      <c r="L3286">
        <v>19.79</v>
      </c>
      <c r="M3286">
        <v>0.2</v>
      </c>
      <c r="N3286">
        <v>0.0</v>
      </c>
      <c r="O3286">
        <v>23.42</v>
      </c>
      <c r="P3286">
        <v>28.36</v>
      </c>
      <c r="Q3286">
        <v>20.0</v>
      </c>
      <c r="R3286">
        <v>0.06</v>
      </c>
    </row>
    <row r="3287">
      <c r="A3287" s="9">
        <v>41818</v>
      </c>
      <c r="B3287" s="2" t="inlineStr">
        <is>
          <t xml:space="preserve">2014-06</t>
        </is>
      </c>
      <c r="C3287" s="2" t="inlineStr">
        <is>
          <t xml:space="preserve">2013/14</t>
        </is>
      </c>
      <c r="D3287">
        <v>0.0</v>
      </c>
      <c r="E3287">
        <v>23.67</v>
      </c>
      <c r="F3287">
        <v>30.53</v>
      </c>
      <c r="G3287">
        <v>18.03</v>
      </c>
      <c r="H3287">
        <v>0.09</v>
      </c>
      <c r="I3287">
        <v>0.0</v>
      </c>
      <c r="J3287">
        <v>23.49</v>
      </c>
      <c r="K3287">
        <v>26.99</v>
      </c>
      <c r="L3287">
        <v>20.16</v>
      </c>
      <c r="M3287">
        <v>0.4</v>
      </c>
      <c r="N3287">
        <v>0.0</v>
      </c>
      <c r="O3287">
        <v>23.03</v>
      </c>
      <c r="P3287">
        <v>26.92</v>
      </c>
      <c r="Q3287">
        <v>20.05</v>
      </c>
      <c r="R3287">
        <v>0.23</v>
      </c>
    </row>
    <row r="3288">
      <c r="A3288" s="9">
        <v>41819</v>
      </c>
      <c r="B3288" s="2" t="inlineStr">
        <is>
          <t xml:space="preserve">2014-06</t>
        </is>
      </c>
      <c r="C3288" s="2" t="inlineStr">
        <is>
          <t xml:space="preserve">2013/14</t>
        </is>
      </c>
      <c r="D3288">
        <v>0.0</v>
      </c>
      <c r="E3288">
        <v>23.7</v>
      </c>
      <c r="F3288">
        <v>30.47</v>
      </c>
      <c r="G3288">
        <v>18.37</v>
      </c>
      <c r="H3288">
        <v>0.49</v>
      </c>
      <c r="I3288">
        <v>0.0</v>
      </c>
      <c r="J3288">
        <v>23.3</v>
      </c>
      <c r="K3288">
        <v>28.05</v>
      </c>
      <c r="L3288">
        <v>19.56</v>
      </c>
      <c r="M3288">
        <v>0.44</v>
      </c>
      <c r="N3288">
        <v>0.0</v>
      </c>
      <c r="O3288">
        <v>22.93</v>
      </c>
      <c r="P3288">
        <v>27.75</v>
      </c>
      <c r="Q3288">
        <v>19.87</v>
      </c>
      <c r="R3288">
        <v>0.49</v>
      </c>
    </row>
    <row r="3289">
      <c r="A3289" s="9">
        <v>41820</v>
      </c>
      <c r="B3289" s="2" t="inlineStr">
        <is>
          <t xml:space="preserve">2014-06</t>
        </is>
      </c>
      <c r="C3289" s="2" t="inlineStr">
        <is>
          <t xml:space="preserve">2013/14</t>
        </is>
      </c>
      <c r="D3289">
        <v>0.098</v>
      </c>
      <c r="E3289">
        <v>23.51</v>
      </c>
      <c r="F3289">
        <v>28.83</v>
      </c>
      <c r="G3289">
        <v>19.6</v>
      </c>
      <c r="H3289">
        <v>0.8</v>
      </c>
      <c r="I3289">
        <v>1.151</v>
      </c>
      <c r="J3289">
        <v>22.97</v>
      </c>
      <c r="K3289">
        <v>27.25</v>
      </c>
      <c r="L3289">
        <v>19.82</v>
      </c>
      <c r="M3289">
        <v>1.5</v>
      </c>
      <c r="N3289">
        <v>0.062</v>
      </c>
      <c r="O3289">
        <v>23.0</v>
      </c>
      <c r="P3289">
        <v>26.92</v>
      </c>
      <c r="Q3289">
        <v>20.67</v>
      </c>
      <c r="R3289">
        <v>0.89</v>
      </c>
    </row>
    <row r="3290">
      <c r="A3290" s="9">
        <v>41821</v>
      </c>
      <c r="B3290" s="2" t="inlineStr">
        <is>
          <t xml:space="preserve">2014-07</t>
        </is>
      </c>
      <c r="C3290" s="2" t="inlineStr">
        <is>
          <t xml:space="preserve">2014/15</t>
        </is>
      </c>
      <c r="D3290">
        <v>4.84</v>
      </c>
      <c r="E3290">
        <v>23.53</v>
      </c>
      <c r="F3290">
        <v>30.64</v>
      </c>
      <c r="G3290">
        <v>18.76</v>
      </c>
      <c r="H3290">
        <v>3.05</v>
      </c>
      <c r="I3290">
        <v>2.618</v>
      </c>
      <c r="J3290">
        <v>22.9</v>
      </c>
      <c r="K3290">
        <v>27.15</v>
      </c>
      <c r="L3290">
        <v>19.27</v>
      </c>
      <c r="M3290">
        <v>1.91</v>
      </c>
      <c r="N3290">
        <v>0.941</v>
      </c>
      <c r="O3290">
        <v>22.75</v>
      </c>
      <c r="P3290">
        <v>26.9</v>
      </c>
      <c r="Q3290">
        <v>20.07</v>
      </c>
      <c r="R3290">
        <v>1.99</v>
      </c>
    </row>
    <row r="3291">
      <c r="A3291" s="9">
        <v>41822</v>
      </c>
      <c r="B3291" s="2" t="inlineStr">
        <is>
          <t xml:space="preserve">2014-07</t>
        </is>
      </c>
      <c r="C3291" s="2" t="inlineStr">
        <is>
          <t xml:space="preserve">2014/15</t>
        </is>
      </c>
      <c r="D3291">
        <v>0.0</v>
      </c>
      <c r="E3291">
        <v>23.97</v>
      </c>
      <c r="F3291">
        <v>31.1</v>
      </c>
      <c r="G3291">
        <v>18.04</v>
      </c>
      <c r="H3291">
        <v>0.4</v>
      </c>
      <c r="I3291">
        <v>2.935</v>
      </c>
      <c r="J3291">
        <v>23.28</v>
      </c>
      <c r="K3291">
        <v>27.5</v>
      </c>
      <c r="L3291">
        <v>19.18</v>
      </c>
      <c r="M3291">
        <v>2.0</v>
      </c>
      <c r="N3291">
        <v>0.439</v>
      </c>
      <c r="O3291">
        <v>23.22</v>
      </c>
      <c r="P3291">
        <v>27.37</v>
      </c>
      <c r="Q3291">
        <v>20.09</v>
      </c>
      <c r="R3291">
        <v>4.8</v>
      </c>
    </row>
    <row r="3292">
      <c r="A3292" s="9">
        <v>41823</v>
      </c>
      <c r="B3292" s="2" t="inlineStr">
        <is>
          <t xml:space="preserve">2014-07</t>
        </is>
      </c>
      <c r="C3292" s="2" t="inlineStr">
        <is>
          <t xml:space="preserve">2014/15</t>
        </is>
      </c>
      <c r="D3292">
        <v>0.242</v>
      </c>
      <c r="E3292">
        <v>23.06</v>
      </c>
      <c r="F3292">
        <v>27.55</v>
      </c>
      <c r="G3292">
        <v>19.5</v>
      </c>
      <c r="H3292">
        <v>4.49</v>
      </c>
      <c r="I3292">
        <v>0.143</v>
      </c>
      <c r="J3292">
        <v>22.35</v>
      </c>
      <c r="K3292">
        <v>24.96</v>
      </c>
      <c r="L3292">
        <v>20.3</v>
      </c>
      <c r="M3292">
        <v>11.07</v>
      </c>
      <c r="N3292">
        <v>2.427</v>
      </c>
      <c r="O3292">
        <v>22.59</v>
      </c>
      <c r="P3292">
        <v>25.24</v>
      </c>
      <c r="Q3292">
        <v>20.67</v>
      </c>
      <c r="R3292">
        <v>12.91</v>
      </c>
    </row>
    <row r="3293">
      <c r="A3293" s="9">
        <v>41824</v>
      </c>
      <c r="B3293" s="2" t="inlineStr">
        <is>
          <t xml:space="preserve">2014-07</t>
        </is>
      </c>
      <c r="C3293" s="2" t="inlineStr">
        <is>
          <t xml:space="preserve">2014/15</t>
        </is>
      </c>
      <c r="D3293">
        <v>8.759</v>
      </c>
      <c r="E3293">
        <v>23.5</v>
      </c>
      <c r="F3293">
        <v>30.67</v>
      </c>
      <c r="G3293">
        <v>17.31</v>
      </c>
      <c r="H3293">
        <v>1.52</v>
      </c>
      <c r="I3293">
        <v>17.147</v>
      </c>
      <c r="J3293">
        <v>23.47</v>
      </c>
      <c r="K3293">
        <v>28.51</v>
      </c>
      <c r="L3293">
        <v>19.6</v>
      </c>
      <c r="M3293">
        <v>4.21</v>
      </c>
      <c r="N3293">
        <v>10.801</v>
      </c>
      <c r="O3293">
        <v>22.95</v>
      </c>
      <c r="P3293">
        <v>27.84</v>
      </c>
      <c r="Q3293">
        <v>20.21</v>
      </c>
      <c r="R3293">
        <v>3.99</v>
      </c>
    </row>
    <row r="3294">
      <c r="A3294" s="9">
        <v>41825</v>
      </c>
      <c r="B3294" s="2" t="inlineStr">
        <is>
          <t xml:space="preserve">2014-07</t>
        </is>
      </c>
      <c r="C3294" s="2" t="inlineStr">
        <is>
          <t xml:space="preserve">2014/15</t>
        </is>
      </c>
      <c r="D3294">
        <v>0.114</v>
      </c>
      <c r="E3294">
        <v>23.66</v>
      </c>
      <c r="F3294">
        <v>30.02</v>
      </c>
      <c r="G3294">
        <v>18.25</v>
      </c>
      <c r="H3294">
        <v>2.27</v>
      </c>
      <c r="I3294">
        <v>1.048</v>
      </c>
      <c r="J3294">
        <v>22.67</v>
      </c>
      <c r="K3294">
        <v>26.91</v>
      </c>
      <c r="L3294">
        <v>19.19</v>
      </c>
      <c r="M3294">
        <v>1.41</v>
      </c>
      <c r="N3294">
        <v>1.912</v>
      </c>
      <c r="O3294">
        <v>22.9</v>
      </c>
      <c r="P3294">
        <v>27.38</v>
      </c>
      <c r="Q3294">
        <v>20.03</v>
      </c>
      <c r="R3294">
        <v>3.1</v>
      </c>
    </row>
    <row r="3295">
      <c r="A3295" s="9">
        <v>41826</v>
      </c>
      <c r="B3295" s="2" t="inlineStr">
        <is>
          <t xml:space="preserve">2014-07</t>
        </is>
      </c>
      <c r="C3295" s="2" t="inlineStr">
        <is>
          <t xml:space="preserve">2014/15</t>
        </is>
      </c>
      <c r="D3295">
        <v>0.396</v>
      </c>
      <c r="E3295">
        <v>23.35</v>
      </c>
      <c r="F3295">
        <v>30.63</v>
      </c>
      <c r="G3295">
        <v>18.28</v>
      </c>
      <c r="H3295">
        <v>0.91</v>
      </c>
      <c r="I3295">
        <v>0.0</v>
      </c>
      <c r="J3295">
        <v>22.54</v>
      </c>
      <c r="K3295">
        <v>26.05</v>
      </c>
      <c r="L3295">
        <v>19.63</v>
      </c>
      <c r="M3295">
        <v>0.48</v>
      </c>
      <c r="N3295">
        <v>0.258</v>
      </c>
      <c r="O3295">
        <v>23.02</v>
      </c>
      <c r="P3295">
        <v>27.54</v>
      </c>
      <c r="Q3295">
        <v>20.1</v>
      </c>
      <c r="R3295">
        <v>1.96</v>
      </c>
    </row>
    <row r="3296">
      <c r="A3296" s="9">
        <v>41827</v>
      </c>
      <c r="B3296" s="2" t="inlineStr">
        <is>
          <t xml:space="preserve">2014-07</t>
        </is>
      </c>
      <c r="C3296" s="2" t="inlineStr">
        <is>
          <t xml:space="preserve">2014/15</t>
        </is>
      </c>
      <c r="D3296">
        <v>0.0</v>
      </c>
      <c r="E3296">
        <v>23.27</v>
      </c>
      <c r="F3296">
        <v>31.14</v>
      </c>
      <c r="G3296">
        <v>15.86</v>
      </c>
      <c r="H3296">
        <v>0.09</v>
      </c>
      <c r="I3296">
        <v>0.0</v>
      </c>
      <c r="J3296">
        <v>22.61</v>
      </c>
      <c r="K3296">
        <v>28.2</v>
      </c>
      <c r="L3296">
        <v>17.98</v>
      </c>
      <c r="M3296">
        <v>0.27</v>
      </c>
      <c r="N3296">
        <v>0.22</v>
      </c>
      <c r="O3296">
        <v>22.44</v>
      </c>
      <c r="P3296">
        <v>27.53</v>
      </c>
      <c r="Q3296">
        <v>19.29</v>
      </c>
      <c r="R3296">
        <v>1.2</v>
      </c>
    </row>
    <row r="3297">
      <c r="A3297" s="9">
        <v>41828</v>
      </c>
      <c r="B3297" s="2" t="inlineStr">
        <is>
          <t xml:space="preserve">2014-07</t>
        </is>
      </c>
      <c r="C3297" s="2" t="inlineStr">
        <is>
          <t xml:space="preserve">2014/15</t>
        </is>
      </c>
      <c r="D3297">
        <v>0.0</v>
      </c>
      <c r="E3297">
        <v>24.12</v>
      </c>
      <c r="F3297">
        <v>31.03</v>
      </c>
      <c r="G3297">
        <v>18.23</v>
      </c>
      <c r="H3297">
        <v>0.22</v>
      </c>
      <c r="I3297">
        <v>0.0</v>
      </c>
      <c r="J3297">
        <v>23.46</v>
      </c>
      <c r="K3297">
        <v>28.84</v>
      </c>
      <c r="L3297">
        <v>18.29</v>
      </c>
      <c r="M3297">
        <v>0.01</v>
      </c>
      <c r="N3297">
        <v>0.0</v>
      </c>
      <c r="O3297">
        <v>23.37</v>
      </c>
      <c r="P3297">
        <v>28.76</v>
      </c>
      <c r="Q3297">
        <v>19.0</v>
      </c>
      <c r="R3297">
        <v>0.2</v>
      </c>
    </row>
    <row r="3298">
      <c r="A3298" s="9">
        <v>41829</v>
      </c>
      <c r="B3298" s="2" t="inlineStr">
        <is>
          <t xml:space="preserve">2014-07</t>
        </is>
      </c>
      <c r="C3298" s="2" t="inlineStr">
        <is>
          <t xml:space="preserve">2014/15</t>
        </is>
      </c>
      <c r="D3298">
        <v>0.0</v>
      </c>
      <c r="E3298">
        <v>23.19</v>
      </c>
      <c r="F3298">
        <v>30.25</v>
      </c>
      <c r="G3298">
        <v>17.8</v>
      </c>
      <c r="H3298">
        <v>0.0</v>
      </c>
      <c r="I3298">
        <v>0.0</v>
      </c>
      <c r="J3298">
        <v>23.48</v>
      </c>
      <c r="K3298">
        <v>28.29</v>
      </c>
      <c r="L3298">
        <v>19.79</v>
      </c>
      <c r="M3298">
        <v>0.0</v>
      </c>
      <c r="N3298">
        <v>0.0</v>
      </c>
      <c r="O3298">
        <v>23.08</v>
      </c>
      <c r="P3298">
        <v>27.45</v>
      </c>
      <c r="Q3298">
        <v>20.13</v>
      </c>
      <c r="R3298">
        <v>0.05</v>
      </c>
    </row>
    <row r="3299">
      <c r="A3299" s="9">
        <v>41830</v>
      </c>
      <c r="B3299" s="2" t="inlineStr">
        <is>
          <t xml:space="preserve">2014-07</t>
        </is>
      </c>
      <c r="C3299" s="2" t="inlineStr">
        <is>
          <t xml:space="preserve">2014/15</t>
        </is>
      </c>
      <c r="D3299">
        <v>0.0</v>
      </c>
      <c r="E3299">
        <v>23.44</v>
      </c>
      <c r="F3299">
        <v>31.48</v>
      </c>
      <c r="G3299">
        <v>16.57</v>
      </c>
      <c r="H3299">
        <v>0.0</v>
      </c>
      <c r="I3299">
        <v>0.0</v>
      </c>
      <c r="J3299">
        <v>22.84</v>
      </c>
      <c r="K3299">
        <v>28.17</v>
      </c>
      <c r="L3299">
        <v>18.53</v>
      </c>
      <c r="M3299">
        <v>0.01</v>
      </c>
      <c r="N3299">
        <v>0.0</v>
      </c>
      <c r="O3299">
        <v>22.74</v>
      </c>
      <c r="P3299">
        <v>27.81</v>
      </c>
      <c r="Q3299">
        <v>19.03</v>
      </c>
      <c r="R3299">
        <v>0.03</v>
      </c>
    </row>
    <row r="3300">
      <c r="A3300" s="9">
        <v>41831</v>
      </c>
      <c r="B3300" s="2" t="inlineStr">
        <is>
          <t xml:space="preserve">2014-07</t>
        </is>
      </c>
      <c r="C3300" s="2" t="inlineStr">
        <is>
          <t xml:space="preserve">2014/15</t>
        </is>
      </c>
      <c r="D3300">
        <v>0.0</v>
      </c>
      <c r="E3300">
        <v>23.74</v>
      </c>
      <c r="F3300">
        <v>31.48</v>
      </c>
      <c r="G3300">
        <v>16.63</v>
      </c>
      <c r="H3300">
        <v>0.05</v>
      </c>
      <c r="I3300">
        <v>0.0</v>
      </c>
      <c r="J3300">
        <v>23.07</v>
      </c>
      <c r="K3300">
        <v>28.3</v>
      </c>
      <c r="L3300">
        <v>18.7</v>
      </c>
      <c r="M3300">
        <v>0.36</v>
      </c>
      <c r="N3300">
        <v>0.0</v>
      </c>
      <c r="O3300">
        <v>22.69</v>
      </c>
      <c r="P3300">
        <v>27.44</v>
      </c>
      <c r="Q3300">
        <v>19.12</v>
      </c>
      <c r="R3300">
        <v>1.18</v>
      </c>
    </row>
    <row r="3301">
      <c r="A3301" s="9">
        <v>41832</v>
      </c>
      <c r="B3301" s="2" t="inlineStr">
        <is>
          <t xml:space="preserve">2014-07</t>
        </is>
      </c>
      <c r="C3301" s="2" t="inlineStr">
        <is>
          <t xml:space="preserve">2014/15</t>
        </is>
      </c>
      <c r="D3301">
        <v>0.039</v>
      </c>
      <c r="E3301">
        <v>23.81</v>
      </c>
      <c r="F3301">
        <v>30.08</v>
      </c>
      <c r="G3301">
        <v>18.4</v>
      </c>
      <c r="H3301">
        <v>0.37</v>
      </c>
      <c r="I3301">
        <v>0.734</v>
      </c>
      <c r="J3301">
        <v>22.85</v>
      </c>
      <c r="K3301">
        <v>27.13</v>
      </c>
      <c r="L3301">
        <v>19.21</v>
      </c>
      <c r="M3301">
        <v>1.7</v>
      </c>
      <c r="N3301">
        <v>0.499</v>
      </c>
      <c r="O3301">
        <v>22.78</v>
      </c>
      <c r="P3301">
        <v>26.65</v>
      </c>
      <c r="Q3301">
        <v>19.85</v>
      </c>
      <c r="R3301">
        <v>4.86</v>
      </c>
    </row>
    <row r="3302">
      <c r="A3302" s="9">
        <v>41833</v>
      </c>
      <c r="B3302" s="2" t="inlineStr">
        <is>
          <t xml:space="preserve">2014-07</t>
        </is>
      </c>
      <c r="C3302" s="2" t="inlineStr">
        <is>
          <t xml:space="preserve">2014/15</t>
        </is>
      </c>
      <c r="D3302">
        <v>0.329</v>
      </c>
      <c r="E3302">
        <v>22.19</v>
      </c>
      <c r="F3302">
        <v>26.82</v>
      </c>
      <c r="G3302">
        <v>19.13</v>
      </c>
      <c r="H3302">
        <v>5.97</v>
      </c>
      <c r="I3302">
        <v>2.329</v>
      </c>
      <c r="J3302">
        <v>22.31</v>
      </c>
      <c r="K3302">
        <v>25.99</v>
      </c>
      <c r="L3302">
        <v>19.98</v>
      </c>
      <c r="M3302">
        <v>8.68</v>
      </c>
      <c r="N3302">
        <v>1.673</v>
      </c>
      <c r="O3302">
        <v>22.09</v>
      </c>
      <c r="P3302">
        <v>25.42</v>
      </c>
      <c r="Q3302">
        <v>20.39</v>
      </c>
      <c r="R3302">
        <v>12.14</v>
      </c>
    </row>
    <row r="3303">
      <c r="A3303" s="9">
        <v>41834</v>
      </c>
      <c r="B3303" s="2" t="inlineStr">
        <is>
          <t xml:space="preserve">2014-07</t>
        </is>
      </c>
      <c r="C3303" s="2" t="inlineStr">
        <is>
          <t xml:space="preserve">2014/15</t>
        </is>
      </c>
      <c r="D3303">
        <v>5.811</v>
      </c>
      <c r="E3303">
        <v>22.59</v>
      </c>
      <c r="F3303">
        <v>27.9</v>
      </c>
      <c r="G3303">
        <v>18.71</v>
      </c>
      <c r="H3303">
        <v>4.59</v>
      </c>
      <c r="I3303">
        <v>16.725</v>
      </c>
      <c r="J3303">
        <v>22.3</v>
      </c>
      <c r="K3303">
        <v>26.01</v>
      </c>
      <c r="L3303">
        <v>19.62</v>
      </c>
      <c r="M3303">
        <v>8.56</v>
      </c>
      <c r="N3303">
        <v>13.096</v>
      </c>
      <c r="O3303">
        <v>22.05</v>
      </c>
      <c r="P3303">
        <v>25.66</v>
      </c>
      <c r="Q3303">
        <v>19.82</v>
      </c>
      <c r="R3303">
        <v>5.96</v>
      </c>
    </row>
    <row r="3304">
      <c r="A3304" s="9">
        <v>41835</v>
      </c>
      <c r="B3304" s="2" t="inlineStr">
        <is>
          <t xml:space="preserve">2014-07</t>
        </is>
      </c>
      <c r="C3304" s="2" t="inlineStr">
        <is>
          <t xml:space="preserve">2014/15</t>
        </is>
      </c>
      <c r="D3304">
        <v>0.693</v>
      </c>
      <c r="E3304">
        <v>23.89</v>
      </c>
      <c r="F3304">
        <v>31.82</v>
      </c>
      <c r="G3304">
        <v>17.98</v>
      </c>
      <c r="H3304">
        <v>0.18</v>
      </c>
      <c r="I3304">
        <v>0.78</v>
      </c>
      <c r="J3304">
        <v>23.77</v>
      </c>
      <c r="K3304">
        <v>28.93</v>
      </c>
      <c r="L3304">
        <v>19.13</v>
      </c>
      <c r="M3304">
        <v>0.16</v>
      </c>
      <c r="N3304">
        <v>0.208</v>
      </c>
      <c r="O3304">
        <v>23.32</v>
      </c>
      <c r="P3304">
        <v>28.45</v>
      </c>
      <c r="Q3304">
        <v>20.1</v>
      </c>
      <c r="R3304">
        <v>0.37</v>
      </c>
    </row>
    <row r="3305">
      <c r="A3305" s="9">
        <v>41836</v>
      </c>
      <c r="B3305" s="2" t="inlineStr">
        <is>
          <t xml:space="preserve">2014-07</t>
        </is>
      </c>
      <c r="C3305" s="2" t="inlineStr">
        <is>
          <t xml:space="preserve">2014/15</t>
        </is>
      </c>
      <c r="D3305">
        <v>0.0</v>
      </c>
      <c r="E3305">
        <v>24.66</v>
      </c>
      <c r="F3305">
        <v>32.83</v>
      </c>
      <c r="G3305">
        <v>17.9</v>
      </c>
      <c r="H3305">
        <v>0.09</v>
      </c>
      <c r="I3305">
        <v>0.0</v>
      </c>
      <c r="J3305">
        <v>23.87</v>
      </c>
      <c r="K3305">
        <v>29.44</v>
      </c>
      <c r="L3305">
        <v>18.84</v>
      </c>
      <c r="M3305">
        <v>0.22</v>
      </c>
      <c r="N3305">
        <v>0.078</v>
      </c>
      <c r="O3305">
        <v>23.54</v>
      </c>
      <c r="P3305">
        <v>28.88</v>
      </c>
      <c r="Q3305">
        <v>19.83</v>
      </c>
      <c r="R3305">
        <v>0.64</v>
      </c>
    </row>
    <row r="3306">
      <c r="A3306" s="9">
        <v>41837</v>
      </c>
      <c r="B3306" s="2" t="inlineStr">
        <is>
          <t xml:space="preserve">2014-07</t>
        </is>
      </c>
      <c r="C3306" s="2" t="inlineStr">
        <is>
          <t xml:space="preserve">2014/15</t>
        </is>
      </c>
      <c r="D3306">
        <v>0.0</v>
      </c>
      <c r="E3306">
        <v>24.68</v>
      </c>
      <c r="F3306">
        <v>31.46</v>
      </c>
      <c r="G3306">
        <v>18.54</v>
      </c>
      <c r="H3306">
        <v>0.63</v>
      </c>
      <c r="I3306">
        <v>0.0</v>
      </c>
      <c r="J3306">
        <v>24.36</v>
      </c>
      <c r="K3306">
        <v>29.18</v>
      </c>
      <c r="L3306">
        <v>19.45</v>
      </c>
      <c r="M3306">
        <v>0.5</v>
      </c>
      <c r="N3306">
        <v>0.0</v>
      </c>
      <c r="O3306">
        <v>23.88</v>
      </c>
      <c r="P3306">
        <v>28.85</v>
      </c>
      <c r="Q3306">
        <v>20.16</v>
      </c>
      <c r="R3306">
        <v>0.63</v>
      </c>
    </row>
    <row r="3307">
      <c r="A3307" s="9">
        <v>41838</v>
      </c>
      <c r="B3307" s="2" t="inlineStr">
        <is>
          <t xml:space="preserve">2014-07</t>
        </is>
      </c>
      <c r="C3307" s="2" t="inlineStr">
        <is>
          <t xml:space="preserve">2014/15</t>
        </is>
      </c>
      <c r="D3307">
        <v>0.0</v>
      </c>
      <c r="E3307">
        <v>25.18</v>
      </c>
      <c r="F3307">
        <v>32.41</v>
      </c>
      <c r="G3307">
        <v>19.64</v>
      </c>
      <c r="H3307">
        <v>0.0</v>
      </c>
      <c r="I3307">
        <v>0.0</v>
      </c>
      <c r="J3307">
        <v>25.24</v>
      </c>
      <c r="K3307">
        <v>30.16</v>
      </c>
      <c r="L3307">
        <v>20.71</v>
      </c>
      <c r="M3307">
        <v>0.0</v>
      </c>
      <c r="N3307">
        <v>0.0</v>
      </c>
      <c r="O3307">
        <v>24.28</v>
      </c>
      <c r="P3307">
        <v>29.19</v>
      </c>
      <c r="Q3307">
        <v>21.29</v>
      </c>
      <c r="R3307">
        <v>0.0</v>
      </c>
    </row>
    <row r="3308">
      <c r="A3308" s="9">
        <v>41839</v>
      </c>
      <c r="B3308" s="2" t="inlineStr">
        <is>
          <t xml:space="preserve">2014-07</t>
        </is>
      </c>
      <c r="C3308" s="2" t="inlineStr">
        <is>
          <t xml:space="preserve">2014/15</t>
        </is>
      </c>
      <c r="D3308">
        <v>0.0</v>
      </c>
      <c r="E3308">
        <v>24.58</v>
      </c>
      <c r="F3308">
        <v>31.2</v>
      </c>
      <c r="G3308">
        <v>18.51</v>
      </c>
      <c r="H3308">
        <v>0.01</v>
      </c>
      <c r="I3308">
        <v>0.0</v>
      </c>
      <c r="J3308">
        <v>24.79</v>
      </c>
      <c r="K3308">
        <v>29.82</v>
      </c>
      <c r="L3308">
        <v>20.49</v>
      </c>
      <c r="M3308">
        <v>0.0</v>
      </c>
      <c r="N3308">
        <v>0.0</v>
      </c>
      <c r="O3308">
        <v>24.52</v>
      </c>
      <c r="P3308">
        <v>30.12</v>
      </c>
      <c r="Q3308">
        <v>21.14</v>
      </c>
      <c r="R3308">
        <v>0.01</v>
      </c>
    </row>
    <row r="3309">
      <c r="A3309" s="9">
        <v>41840</v>
      </c>
      <c r="B3309" s="2" t="inlineStr">
        <is>
          <t xml:space="preserve">2014-07</t>
        </is>
      </c>
      <c r="C3309" s="2" t="inlineStr">
        <is>
          <t xml:space="preserve">2014/15</t>
        </is>
      </c>
      <c r="D3309">
        <v>0.0</v>
      </c>
      <c r="E3309">
        <v>25.03</v>
      </c>
      <c r="F3309">
        <v>32.82</v>
      </c>
      <c r="G3309">
        <v>17.98</v>
      </c>
      <c r="H3309">
        <v>0.18</v>
      </c>
      <c r="I3309">
        <v>0.0</v>
      </c>
      <c r="J3309">
        <v>24.52</v>
      </c>
      <c r="K3309">
        <v>29.98</v>
      </c>
      <c r="L3309">
        <v>20.19</v>
      </c>
      <c r="M3309">
        <v>0.24</v>
      </c>
      <c r="N3309">
        <v>0.0</v>
      </c>
      <c r="O3309">
        <v>24.08</v>
      </c>
      <c r="P3309">
        <v>29.18</v>
      </c>
      <c r="Q3309">
        <v>21.09</v>
      </c>
      <c r="R3309">
        <v>1.01</v>
      </c>
    </row>
    <row r="3310">
      <c r="A3310" s="9">
        <v>41841</v>
      </c>
      <c r="B3310" s="2" t="inlineStr">
        <is>
          <t xml:space="preserve">2014-07</t>
        </is>
      </c>
      <c r="C3310" s="2" t="inlineStr">
        <is>
          <t xml:space="preserve">2014/15</t>
        </is>
      </c>
      <c r="D3310">
        <v>0.0</v>
      </c>
      <c r="E3310">
        <v>24.24</v>
      </c>
      <c r="F3310">
        <v>30.05</v>
      </c>
      <c r="G3310">
        <v>19.95</v>
      </c>
      <c r="H3310">
        <v>0.68</v>
      </c>
      <c r="I3310">
        <v>0.042</v>
      </c>
      <c r="J3310">
        <v>23.5</v>
      </c>
      <c r="K3310">
        <v>28.16</v>
      </c>
      <c r="L3310">
        <v>20.14</v>
      </c>
      <c r="M3310">
        <v>4.43</v>
      </c>
      <c r="N3310">
        <v>0.814</v>
      </c>
      <c r="O3310">
        <v>22.74</v>
      </c>
      <c r="P3310">
        <v>26.03</v>
      </c>
      <c r="Q3310">
        <v>20.59</v>
      </c>
      <c r="R3310">
        <v>4.61</v>
      </c>
    </row>
    <row r="3311">
      <c r="A3311" s="9">
        <v>41842</v>
      </c>
      <c r="B3311" s="2" t="inlineStr">
        <is>
          <t xml:space="preserve">2014-07</t>
        </is>
      </c>
      <c r="C3311" s="2" t="inlineStr">
        <is>
          <t xml:space="preserve">2014/15</t>
        </is>
      </c>
      <c r="D3311">
        <v>0.608</v>
      </c>
      <c r="E3311">
        <v>23.96</v>
      </c>
      <c r="F3311">
        <v>31.06</v>
      </c>
      <c r="G3311">
        <v>18.71</v>
      </c>
      <c r="H3311">
        <v>2.82</v>
      </c>
      <c r="I3311">
        <v>12.256</v>
      </c>
      <c r="J3311">
        <v>23.51</v>
      </c>
      <c r="K3311">
        <v>28.8</v>
      </c>
      <c r="L3311">
        <v>19.96</v>
      </c>
      <c r="M3311">
        <v>3.8</v>
      </c>
      <c r="N3311">
        <v>2.044</v>
      </c>
      <c r="O3311">
        <v>23.17</v>
      </c>
      <c r="P3311">
        <v>27.55</v>
      </c>
      <c r="Q3311">
        <v>20.48</v>
      </c>
      <c r="R3311">
        <v>4.74</v>
      </c>
    </row>
    <row r="3312">
      <c r="A3312" s="9">
        <v>41843</v>
      </c>
      <c r="B3312" s="2" t="inlineStr">
        <is>
          <t xml:space="preserve">2014-07</t>
        </is>
      </c>
      <c r="C3312" s="2" t="inlineStr">
        <is>
          <t xml:space="preserve">2014/15</t>
        </is>
      </c>
      <c r="D3312">
        <v>0.207</v>
      </c>
      <c r="E3312">
        <v>24.0</v>
      </c>
      <c r="F3312">
        <v>30.76</v>
      </c>
      <c r="G3312">
        <v>18.23</v>
      </c>
      <c r="H3312">
        <v>1.48</v>
      </c>
      <c r="I3312">
        <v>0.026</v>
      </c>
      <c r="J3312">
        <v>24.02</v>
      </c>
      <c r="K3312">
        <v>29.82</v>
      </c>
      <c r="L3312">
        <v>20.17</v>
      </c>
      <c r="M3312">
        <v>0.67</v>
      </c>
      <c r="N3312">
        <v>0.661</v>
      </c>
      <c r="O3312">
        <v>23.41</v>
      </c>
      <c r="P3312">
        <v>28.54</v>
      </c>
      <c r="Q3312">
        <v>20.5</v>
      </c>
      <c r="R3312">
        <v>2.46</v>
      </c>
    </row>
    <row r="3313">
      <c r="A3313" s="9">
        <v>41844</v>
      </c>
      <c r="B3313" s="2" t="inlineStr">
        <is>
          <t xml:space="preserve">2014-07</t>
        </is>
      </c>
      <c r="C3313" s="2" t="inlineStr">
        <is>
          <t xml:space="preserve">2014/15</t>
        </is>
      </c>
      <c r="D3313">
        <v>0.0</v>
      </c>
      <c r="E3313">
        <v>23.81</v>
      </c>
      <c r="F3313">
        <v>31.33</v>
      </c>
      <c r="G3313">
        <v>18.12</v>
      </c>
      <c r="H3313">
        <v>0.64</v>
      </c>
      <c r="I3313">
        <v>0.0</v>
      </c>
      <c r="J3313">
        <v>23.71</v>
      </c>
      <c r="K3313">
        <v>29.35</v>
      </c>
      <c r="L3313">
        <v>19.42</v>
      </c>
      <c r="M3313">
        <v>0.96</v>
      </c>
      <c r="N3313">
        <v>0.0</v>
      </c>
      <c r="O3313">
        <v>23.11</v>
      </c>
      <c r="P3313">
        <v>28.11</v>
      </c>
      <c r="Q3313">
        <v>19.57</v>
      </c>
      <c r="R3313">
        <v>3.56</v>
      </c>
    </row>
    <row r="3314">
      <c r="A3314" s="9">
        <v>41845</v>
      </c>
      <c r="B3314" s="2" t="inlineStr">
        <is>
          <t xml:space="preserve">2014-07</t>
        </is>
      </c>
      <c r="C3314" s="2" t="inlineStr">
        <is>
          <t xml:space="preserve">2014/15</t>
        </is>
      </c>
      <c r="D3314">
        <v>0.036</v>
      </c>
      <c r="E3314">
        <v>23.83</v>
      </c>
      <c r="F3314">
        <v>30.1</v>
      </c>
      <c r="G3314">
        <v>19.03</v>
      </c>
      <c r="H3314">
        <v>2.19</v>
      </c>
      <c r="I3314">
        <v>0.0</v>
      </c>
      <c r="J3314">
        <v>23.16</v>
      </c>
      <c r="K3314">
        <v>28.08</v>
      </c>
      <c r="L3314">
        <v>19.57</v>
      </c>
      <c r="M3314">
        <v>8.77</v>
      </c>
      <c r="N3314">
        <v>2.237</v>
      </c>
      <c r="O3314">
        <v>22.46</v>
      </c>
      <c r="P3314">
        <v>26.38</v>
      </c>
      <c r="Q3314">
        <v>20.21</v>
      </c>
      <c r="R3314">
        <v>21.51</v>
      </c>
    </row>
    <row r="3315">
      <c r="A3315" s="9">
        <v>41846</v>
      </c>
      <c r="B3315" s="2" t="inlineStr">
        <is>
          <t xml:space="preserve">2014-07</t>
        </is>
      </c>
      <c r="C3315" s="2" t="inlineStr">
        <is>
          <t xml:space="preserve">2014/15</t>
        </is>
      </c>
      <c r="D3315">
        <v>0.108</v>
      </c>
      <c r="E3315">
        <v>24.4</v>
      </c>
      <c r="F3315">
        <v>31.42</v>
      </c>
      <c r="G3315">
        <v>19.62</v>
      </c>
      <c r="H3315">
        <v>1.44</v>
      </c>
      <c r="I3315">
        <v>9.818</v>
      </c>
      <c r="J3315">
        <v>22.46</v>
      </c>
      <c r="K3315">
        <v>25.59</v>
      </c>
      <c r="L3315">
        <v>20.18</v>
      </c>
      <c r="M3315">
        <v>6.0</v>
      </c>
      <c r="N3315">
        <v>15.612</v>
      </c>
      <c r="O3315">
        <v>22.31</v>
      </c>
      <c r="P3315">
        <v>24.83</v>
      </c>
      <c r="Q3315">
        <v>20.9</v>
      </c>
      <c r="R3315">
        <v>8.72</v>
      </c>
    </row>
    <row r="3316">
      <c r="A3316" s="9">
        <v>41847</v>
      </c>
      <c r="B3316" s="2" t="inlineStr">
        <is>
          <t xml:space="preserve">2014-07</t>
        </is>
      </c>
      <c r="C3316" s="2" t="inlineStr">
        <is>
          <t xml:space="preserve">2014/15</t>
        </is>
      </c>
      <c r="D3316">
        <v>2.68</v>
      </c>
      <c r="E3316">
        <v>23.46</v>
      </c>
      <c r="F3316">
        <v>30.06</v>
      </c>
      <c r="G3316">
        <v>18.82</v>
      </c>
      <c r="H3316">
        <v>4.76</v>
      </c>
      <c r="I3316">
        <v>0.124</v>
      </c>
      <c r="J3316">
        <v>23.25</v>
      </c>
      <c r="K3316">
        <v>28.31</v>
      </c>
      <c r="L3316">
        <v>19.4</v>
      </c>
      <c r="M3316">
        <v>1.93</v>
      </c>
      <c r="N3316">
        <v>0.883</v>
      </c>
      <c r="O3316">
        <v>23.02</v>
      </c>
      <c r="P3316">
        <v>27.28</v>
      </c>
      <c r="Q3316">
        <v>20.15</v>
      </c>
      <c r="R3316">
        <v>2.6</v>
      </c>
    </row>
    <row r="3317">
      <c r="A3317" s="9">
        <v>41848</v>
      </c>
      <c r="B3317" s="2" t="inlineStr">
        <is>
          <t xml:space="preserve">2014-07</t>
        </is>
      </c>
      <c r="C3317" s="2" t="inlineStr">
        <is>
          <t xml:space="preserve">2014/15</t>
        </is>
      </c>
      <c r="D3317">
        <v>3.102</v>
      </c>
      <c r="E3317">
        <v>22.27</v>
      </c>
      <c r="F3317">
        <v>27.42</v>
      </c>
      <c r="G3317">
        <v>18.98</v>
      </c>
      <c r="H3317">
        <v>6.35</v>
      </c>
      <c r="I3317">
        <v>2.504</v>
      </c>
      <c r="J3317">
        <v>23.1</v>
      </c>
      <c r="K3317">
        <v>27.53</v>
      </c>
      <c r="L3317">
        <v>19.68</v>
      </c>
      <c r="M3317">
        <v>5.37</v>
      </c>
      <c r="N3317">
        <v>8.485</v>
      </c>
      <c r="O3317">
        <v>22.61</v>
      </c>
      <c r="P3317">
        <v>25.78</v>
      </c>
      <c r="Q3317">
        <v>20.48</v>
      </c>
      <c r="R3317">
        <v>4.77</v>
      </c>
    </row>
    <row r="3318">
      <c r="A3318" s="9">
        <v>41849</v>
      </c>
      <c r="B3318" s="2" t="inlineStr">
        <is>
          <t xml:space="preserve">2014-07</t>
        </is>
      </c>
      <c r="C3318" s="2" t="inlineStr">
        <is>
          <t xml:space="preserve">2014/15</t>
        </is>
      </c>
      <c r="D3318">
        <v>1.357</v>
      </c>
      <c r="E3318">
        <v>23.59</v>
      </c>
      <c r="F3318">
        <v>31.49</v>
      </c>
      <c r="G3318">
        <v>17.33</v>
      </c>
      <c r="H3318">
        <v>0.86</v>
      </c>
      <c r="I3318">
        <v>7.247</v>
      </c>
      <c r="J3318">
        <v>23.02</v>
      </c>
      <c r="K3318">
        <v>28.35</v>
      </c>
      <c r="L3318">
        <v>18.78</v>
      </c>
      <c r="M3318">
        <v>2.43</v>
      </c>
      <c r="N3318">
        <v>1.718</v>
      </c>
      <c r="O3318">
        <v>22.46</v>
      </c>
      <c r="P3318">
        <v>27.23</v>
      </c>
      <c r="Q3318">
        <v>18.89</v>
      </c>
      <c r="R3318">
        <v>2.46</v>
      </c>
    </row>
    <row r="3319">
      <c r="A3319" s="9">
        <v>41850</v>
      </c>
      <c r="B3319" s="2" t="inlineStr">
        <is>
          <t xml:space="preserve">2014-07</t>
        </is>
      </c>
      <c r="C3319" s="2" t="inlineStr">
        <is>
          <t xml:space="preserve">2014/15</t>
        </is>
      </c>
      <c r="D3319">
        <v>0.0</v>
      </c>
      <c r="E3319">
        <v>24.2</v>
      </c>
      <c r="F3319">
        <v>31.99</v>
      </c>
      <c r="G3319">
        <v>17.76</v>
      </c>
      <c r="H3319">
        <v>0.24</v>
      </c>
      <c r="I3319">
        <v>0.0</v>
      </c>
      <c r="J3319">
        <v>23.73</v>
      </c>
      <c r="K3319">
        <v>29.39</v>
      </c>
      <c r="L3319">
        <v>18.99</v>
      </c>
      <c r="M3319">
        <v>0.71</v>
      </c>
      <c r="N3319">
        <v>0.463</v>
      </c>
      <c r="O3319">
        <v>22.74</v>
      </c>
      <c r="P3319">
        <v>27.31</v>
      </c>
      <c r="Q3319">
        <v>19.82</v>
      </c>
      <c r="R3319">
        <v>2.67</v>
      </c>
    </row>
    <row r="3320">
      <c r="A3320" s="9">
        <v>41851</v>
      </c>
      <c r="B3320" s="2" t="inlineStr">
        <is>
          <t xml:space="preserve">2014-07</t>
        </is>
      </c>
      <c r="C3320" s="2" t="inlineStr">
        <is>
          <t xml:space="preserve">2014/15</t>
        </is>
      </c>
      <c r="D3320">
        <v>0.058</v>
      </c>
      <c r="E3320">
        <v>24.59</v>
      </c>
      <c r="F3320">
        <v>32.0</v>
      </c>
      <c r="G3320">
        <v>18.99</v>
      </c>
      <c r="H3320">
        <v>0.42</v>
      </c>
      <c r="I3320">
        <v>0.0</v>
      </c>
      <c r="J3320">
        <v>23.38</v>
      </c>
      <c r="K3320">
        <v>28.33</v>
      </c>
      <c r="L3320">
        <v>19.43</v>
      </c>
      <c r="M3320">
        <v>0.04</v>
      </c>
      <c r="N3320">
        <v>0.0</v>
      </c>
      <c r="O3320">
        <v>22.45</v>
      </c>
      <c r="P3320">
        <v>25.99</v>
      </c>
      <c r="Q3320">
        <v>19.66</v>
      </c>
      <c r="R3320">
        <v>0.23</v>
      </c>
    </row>
    <row r="3321">
      <c r="A3321" s="9">
        <v>41852</v>
      </c>
      <c r="B3321" s="2" t="inlineStr">
        <is>
          <t xml:space="preserve">2014-08</t>
        </is>
      </c>
      <c r="C3321" s="2" t="inlineStr">
        <is>
          <t xml:space="preserve">2014/15</t>
        </is>
      </c>
      <c r="D3321">
        <v>0.0</v>
      </c>
      <c r="E3321">
        <v>24.75</v>
      </c>
      <c r="F3321">
        <v>32.52</v>
      </c>
      <c r="G3321">
        <v>18.96</v>
      </c>
      <c r="H3321">
        <v>0.14</v>
      </c>
      <c r="I3321">
        <v>0.0</v>
      </c>
      <c r="J3321">
        <v>23.32</v>
      </c>
      <c r="K3321">
        <v>28.24</v>
      </c>
      <c r="L3321">
        <v>19.51</v>
      </c>
      <c r="M3321">
        <v>0.0</v>
      </c>
      <c r="N3321">
        <v>0.0</v>
      </c>
      <c r="O3321">
        <v>22.91</v>
      </c>
      <c r="P3321">
        <v>27.62</v>
      </c>
      <c r="Q3321">
        <v>19.84</v>
      </c>
      <c r="R3321">
        <v>0.05</v>
      </c>
    </row>
    <row r="3322">
      <c r="A3322" s="9">
        <v>41853</v>
      </c>
      <c r="B3322" s="2" t="inlineStr">
        <is>
          <t xml:space="preserve">2014-08</t>
        </is>
      </c>
      <c r="C3322" s="2" t="inlineStr">
        <is>
          <t xml:space="preserve">2014/15</t>
        </is>
      </c>
      <c r="D3322">
        <v>0.0</v>
      </c>
      <c r="E3322">
        <v>25.03</v>
      </c>
      <c r="F3322">
        <v>32.5</v>
      </c>
      <c r="G3322">
        <v>19.02</v>
      </c>
      <c r="H3322">
        <v>0.61</v>
      </c>
      <c r="I3322">
        <v>0.0</v>
      </c>
      <c r="J3322">
        <v>23.55</v>
      </c>
      <c r="K3322">
        <v>29.31</v>
      </c>
      <c r="L3322">
        <v>18.51</v>
      </c>
      <c r="M3322">
        <v>3.2</v>
      </c>
      <c r="N3322">
        <v>0.0</v>
      </c>
      <c r="O3322">
        <v>23.12</v>
      </c>
      <c r="P3322">
        <v>28.01</v>
      </c>
      <c r="Q3322">
        <v>19.6</v>
      </c>
      <c r="R3322">
        <v>4.24</v>
      </c>
    </row>
    <row r="3323">
      <c r="A3323" s="9">
        <v>41854</v>
      </c>
      <c r="B3323" s="2" t="inlineStr">
        <is>
          <t xml:space="preserve">2014-08</t>
        </is>
      </c>
      <c r="C3323" s="2" t="inlineStr">
        <is>
          <t xml:space="preserve">2014/15</t>
        </is>
      </c>
      <c r="D3323">
        <v>0.892</v>
      </c>
      <c r="E3323">
        <v>24.18</v>
      </c>
      <c r="F3323">
        <v>30.98</v>
      </c>
      <c r="G3323">
        <v>19.45</v>
      </c>
      <c r="H3323">
        <v>1.24</v>
      </c>
      <c r="I3323">
        <v>10.027</v>
      </c>
      <c r="J3323">
        <v>22.89</v>
      </c>
      <c r="K3323">
        <v>27.66</v>
      </c>
      <c r="L3323">
        <v>19.39</v>
      </c>
      <c r="M3323">
        <v>8.95</v>
      </c>
      <c r="N3323">
        <v>22.971</v>
      </c>
      <c r="O3323">
        <v>22.43</v>
      </c>
      <c r="P3323">
        <v>26.73</v>
      </c>
      <c r="Q3323">
        <v>19.57</v>
      </c>
      <c r="R3323">
        <v>9.34</v>
      </c>
    </row>
    <row r="3324">
      <c r="A3324" s="9">
        <v>41855</v>
      </c>
      <c r="B3324" s="2" t="inlineStr">
        <is>
          <t xml:space="preserve">2014-08</t>
        </is>
      </c>
      <c r="C3324" s="2" t="inlineStr">
        <is>
          <t xml:space="preserve">2014/15</t>
        </is>
      </c>
      <c r="D3324">
        <v>0.162</v>
      </c>
      <c r="E3324">
        <v>23.9</v>
      </c>
      <c r="F3324">
        <v>30.16</v>
      </c>
      <c r="G3324">
        <v>19.43</v>
      </c>
      <c r="H3324">
        <v>2.58</v>
      </c>
      <c r="I3324">
        <v>4.033</v>
      </c>
      <c r="J3324">
        <v>21.97</v>
      </c>
      <c r="K3324">
        <v>25.48</v>
      </c>
      <c r="L3324">
        <v>19.05</v>
      </c>
      <c r="M3324">
        <v>2.72</v>
      </c>
      <c r="N3324">
        <v>0.726</v>
      </c>
      <c r="O3324">
        <v>21.84</v>
      </c>
      <c r="P3324">
        <v>25.12</v>
      </c>
      <c r="Q3324">
        <v>19.55</v>
      </c>
      <c r="R3324">
        <v>5.04</v>
      </c>
    </row>
    <row r="3325">
      <c r="A3325" s="9">
        <v>41856</v>
      </c>
      <c r="B3325" s="2" t="inlineStr">
        <is>
          <t xml:space="preserve">2014-08</t>
        </is>
      </c>
      <c r="C3325" s="2" t="inlineStr">
        <is>
          <t xml:space="preserve">2014/15</t>
        </is>
      </c>
      <c r="D3325">
        <v>1.684</v>
      </c>
      <c r="E3325">
        <v>23.68</v>
      </c>
      <c r="F3325">
        <v>28.27</v>
      </c>
      <c r="G3325">
        <v>20.03</v>
      </c>
      <c r="H3325">
        <v>1.65</v>
      </c>
      <c r="I3325">
        <v>1.711</v>
      </c>
      <c r="J3325">
        <v>22.4</v>
      </c>
      <c r="K3325">
        <v>26.5</v>
      </c>
      <c r="L3325">
        <v>19.58</v>
      </c>
      <c r="M3325">
        <v>2.95</v>
      </c>
      <c r="N3325">
        <v>0.51</v>
      </c>
      <c r="O3325">
        <v>22.2</v>
      </c>
      <c r="P3325">
        <v>25.19</v>
      </c>
      <c r="Q3325">
        <v>20.3</v>
      </c>
      <c r="R3325">
        <v>3.39</v>
      </c>
    </row>
    <row r="3326">
      <c r="A3326" s="9">
        <v>41857</v>
      </c>
      <c r="B3326" s="2" t="inlineStr">
        <is>
          <t xml:space="preserve">2014-08</t>
        </is>
      </c>
      <c r="C3326" s="2" t="inlineStr">
        <is>
          <t xml:space="preserve">2014/15</t>
        </is>
      </c>
      <c r="D3326">
        <v>1.693</v>
      </c>
      <c r="E3326">
        <v>24.88</v>
      </c>
      <c r="F3326">
        <v>32.87</v>
      </c>
      <c r="G3326">
        <v>18.53</v>
      </c>
      <c r="H3326">
        <v>1.48</v>
      </c>
      <c r="I3326">
        <v>2.828</v>
      </c>
      <c r="J3326">
        <v>23.48</v>
      </c>
      <c r="K3326">
        <v>28.66</v>
      </c>
      <c r="L3326">
        <v>19.78</v>
      </c>
      <c r="M3326">
        <v>3.37</v>
      </c>
      <c r="N3326">
        <v>0.623</v>
      </c>
      <c r="O3326">
        <v>23.41</v>
      </c>
      <c r="P3326">
        <v>28.37</v>
      </c>
      <c r="Q3326">
        <v>20.57</v>
      </c>
      <c r="R3326">
        <v>3.89</v>
      </c>
    </row>
    <row r="3327">
      <c r="A3327" s="9">
        <v>41858</v>
      </c>
      <c r="B3327" s="2" t="inlineStr">
        <is>
          <t xml:space="preserve">2014-08</t>
        </is>
      </c>
      <c r="C3327" s="2" t="inlineStr">
        <is>
          <t xml:space="preserve">2014/15</t>
        </is>
      </c>
      <c r="D3327">
        <v>1.159</v>
      </c>
      <c r="E3327">
        <v>24.45</v>
      </c>
      <c r="F3327">
        <v>31.63</v>
      </c>
      <c r="G3327">
        <v>19.76</v>
      </c>
      <c r="H3327">
        <v>2.57</v>
      </c>
      <c r="I3327">
        <v>12.47</v>
      </c>
      <c r="J3327">
        <v>23.04</v>
      </c>
      <c r="K3327">
        <v>27.51</v>
      </c>
      <c r="L3327">
        <v>19.77</v>
      </c>
      <c r="M3327">
        <v>9.56</v>
      </c>
      <c r="N3327">
        <v>5.791</v>
      </c>
      <c r="O3327">
        <v>23.1</v>
      </c>
      <c r="P3327">
        <v>27.09</v>
      </c>
      <c r="Q3327">
        <v>20.86</v>
      </c>
      <c r="R3327">
        <v>8.65</v>
      </c>
    </row>
    <row r="3328">
      <c r="A3328" s="9">
        <v>41859</v>
      </c>
      <c r="B3328" s="2" t="inlineStr">
        <is>
          <t xml:space="preserve">2014-08</t>
        </is>
      </c>
      <c r="C3328" s="2" t="inlineStr">
        <is>
          <t xml:space="preserve">2014/15</t>
        </is>
      </c>
      <c r="D3328">
        <v>0.462</v>
      </c>
      <c r="E3328">
        <v>23.53</v>
      </c>
      <c r="F3328">
        <v>28.47</v>
      </c>
      <c r="G3328">
        <v>19.46</v>
      </c>
      <c r="H3328">
        <v>2.37</v>
      </c>
      <c r="I3328">
        <v>7.614</v>
      </c>
      <c r="J3328">
        <v>23.82</v>
      </c>
      <c r="K3328">
        <v>28.6</v>
      </c>
      <c r="L3328">
        <v>20.55</v>
      </c>
      <c r="M3328">
        <v>9.47</v>
      </c>
      <c r="N3328">
        <v>1.045</v>
      </c>
      <c r="O3328">
        <v>23.44</v>
      </c>
      <c r="P3328">
        <v>27.93</v>
      </c>
      <c r="Q3328">
        <v>20.4</v>
      </c>
      <c r="R3328">
        <v>7.27</v>
      </c>
    </row>
    <row r="3329">
      <c r="A3329" s="9">
        <v>41860</v>
      </c>
      <c r="B3329" s="2" t="inlineStr">
        <is>
          <t xml:space="preserve">2014-08</t>
        </is>
      </c>
      <c r="C3329" s="2" t="inlineStr">
        <is>
          <t xml:space="preserve">2014/15</t>
        </is>
      </c>
      <c r="D3329">
        <v>3.346</v>
      </c>
      <c r="E3329">
        <v>23.21</v>
      </c>
      <c r="F3329">
        <v>29.83</v>
      </c>
      <c r="G3329">
        <v>18.31</v>
      </c>
      <c r="H3329">
        <v>5.13</v>
      </c>
      <c r="I3329">
        <v>16.563</v>
      </c>
      <c r="J3329">
        <v>22.58</v>
      </c>
      <c r="K3329">
        <v>26.34</v>
      </c>
      <c r="L3329">
        <v>20.35</v>
      </c>
      <c r="M3329">
        <v>17.75</v>
      </c>
      <c r="N3329">
        <v>33.391</v>
      </c>
      <c r="O3329">
        <v>22.19</v>
      </c>
      <c r="P3329">
        <v>25.03</v>
      </c>
      <c r="Q3329">
        <v>20.19</v>
      </c>
      <c r="R3329">
        <v>19.14</v>
      </c>
    </row>
    <row r="3330">
      <c r="A3330" s="9">
        <v>41861</v>
      </c>
      <c r="B3330" s="2" t="inlineStr">
        <is>
          <t xml:space="preserve">2014-08</t>
        </is>
      </c>
      <c r="C3330" s="2" t="inlineStr">
        <is>
          <t xml:space="preserve">2014/15</t>
        </is>
      </c>
      <c r="D3330">
        <v>9.891</v>
      </c>
      <c r="E3330">
        <v>23.7</v>
      </c>
      <c r="F3330">
        <v>30.48</v>
      </c>
      <c r="G3330">
        <v>19.02</v>
      </c>
      <c r="H3330">
        <v>7.94</v>
      </c>
      <c r="I3330">
        <v>10.33</v>
      </c>
      <c r="J3330">
        <v>22.82</v>
      </c>
      <c r="K3330">
        <v>26.61</v>
      </c>
      <c r="L3330">
        <v>19.73</v>
      </c>
      <c r="M3330">
        <v>15.33</v>
      </c>
      <c r="N3330">
        <v>7.171</v>
      </c>
      <c r="O3330">
        <v>23.0</v>
      </c>
      <c r="P3330">
        <v>26.89</v>
      </c>
      <c r="Q3330">
        <v>20.43</v>
      </c>
      <c r="R3330">
        <v>17.33</v>
      </c>
    </row>
    <row r="3331">
      <c r="A3331" s="9">
        <v>41862</v>
      </c>
      <c r="B3331" s="2" t="inlineStr">
        <is>
          <t xml:space="preserve">2014-08</t>
        </is>
      </c>
      <c r="C3331" s="2" t="inlineStr">
        <is>
          <t xml:space="preserve">2014/15</t>
        </is>
      </c>
      <c r="D3331">
        <v>9.129</v>
      </c>
      <c r="E3331">
        <v>23.75</v>
      </c>
      <c r="F3331">
        <v>30.58</v>
      </c>
      <c r="G3331">
        <v>19.05</v>
      </c>
      <c r="H3331">
        <v>8.08</v>
      </c>
      <c r="I3331">
        <v>19.359</v>
      </c>
      <c r="J3331">
        <v>22.96</v>
      </c>
      <c r="K3331">
        <v>26.71</v>
      </c>
      <c r="L3331">
        <v>19.74</v>
      </c>
      <c r="M3331">
        <v>11.86</v>
      </c>
      <c r="N3331">
        <v>30.317</v>
      </c>
      <c r="O3331">
        <v>22.51</v>
      </c>
      <c r="P3331">
        <v>25.91</v>
      </c>
      <c r="Q3331">
        <v>20.39</v>
      </c>
      <c r="R3331">
        <v>9.9</v>
      </c>
    </row>
    <row r="3332">
      <c r="A3332" s="9">
        <v>41863</v>
      </c>
      <c r="B3332" s="2" t="inlineStr">
        <is>
          <t xml:space="preserve">2014-08</t>
        </is>
      </c>
      <c r="C3332" s="2" t="inlineStr">
        <is>
          <t xml:space="preserve">2014/15</t>
        </is>
      </c>
      <c r="D3332">
        <v>9.038</v>
      </c>
      <c r="E3332">
        <v>23.12</v>
      </c>
      <c r="F3332">
        <v>28.49</v>
      </c>
      <c r="G3332">
        <v>19.25</v>
      </c>
      <c r="H3332">
        <v>3.14</v>
      </c>
      <c r="I3332">
        <v>11.76</v>
      </c>
      <c r="J3332">
        <v>22.2</v>
      </c>
      <c r="K3332">
        <v>26.08</v>
      </c>
      <c r="L3332">
        <v>19.34</v>
      </c>
      <c r="M3332">
        <v>6.56</v>
      </c>
      <c r="N3332">
        <v>0.512</v>
      </c>
      <c r="O3332">
        <v>22.43</v>
      </c>
      <c r="P3332">
        <v>26.12</v>
      </c>
      <c r="Q3332">
        <v>20.38</v>
      </c>
      <c r="R3332">
        <v>2.23</v>
      </c>
    </row>
    <row r="3333">
      <c r="A3333" s="9">
        <v>41864</v>
      </c>
      <c r="B3333" s="2" t="inlineStr">
        <is>
          <t xml:space="preserve">2014-08</t>
        </is>
      </c>
      <c r="C3333" s="2" t="inlineStr">
        <is>
          <t xml:space="preserve">2014/15</t>
        </is>
      </c>
      <c r="D3333">
        <v>0.0</v>
      </c>
      <c r="E3333">
        <v>24.32</v>
      </c>
      <c r="F3333">
        <v>31.81</v>
      </c>
      <c r="G3333">
        <v>17.5</v>
      </c>
      <c r="H3333">
        <v>0.05</v>
      </c>
      <c r="I3333">
        <v>0.0</v>
      </c>
      <c r="J3333">
        <v>22.69</v>
      </c>
      <c r="K3333">
        <v>27.36</v>
      </c>
      <c r="L3333">
        <v>18.66</v>
      </c>
      <c r="M3333">
        <v>0.18</v>
      </c>
      <c r="N3333">
        <v>0.0</v>
      </c>
      <c r="O3333">
        <v>22.97</v>
      </c>
      <c r="P3333">
        <v>27.68</v>
      </c>
      <c r="Q3333">
        <v>19.69</v>
      </c>
      <c r="R3333">
        <v>0.64</v>
      </c>
    </row>
    <row r="3334">
      <c r="A3334" s="9">
        <v>41865</v>
      </c>
      <c r="B3334" s="2" t="inlineStr">
        <is>
          <t xml:space="preserve">2014-08</t>
        </is>
      </c>
      <c r="C3334" s="2" t="inlineStr">
        <is>
          <t xml:space="preserve">2014/15</t>
        </is>
      </c>
      <c r="D3334">
        <v>0.023</v>
      </c>
      <c r="E3334">
        <v>23.43</v>
      </c>
      <c r="F3334">
        <v>29.49</v>
      </c>
      <c r="G3334">
        <v>19.53</v>
      </c>
      <c r="H3334">
        <v>0.41</v>
      </c>
      <c r="I3334">
        <v>0.0</v>
      </c>
      <c r="J3334">
        <v>22.75</v>
      </c>
      <c r="K3334">
        <v>27.02</v>
      </c>
      <c r="L3334">
        <v>18.81</v>
      </c>
      <c r="M3334">
        <v>8.32</v>
      </c>
      <c r="N3334">
        <v>0.482</v>
      </c>
      <c r="O3334">
        <v>22.5</v>
      </c>
      <c r="P3334">
        <v>26.05</v>
      </c>
      <c r="Q3334">
        <v>20.08</v>
      </c>
      <c r="R3334">
        <v>5.81</v>
      </c>
    </row>
    <row r="3335">
      <c r="A3335" s="9">
        <v>41866</v>
      </c>
      <c r="B3335" s="2" t="inlineStr">
        <is>
          <t xml:space="preserve">2014-08</t>
        </is>
      </c>
      <c r="C3335" s="2" t="inlineStr">
        <is>
          <t xml:space="preserve">2014/15</t>
        </is>
      </c>
      <c r="D3335">
        <v>0.0</v>
      </c>
      <c r="E3335">
        <v>23.73</v>
      </c>
      <c r="F3335">
        <v>31.14</v>
      </c>
      <c r="G3335">
        <v>17.33</v>
      </c>
      <c r="H3335">
        <v>0.19</v>
      </c>
      <c r="I3335">
        <v>19.264</v>
      </c>
      <c r="J3335">
        <v>22.34</v>
      </c>
      <c r="K3335">
        <v>26.99</v>
      </c>
      <c r="L3335">
        <v>18.75</v>
      </c>
      <c r="M3335">
        <v>3.25</v>
      </c>
      <c r="N3335">
        <v>2.487</v>
      </c>
      <c r="O3335">
        <v>22.49</v>
      </c>
      <c r="P3335">
        <v>26.74</v>
      </c>
      <c r="Q3335">
        <v>19.68</v>
      </c>
      <c r="R3335">
        <v>2.41</v>
      </c>
    </row>
    <row r="3336">
      <c r="A3336" s="9">
        <v>41867</v>
      </c>
      <c r="B3336" s="2" t="inlineStr">
        <is>
          <t xml:space="preserve">2014-08</t>
        </is>
      </c>
      <c r="C3336" s="2" t="inlineStr">
        <is>
          <t xml:space="preserve">2014/15</t>
        </is>
      </c>
      <c r="D3336">
        <v>0.0</v>
      </c>
      <c r="E3336">
        <v>23.55</v>
      </c>
      <c r="F3336">
        <v>29.88</v>
      </c>
      <c r="G3336">
        <v>17.86</v>
      </c>
      <c r="H3336">
        <v>1.03</v>
      </c>
      <c r="I3336">
        <v>0.0</v>
      </c>
      <c r="J3336">
        <v>22.73</v>
      </c>
      <c r="K3336">
        <v>27.77</v>
      </c>
      <c r="L3336">
        <v>18.55</v>
      </c>
      <c r="M3336">
        <v>9.16</v>
      </c>
      <c r="N3336">
        <v>0.487</v>
      </c>
      <c r="O3336">
        <v>22.71</v>
      </c>
      <c r="P3336">
        <v>27.31</v>
      </c>
      <c r="Q3336">
        <v>19.58</v>
      </c>
      <c r="R3336">
        <v>8.21</v>
      </c>
    </row>
    <row r="3337">
      <c r="A3337" s="9">
        <v>41868</v>
      </c>
      <c r="B3337" s="2" t="inlineStr">
        <is>
          <t xml:space="preserve">2014-08</t>
        </is>
      </c>
      <c r="C3337" s="2" t="inlineStr">
        <is>
          <t xml:space="preserve">2014/15</t>
        </is>
      </c>
      <c r="D3337">
        <v>3.4</v>
      </c>
      <c r="E3337">
        <v>24.6</v>
      </c>
      <c r="F3337">
        <v>31.62</v>
      </c>
      <c r="G3337">
        <v>19.37</v>
      </c>
      <c r="H3337">
        <v>2.05</v>
      </c>
      <c r="I3337">
        <v>10.618</v>
      </c>
      <c r="J3337">
        <v>22.75</v>
      </c>
      <c r="K3337">
        <v>26.39</v>
      </c>
      <c r="L3337">
        <v>19.85</v>
      </c>
      <c r="M3337">
        <v>1.4</v>
      </c>
      <c r="N3337">
        <v>5.988</v>
      </c>
      <c r="O3337">
        <v>22.99</v>
      </c>
      <c r="P3337">
        <v>27.06</v>
      </c>
      <c r="Q3337">
        <v>20.71</v>
      </c>
      <c r="R3337">
        <v>3.62</v>
      </c>
    </row>
    <row r="3338">
      <c r="A3338" s="9">
        <v>41869</v>
      </c>
      <c r="B3338" s="2" t="inlineStr">
        <is>
          <t xml:space="preserve">2014-08</t>
        </is>
      </c>
      <c r="C3338" s="2" t="inlineStr">
        <is>
          <t xml:space="preserve">2014/15</t>
        </is>
      </c>
      <c r="D3338">
        <v>0.0</v>
      </c>
      <c r="E3338">
        <v>24.51</v>
      </c>
      <c r="F3338">
        <v>31.58</v>
      </c>
      <c r="G3338">
        <v>18.97</v>
      </c>
      <c r="H3338">
        <v>0.36</v>
      </c>
      <c r="I3338">
        <v>0.0</v>
      </c>
      <c r="J3338">
        <v>22.94</v>
      </c>
      <c r="K3338">
        <v>27.47</v>
      </c>
      <c r="L3338">
        <v>19.15</v>
      </c>
      <c r="M3338">
        <v>2.16</v>
      </c>
      <c r="N3338">
        <v>0.108</v>
      </c>
      <c r="O3338">
        <v>23.13</v>
      </c>
      <c r="P3338">
        <v>27.08</v>
      </c>
      <c r="Q3338">
        <v>20.06</v>
      </c>
      <c r="R3338">
        <v>2.92</v>
      </c>
    </row>
    <row r="3339">
      <c r="A3339" s="9">
        <v>41870</v>
      </c>
      <c r="B3339" s="2" t="inlineStr">
        <is>
          <t xml:space="preserve">2014-08</t>
        </is>
      </c>
      <c r="C3339" s="2" t="inlineStr">
        <is>
          <t xml:space="preserve">2014/15</t>
        </is>
      </c>
      <c r="D3339">
        <v>0.0</v>
      </c>
      <c r="E3339">
        <v>24.2</v>
      </c>
      <c r="F3339">
        <v>30.88</v>
      </c>
      <c r="G3339">
        <v>18.96</v>
      </c>
      <c r="H3339">
        <v>0.36</v>
      </c>
      <c r="I3339">
        <v>3.67</v>
      </c>
      <c r="J3339">
        <v>23.37</v>
      </c>
      <c r="K3339">
        <v>28.04</v>
      </c>
      <c r="L3339">
        <v>19.88</v>
      </c>
      <c r="M3339">
        <v>5.91</v>
      </c>
      <c r="N3339">
        <v>5.372</v>
      </c>
      <c r="O3339">
        <v>23.23</v>
      </c>
      <c r="P3339">
        <v>27.72</v>
      </c>
      <c r="Q3339">
        <v>20.51</v>
      </c>
      <c r="R3339">
        <v>6.92</v>
      </c>
    </row>
    <row r="3340">
      <c r="A3340" s="9">
        <v>41871</v>
      </c>
      <c r="B3340" s="2" t="inlineStr">
        <is>
          <t xml:space="preserve">2014-08</t>
        </is>
      </c>
      <c r="C3340" s="2" t="inlineStr">
        <is>
          <t xml:space="preserve">2014/15</t>
        </is>
      </c>
      <c r="D3340">
        <v>0.313</v>
      </c>
      <c r="E3340">
        <v>22.66</v>
      </c>
      <c r="F3340">
        <v>29.03</v>
      </c>
      <c r="G3340">
        <v>16.56</v>
      </c>
      <c r="H3340">
        <v>0.75</v>
      </c>
      <c r="I3340">
        <v>4.593</v>
      </c>
      <c r="J3340">
        <v>22.59</v>
      </c>
      <c r="K3340">
        <v>26.65</v>
      </c>
      <c r="L3340">
        <v>19.32</v>
      </c>
      <c r="M3340">
        <v>5.84</v>
      </c>
      <c r="N3340">
        <v>14.373</v>
      </c>
      <c r="O3340">
        <v>22.23</v>
      </c>
      <c r="P3340">
        <v>26.64</v>
      </c>
      <c r="Q3340">
        <v>18.17</v>
      </c>
      <c r="R3340">
        <v>7.22</v>
      </c>
    </row>
    <row r="3341">
      <c r="A3341" s="9">
        <v>41872</v>
      </c>
      <c r="B3341" s="2" t="inlineStr">
        <is>
          <t xml:space="preserve">2014-08</t>
        </is>
      </c>
      <c r="C3341" s="2" t="inlineStr">
        <is>
          <t xml:space="preserve">2014/15</t>
        </is>
      </c>
      <c r="D3341">
        <v>0.0</v>
      </c>
      <c r="E3341">
        <v>23.85</v>
      </c>
      <c r="F3341">
        <v>31.02</v>
      </c>
      <c r="G3341">
        <v>17.06</v>
      </c>
      <c r="H3341">
        <v>0.39</v>
      </c>
      <c r="I3341">
        <v>1.434</v>
      </c>
      <c r="J3341">
        <v>23.18</v>
      </c>
      <c r="K3341">
        <v>28.08</v>
      </c>
      <c r="L3341">
        <v>18.02</v>
      </c>
      <c r="M3341">
        <v>0.48</v>
      </c>
      <c r="N3341">
        <v>0.037</v>
      </c>
      <c r="O3341">
        <v>22.43</v>
      </c>
      <c r="P3341">
        <v>27.05</v>
      </c>
      <c r="Q3341">
        <v>18.56</v>
      </c>
      <c r="R3341">
        <v>0.64</v>
      </c>
    </row>
    <row r="3342">
      <c r="A3342" s="9">
        <v>41873</v>
      </c>
      <c r="B3342" s="2" t="inlineStr">
        <is>
          <t xml:space="preserve">2014-08</t>
        </is>
      </c>
      <c r="C3342" s="2" t="inlineStr">
        <is>
          <t xml:space="preserve">2014/15</t>
        </is>
      </c>
      <c r="D3342">
        <v>0.038</v>
      </c>
      <c r="E3342">
        <v>24.28</v>
      </c>
      <c r="F3342">
        <v>31.45</v>
      </c>
      <c r="G3342">
        <v>18.64</v>
      </c>
      <c r="H3342">
        <v>0.48</v>
      </c>
      <c r="I3342">
        <v>0.0</v>
      </c>
      <c r="J3342">
        <v>22.8</v>
      </c>
      <c r="K3342">
        <v>26.78</v>
      </c>
      <c r="L3342">
        <v>19.46</v>
      </c>
      <c r="M3342">
        <v>0.47</v>
      </c>
      <c r="N3342">
        <v>0.186</v>
      </c>
      <c r="O3342">
        <v>22.66</v>
      </c>
      <c r="P3342">
        <v>26.88</v>
      </c>
      <c r="Q3342">
        <v>19.91</v>
      </c>
      <c r="R3342">
        <v>1.27</v>
      </c>
    </row>
    <row r="3343">
      <c r="A3343" s="9">
        <v>41874</v>
      </c>
      <c r="B3343" s="2" t="inlineStr">
        <is>
          <t xml:space="preserve">2014-08</t>
        </is>
      </c>
      <c r="C3343" s="2" t="inlineStr">
        <is>
          <t xml:space="preserve">2014/15</t>
        </is>
      </c>
      <c r="D3343">
        <v>0.0</v>
      </c>
      <c r="E3343">
        <v>25.13</v>
      </c>
      <c r="F3343">
        <v>33.16</v>
      </c>
      <c r="G3343">
        <v>18.73</v>
      </c>
      <c r="H3343">
        <v>0.94</v>
      </c>
      <c r="I3343">
        <v>1.897</v>
      </c>
      <c r="J3343">
        <v>22.88</v>
      </c>
      <c r="K3343">
        <v>27.79</v>
      </c>
      <c r="L3343">
        <v>18.57</v>
      </c>
      <c r="M3343">
        <v>1.71</v>
      </c>
      <c r="N3343">
        <v>0.099</v>
      </c>
      <c r="O3343">
        <v>22.63</v>
      </c>
      <c r="P3343">
        <v>27.15</v>
      </c>
      <c r="Q3343">
        <v>19.51</v>
      </c>
      <c r="R3343">
        <v>0.82</v>
      </c>
    </row>
    <row r="3344">
      <c r="A3344" s="9">
        <v>41875</v>
      </c>
      <c r="B3344" s="2" t="inlineStr">
        <is>
          <t xml:space="preserve">2014-08</t>
        </is>
      </c>
      <c r="C3344" s="2" t="inlineStr">
        <is>
          <t xml:space="preserve">2014/15</t>
        </is>
      </c>
      <c r="D3344">
        <v>2.137</v>
      </c>
      <c r="E3344">
        <v>23.27</v>
      </c>
      <c r="F3344">
        <v>28.76</v>
      </c>
      <c r="G3344">
        <v>19.86</v>
      </c>
      <c r="H3344">
        <v>1.9</v>
      </c>
      <c r="I3344">
        <v>7.016</v>
      </c>
      <c r="J3344">
        <v>22.15</v>
      </c>
      <c r="K3344">
        <v>26.58</v>
      </c>
      <c r="L3344">
        <v>18.63</v>
      </c>
      <c r="M3344">
        <v>2.98</v>
      </c>
      <c r="N3344">
        <v>0.65</v>
      </c>
      <c r="O3344">
        <v>22.24</v>
      </c>
      <c r="P3344">
        <v>26.56</v>
      </c>
      <c r="Q3344">
        <v>19.08</v>
      </c>
      <c r="R3344">
        <v>1.35</v>
      </c>
    </row>
    <row r="3345">
      <c r="A3345" s="9">
        <v>41876</v>
      </c>
      <c r="B3345" s="2" t="inlineStr">
        <is>
          <t xml:space="preserve">2014-08</t>
        </is>
      </c>
      <c r="C3345" s="2" t="inlineStr">
        <is>
          <t xml:space="preserve">2014/15</t>
        </is>
      </c>
      <c r="D3345">
        <v>1.556</v>
      </c>
      <c r="E3345">
        <v>23.67</v>
      </c>
      <c r="F3345">
        <v>30.97</v>
      </c>
      <c r="G3345">
        <v>17.99</v>
      </c>
      <c r="H3345">
        <v>4.97</v>
      </c>
      <c r="I3345">
        <v>1.335</v>
      </c>
      <c r="J3345">
        <v>22.57</v>
      </c>
      <c r="K3345">
        <v>27.87</v>
      </c>
      <c r="L3345">
        <v>18.1</v>
      </c>
      <c r="M3345">
        <v>0.75</v>
      </c>
      <c r="N3345">
        <v>0.424</v>
      </c>
      <c r="O3345">
        <v>22.35</v>
      </c>
      <c r="P3345">
        <v>27.46</v>
      </c>
      <c r="Q3345">
        <v>18.6</v>
      </c>
      <c r="R3345">
        <v>0.64</v>
      </c>
    </row>
    <row r="3346">
      <c r="A3346" s="9">
        <v>41877</v>
      </c>
      <c r="B3346" s="2" t="inlineStr">
        <is>
          <t xml:space="preserve">2014-08</t>
        </is>
      </c>
      <c r="C3346" s="2" t="inlineStr">
        <is>
          <t xml:space="preserve">2014/15</t>
        </is>
      </c>
      <c r="D3346">
        <v>16.18</v>
      </c>
      <c r="E3346">
        <v>23.67</v>
      </c>
      <c r="F3346">
        <v>31.15</v>
      </c>
      <c r="G3346">
        <v>17.91</v>
      </c>
      <c r="H3346">
        <v>11.54</v>
      </c>
      <c r="I3346">
        <v>1.153</v>
      </c>
      <c r="J3346">
        <v>23.23</v>
      </c>
      <c r="K3346">
        <v>29.29</v>
      </c>
      <c r="L3346">
        <v>17.19</v>
      </c>
      <c r="M3346">
        <v>1.79</v>
      </c>
      <c r="N3346">
        <v>4.119</v>
      </c>
      <c r="O3346">
        <v>22.85</v>
      </c>
      <c r="P3346">
        <v>28.42</v>
      </c>
      <c r="Q3346">
        <v>17.66</v>
      </c>
      <c r="R3346">
        <v>2.47</v>
      </c>
    </row>
    <row r="3347">
      <c r="A3347" s="9">
        <v>41878</v>
      </c>
      <c r="B3347" s="2" t="inlineStr">
        <is>
          <t xml:space="preserve">2014-08</t>
        </is>
      </c>
      <c r="C3347" s="2" t="inlineStr">
        <is>
          <t xml:space="preserve">2014/15</t>
        </is>
      </c>
      <c r="D3347">
        <v>5.602</v>
      </c>
      <c r="E3347">
        <v>22.48</v>
      </c>
      <c r="F3347">
        <v>27.61</v>
      </c>
      <c r="G3347">
        <v>19.08</v>
      </c>
      <c r="H3347">
        <v>9.95</v>
      </c>
      <c r="I3347">
        <v>1.197</v>
      </c>
      <c r="J3347">
        <v>23.54</v>
      </c>
      <c r="K3347">
        <v>28.74</v>
      </c>
      <c r="L3347">
        <v>20.02</v>
      </c>
      <c r="M3347">
        <v>5.86</v>
      </c>
      <c r="N3347">
        <v>0.297</v>
      </c>
      <c r="O3347">
        <v>23.28</v>
      </c>
      <c r="P3347">
        <v>28.68</v>
      </c>
      <c r="Q3347">
        <v>18.93</v>
      </c>
      <c r="R3347">
        <v>5.79</v>
      </c>
    </row>
    <row r="3348">
      <c r="A3348" s="9">
        <v>41879</v>
      </c>
      <c r="B3348" s="2" t="inlineStr">
        <is>
          <t xml:space="preserve">2014-08</t>
        </is>
      </c>
      <c r="C3348" s="2" t="inlineStr">
        <is>
          <t xml:space="preserve">2014/15</t>
        </is>
      </c>
      <c r="D3348">
        <v>55.635</v>
      </c>
      <c r="E3348">
        <v>21.6</v>
      </c>
      <c r="F3348">
        <v>25.0</v>
      </c>
      <c r="G3348">
        <v>19.59</v>
      </c>
      <c r="H3348">
        <v>26.71</v>
      </c>
      <c r="I3348">
        <v>25.022</v>
      </c>
      <c r="J3348">
        <v>22.36</v>
      </c>
      <c r="K3348">
        <v>26.03</v>
      </c>
      <c r="L3348">
        <v>19.42</v>
      </c>
      <c r="M3348">
        <v>40.13</v>
      </c>
      <c r="N3348">
        <v>34.525</v>
      </c>
      <c r="O3348">
        <v>22.45</v>
      </c>
      <c r="P3348">
        <v>25.41</v>
      </c>
      <c r="Q3348">
        <v>20.42</v>
      </c>
      <c r="R3348">
        <v>36.58</v>
      </c>
    </row>
    <row r="3349">
      <c r="A3349" s="9">
        <v>41880</v>
      </c>
      <c r="B3349" s="2" t="inlineStr">
        <is>
          <t xml:space="preserve">2014-08</t>
        </is>
      </c>
      <c r="C3349" s="2" t="inlineStr">
        <is>
          <t xml:space="preserve">2014/15</t>
        </is>
      </c>
      <c r="D3349">
        <v>6.186</v>
      </c>
      <c r="E3349">
        <v>22.57</v>
      </c>
      <c r="F3349">
        <v>28.15</v>
      </c>
      <c r="G3349">
        <v>18.69</v>
      </c>
      <c r="H3349">
        <v>7.66</v>
      </c>
      <c r="I3349">
        <v>18.849</v>
      </c>
      <c r="J3349">
        <v>21.85</v>
      </c>
      <c r="K3349">
        <v>25.61</v>
      </c>
      <c r="L3349">
        <v>19.04</v>
      </c>
      <c r="M3349">
        <v>15.44</v>
      </c>
      <c r="N3349">
        <v>63.077</v>
      </c>
      <c r="O3349">
        <v>22.36</v>
      </c>
      <c r="P3349">
        <v>25.42</v>
      </c>
      <c r="Q3349">
        <v>20.05</v>
      </c>
      <c r="R3349">
        <v>21.49</v>
      </c>
    </row>
    <row r="3350">
      <c r="A3350" s="9">
        <v>41881</v>
      </c>
      <c r="B3350" s="2" t="inlineStr">
        <is>
          <t xml:space="preserve">2014-08</t>
        </is>
      </c>
      <c r="C3350" s="2" t="inlineStr">
        <is>
          <t xml:space="preserve">2014/15</t>
        </is>
      </c>
      <c r="D3350">
        <v>8.875</v>
      </c>
      <c r="E3350">
        <v>21.59</v>
      </c>
      <c r="F3350">
        <v>24.96</v>
      </c>
      <c r="G3350">
        <v>19.67</v>
      </c>
      <c r="H3350">
        <v>12.94</v>
      </c>
      <c r="I3350">
        <v>2.42</v>
      </c>
      <c r="J3350">
        <v>20.91</v>
      </c>
      <c r="K3350">
        <v>23.78</v>
      </c>
      <c r="L3350">
        <v>19.18</v>
      </c>
      <c r="M3350">
        <v>10.54</v>
      </c>
      <c r="N3350">
        <v>2.252</v>
      </c>
      <c r="O3350">
        <v>21.75</v>
      </c>
      <c r="P3350">
        <v>23.99</v>
      </c>
      <c r="Q3350">
        <v>20.2</v>
      </c>
      <c r="R3350">
        <v>11.21</v>
      </c>
    </row>
    <row r="3351">
      <c r="A3351" s="9">
        <v>41882</v>
      </c>
      <c r="B3351" s="2" t="inlineStr">
        <is>
          <t xml:space="preserve">2014-08</t>
        </is>
      </c>
      <c r="C3351" s="2" t="inlineStr">
        <is>
          <t xml:space="preserve">2014/15</t>
        </is>
      </c>
      <c r="D3351">
        <v>27.122</v>
      </c>
      <c r="E3351">
        <v>21.47</v>
      </c>
      <c r="F3351">
        <v>25.1</v>
      </c>
      <c r="G3351">
        <v>18.71</v>
      </c>
      <c r="H3351">
        <v>15.32</v>
      </c>
      <c r="I3351">
        <v>13.005</v>
      </c>
      <c r="J3351">
        <v>21.78</v>
      </c>
      <c r="K3351">
        <v>26.64</v>
      </c>
      <c r="L3351">
        <v>18.63</v>
      </c>
      <c r="M3351">
        <v>15.84</v>
      </c>
      <c r="N3351">
        <v>46.271</v>
      </c>
      <c r="O3351">
        <v>21.83</v>
      </c>
      <c r="P3351">
        <v>25.87</v>
      </c>
      <c r="Q3351">
        <v>19.13</v>
      </c>
      <c r="R3351">
        <v>19.38</v>
      </c>
    </row>
    <row r="3352">
      <c r="A3352" s="9">
        <v>41883</v>
      </c>
      <c r="B3352" s="2" t="inlineStr">
        <is>
          <t xml:space="preserve">2014-09</t>
        </is>
      </c>
      <c r="C3352" s="2" t="inlineStr">
        <is>
          <t xml:space="preserve">2014/15</t>
        </is>
      </c>
      <c r="D3352">
        <v>0.873</v>
      </c>
      <c r="E3352">
        <v>22.49</v>
      </c>
      <c r="F3352">
        <v>28.19</v>
      </c>
      <c r="G3352">
        <v>16.89</v>
      </c>
      <c r="H3352">
        <v>0.44</v>
      </c>
      <c r="I3352">
        <v>0.655</v>
      </c>
      <c r="J3352">
        <v>22.57</v>
      </c>
      <c r="K3352">
        <v>27.91</v>
      </c>
      <c r="L3352">
        <v>17.34</v>
      </c>
      <c r="M3352">
        <v>1.02</v>
      </c>
      <c r="N3352">
        <v>0.19</v>
      </c>
      <c r="O3352">
        <v>22.17</v>
      </c>
      <c r="P3352">
        <v>26.68</v>
      </c>
      <c r="Q3352">
        <v>18.55</v>
      </c>
      <c r="R3352">
        <v>0.68</v>
      </c>
    </row>
    <row r="3353">
      <c r="A3353" s="9">
        <v>41884</v>
      </c>
      <c r="B3353" s="2" t="inlineStr">
        <is>
          <t xml:space="preserve">2014-09</t>
        </is>
      </c>
      <c r="C3353" s="2" t="inlineStr">
        <is>
          <t xml:space="preserve">2014/15</t>
        </is>
      </c>
      <c r="D3353">
        <v>0.0</v>
      </c>
      <c r="E3353">
        <v>22.56</v>
      </c>
      <c r="F3353">
        <v>28.14</v>
      </c>
      <c r="G3353">
        <v>18.45</v>
      </c>
      <c r="H3353">
        <v>1.74</v>
      </c>
      <c r="I3353">
        <v>2.334</v>
      </c>
      <c r="J3353">
        <v>22.35</v>
      </c>
      <c r="K3353">
        <v>26.0</v>
      </c>
      <c r="L3353">
        <v>19.14</v>
      </c>
      <c r="M3353">
        <v>9.33</v>
      </c>
      <c r="N3353">
        <v>1.948</v>
      </c>
      <c r="O3353">
        <v>22.4</v>
      </c>
      <c r="P3353">
        <v>25.12</v>
      </c>
      <c r="Q3353">
        <v>20.54</v>
      </c>
      <c r="R3353">
        <v>4.68</v>
      </c>
    </row>
    <row r="3354">
      <c r="A3354" s="9">
        <v>41885</v>
      </c>
      <c r="B3354" s="2" t="inlineStr">
        <is>
          <t xml:space="preserve">2014-09</t>
        </is>
      </c>
      <c r="C3354" s="2" t="inlineStr">
        <is>
          <t xml:space="preserve">2014/15</t>
        </is>
      </c>
      <c r="D3354">
        <v>4.338</v>
      </c>
      <c r="E3354">
        <v>22.1</v>
      </c>
      <c r="F3354">
        <v>27.89</v>
      </c>
      <c r="G3354">
        <v>17.43</v>
      </c>
      <c r="H3354">
        <v>3.53</v>
      </c>
      <c r="I3354">
        <v>30.932</v>
      </c>
      <c r="J3354">
        <v>23.22</v>
      </c>
      <c r="K3354">
        <v>27.85</v>
      </c>
      <c r="L3354">
        <v>19.74</v>
      </c>
      <c r="M3354">
        <v>11.48</v>
      </c>
      <c r="N3354">
        <v>1.892</v>
      </c>
      <c r="O3354">
        <v>23.09</v>
      </c>
      <c r="P3354">
        <v>27.6</v>
      </c>
      <c r="Q3354">
        <v>19.3</v>
      </c>
      <c r="R3354">
        <v>6.87</v>
      </c>
    </row>
    <row r="3355">
      <c r="A3355" s="9">
        <v>41886</v>
      </c>
      <c r="B3355" s="2" t="inlineStr">
        <is>
          <t xml:space="preserve">2014-09</t>
        </is>
      </c>
      <c r="C3355" s="2" t="inlineStr">
        <is>
          <t xml:space="preserve">2014/15</t>
        </is>
      </c>
      <c r="D3355">
        <v>3.682</v>
      </c>
      <c r="E3355">
        <v>21.99</v>
      </c>
      <c r="F3355">
        <v>28.67</v>
      </c>
      <c r="G3355">
        <v>17.46</v>
      </c>
      <c r="H3355">
        <v>3.66</v>
      </c>
      <c r="I3355">
        <v>16.998</v>
      </c>
      <c r="J3355">
        <v>23.41</v>
      </c>
      <c r="K3355">
        <v>28.37</v>
      </c>
      <c r="L3355">
        <v>19.91</v>
      </c>
      <c r="M3355">
        <v>14.95</v>
      </c>
      <c r="N3355">
        <v>22.279</v>
      </c>
      <c r="O3355">
        <v>22.89</v>
      </c>
      <c r="P3355">
        <v>27.18</v>
      </c>
      <c r="Q3355">
        <v>19.79</v>
      </c>
      <c r="R3355">
        <v>14.35</v>
      </c>
    </row>
    <row r="3356">
      <c r="A3356" s="9">
        <v>41887</v>
      </c>
      <c r="B3356" s="2" t="inlineStr">
        <is>
          <t xml:space="preserve">2014-09</t>
        </is>
      </c>
      <c r="C3356" s="2" t="inlineStr">
        <is>
          <t xml:space="preserve">2014/15</t>
        </is>
      </c>
      <c r="D3356">
        <v>1.058</v>
      </c>
      <c r="E3356">
        <v>20.93</v>
      </c>
      <c r="F3356">
        <v>26.94</v>
      </c>
      <c r="G3356">
        <v>16.24</v>
      </c>
      <c r="H3356">
        <v>2.47</v>
      </c>
      <c r="I3356">
        <v>4.92</v>
      </c>
      <c r="J3356">
        <v>21.94</v>
      </c>
      <c r="K3356">
        <v>26.3</v>
      </c>
      <c r="L3356">
        <v>18.64</v>
      </c>
      <c r="M3356">
        <v>6.24</v>
      </c>
      <c r="N3356">
        <v>18.89</v>
      </c>
      <c r="O3356">
        <v>21.61</v>
      </c>
      <c r="P3356">
        <v>25.6</v>
      </c>
      <c r="Q3356">
        <v>18.84</v>
      </c>
      <c r="R3356">
        <v>7.72</v>
      </c>
    </row>
    <row r="3357">
      <c r="A3357" s="9">
        <v>41888</v>
      </c>
      <c r="B3357" s="2" t="inlineStr">
        <is>
          <t xml:space="preserve">2014-09</t>
        </is>
      </c>
      <c r="C3357" s="2" t="inlineStr">
        <is>
          <t xml:space="preserve">2014/15</t>
        </is>
      </c>
      <c r="D3357">
        <v>0.0</v>
      </c>
      <c r="E3357">
        <v>20.67</v>
      </c>
      <c r="F3357">
        <v>25.63</v>
      </c>
      <c r="G3357">
        <v>17.46</v>
      </c>
      <c r="H3357">
        <v>2.79</v>
      </c>
      <c r="I3357">
        <v>9.106</v>
      </c>
      <c r="J3357">
        <v>21.26</v>
      </c>
      <c r="K3357">
        <v>25.25</v>
      </c>
      <c r="L3357">
        <v>18.35</v>
      </c>
      <c r="M3357">
        <v>9.65</v>
      </c>
      <c r="N3357">
        <v>0.917</v>
      </c>
      <c r="O3357">
        <v>21.12</v>
      </c>
      <c r="P3357">
        <v>24.82</v>
      </c>
      <c r="Q3357">
        <v>18.48</v>
      </c>
      <c r="R3357">
        <v>8.52</v>
      </c>
    </row>
    <row r="3358">
      <c r="A3358" s="9">
        <v>41889</v>
      </c>
      <c r="B3358" s="2" t="inlineStr">
        <is>
          <t xml:space="preserve">2014-09</t>
        </is>
      </c>
      <c r="C3358" s="2" t="inlineStr">
        <is>
          <t xml:space="preserve">2014/15</t>
        </is>
      </c>
      <c r="D3358">
        <v>10.026</v>
      </c>
      <c r="E3358">
        <v>21.72</v>
      </c>
      <c r="F3358">
        <v>27.76</v>
      </c>
      <c r="G3358">
        <v>17.04</v>
      </c>
      <c r="H3358">
        <v>5.68</v>
      </c>
      <c r="I3358">
        <v>7.895</v>
      </c>
      <c r="J3358">
        <v>22.1</v>
      </c>
      <c r="K3358">
        <v>26.1</v>
      </c>
      <c r="L3358">
        <v>18.88</v>
      </c>
      <c r="M3358">
        <v>10.01</v>
      </c>
      <c r="N3358">
        <v>10.402</v>
      </c>
      <c r="O3358">
        <v>21.92</v>
      </c>
      <c r="P3358">
        <v>25.82</v>
      </c>
      <c r="Q3358">
        <v>19.38</v>
      </c>
      <c r="R3358">
        <v>12.05</v>
      </c>
    </row>
    <row r="3359">
      <c r="A3359" s="9">
        <v>41890</v>
      </c>
      <c r="B3359" s="2" t="inlineStr">
        <is>
          <t xml:space="preserve">2014-09</t>
        </is>
      </c>
      <c r="C3359" s="2" t="inlineStr">
        <is>
          <t xml:space="preserve">2014/15</t>
        </is>
      </c>
      <c r="D3359">
        <v>5.168</v>
      </c>
      <c r="E3359">
        <v>22.78</v>
      </c>
      <c r="F3359">
        <v>29.39</v>
      </c>
      <c r="G3359">
        <v>17.79</v>
      </c>
      <c r="H3359">
        <v>5.27</v>
      </c>
      <c r="I3359">
        <v>4.469</v>
      </c>
      <c r="J3359">
        <v>22.29</v>
      </c>
      <c r="K3359">
        <v>25.9</v>
      </c>
      <c r="L3359">
        <v>19.52</v>
      </c>
      <c r="M3359">
        <v>10.8</v>
      </c>
      <c r="N3359">
        <v>16.011</v>
      </c>
      <c r="O3359">
        <v>23.0</v>
      </c>
      <c r="P3359">
        <v>27.26</v>
      </c>
      <c r="Q3359">
        <v>20.58</v>
      </c>
      <c r="R3359">
        <v>13.07</v>
      </c>
    </row>
    <row r="3360">
      <c r="A3360" s="9">
        <v>41891</v>
      </c>
      <c r="B3360" s="2" t="inlineStr">
        <is>
          <t xml:space="preserve">2014-09</t>
        </is>
      </c>
      <c r="C3360" s="2" t="inlineStr">
        <is>
          <t xml:space="preserve">2014/15</t>
        </is>
      </c>
      <c r="D3360">
        <v>3.212</v>
      </c>
      <c r="E3360">
        <v>22.32</v>
      </c>
      <c r="F3360">
        <v>27.97</v>
      </c>
      <c r="G3360">
        <v>18.31</v>
      </c>
      <c r="H3360">
        <v>5.52</v>
      </c>
      <c r="I3360">
        <v>31.646</v>
      </c>
      <c r="J3360">
        <v>22.2</v>
      </c>
      <c r="K3360">
        <v>25.83</v>
      </c>
      <c r="L3360">
        <v>19.64</v>
      </c>
      <c r="M3360">
        <v>17.25</v>
      </c>
      <c r="N3360">
        <v>2.965</v>
      </c>
      <c r="O3360">
        <v>22.93</v>
      </c>
      <c r="P3360">
        <v>26.39</v>
      </c>
      <c r="Q3360">
        <v>20.93</v>
      </c>
      <c r="R3360">
        <v>13.85</v>
      </c>
    </row>
    <row r="3361">
      <c r="A3361" s="9">
        <v>41892</v>
      </c>
      <c r="B3361" s="2" t="inlineStr">
        <is>
          <t xml:space="preserve">2014-09</t>
        </is>
      </c>
      <c r="C3361" s="2" t="inlineStr">
        <is>
          <t xml:space="preserve">2014/15</t>
        </is>
      </c>
      <c r="D3361">
        <v>16.447</v>
      </c>
      <c r="E3361">
        <v>21.47</v>
      </c>
      <c r="F3361">
        <v>25.62</v>
      </c>
      <c r="G3361">
        <v>18.81</v>
      </c>
      <c r="H3361">
        <v>11.49</v>
      </c>
      <c r="I3361">
        <v>26.926</v>
      </c>
      <c r="J3361">
        <v>21.3</v>
      </c>
      <c r="K3361">
        <v>23.4</v>
      </c>
      <c r="L3361">
        <v>19.61</v>
      </c>
      <c r="M3361">
        <v>24.84</v>
      </c>
      <c r="N3361">
        <v>42.775</v>
      </c>
      <c r="O3361">
        <v>22.02</v>
      </c>
      <c r="P3361">
        <v>24.18</v>
      </c>
      <c r="Q3361">
        <v>20.28</v>
      </c>
      <c r="R3361">
        <v>25.38</v>
      </c>
    </row>
    <row r="3362">
      <c r="A3362" s="9">
        <v>41893</v>
      </c>
      <c r="B3362" s="2" t="inlineStr">
        <is>
          <t xml:space="preserve">2014-09</t>
        </is>
      </c>
      <c r="C3362" s="2" t="inlineStr">
        <is>
          <t xml:space="preserve">2014/15</t>
        </is>
      </c>
      <c r="D3362">
        <v>8.942</v>
      </c>
      <c r="E3362">
        <v>21.63</v>
      </c>
      <c r="F3362">
        <v>26.54</v>
      </c>
      <c r="G3362">
        <v>18.58</v>
      </c>
      <c r="H3362">
        <v>7.92</v>
      </c>
      <c r="I3362">
        <v>8.374</v>
      </c>
      <c r="J3362">
        <v>21.31</v>
      </c>
      <c r="K3362">
        <v>23.95</v>
      </c>
      <c r="L3362">
        <v>19.53</v>
      </c>
      <c r="M3362">
        <v>10.79</v>
      </c>
      <c r="N3362">
        <v>12.377</v>
      </c>
      <c r="O3362">
        <v>21.87</v>
      </c>
      <c r="P3362">
        <v>24.0</v>
      </c>
      <c r="Q3362">
        <v>20.38</v>
      </c>
      <c r="R3362">
        <v>14.24</v>
      </c>
    </row>
    <row r="3363">
      <c r="A3363" s="9">
        <v>41894</v>
      </c>
      <c r="B3363" s="2" t="inlineStr">
        <is>
          <t xml:space="preserve">2014-09</t>
        </is>
      </c>
      <c r="C3363" s="2" t="inlineStr">
        <is>
          <t xml:space="preserve">2014/15</t>
        </is>
      </c>
      <c r="D3363">
        <v>5.312</v>
      </c>
      <c r="E3363">
        <v>21.45</v>
      </c>
      <c r="F3363">
        <v>26.8</v>
      </c>
      <c r="G3363">
        <v>17.45</v>
      </c>
      <c r="H3363">
        <v>4.36</v>
      </c>
      <c r="I3363">
        <v>4.091</v>
      </c>
      <c r="J3363">
        <v>22.52</v>
      </c>
      <c r="K3363">
        <v>27.21</v>
      </c>
      <c r="L3363">
        <v>19.02</v>
      </c>
      <c r="M3363">
        <v>8.3</v>
      </c>
      <c r="N3363">
        <v>9.398</v>
      </c>
      <c r="O3363">
        <v>22.26</v>
      </c>
      <c r="P3363">
        <v>25.35</v>
      </c>
      <c r="Q3363">
        <v>20.29</v>
      </c>
      <c r="R3363">
        <v>11.19</v>
      </c>
    </row>
    <row r="3364">
      <c r="A3364" s="9">
        <v>41895</v>
      </c>
      <c r="B3364" s="2" t="inlineStr">
        <is>
          <t xml:space="preserve">2014-09</t>
        </is>
      </c>
      <c r="C3364" s="2" t="inlineStr">
        <is>
          <t xml:space="preserve">2014/15</t>
        </is>
      </c>
      <c r="D3364">
        <v>2.747</v>
      </c>
      <c r="E3364">
        <v>21.88</v>
      </c>
      <c r="F3364">
        <v>27.46</v>
      </c>
      <c r="G3364">
        <v>17.19</v>
      </c>
      <c r="H3364">
        <v>6.7</v>
      </c>
      <c r="I3364">
        <v>16.386</v>
      </c>
      <c r="J3364">
        <v>22.69</v>
      </c>
      <c r="K3364">
        <v>26.96</v>
      </c>
      <c r="L3364">
        <v>19.7</v>
      </c>
      <c r="M3364">
        <v>10.97</v>
      </c>
      <c r="N3364">
        <v>15.151</v>
      </c>
      <c r="O3364">
        <v>22.53</v>
      </c>
      <c r="P3364">
        <v>26.53</v>
      </c>
      <c r="Q3364">
        <v>19.86</v>
      </c>
      <c r="R3364">
        <v>9.11</v>
      </c>
    </row>
    <row r="3365">
      <c r="A3365" s="9">
        <v>41896</v>
      </c>
      <c r="B3365" s="2" t="inlineStr">
        <is>
          <t xml:space="preserve">2014-09</t>
        </is>
      </c>
      <c r="C3365" s="2" t="inlineStr">
        <is>
          <t xml:space="preserve">2014/15</t>
        </is>
      </c>
      <c r="D3365">
        <v>7.861</v>
      </c>
      <c r="E3365">
        <v>21.66</v>
      </c>
      <c r="F3365">
        <v>26.63</v>
      </c>
      <c r="G3365">
        <v>17.45</v>
      </c>
      <c r="H3365">
        <v>5.19</v>
      </c>
      <c r="I3365">
        <v>2.846</v>
      </c>
      <c r="J3365">
        <v>22.16</v>
      </c>
      <c r="K3365">
        <v>25.07</v>
      </c>
      <c r="L3365">
        <v>20.5</v>
      </c>
      <c r="M3365">
        <v>9.07</v>
      </c>
      <c r="N3365">
        <v>5.383</v>
      </c>
      <c r="O3365">
        <v>22.35</v>
      </c>
      <c r="P3365">
        <v>25.79</v>
      </c>
      <c r="Q3365">
        <v>20.39</v>
      </c>
      <c r="R3365">
        <v>7.21</v>
      </c>
    </row>
    <row r="3366">
      <c r="A3366" s="9">
        <v>41897</v>
      </c>
      <c r="B3366" s="2" t="inlineStr">
        <is>
          <t xml:space="preserve">2014-09</t>
        </is>
      </c>
      <c r="C3366" s="2" t="inlineStr">
        <is>
          <t xml:space="preserve">2014/15</t>
        </is>
      </c>
      <c r="D3366">
        <v>2.213</v>
      </c>
      <c r="E3366">
        <v>20.87</v>
      </c>
      <c r="F3366">
        <v>25.19</v>
      </c>
      <c r="G3366">
        <v>17.73</v>
      </c>
      <c r="H3366">
        <v>3.99</v>
      </c>
      <c r="I3366">
        <v>30.327</v>
      </c>
      <c r="J3366">
        <v>20.97</v>
      </c>
      <c r="K3366">
        <v>23.06</v>
      </c>
      <c r="L3366">
        <v>19.05</v>
      </c>
      <c r="M3366">
        <v>13.89</v>
      </c>
      <c r="N3366">
        <v>3.339</v>
      </c>
      <c r="O3366">
        <v>21.83</v>
      </c>
      <c r="P3366">
        <v>24.45</v>
      </c>
      <c r="Q3366">
        <v>19.91</v>
      </c>
      <c r="R3366">
        <v>8.08</v>
      </c>
    </row>
    <row r="3367">
      <c r="A3367" s="9">
        <v>41898</v>
      </c>
      <c r="B3367" s="2" t="inlineStr">
        <is>
          <t xml:space="preserve">2014-09</t>
        </is>
      </c>
      <c r="C3367" s="2" t="inlineStr">
        <is>
          <t xml:space="preserve">2014/15</t>
        </is>
      </c>
      <c r="D3367">
        <v>14.733</v>
      </c>
      <c r="E3367">
        <v>22.06</v>
      </c>
      <c r="F3367">
        <v>26.98</v>
      </c>
      <c r="G3367">
        <v>18.45</v>
      </c>
      <c r="H3367">
        <v>8.15</v>
      </c>
      <c r="I3367">
        <v>0.685</v>
      </c>
      <c r="J3367">
        <v>21.99</v>
      </c>
      <c r="K3367">
        <v>26.67</v>
      </c>
      <c r="L3367">
        <v>18.58</v>
      </c>
      <c r="M3367">
        <v>2.03</v>
      </c>
      <c r="N3367">
        <v>3.077</v>
      </c>
      <c r="O3367">
        <v>22.45</v>
      </c>
      <c r="P3367">
        <v>27.34</v>
      </c>
      <c r="Q3367">
        <v>18.81</v>
      </c>
      <c r="R3367">
        <v>3.23</v>
      </c>
    </row>
    <row r="3368">
      <c r="A3368" s="9">
        <v>41899</v>
      </c>
      <c r="B3368" s="2" t="inlineStr">
        <is>
          <t xml:space="preserve">2014-09</t>
        </is>
      </c>
      <c r="C3368" s="2" t="inlineStr">
        <is>
          <t xml:space="preserve">2014/15</t>
        </is>
      </c>
      <c r="D3368">
        <v>0.963</v>
      </c>
      <c r="E3368">
        <v>22.92</v>
      </c>
      <c r="F3368">
        <v>29.15</v>
      </c>
      <c r="G3368">
        <v>17.37</v>
      </c>
      <c r="H3368">
        <v>0.49</v>
      </c>
      <c r="I3368">
        <v>0.0</v>
      </c>
      <c r="J3368">
        <v>22.76</v>
      </c>
      <c r="K3368">
        <v>28.07</v>
      </c>
      <c r="L3368">
        <v>18.26</v>
      </c>
      <c r="M3368">
        <v>0.06</v>
      </c>
      <c r="N3368">
        <v>0.0</v>
      </c>
      <c r="O3368">
        <v>22.92</v>
      </c>
      <c r="P3368">
        <v>27.88</v>
      </c>
      <c r="Q3368">
        <v>19.03</v>
      </c>
      <c r="R3368">
        <v>0.04</v>
      </c>
    </row>
    <row r="3369">
      <c r="A3369" s="9">
        <v>41900</v>
      </c>
      <c r="B3369" s="2" t="inlineStr">
        <is>
          <t xml:space="preserve">2014-09</t>
        </is>
      </c>
      <c r="C3369" s="2" t="inlineStr">
        <is>
          <t xml:space="preserve">2014/15</t>
        </is>
      </c>
      <c r="D3369">
        <v>0.695</v>
      </c>
      <c r="E3369">
        <v>23.18</v>
      </c>
      <c r="F3369">
        <v>29.1</v>
      </c>
      <c r="G3369">
        <v>18.39</v>
      </c>
      <c r="H3369">
        <v>2.44</v>
      </c>
      <c r="I3369">
        <v>0.0</v>
      </c>
      <c r="J3369">
        <v>23.16</v>
      </c>
      <c r="K3369">
        <v>27.48</v>
      </c>
      <c r="L3369">
        <v>19.53</v>
      </c>
      <c r="M3369">
        <v>2.08</v>
      </c>
      <c r="N3369">
        <v>0.0</v>
      </c>
      <c r="O3369">
        <v>23.41</v>
      </c>
      <c r="P3369">
        <v>28.31</v>
      </c>
      <c r="Q3369">
        <v>19.72</v>
      </c>
      <c r="R3369">
        <v>1.67</v>
      </c>
    </row>
    <row r="3370">
      <c r="A3370" s="9">
        <v>41901</v>
      </c>
      <c r="B3370" s="2" t="inlineStr">
        <is>
          <t xml:space="preserve">2014-09</t>
        </is>
      </c>
      <c r="C3370" s="2" t="inlineStr">
        <is>
          <t xml:space="preserve">2014/15</t>
        </is>
      </c>
      <c r="D3370">
        <v>8.192</v>
      </c>
      <c r="E3370">
        <v>21.97</v>
      </c>
      <c r="F3370">
        <v>26.88</v>
      </c>
      <c r="G3370">
        <v>18.5</v>
      </c>
      <c r="H3370">
        <v>8.26</v>
      </c>
      <c r="I3370">
        <v>9.895</v>
      </c>
      <c r="J3370">
        <v>21.71</v>
      </c>
      <c r="K3370">
        <v>24.96</v>
      </c>
      <c r="L3370">
        <v>19.48</v>
      </c>
      <c r="M3370">
        <v>7.06</v>
      </c>
      <c r="N3370">
        <v>8.804</v>
      </c>
      <c r="O3370">
        <v>22.84</v>
      </c>
      <c r="P3370">
        <v>26.45</v>
      </c>
      <c r="Q3370">
        <v>20.24</v>
      </c>
      <c r="R3370">
        <v>5.15</v>
      </c>
    </row>
    <row r="3371">
      <c r="A3371" s="9">
        <v>41902</v>
      </c>
      <c r="B3371" s="2" t="inlineStr">
        <is>
          <t xml:space="preserve">2014-09</t>
        </is>
      </c>
      <c r="C3371" s="2" t="inlineStr">
        <is>
          <t xml:space="preserve">2014/15</t>
        </is>
      </c>
      <c r="D3371">
        <v>11.889</v>
      </c>
      <c r="E3371">
        <v>22.18</v>
      </c>
      <c r="F3371">
        <v>27.83</v>
      </c>
      <c r="G3371">
        <v>18.15</v>
      </c>
      <c r="H3371">
        <v>7.91</v>
      </c>
      <c r="I3371">
        <v>2.274</v>
      </c>
      <c r="J3371">
        <v>21.75</v>
      </c>
      <c r="K3371">
        <v>25.9</v>
      </c>
      <c r="L3371">
        <v>19.19</v>
      </c>
      <c r="M3371">
        <v>2.96</v>
      </c>
      <c r="N3371">
        <v>3.823</v>
      </c>
      <c r="O3371">
        <v>23.07</v>
      </c>
      <c r="P3371">
        <v>27.5</v>
      </c>
      <c r="Q3371">
        <v>20.1</v>
      </c>
      <c r="R3371">
        <v>2.68</v>
      </c>
    </row>
    <row r="3372">
      <c r="A3372" s="9">
        <v>41903</v>
      </c>
      <c r="B3372" s="2" t="inlineStr">
        <is>
          <t xml:space="preserve">2014-09</t>
        </is>
      </c>
      <c r="C3372" s="2" t="inlineStr">
        <is>
          <t xml:space="preserve">2014/15</t>
        </is>
      </c>
      <c r="D3372">
        <v>3.658</v>
      </c>
      <c r="E3372">
        <v>22.75</v>
      </c>
      <c r="F3372">
        <v>28.01</v>
      </c>
      <c r="G3372">
        <v>18.4</v>
      </c>
      <c r="H3372">
        <v>4.98</v>
      </c>
      <c r="I3372">
        <v>1.466</v>
      </c>
      <c r="J3372">
        <v>21.83</v>
      </c>
      <c r="K3372">
        <v>26.12</v>
      </c>
      <c r="L3372">
        <v>18.38</v>
      </c>
      <c r="M3372">
        <v>5.09</v>
      </c>
      <c r="N3372">
        <v>4.959</v>
      </c>
      <c r="O3372">
        <v>22.6</v>
      </c>
      <c r="P3372">
        <v>27.05</v>
      </c>
      <c r="Q3372">
        <v>19.13</v>
      </c>
      <c r="R3372">
        <v>5.24</v>
      </c>
    </row>
    <row r="3373">
      <c r="A3373" s="9">
        <v>41904</v>
      </c>
      <c r="B3373" s="2" t="inlineStr">
        <is>
          <t xml:space="preserve">2014-09</t>
        </is>
      </c>
      <c r="C3373" s="2" t="inlineStr">
        <is>
          <t xml:space="preserve">2014/15</t>
        </is>
      </c>
      <c r="D3373">
        <v>24.378</v>
      </c>
      <c r="E3373">
        <v>22.27</v>
      </c>
      <c r="F3373">
        <v>26.75</v>
      </c>
      <c r="G3373">
        <v>19.06</v>
      </c>
      <c r="H3373">
        <v>10.71</v>
      </c>
      <c r="I3373">
        <v>1.175</v>
      </c>
      <c r="J3373">
        <v>22.74</v>
      </c>
      <c r="K3373">
        <v>27.48</v>
      </c>
      <c r="L3373">
        <v>19.27</v>
      </c>
      <c r="M3373">
        <v>5.14</v>
      </c>
      <c r="N3373">
        <v>4.566</v>
      </c>
      <c r="O3373">
        <v>22.69</v>
      </c>
      <c r="P3373">
        <v>26.93</v>
      </c>
      <c r="Q3373">
        <v>20.39</v>
      </c>
      <c r="R3373">
        <v>10.08</v>
      </c>
    </row>
    <row r="3374">
      <c r="A3374" s="9">
        <v>41905</v>
      </c>
      <c r="B3374" s="2" t="inlineStr">
        <is>
          <t xml:space="preserve">2014-09</t>
        </is>
      </c>
      <c r="C3374" s="2" t="inlineStr">
        <is>
          <t xml:space="preserve">2014/15</t>
        </is>
      </c>
      <c r="D3374">
        <v>4.601</v>
      </c>
      <c r="E3374">
        <v>21.29</v>
      </c>
      <c r="F3374">
        <v>26.12</v>
      </c>
      <c r="G3374">
        <v>18.55</v>
      </c>
      <c r="H3374">
        <v>5.98</v>
      </c>
      <c r="I3374">
        <v>3.754</v>
      </c>
      <c r="J3374">
        <v>21.5</v>
      </c>
      <c r="K3374">
        <v>25.37</v>
      </c>
      <c r="L3374">
        <v>18.93</v>
      </c>
      <c r="M3374">
        <v>8.53</v>
      </c>
      <c r="N3374">
        <v>10.024</v>
      </c>
      <c r="O3374">
        <v>21.69</v>
      </c>
      <c r="P3374">
        <v>25.54</v>
      </c>
      <c r="Q3374">
        <v>19.56</v>
      </c>
      <c r="R3374">
        <v>16.32</v>
      </c>
    </row>
    <row r="3375">
      <c r="A3375" s="9">
        <v>41906</v>
      </c>
      <c r="B3375" s="2" t="inlineStr">
        <is>
          <t xml:space="preserve">2014-09</t>
        </is>
      </c>
      <c r="C3375" s="2" t="inlineStr">
        <is>
          <t xml:space="preserve">2014/15</t>
        </is>
      </c>
      <c r="D3375">
        <v>7.557</v>
      </c>
      <c r="E3375">
        <v>21.58</v>
      </c>
      <c r="F3375">
        <v>26.16</v>
      </c>
      <c r="G3375">
        <v>18.58</v>
      </c>
      <c r="H3375">
        <v>23.68</v>
      </c>
      <c r="I3375">
        <v>3.415</v>
      </c>
      <c r="J3375">
        <v>21.24</v>
      </c>
      <c r="K3375">
        <v>25.05</v>
      </c>
      <c r="L3375">
        <v>18.48</v>
      </c>
      <c r="M3375">
        <v>10.57</v>
      </c>
      <c r="N3375">
        <v>1.207</v>
      </c>
      <c r="O3375">
        <v>21.84</v>
      </c>
      <c r="P3375">
        <v>24.86</v>
      </c>
      <c r="Q3375">
        <v>19.09</v>
      </c>
      <c r="R3375">
        <v>13.64</v>
      </c>
    </row>
    <row r="3376">
      <c r="A3376" s="9">
        <v>41907</v>
      </c>
      <c r="B3376" s="2" t="inlineStr">
        <is>
          <t xml:space="preserve">2014-09</t>
        </is>
      </c>
      <c r="C3376" s="2" t="inlineStr">
        <is>
          <t xml:space="preserve">2014/15</t>
        </is>
      </c>
      <c r="D3376">
        <v>22.797</v>
      </c>
      <c r="E3376">
        <v>21.01</v>
      </c>
      <c r="F3376">
        <v>23.59</v>
      </c>
      <c r="G3376">
        <v>18.99</v>
      </c>
      <c r="H3376">
        <v>21.26</v>
      </c>
      <c r="I3376">
        <v>10.605</v>
      </c>
      <c r="J3376">
        <v>21.88</v>
      </c>
      <c r="K3376">
        <v>25.97</v>
      </c>
      <c r="L3376">
        <v>19.4</v>
      </c>
      <c r="M3376">
        <v>23.98</v>
      </c>
      <c r="N3376">
        <v>34.707</v>
      </c>
      <c r="O3376">
        <v>22.52</v>
      </c>
      <c r="P3376">
        <v>25.52</v>
      </c>
      <c r="Q3376">
        <v>20.62</v>
      </c>
      <c r="R3376">
        <v>27.47</v>
      </c>
    </row>
    <row r="3377">
      <c r="A3377" s="9">
        <v>41908</v>
      </c>
      <c r="B3377" s="2" t="inlineStr">
        <is>
          <t xml:space="preserve">2014-09</t>
        </is>
      </c>
      <c r="C3377" s="2" t="inlineStr">
        <is>
          <t xml:space="preserve">2014/15</t>
        </is>
      </c>
      <c r="D3377">
        <v>13.095</v>
      </c>
      <c r="E3377">
        <v>21.72</v>
      </c>
      <c r="F3377">
        <v>25.78</v>
      </c>
      <c r="G3377">
        <v>18.56</v>
      </c>
      <c r="H3377">
        <v>10.27</v>
      </c>
      <c r="I3377">
        <v>26.069</v>
      </c>
      <c r="J3377">
        <v>22.02</v>
      </c>
      <c r="K3377">
        <v>25.46</v>
      </c>
      <c r="L3377">
        <v>19.44</v>
      </c>
      <c r="M3377">
        <v>15.38</v>
      </c>
      <c r="N3377">
        <v>45.422</v>
      </c>
      <c r="O3377">
        <v>22.12</v>
      </c>
      <c r="P3377">
        <v>24.23</v>
      </c>
      <c r="Q3377">
        <v>20.64</v>
      </c>
      <c r="R3377">
        <v>19.01</v>
      </c>
    </row>
    <row r="3378">
      <c r="A3378" s="9">
        <v>41909</v>
      </c>
      <c r="B3378" s="2" t="inlineStr">
        <is>
          <t xml:space="preserve">2014-09</t>
        </is>
      </c>
      <c r="C3378" s="2" t="inlineStr">
        <is>
          <t xml:space="preserve">2014/15</t>
        </is>
      </c>
      <c r="D3378">
        <v>8.143</v>
      </c>
      <c r="E3378">
        <v>22.24</v>
      </c>
      <c r="F3378">
        <v>26.48</v>
      </c>
      <c r="G3378">
        <v>18.87</v>
      </c>
      <c r="H3378">
        <v>11.38</v>
      </c>
      <c r="I3378">
        <v>0.71</v>
      </c>
      <c r="J3378">
        <v>22.23</v>
      </c>
      <c r="K3378">
        <v>26.17</v>
      </c>
      <c r="L3378">
        <v>19.78</v>
      </c>
      <c r="M3378">
        <v>3.66</v>
      </c>
      <c r="N3378">
        <v>1.895</v>
      </c>
      <c r="O3378">
        <v>22.91</v>
      </c>
      <c r="P3378">
        <v>26.18</v>
      </c>
      <c r="Q3378">
        <v>20.45</v>
      </c>
      <c r="R3378">
        <v>7.74</v>
      </c>
    </row>
    <row r="3379">
      <c r="A3379" s="9">
        <v>41910</v>
      </c>
      <c r="B3379" s="2" t="inlineStr">
        <is>
          <t xml:space="preserve">2014-09</t>
        </is>
      </c>
      <c r="C3379" s="2" t="inlineStr">
        <is>
          <t xml:space="preserve">2014/15</t>
        </is>
      </c>
      <c r="D3379">
        <v>6.057</v>
      </c>
      <c r="E3379">
        <v>22.1</v>
      </c>
      <c r="F3379">
        <v>25.75</v>
      </c>
      <c r="G3379">
        <v>19.52</v>
      </c>
      <c r="H3379">
        <v>4.56</v>
      </c>
      <c r="I3379">
        <v>2.565</v>
      </c>
      <c r="J3379">
        <v>22.4</v>
      </c>
      <c r="K3379">
        <v>26.7</v>
      </c>
      <c r="L3379">
        <v>18.65</v>
      </c>
      <c r="M3379">
        <v>5.12</v>
      </c>
      <c r="N3379">
        <v>9.371</v>
      </c>
      <c r="O3379">
        <v>23.12</v>
      </c>
      <c r="P3379">
        <v>27.08</v>
      </c>
      <c r="Q3379">
        <v>19.73</v>
      </c>
      <c r="R3379">
        <v>7.21</v>
      </c>
    </row>
    <row r="3380">
      <c r="A3380" s="9">
        <v>41911</v>
      </c>
      <c r="B3380" s="2" t="inlineStr">
        <is>
          <t xml:space="preserve">2014-09</t>
        </is>
      </c>
      <c r="C3380" s="2" t="inlineStr">
        <is>
          <t xml:space="preserve">2014/15</t>
        </is>
      </c>
      <c r="D3380">
        <v>7.135</v>
      </c>
      <c r="E3380">
        <v>22.26</v>
      </c>
      <c r="F3380">
        <v>26.99</v>
      </c>
      <c r="G3380">
        <v>18.02</v>
      </c>
      <c r="H3380">
        <v>4.52</v>
      </c>
      <c r="I3380">
        <v>1.502</v>
      </c>
      <c r="J3380">
        <v>21.94</v>
      </c>
      <c r="K3380">
        <v>24.64</v>
      </c>
      <c r="L3380">
        <v>20.0</v>
      </c>
      <c r="M3380">
        <v>2.13</v>
      </c>
      <c r="N3380">
        <v>4.836</v>
      </c>
      <c r="O3380">
        <v>23.28</v>
      </c>
      <c r="P3380">
        <v>26.52</v>
      </c>
      <c r="Q3380">
        <v>21.16</v>
      </c>
      <c r="R3380">
        <v>2.69</v>
      </c>
    </row>
    <row r="3381">
      <c r="A3381" s="9">
        <v>41912</v>
      </c>
      <c r="B3381" s="2" t="inlineStr">
        <is>
          <t xml:space="preserve">2014-09</t>
        </is>
      </c>
      <c r="C3381" s="2" t="inlineStr">
        <is>
          <t xml:space="preserve">2014/15</t>
        </is>
      </c>
      <c r="D3381">
        <v>4.463</v>
      </c>
      <c r="E3381">
        <v>21.85</v>
      </c>
      <c r="F3381">
        <v>25.37</v>
      </c>
      <c r="G3381">
        <v>19.41</v>
      </c>
      <c r="H3381">
        <v>3.29</v>
      </c>
      <c r="I3381">
        <v>0.103</v>
      </c>
      <c r="J3381">
        <v>22.23</v>
      </c>
      <c r="K3381">
        <v>26.04</v>
      </c>
      <c r="L3381">
        <v>19.23</v>
      </c>
      <c r="M3381">
        <v>0.85</v>
      </c>
      <c r="N3381">
        <v>1.028</v>
      </c>
      <c r="O3381">
        <v>23.18</v>
      </c>
      <c r="P3381">
        <v>26.76</v>
      </c>
      <c r="Q3381">
        <v>20.42</v>
      </c>
      <c r="R3381">
        <v>1.88</v>
      </c>
    </row>
    <row r="3382">
      <c r="A3382" s="9">
        <v>41913</v>
      </c>
      <c r="B3382" s="2" t="inlineStr">
        <is>
          <t xml:space="preserve">2014-10</t>
        </is>
      </c>
      <c r="C3382" s="2" t="inlineStr">
        <is>
          <t xml:space="preserve">2014/15</t>
        </is>
      </c>
      <c r="D3382">
        <v>0.0</v>
      </c>
      <c r="E3382">
        <v>21.89</v>
      </c>
      <c r="F3382">
        <v>25.53</v>
      </c>
      <c r="G3382">
        <v>18.56</v>
      </c>
      <c r="H3382">
        <v>0.09</v>
      </c>
      <c r="I3382">
        <v>0.034</v>
      </c>
      <c r="J3382">
        <v>22.44</v>
      </c>
      <c r="K3382">
        <v>26.21</v>
      </c>
      <c r="L3382">
        <v>19.17</v>
      </c>
      <c r="M3382">
        <v>1.2</v>
      </c>
      <c r="N3382">
        <v>0.463</v>
      </c>
      <c r="O3382">
        <v>22.81</v>
      </c>
      <c r="P3382">
        <v>26.19</v>
      </c>
      <c r="Q3382">
        <v>20.28</v>
      </c>
      <c r="R3382">
        <v>2.35</v>
      </c>
    </row>
    <row r="3383">
      <c r="A3383" s="9">
        <v>41914</v>
      </c>
      <c r="B3383" s="2" t="inlineStr">
        <is>
          <t xml:space="preserve">2014-10</t>
        </is>
      </c>
      <c r="C3383" s="2" t="inlineStr">
        <is>
          <t xml:space="preserve">2014/15</t>
        </is>
      </c>
      <c r="D3383">
        <v>0.0</v>
      </c>
      <c r="E3383">
        <v>22.36</v>
      </c>
      <c r="F3383">
        <v>28.25</v>
      </c>
      <c r="G3383">
        <v>17.0</v>
      </c>
      <c r="H3383">
        <v>0.04</v>
      </c>
      <c r="I3383">
        <v>0.106</v>
      </c>
      <c r="J3383">
        <v>23.48</v>
      </c>
      <c r="K3383">
        <v>28.14</v>
      </c>
      <c r="L3383">
        <v>19.1</v>
      </c>
      <c r="M3383">
        <v>0.81</v>
      </c>
      <c r="N3383">
        <v>1.089</v>
      </c>
      <c r="O3383">
        <v>23.52</v>
      </c>
      <c r="P3383">
        <v>28.18</v>
      </c>
      <c r="Q3383">
        <v>20.57</v>
      </c>
      <c r="R3383">
        <v>1.78</v>
      </c>
    </row>
    <row r="3384">
      <c r="A3384" s="9">
        <v>41915</v>
      </c>
      <c r="B3384" s="2" t="inlineStr">
        <is>
          <t xml:space="preserve">2014-10</t>
        </is>
      </c>
      <c r="C3384" s="2" t="inlineStr">
        <is>
          <t xml:space="preserve">2014/15</t>
        </is>
      </c>
      <c r="D3384">
        <v>0.0</v>
      </c>
      <c r="E3384">
        <v>22.32</v>
      </c>
      <c r="F3384">
        <v>27.92</v>
      </c>
      <c r="G3384">
        <v>17.09</v>
      </c>
      <c r="H3384">
        <v>0.04</v>
      </c>
      <c r="I3384">
        <v>0.0</v>
      </c>
      <c r="J3384">
        <v>23.41</v>
      </c>
      <c r="K3384">
        <v>27.67</v>
      </c>
      <c r="L3384">
        <v>19.62</v>
      </c>
      <c r="M3384">
        <v>0.02</v>
      </c>
      <c r="N3384">
        <v>0.0</v>
      </c>
      <c r="O3384">
        <v>23.47</v>
      </c>
      <c r="P3384">
        <v>28.04</v>
      </c>
      <c r="Q3384">
        <v>20.59</v>
      </c>
      <c r="R3384">
        <v>0.07</v>
      </c>
    </row>
    <row r="3385">
      <c r="A3385" s="9">
        <v>41916</v>
      </c>
      <c r="B3385" s="2" t="inlineStr">
        <is>
          <t xml:space="preserve">2014-10</t>
        </is>
      </c>
      <c r="C3385" s="2" t="inlineStr">
        <is>
          <t xml:space="preserve">2014/15</t>
        </is>
      </c>
      <c r="D3385">
        <v>0.23</v>
      </c>
      <c r="E3385">
        <v>22.16</v>
      </c>
      <c r="F3385">
        <v>27.36</v>
      </c>
      <c r="G3385">
        <v>17.64</v>
      </c>
      <c r="H3385">
        <v>2.31</v>
      </c>
      <c r="I3385">
        <v>0.0</v>
      </c>
      <c r="J3385">
        <v>22.9</v>
      </c>
      <c r="K3385">
        <v>26.94</v>
      </c>
      <c r="L3385">
        <v>18.93</v>
      </c>
      <c r="M3385">
        <v>4.4</v>
      </c>
      <c r="N3385">
        <v>0.0</v>
      </c>
      <c r="O3385">
        <v>23.23</v>
      </c>
      <c r="P3385">
        <v>27.58</v>
      </c>
      <c r="Q3385">
        <v>20.01</v>
      </c>
      <c r="R3385">
        <v>3.7</v>
      </c>
    </row>
    <row r="3386">
      <c r="A3386" s="9">
        <v>41917</v>
      </c>
      <c r="B3386" s="2" t="inlineStr">
        <is>
          <t xml:space="preserve">2014-10</t>
        </is>
      </c>
      <c r="C3386" s="2" t="inlineStr">
        <is>
          <t xml:space="preserve">2014/15</t>
        </is>
      </c>
      <c r="D3386">
        <v>0.078</v>
      </c>
      <c r="E3386">
        <v>21.77</v>
      </c>
      <c r="F3386">
        <v>27.2</v>
      </c>
      <c r="G3386">
        <v>17.6</v>
      </c>
      <c r="H3386">
        <v>0.85</v>
      </c>
      <c r="I3386">
        <v>17.54</v>
      </c>
      <c r="J3386">
        <v>22.07</v>
      </c>
      <c r="K3386">
        <v>25.4</v>
      </c>
      <c r="L3386">
        <v>19.53</v>
      </c>
      <c r="M3386">
        <v>6.09</v>
      </c>
      <c r="N3386">
        <v>3.468</v>
      </c>
      <c r="O3386">
        <v>22.61</v>
      </c>
      <c r="P3386">
        <v>25.76</v>
      </c>
      <c r="Q3386">
        <v>20.65</v>
      </c>
      <c r="R3386">
        <v>6.35</v>
      </c>
    </row>
    <row r="3387">
      <c r="A3387" s="9">
        <v>41918</v>
      </c>
      <c r="B3387" s="2" t="inlineStr">
        <is>
          <t xml:space="preserve">2014-10</t>
        </is>
      </c>
      <c r="C3387" s="2" t="inlineStr">
        <is>
          <t xml:space="preserve">2014/15</t>
        </is>
      </c>
      <c r="D3387">
        <v>0.0</v>
      </c>
      <c r="E3387">
        <v>21.68</v>
      </c>
      <c r="F3387">
        <v>27.75</v>
      </c>
      <c r="G3387">
        <v>16.23</v>
      </c>
      <c r="H3387">
        <v>0.33</v>
      </c>
      <c r="I3387">
        <v>0.0</v>
      </c>
      <c r="J3387">
        <v>22.54</v>
      </c>
      <c r="K3387">
        <v>27.35</v>
      </c>
      <c r="L3387">
        <v>18.86</v>
      </c>
      <c r="M3387">
        <v>0.0</v>
      </c>
      <c r="N3387">
        <v>0.0</v>
      </c>
      <c r="O3387">
        <v>22.82</v>
      </c>
      <c r="P3387">
        <v>27.35</v>
      </c>
      <c r="Q3387">
        <v>20.0</v>
      </c>
      <c r="R3387">
        <v>0.06</v>
      </c>
    </row>
    <row r="3388">
      <c r="A3388" s="9">
        <v>41919</v>
      </c>
      <c r="B3388" s="2" t="inlineStr">
        <is>
          <t xml:space="preserve">2014-10</t>
        </is>
      </c>
      <c r="C3388" s="2" t="inlineStr">
        <is>
          <t xml:space="preserve">2014/15</t>
        </is>
      </c>
      <c r="D3388">
        <v>0.986</v>
      </c>
      <c r="E3388">
        <v>22.12</v>
      </c>
      <c r="F3388">
        <v>26.73</v>
      </c>
      <c r="G3388">
        <v>18.35</v>
      </c>
      <c r="H3388">
        <v>3.64</v>
      </c>
      <c r="I3388">
        <v>0.0</v>
      </c>
      <c r="J3388">
        <v>22.6</v>
      </c>
      <c r="K3388">
        <v>27.09</v>
      </c>
      <c r="L3388">
        <v>18.84</v>
      </c>
      <c r="M3388">
        <v>2.12</v>
      </c>
      <c r="N3388">
        <v>0.0</v>
      </c>
      <c r="O3388">
        <v>23.02</v>
      </c>
      <c r="P3388">
        <v>27.46</v>
      </c>
      <c r="Q3388">
        <v>19.81</v>
      </c>
      <c r="R3388">
        <v>2.74</v>
      </c>
    </row>
    <row r="3389">
      <c r="A3389" s="9">
        <v>41920</v>
      </c>
      <c r="B3389" s="2" t="inlineStr">
        <is>
          <t xml:space="preserve">2014-10</t>
        </is>
      </c>
      <c r="C3389" s="2" t="inlineStr">
        <is>
          <t xml:space="preserve">2014/15</t>
        </is>
      </c>
      <c r="D3389">
        <v>3.293</v>
      </c>
      <c r="E3389">
        <v>20.73</v>
      </c>
      <c r="F3389">
        <v>24.22</v>
      </c>
      <c r="G3389">
        <v>18.13</v>
      </c>
      <c r="H3389">
        <v>9.46</v>
      </c>
      <c r="I3389">
        <v>9.767</v>
      </c>
      <c r="J3389">
        <v>21.69</v>
      </c>
      <c r="K3389">
        <v>25.14</v>
      </c>
      <c r="L3389">
        <v>19.3</v>
      </c>
      <c r="M3389">
        <v>15.57</v>
      </c>
      <c r="N3389">
        <v>10.522</v>
      </c>
      <c r="O3389">
        <v>21.92</v>
      </c>
      <c r="P3389">
        <v>24.98</v>
      </c>
      <c r="Q3389">
        <v>19.83</v>
      </c>
      <c r="R3389">
        <v>18.19</v>
      </c>
    </row>
    <row r="3390">
      <c r="A3390" s="9">
        <v>41921</v>
      </c>
      <c r="B3390" s="2" t="inlineStr">
        <is>
          <t xml:space="preserve">2014-10</t>
        </is>
      </c>
      <c r="C3390" s="2" t="inlineStr">
        <is>
          <t xml:space="preserve">2014/15</t>
        </is>
      </c>
      <c r="D3390">
        <v>10.63</v>
      </c>
      <c r="E3390">
        <v>19.99</v>
      </c>
      <c r="F3390">
        <v>24.32</v>
      </c>
      <c r="G3390">
        <v>16.45</v>
      </c>
      <c r="H3390">
        <v>5.51</v>
      </c>
      <c r="I3390">
        <v>15.687</v>
      </c>
      <c r="J3390">
        <v>20.15</v>
      </c>
      <c r="K3390">
        <v>22.5</v>
      </c>
      <c r="L3390">
        <v>18.61</v>
      </c>
      <c r="M3390">
        <v>8.1</v>
      </c>
      <c r="N3390">
        <v>18.165</v>
      </c>
      <c r="O3390">
        <v>20.78</v>
      </c>
      <c r="P3390">
        <v>23.21</v>
      </c>
      <c r="Q3390">
        <v>18.76</v>
      </c>
      <c r="R3390">
        <v>7.38</v>
      </c>
    </row>
    <row r="3391">
      <c r="A3391" s="9">
        <v>41922</v>
      </c>
      <c r="B3391" s="2" t="inlineStr">
        <is>
          <t xml:space="preserve">2014-10</t>
        </is>
      </c>
      <c r="C3391" s="2" t="inlineStr">
        <is>
          <t xml:space="preserve">2014/15</t>
        </is>
      </c>
      <c r="D3391">
        <v>6.885</v>
      </c>
      <c r="E3391">
        <v>20.45</v>
      </c>
      <c r="F3391">
        <v>24.24</v>
      </c>
      <c r="G3391">
        <v>17.63</v>
      </c>
      <c r="H3391">
        <v>5.51</v>
      </c>
      <c r="I3391">
        <v>1.598</v>
      </c>
      <c r="J3391">
        <v>20.9</v>
      </c>
      <c r="K3391">
        <v>24.18</v>
      </c>
      <c r="L3391">
        <v>18.43</v>
      </c>
      <c r="M3391">
        <v>6.72</v>
      </c>
      <c r="N3391">
        <v>3.823</v>
      </c>
      <c r="O3391">
        <v>21.22</v>
      </c>
      <c r="P3391">
        <v>24.29</v>
      </c>
      <c r="Q3391">
        <v>19.06</v>
      </c>
      <c r="R3391">
        <v>7.7</v>
      </c>
    </row>
    <row r="3392">
      <c r="A3392" s="9">
        <v>41923</v>
      </c>
      <c r="B3392" s="2" t="inlineStr">
        <is>
          <t xml:space="preserve">2014-10</t>
        </is>
      </c>
      <c r="C3392" s="2" t="inlineStr">
        <is>
          <t xml:space="preserve">2014/15</t>
        </is>
      </c>
      <c r="D3392">
        <v>1.241</v>
      </c>
      <c r="E3392">
        <v>20.8</v>
      </c>
      <c r="F3392">
        <v>24.67</v>
      </c>
      <c r="G3392">
        <v>17.85</v>
      </c>
      <c r="H3392">
        <v>5.35</v>
      </c>
      <c r="I3392">
        <v>15.73</v>
      </c>
      <c r="J3392">
        <v>21.59</v>
      </c>
      <c r="K3392">
        <v>25.7</v>
      </c>
      <c r="L3392">
        <v>18.46</v>
      </c>
      <c r="M3392">
        <v>10.45</v>
      </c>
      <c r="N3392">
        <v>23.046</v>
      </c>
      <c r="O3392">
        <v>21.64</v>
      </c>
      <c r="P3392">
        <v>25.76</v>
      </c>
      <c r="Q3392">
        <v>18.68</v>
      </c>
      <c r="R3392">
        <v>11.19</v>
      </c>
    </row>
    <row r="3393">
      <c r="A3393" s="9">
        <v>41924</v>
      </c>
      <c r="B3393" s="2" t="inlineStr">
        <is>
          <t xml:space="preserve">2014-10</t>
        </is>
      </c>
      <c r="C3393" s="2" t="inlineStr">
        <is>
          <t xml:space="preserve">2014/15</t>
        </is>
      </c>
      <c r="D3393">
        <v>20.606</v>
      </c>
      <c r="E3393">
        <v>21.14</v>
      </c>
      <c r="F3393">
        <v>25.52</v>
      </c>
      <c r="G3393">
        <v>18.43</v>
      </c>
      <c r="H3393">
        <v>13.53</v>
      </c>
      <c r="I3393">
        <v>2.255</v>
      </c>
      <c r="J3393">
        <v>21.55</v>
      </c>
      <c r="K3393">
        <v>24.78</v>
      </c>
      <c r="L3393">
        <v>19.19</v>
      </c>
      <c r="M3393">
        <v>15.5</v>
      </c>
      <c r="N3393">
        <v>4.629</v>
      </c>
      <c r="O3393">
        <v>21.59</v>
      </c>
      <c r="P3393">
        <v>23.33</v>
      </c>
      <c r="Q3393">
        <v>19.96</v>
      </c>
      <c r="R3393">
        <v>18.69</v>
      </c>
    </row>
    <row r="3394">
      <c r="A3394" s="9">
        <v>41925</v>
      </c>
      <c r="B3394" s="2" t="inlineStr">
        <is>
          <t xml:space="preserve">2014-10</t>
        </is>
      </c>
      <c r="C3394" s="2" t="inlineStr">
        <is>
          <t xml:space="preserve">2014/15</t>
        </is>
      </c>
      <c r="D3394">
        <v>8.842</v>
      </c>
      <c r="E3394">
        <v>21.81</v>
      </c>
      <c r="F3394">
        <v>26.5</v>
      </c>
      <c r="G3394">
        <v>18.2</v>
      </c>
      <c r="H3394">
        <v>7.86</v>
      </c>
      <c r="I3394">
        <v>40.781</v>
      </c>
      <c r="J3394">
        <v>21.74</v>
      </c>
      <c r="K3394">
        <v>25.77</v>
      </c>
      <c r="L3394">
        <v>19.08</v>
      </c>
      <c r="M3394">
        <v>26.89</v>
      </c>
      <c r="N3394">
        <v>56.26</v>
      </c>
      <c r="O3394">
        <v>22.75</v>
      </c>
      <c r="P3394">
        <v>26.69</v>
      </c>
      <c r="Q3394">
        <v>19.9</v>
      </c>
      <c r="R3394">
        <v>32.24</v>
      </c>
    </row>
    <row r="3395">
      <c r="A3395" s="9">
        <v>41926</v>
      </c>
      <c r="B3395" s="2" t="inlineStr">
        <is>
          <t xml:space="preserve">2014-10</t>
        </is>
      </c>
      <c r="C3395" s="2" t="inlineStr">
        <is>
          <t xml:space="preserve">2014/15</t>
        </is>
      </c>
      <c r="D3395">
        <v>19.707</v>
      </c>
      <c r="E3395">
        <v>22.35</v>
      </c>
      <c r="F3395">
        <v>27.2</v>
      </c>
      <c r="G3395">
        <v>18.91</v>
      </c>
      <c r="H3395">
        <v>15.09</v>
      </c>
      <c r="I3395">
        <v>0.787</v>
      </c>
      <c r="J3395">
        <v>22.55</v>
      </c>
      <c r="K3395">
        <v>27.03</v>
      </c>
      <c r="L3395">
        <v>19.23</v>
      </c>
      <c r="M3395">
        <v>21.89</v>
      </c>
      <c r="N3395">
        <v>3.137</v>
      </c>
      <c r="O3395">
        <v>23.26</v>
      </c>
      <c r="P3395">
        <v>27.67</v>
      </c>
      <c r="Q3395">
        <v>20.14</v>
      </c>
      <c r="R3395">
        <v>22.26</v>
      </c>
    </row>
    <row r="3396">
      <c r="A3396" s="9">
        <v>41927</v>
      </c>
      <c r="B3396" s="2" t="inlineStr">
        <is>
          <t xml:space="preserve">2014-10</t>
        </is>
      </c>
      <c r="C3396" s="2" t="inlineStr">
        <is>
          <t xml:space="preserve">2014/15</t>
        </is>
      </c>
      <c r="D3396">
        <v>15.308</v>
      </c>
      <c r="E3396">
        <v>21.16</v>
      </c>
      <c r="F3396">
        <v>25.27</v>
      </c>
      <c r="G3396">
        <v>18.82</v>
      </c>
      <c r="H3396">
        <v>14.06</v>
      </c>
      <c r="I3396">
        <v>28.333</v>
      </c>
      <c r="J3396">
        <v>21.04</v>
      </c>
      <c r="K3396">
        <v>23.33</v>
      </c>
      <c r="L3396">
        <v>18.39</v>
      </c>
      <c r="M3396">
        <v>28.45</v>
      </c>
      <c r="N3396">
        <v>66.903</v>
      </c>
      <c r="O3396">
        <v>21.96</v>
      </c>
      <c r="P3396">
        <v>24.2</v>
      </c>
      <c r="Q3396">
        <v>19.86</v>
      </c>
      <c r="R3396">
        <v>34.44</v>
      </c>
    </row>
    <row r="3397">
      <c r="A3397" s="9">
        <v>41928</v>
      </c>
      <c r="B3397" s="2" t="inlineStr">
        <is>
          <t xml:space="preserve">2014-10</t>
        </is>
      </c>
      <c r="C3397" s="2" t="inlineStr">
        <is>
          <t xml:space="preserve">2014/15</t>
        </is>
      </c>
      <c r="D3397">
        <v>19.123</v>
      </c>
      <c r="E3397">
        <v>21.07</v>
      </c>
      <c r="F3397">
        <v>25.0</v>
      </c>
      <c r="G3397">
        <v>18.01</v>
      </c>
      <c r="H3397">
        <v>7.79</v>
      </c>
      <c r="I3397">
        <v>5.503</v>
      </c>
      <c r="J3397">
        <v>21.59</v>
      </c>
      <c r="K3397">
        <v>25.91</v>
      </c>
      <c r="L3397">
        <v>17.87</v>
      </c>
      <c r="M3397">
        <v>5.78</v>
      </c>
      <c r="N3397">
        <v>15.477</v>
      </c>
      <c r="O3397">
        <v>21.87</v>
      </c>
      <c r="P3397">
        <v>26.1</v>
      </c>
      <c r="Q3397">
        <v>18.5</v>
      </c>
      <c r="R3397">
        <v>10.04</v>
      </c>
    </row>
    <row r="3398">
      <c r="A3398" s="9">
        <v>41929</v>
      </c>
      <c r="B3398" s="2" t="inlineStr">
        <is>
          <t xml:space="preserve">2014-10</t>
        </is>
      </c>
      <c r="C3398" s="2" t="inlineStr">
        <is>
          <t xml:space="preserve">2014/15</t>
        </is>
      </c>
      <c r="D3398">
        <v>3.917</v>
      </c>
      <c r="E3398">
        <v>21.22</v>
      </c>
      <c r="F3398">
        <v>25.06</v>
      </c>
      <c r="G3398">
        <v>18.78</v>
      </c>
      <c r="H3398">
        <v>4.45</v>
      </c>
      <c r="I3398">
        <v>0.287</v>
      </c>
      <c r="J3398">
        <v>22.18</v>
      </c>
      <c r="K3398">
        <v>26.84</v>
      </c>
      <c r="L3398">
        <v>17.98</v>
      </c>
      <c r="M3398">
        <v>5.65</v>
      </c>
      <c r="N3398">
        <v>1.397</v>
      </c>
      <c r="O3398">
        <v>22.17</v>
      </c>
      <c r="P3398">
        <v>26.01</v>
      </c>
      <c r="Q3398">
        <v>19.6</v>
      </c>
      <c r="R3398">
        <v>6.46</v>
      </c>
    </row>
    <row r="3399">
      <c r="A3399" s="9">
        <v>41930</v>
      </c>
      <c r="B3399" s="2" t="inlineStr">
        <is>
          <t xml:space="preserve">2014-10</t>
        </is>
      </c>
      <c r="C3399" s="2" t="inlineStr">
        <is>
          <t xml:space="preserve">2014/15</t>
        </is>
      </c>
      <c r="D3399">
        <v>2.333</v>
      </c>
      <c r="E3399">
        <v>21.43</v>
      </c>
      <c r="F3399">
        <v>25.77</v>
      </c>
      <c r="G3399">
        <v>18.69</v>
      </c>
      <c r="H3399">
        <v>4.54</v>
      </c>
      <c r="I3399">
        <v>5.15</v>
      </c>
      <c r="J3399">
        <v>22.35</v>
      </c>
      <c r="K3399">
        <v>26.28</v>
      </c>
      <c r="L3399">
        <v>19.61</v>
      </c>
      <c r="M3399">
        <v>5.05</v>
      </c>
      <c r="N3399">
        <v>9.894</v>
      </c>
      <c r="O3399">
        <v>22.52</v>
      </c>
      <c r="P3399">
        <v>26.72</v>
      </c>
      <c r="Q3399">
        <v>19.72</v>
      </c>
      <c r="R3399">
        <v>5.4</v>
      </c>
    </row>
    <row r="3400">
      <c r="A3400" s="9">
        <v>41931</v>
      </c>
      <c r="B3400" s="2" t="inlineStr">
        <is>
          <t xml:space="preserve">2014-10</t>
        </is>
      </c>
      <c r="C3400" s="2" t="inlineStr">
        <is>
          <t xml:space="preserve">2014/15</t>
        </is>
      </c>
      <c r="D3400">
        <v>5.477</v>
      </c>
      <c r="E3400">
        <v>20.99</v>
      </c>
      <c r="F3400">
        <v>24.88</v>
      </c>
      <c r="G3400">
        <v>18.58</v>
      </c>
      <c r="H3400">
        <v>8.36</v>
      </c>
      <c r="I3400">
        <v>24.178</v>
      </c>
      <c r="J3400">
        <v>22.21</v>
      </c>
      <c r="K3400">
        <v>26.11</v>
      </c>
      <c r="L3400">
        <v>19.31</v>
      </c>
      <c r="M3400">
        <v>13.69</v>
      </c>
      <c r="N3400">
        <v>4.064</v>
      </c>
      <c r="O3400">
        <v>22.05</v>
      </c>
      <c r="P3400">
        <v>25.52</v>
      </c>
      <c r="Q3400">
        <v>19.74</v>
      </c>
      <c r="R3400">
        <v>9.91</v>
      </c>
    </row>
    <row r="3401">
      <c r="A3401" s="9">
        <v>41932</v>
      </c>
      <c r="B3401" s="2" t="inlineStr">
        <is>
          <t xml:space="preserve">2014-10</t>
        </is>
      </c>
      <c r="C3401" s="2" t="inlineStr">
        <is>
          <t xml:space="preserve">2014/15</t>
        </is>
      </c>
      <c r="D3401">
        <v>3.93</v>
      </c>
      <c r="E3401">
        <v>21.04</v>
      </c>
      <c r="F3401">
        <v>24.94</v>
      </c>
      <c r="G3401">
        <v>18.04</v>
      </c>
      <c r="H3401">
        <v>3.92</v>
      </c>
      <c r="I3401">
        <v>3.815</v>
      </c>
      <c r="J3401">
        <v>21.0</v>
      </c>
      <c r="K3401">
        <v>23.42</v>
      </c>
      <c r="L3401">
        <v>19.19</v>
      </c>
      <c r="M3401">
        <v>4.1</v>
      </c>
      <c r="N3401">
        <v>2.364</v>
      </c>
      <c r="O3401">
        <v>21.84</v>
      </c>
      <c r="P3401">
        <v>24.16</v>
      </c>
      <c r="Q3401">
        <v>20.36</v>
      </c>
      <c r="R3401">
        <v>6.98</v>
      </c>
    </row>
    <row r="3402">
      <c r="A3402" s="9">
        <v>41933</v>
      </c>
      <c r="B3402" s="2" t="inlineStr">
        <is>
          <t xml:space="preserve">2014-10</t>
        </is>
      </c>
      <c r="C3402" s="2" t="inlineStr">
        <is>
          <t xml:space="preserve">2014/15</t>
        </is>
      </c>
      <c r="D3402">
        <v>0.641</v>
      </c>
      <c r="E3402">
        <v>21.32</v>
      </c>
      <c r="F3402">
        <v>25.64</v>
      </c>
      <c r="G3402">
        <v>18.35</v>
      </c>
      <c r="H3402">
        <v>3.37</v>
      </c>
      <c r="I3402">
        <v>5.503</v>
      </c>
      <c r="J3402">
        <v>20.99</v>
      </c>
      <c r="K3402">
        <v>25.49</v>
      </c>
      <c r="L3402">
        <v>18.32</v>
      </c>
      <c r="M3402">
        <v>2.29</v>
      </c>
      <c r="N3402">
        <v>0.936</v>
      </c>
      <c r="O3402">
        <v>21.82</v>
      </c>
      <c r="P3402">
        <v>26.65</v>
      </c>
      <c r="Q3402">
        <v>18.64</v>
      </c>
      <c r="R3402">
        <v>1.51</v>
      </c>
    </row>
    <row r="3403">
      <c r="A3403" s="9">
        <v>41934</v>
      </c>
      <c r="B3403" s="2" t="inlineStr">
        <is>
          <t xml:space="preserve">2014-10</t>
        </is>
      </c>
      <c r="C3403" s="2" t="inlineStr">
        <is>
          <t xml:space="preserve">2014/15</t>
        </is>
      </c>
      <c r="D3403">
        <v>2.888</v>
      </c>
      <c r="E3403">
        <v>20.96</v>
      </c>
      <c r="F3403">
        <v>25.13</v>
      </c>
      <c r="G3403">
        <v>17.97</v>
      </c>
      <c r="H3403">
        <v>1.48</v>
      </c>
      <c r="I3403">
        <v>2.306</v>
      </c>
      <c r="J3403">
        <v>21.06</v>
      </c>
      <c r="K3403">
        <v>24.96</v>
      </c>
      <c r="L3403">
        <v>18.41</v>
      </c>
      <c r="M3403">
        <v>3.02</v>
      </c>
      <c r="N3403">
        <v>0.0</v>
      </c>
      <c r="O3403">
        <v>22.09</v>
      </c>
      <c r="P3403">
        <v>26.33</v>
      </c>
      <c r="Q3403">
        <v>18.75</v>
      </c>
      <c r="R3403">
        <v>0.94</v>
      </c>
    </row>
    <row r="3404">
      <c r="A3404" s="9">
        <v>41935</v>
      </c>
      <c r="B3404" s="2" t="inlineStr">
        <is>
          <t xml:space="preserve">2014-10</t>
        </is>
      </c>
      <c r="C3404" s="2" t="inlineStr">
        <is>
          <t xml:space="preserve">2014/15</t>
        </is>
      </c>
      <c r="D3404">
        <v>0.037</v>
      </c>
      <c r="E3404">
        <v>22.0</v>
      </c>
      <c r="F3404">
        <v>27.27</v>
      </c>
      <c r="G3404">
        <v>17.5</v>
      </c>
      <c r="H3404">
        <v>0.39</v>
      </c>
      <c r="I3404">
        <v>0.0</v>
      </c>
      <c r="J3404">
        <v>21.49</v>
      </c>
      <c r="K3404">
        <v>25.43</v>
      </c>
      <c r="L3404">
        <v>19.02</v>
      </c>
      <c r="M3404">
        <v>0.24</v>
      </c>
      <c r="N3404">
        <v>0.0</v>
      </c>
      <c r="O3404">
        <v>22.0</v>
      </c>
      <c r="P3404">
        <v>25.82</v>
      </c>
      <c r="Q3404">
        <v>19.0</v>
      </c>
      <c r="R3404">
        <v>1.8</v>
      </c>
    </row>
    <row r="3405">
      <c r="A3405" s="9">
        <v>41936</v>
      </c>
      <c r="B3405" s="2" t="inlineStr">
        <is>
          <t xml:space="preserve">2014-10</t>
        </is>
      </c>
      <c r="C3405" s="2" t="inlineStr">
        <is>
          <t xml:space="preserve">2014/15</t>
        </is>
      </c>
      <c r="D3405">
        <v>1.347</v>
      </c>
      <c r="E3405">
        <v>22.4</v>
      </c>
      <c r="F3405">
        <v>27.06</v>
      </c>
      <c r="G3405">
        <v>18.97</v>
      </c>
      <c r="H3405">
        <v>8.02</v>
      </c>
      <c r="I3405">
        <v>0.0</v>
      </c>
      <c r="J3405">
        <v>21.85</v>
      </c>
      <c r="K3405">
        <v>26.52</v>
      </c>
      <c r="L3405">
        <v>18.01</v>
      </c>
      <c r="M3405">
        <v>15.09</v>
      </c>
      <c r="N3405">
        <v>0.364</v>
      </c>
      <c r="O3405">
        <v>21.98</v>
      </c>
      <c r="P3405">
        <v>26.06</v>
      </c>
      <c r="Q3405">
        <v>18.71</v>
      </c>
      <c r="R3405">
        <v>9.44</v>
      </c>
    </row>
    <row r="3406">
      <c r="A3406" s="9">
        <v>41937</v>
      </c>
      <c r="B3406" s="2" t="inlineStr">
        <is>
          <t xml:space="preserve">2014-10</t>
        </is>
      </c>
      <c r="C3406" s="2" t="inlineStr">
        <is>
          <t xml:space="preserve">2014/15</t>
        </is>
      </c>
      <c r="D3406">
        <v>5.927</v>
      </c>
      <c r="E3406">
        <v>19.64</v>
      </c>
      <c r="F3406">
        <v>22.12</v>
      </c>
      <c r="G3406">
        <v>16.68</v>
      </c>
      <c r="H3406">
        <v>19.72</v>
      </c>
      <c r="I3406">
        <v>23.699</v>
      </c>
      <c r="J3406">
        <v>19.43</v>
      </c>
      <c r="K3406">
        <v>22.3</v>
      </c>
      <c r="L3406">
        <v>16.79</v>
      </c>
      <c r="M3406">
        <v>11.29</v>
      </c>
      <c r="N3406">
        <v>32.546</v>
      </c>
      <c r="O3406">
        <v>19.46</v>
      </c>
      <c r="P3406">
        <v>21.66</v>
      </c>
      <c r="Q3406">
        <v>16.89</v>
      </c>
      <c r="R3406">
        <v>20.09</v>
      </c>
    </row>
    <row r="3407">
      <c r="A3407" s="9">
        <v>41938</v>
      </c>
      <c r="B3407" s="2" t="inlineStr">
        <is>
          <t xml:space="preserve">2014-10</t>
        </is>
      </c>
      <c r="C3407" s="2" t="inlineStr">
        <is>
          <t xml:space="preserve">2014/15</t>
        </is>
      </c>
      <c r="D3407">
        <v>1.189</v>
      </c>
      <c r="E3407">
        <v>18.73</v>
      </c>
      <c r="F3407">
        <v>23.35</v>
      </c>
      <c r="G3407">
        <v>16.09</v>
      </c>
      <c r="H3407">
        <v>6.42</v>
      </c>
      <c r="I3407">
        <v>0.0</v>
      </c>
      <c r="J3407">
        <v>18.31</v>
      </c>
      <c r="K3407">
        <v>22.92</v>
      </c>
      <c r="L3407">
        <v>15.04</v>
      </c>
      <c r="M3407">
        <v>0.18</v>
      </c>
      <c r="N3407">
        <v>0.216</v>
      </c>
      <c r="O3407">
        <v>18.61</v>
      </c>
      <c r="P3407">
        <v>23.03</v>
      </c>
      <c r="Q3407">
        <v>15.91</v>
      </c>
      <c r="R3407">
        <v>0.22</v>
      </c>
    </row>
    <row r="3408">
      <c r="A3408" s="9">
        <v>41939</v>
      </c>
      <c r="B3408" s="2" t="inlineStr">
        <is>
          <t xml:space="preserve">2014-10</t>
        </is>
      </c>
      <c r="C3408" s="2" t="inlineStr">
        <is>
          <t xml:space="preserve">2014/15</t>
        </is>
      </c>
      <c r="D3408">
        <v>0.0</v>
      </c>
      <c r="E3408">
        <v>19.45</v>
      </c>
      <c r="F3408">
        <v>24.33</v>
      </c>
      <c r="G3408">
        <v>15.92</v>
      </c>
      <c r="H3408">
        <v>0.02</v>
      </c>
      <c r="I3408">
        <v>0.0</v>
      </c>
      <c r="J3408">
        <v>19.28</v>
      </c>
      <c r="K3408">
        <v>24.77</v>
      </c>
      <c r="L3408">
        <v>14.57</v>
      </c>
      <c r="M3408">
        <v>0.0</v>
      </c>
      <c r="N3408">
        <v>0.0</v>
      </c>
      <c r="O3408">
        <v>19.49</v>
      </c>
      <c r="P3408">
        <v>24.34</v>
      </c>
      <c r="Q3408">
        <v>15.25</v>
      </c>
      <c r="R3408">
        <v>0.0</v>
      </c>
    </row>
    <row r="3409">
      <c r="A3409" s="9">
        <v>41940</v>
      </c>
      <c r="B3409" s="2" t="inlineStr">
        <is>
          <t xml:space="preserve">2014-10</t>
        </is>
      </c>
      <c r="C3409" s="2" t="inlineStr">
        <is>
          <t xml:space="preserve">2014/15</t>
        </is>
      </c>
      <c r="D3409">
        <v>0.12</v>
      </c>
      <c r="E3409">
        <v>20.32</v>
      </c>
      <c r="F3409">
        <v>24.86</v>
      </c>
      <c r="G3409">
        <v>16.49</v>
      </c>
      <c r="H3409">
        <v>0.32</v>
      </c>
      <c r="I3409">
        <v>0.0</v>
      </c>
      <c r="J3409">
        <v>21.01</v>
      </c>
      <c r="K3409">
        <v>26.25</v>
      </c>
      <c r="L3409">
        <v>16.37</v>
      </c>
      <c r="M3409">
        <v>0.02</v>
      </c>
      <c r="N3409">
        <v>0.0</v>
      </c>
      <c r="O3409">
        <v>20.89</v>
      </c>
      <c r="P3409">
        <v>25.85</v>
      </c>
      <c r="Q3409">
        <v>16.87</v>
      </c>
      <c r="R3409">
        <v>0.05</v>
      </c>
    </row>
    <row r="3410">
      <c r="A3410" s="9">
        <v>41941</v>
      </c>
      <c r="B3410" s="2" t="inlineStr">
        <is>
          <t xml:space="preserve">2014-10</t>
        </is>
      </c>
      <c r="C3410" s="2" t="inlineStr">
        <is>
          <t xml:space="preserve">2014/15</t>
        </is>
      </c>
      <c r="D3410">
        <v>0.177</v>
      </c>
      <c r="E3410">
        <v>20.81</v>
      </c>
      <c r="F3410">
        <v>24.39</v>
      </c>
      <c r="G3410">
        <v>18.31</v>
      </c>
      <c r="H3410">
        <v>4.24</v>
      </c>
      <c r="I3410">
        <v>0.0</v>
      </c>
      <c r="J3410">
        <v>22.2</v>
      </c>
      <c r="K3410">
        <v>26.99</v>
      </c>
      <c r="L3410">
        <v>18.33</v>
      </c>
      <c r="M3410">
        <v>1.2</v>
      </c>
      <c r="N3410">
        <v>0.0</v>
      </c>
      <c r="O3410">
        <v>22.2</v>
      </c>
      <c r="P3410">
        <v>26.44</v>
      </c>
      <c r="Q3410">
        <v>19.45</v>
      </c>
      <c r="R3410">
        <v>3.15</v>
      </c>
    </row>
    <row r="3411">
      <c r="A3411" s="9">
        <v>41942</v>
      </c>
      <c r="B3411" s="2" t="inlineStr">
        <is>
          <t xml:space="preserve">2014-10</t>
        </is>
      </c>
      <c r="C3411" s="2" t="inlineStr">
        <is>
          <t xml:space="preserve">2014/15</t>
        </is>
      </c>
      <c r="D3411">
        <v>6.697</v>
      </c>
      <c r="E3411">
        <v>20.52</v>
      </c>
      <c r="F3411">
        <v>24.25</v>
      </c>
      <c r="G3411">
        <v>18.15</v>
      </c>
      <c r="H3411">
        <v>9.4</v>
      </c>
      <c r="I3411">
        <v>1.097</v>
      </c>
      <c r="J3411">
        <v>21.17</v>
      </c>
      <c r="K3411">
        <v>24.95</v>
      </c>
      <c r="L3411">
        <v>18.71</v>
      </c>
      <c r="M3411">
        <v>15.83</v>
      </c>
      <c r="N3411">
        <v>5.237</v>
      </c>
      <c r="O3411">
        <v>20.71</v>
      </c>
      <c r="P3411">
        <v>23.06</v>
      </c>
      <c r="Q3411">
        <v>18.95</v>
      </c>
      <c r="R3411">
        <v>18.2</v>
      </c>
    </row>
    <row r="3412">
      <c r="A3412" s="9">
        <v>41943</v>
      </c>
      <c r="B3412" s="2" t="inlineStr">
        <is>
          <t xml:space="preserve">2014-10</t>
        </is>
      </c>
      <c r="C3412" s="2" t="inlineStr">
        <is>
          <t xml:space="preserve">2014/15</t>
        </is>
      </c>
      <c r="D3412">
        <v>11.717</v>
      </c>
      <c r="E3412">
        <v>19.94</v>
      </c>
      <c r="F3412">
        <v>23.23</v>
      </c>
      <c r="G3412">
        <v>17.81</v>
      </c>
      <c r="H3412">
        <v>9.86</v>
      </c>
      <c r="I3412">
        <v>45.001</v>
      </c>
      <c r="J3412">
        <v>19.87</v>
      </c>
      <c r="K3412">
        <v>23.09</v>
      </c>
      <c r="L3412">
        <v>17.88</v>
      </c>
      <c r="M3412">
        <v>23.63</v>
      </c>
      <c r="N3412">
        <v>8.222</v>
      </c>
      <c r="O3412">
        <v>19.93</v>
      </c>
      <c r="P3412">
        <v>22.3</v>
      </c>
      <c r="Q3412">
        <v>18.4</v>
      </c>
      <c r="R3412">
        <v>35.96</v>
      </c>
    </row>
    <row r="3413">
      <c r="A3413" s="9">
        <v>41944</v>
      </c>
      <c r="B3413" s="2" t="inlineStr">
        <is>
          <t xml:space="preserve">2014-11</t>
        </is>
      </c>
      <c r="C3413" s="2" t="inlineStr">
        <is>
          <t xml:space="preserve">2014/15</t>
        </is>
      </c>
      <c r="D3413">
        <v>3.915</v>
      </c>
      <c r="E3413">
        <v>19.77</v>
      </c>
      <c r="F3413">
        <v>23.75</v>
      </c>
      <c r="G3413">
        <v>17.02</v>
      </c>
      <c r="H3413">
        <v>8.17</v>
      </c>
      <c r="I3413">
        <v>2.211</v>
      </c>
      <c r="J3413">
        <v>19.51</v>
      </c>
      <c r="K3413">
        <v>22.97</v>
      </c>
      <c r="L3413">
        <v>17.3</v>
      </c>
      <c r="M3413">
        <v>9.59</v>
      </c>
      <c r="N3413">
        <v>10.289</v>
      </c>
      <c r="O3413">
        <v>19.81</v>
      </c>
      <c r="P3413">
        <v>22.59</v>
      </c>
      <c r="Q3413">
        <v>18.22</v>
      </c>
      <c r="R3413">
        <v>29.13</v>
      </c>
    </row>
    <row r="3414">
      <c r="A3414" s="9">
        <v>41945</v>
      </c>
      <c r="B3414" s="2" t="inlineStr">
        <is>
          <t xml:space="preserve">2014-11</t>
        </is>
      </c>
      <c r="C3414" s="2" t="inlineStr">
        <is>
          <t xml:space="preserve">2014/15</t>
        </is>
      </c>
      <c r="D3414">
        <v>0.531</v>
      </c>
      <c r="E3414">
        <v>19.11</v>
      </c>
      <c r="F3414">
        <v>23.32</v>
      </c>
      <c r="G3414">
        <v>16.66</v>
      </c>
      <c r="H3414">
        <v>4.59</v>
      </c>
      <c r="I3414">
        <v>2.128</v>
      </c>
      <c r="J3414">
        <v>18.6</v>
      </c>
      <c r="K3414">
        <v>22.19</v>
      </c>
      <c r="L3414">
        <v>16.42</v>
      </c>
      <c r="M3414">
        <v>7.45</v>
      </c>
      <c r="N3414">
        <v>9.871</v>
      </c>
      <c r="O3414">
        <v>19.06</v>
      </c>
      <c r="P3414">
        <v>21.96</v>
      </c>
      <c r="Q3414">
        <v>16.92</v>
      </c>
      <c r="R3414">
        <v>16.81</v>
      </c>
    </row>
    <row r="3415">
      <c r="A3415" s="9">
        <v>41946</v>
      </c>
      <c r="B3415" s="2" t="inlineStr">
        <is>
          <t xml:space="preserve">2014-11</t>
        </is>
      </c>
      <c r="C3415" s="2" t="inlineStr">
        <is>
          <t xml:space="preserve">2014/15</t>
        </is>
      </c>
      <c r="D3415">
        <v>1.907</v>
      </c>
      <c r="E3415">
        <v>18.26</v>
      </c>
      <c r="F3415">
        <v>22.69</v>
      </c>
      <c r="G3415">
        <v>15.56</v>
      </c>
      <c r="H3415">
        <v>3.19</v>
      </c>
      <c r="I3415">
        <v>3.23</v>
      </c>
      <c r="J3415">
        <v>18.05</v>
      </c>
      <c r="K3415">
        <v>22.09</v>
      </c>
      <c r="L3415">
        <v>15.7</v>
      </c>
      <c r="M3415">
        <v>4.28</v>
      </c>
      <c r="N3415">
        <v>8.941</v>
      </c>
      <c r="O3415">
        <v>18.1</v>
      </c>
      <c r="P3415">
        <v>21.55</v>
      </c>
      <c r="Q3415">
        <v>16.15</v>
      </c>
      <c r="R3415">
        <v>7.72</v>
      </c>
    </row>
    <row r="3416">
      <c r="A3416" s="9">
        <v>41947</v>
      </c>
      <c r="B3416" s="2" t="inlineStr">
        <is>
          <t xml:space="preserve">2014-11</t>
        </is>
      </c>
      <c r="C3416" s="2" t="inlineStr">
        <is>
          <t xml:space="preserve">2014/15</t>
        </is>
      </c>
      <c r="D3416">
        <v>0.105</v>
      </c>
      <c r="E3416">
        <v>20.13</v>
      </c>
      <c r="F3416">
        <v>25.06</v>
      </c>
      <c r="G3416">
        <v>16.74</v>
      </c>
      <c r="H3416">
        <v>4.22</v>
      </c>
      <c r="I3416">
        <v>0.47</v>
      </c>
      <c r="J3416">
        <v>19.11</v>
      </c>
      <c r="K3416">
        <v>23.55</v>
      </c>
      <c r="L3416">
        <v>15.93</v>
      </c>
      <c r="M3416">
        <v>2.38</v>
      </c>
      <c r="N3416">
        <v>2.37</v>
      </c>
      <c r="O3416">
        <v>19.38</v>
      </c>
      <c r="P3416">
        <v>23.45</v>
      </c>
      <c r="Q3416">
        <v>16.68</v>
      </c>
      <c r="R3416">
        <v>6.66</v>
      </c>
    </row>
    <row r="3417">
      <c r="A3417" s="9">
        <v>41948</v>
      </c>
      <c r="B3417" s="2" t="inlineStr">
        <is>
          <t xml:space="preserve">2014-11</t>
        </is>
      </c>
      <c r="C3417" s="2" t="inlineStr">
        <is>
          <t xml:space="preserve">2014/15</t>
        </is>
      </c>
      <c r="D3417">
        <v>0.545</v>
      </c>
      <c r="E3417">
        <v>19.3</v>
      </c>
      <c r="F3417">
        <v>24.4</v>
      </c>
      <c r="G3417">
        <v>15.76</v>
      </c>
      <c r="H3417">
        <v>0.79</v>
      </c>
      <c r="I3417">
        <v>0.516</v>
      </c>
      <c r="J3417">
        <v>20.04</v>
      </c>
      <c r="K3417">
        <v>24.69</v>
      </c>
      <c r="L3417">
        <v>16.66</v>
      </c>
      <c r="M3417">
        <v>0.97</v>
      </c>
      <c r="N3417">
        <v>2.245</v>
      </c>
      <c r="O3417">
        <v>20.01</v>
      </c>
      <c r="P3417">
        <v>23.98</v>
      </c>
      <c r="Q3417">
        <v>17.13</v>
      </c>
      <c r="R3417">
        <v>1.89</v>
      </c>
    </row>
    <row r="3418">
      <c r="A3418" s="9">
        <v>41949</v>
      </c>
      <c r="B3418" s="2" t="inlineStr">
        <is>
          <t xml:space="preserve">2014-11</t>
        </is>
      </c>
      <c r="C3418" s="2" t="inlineStr">
        <is>
          <t xml:space="preserve">2014/15</t>
        </is>
      </c>
      <c r="D3418">
        <v>0.0</v>
      </c>
      <c r="E3418">
        <v>18.39</v>
      </c>
      <c r="F3418">
        <v>23.65</v>
      </c>
      <c r="G3418">
        <v>14.5</v>
      </c>
      <c r="H3418">
        <v>0.29</v>
      </c>
      <c r="I3418">
        <v>0.0</v>
      </c>
      <c r="J3418">
        <v>18.75</v>
      </c>
      <c r="K3418">
        <v>23.99</v>
      </c>
      <c r="L3418">
        <v>14.93</v>
      </c>
      <c r="M3418">
        <v>0.15</v>
      </c>
      <c r="N3418">
        <v>0.0</v>
      </c>
      <c r="O3418">
        <v>19.1</v>
      </c>
      <c r="P3418">
        <v>23.48</v>
      </c>
      <c r="Q3418">
        <v>15.94</v>
      </c>
      <c r="R3418">
        <v>0.39</v>
      </c>
    </row>
    <row r="3419">
      <c r="A3419" s="9">
        <v>41950</v>
      </c>
      <c r="B3419" s="2" t="inlineStr">
        <is>
          <t xml:space="preserve">2014-11</t>
        </is>
      </c>
      <c r="C3419" s="2" t="inlineStr">
        <is>
          <t xml:space="preserve">2014/15</t>
        </is>
      </c>
      <c r="D3419">
        <v>0.059</v>
      </c>
      <c r="E3419">
        <v>18.5</v>
      </c>
      <c r="F3419">
        <v>23.93</v>
      </c>
      <c r="G3419">
        <v>14.82</v>
      </c>
      <c r="H3419">
        <v>1.5</v>
      </c>
      <c r="I3419">
        <v>0.035</v>
      </c>
      <c r="J3419">
        <v>18.82</v>
      </c>
      <c r="K3419">
        <v>23.88</v>
      </c>
      <c r="L3419">
        <v>15.13</v>
      </c>
      <c r="M3419">
        <v>0.58</v>
      </c>
      <c r="N3419">
        <v>0.684</v>
      </c>
      <c r="O3419">
        <v>19.24</v>
      </c>
      <c r="P3419">
        <v>23.77</v>
      </c>
      <c r="Q3419">
        <v>15.91</v>
      </c>
      <c r="R3419">
        <v>1.21</v>
      </c>
    </row>
    <row r="3420">
      <c r="A3420" s="9">
        <v>41951</v>
      </c>
      <c r="B3420" s="2" t="inlineStr">
        <is>
          <t xml:space="preserve">2014-11</t>
        </is>
      </c>
      <c r="C3420" s="2" t="inlineStr">
        <is>
          <t xml:space="preserve">2014/15</t>
        </is>
      </c>
      <c r="D3420">
        <v>0.0</v>
      </c>
      <c r="E3420">
        <v>18.14</v>
      </c>
      <c r="F3420">
        <v>23.97</v>
      </c>
      <c r="G3420">
        <v>14.02</v>
      </c>
      <c r="H3420">
        <v>0.0</v>
      </c>
      <c r="I3420">
        <v>0.0</v>
      </c>
      <c r="J3420">
        <v>19.12</v>
      </c>
      <c r="K3420">
        <v>24.69</v>
      </c>
      <c r="L3420">
        <v>14.45</v>
      </c>
      <c r="M3420">
        <v>0.02</v>
      </c>
      <c r="N3420">
        <v>0.081</v>
      </c>
      <c r="O3420">
        <v>19.37</v>
      </c>
      <c r="P3420">
        <v>24.34</v>
      </c>
      <c r="Q3420">
        <v>15.69</v>
      </c>
      <c r="R3420">
        <v>0.05</v>
      </c>
    </row>
    <row r="3421">
      <c r="A3421" s="9">
        <v>41952</v>
      </c>
      <c r="B3421" s="2" t="inlineStr">
        <is>
          <t xml:space="preserve">2014-11</t>
        </is>
      </c>
      <c r="C3421" s="2" t="inlineStr">
        <is>
          <t xml:space="preserve">2014/15</t>
        </is>
      </c>
      <c r="D3421">
        <v>0.0</v>
      </c>
      <c r="E3421">
        <v>18.09</v>
      </c>
      <c r="F3421">
        <v>23.85</v>
      </c>
      <c r="G3421">
        <v>13.33</v>
      </c>
      <c r="H3421">
        <v>0.03</v>
      </c>
      <c r="I3421">
        <v>0.0</v>
      </c>
      <c r="J3421">
        <v>19.04</v>
      </c>
      <c r="K3421">
        <v>23.96</v>
      </c>
      <c r="L3421">
        <v>14.76</v>
      </c>
      <c r="M3421">
        <v>0.1</v>
      </c>
      <c r="N3421">
        <v>0.082</v>
      </c>
      <c r="O3421">
        <v>19.56</v>
      </c>
      <c r="P3421">
        <v>23.82</v>
      </c>
      <c r="Q3421">
        <v>16.04</v>
      </c>
      <c r="R3421">
        <v>0.23</v>
      </c>
    </row>
    <row r="3422">
      <c r="A3422" s="9">
        <v>41953</v>
      </c>
      <c r="B3422" s="2" t="inlineStr">
        <is>
          <t xml:space="preserve">2014-11</t>
        </is>
      </c>
      <c r="C3422" s="2" t="inlineStr">
        <is>
          <t xml:space="preserve">2014/15</t>
        </is>
      </c>
      <c r="D3422">
        <v>0.0</v>
      </c>
      <c r="E3422">
        <v>18.42</v>
      </c>
      <c r="F3422">
        <v>23.43</v>
      </c>
      <c r="G3422">
        <v>15.12</v>
      </c>
      <c r="H3422">
        <v>0.31</v>
      </c>
      <c r="I3422">
        <v>0.065</v>
      </c>
      <c r="J3422">
        <v>17.81</v>
      </c>
      <c r="K3422">
        <v>23.02</v>
      </c>
      <c r="L3422">
        <v>14.13</v>
      </c>
      <c r="M3422">
        <v>0.13</v>
      </c>
      <c r="N3422">
        <v>0.653</v>
      </c>
      <c r="O3422">
        <v>18.35</v>
      </c>
      <c r="P3422">
        <v>22.56</v>
      </c>
      <c r="Q3422">
        <v>15.45</v>
      </c>
      <c r="R3422">
        <v>0.15</v>
      </c>
    </row>
    <row r="3423">
      <c r="A3423" s="9">
        <v>41954</v>
      </c>
      <c r="B3423" s="2" t="inlineStr">
        <is>
          <t xml:space="preserve">2014-11</t>
        </is>
      </c>
      <c r="C3423" s="2" t="inlineStr">
        <is>
          <t xml:space="preserve">2014/15</t>
        </is>
      </c>
      <c r="D3423">
        <v>0.0</v>
      </c>
      <c r="E3423">
        <v>20.16</v>
      </c>
      <c r="F3423">
        <v>26.44</v>
      </c>
      <c r="G3423">
        <v>14.31</v>
      </c>
      <c r="H3423">
        <v>0.09</v>
      </c>
      <c r="I3423">
        <v>0.0</v>
      </c>
      <c r="J3423">
        <v>20.11</v>
      </c>
      <c r="K3423">
        <v>26.49</v>
      </c>
      <c r="L3423">
        <v>14.34</v>
      </c>
      <c r="M3423">
        <v>0.0</v>
      </c>
      <c r="N3423">
        <v>0.0</v>
      </c>
      <c r="O3423">
        <v>20.2</v>
      </c>
      <c r="P3423">
        <v>26.69</v>
      </c>
      <c r="Q3423">
        <v>14.52</v>
      </c>
      <c r="R3423">
        <v>0.0</v>
      </c>
    </row>
    <row r="3424">
      <c r="A3424" s="9">
        <v>41955</v>
      </c>
      <c r="B3424" s="2" t="inlineStr">
        <is>
          <t xml:space="preserve">2014-11</t>
        </is>
      </c>
      <c r="C3424" s="2" t="inlineStr">
        <is>
          <t xml:space="preserve">2014/15</t>
        </is>
      </c>
      <c r="D3424">
        <v>0.105</v>
      </c>
      <c r="E3424">
        <v>20.66</v>
      </c>
      <c r="F3424">
        <v>26.05</v>
      </c>
      <c r="G3424">
        <v>17.0</v>
      </c>
      <c r="H3424">
        <v>0.79</v>
      </c>
      <c r="I3424">
        <v>0.0</v>
      </c>
      <c r="J3424">
        <v>21.06</v>
      </c>
      <c r="K3424">
        <v>26.53</v>
      </c>
      <c r="L3424">
        <v>16.22</v>
      </c>
      <c r="M3424">
        <v>0.39</v>
      </c>
      <c r="N3424">
        <v>0.0</v>
      </c>
      <c r="O3424">
        <v>21.01</v>
      </c>
      <c r="P3424">
        <v>26.06</v>
      </c>
      <c r="Q3424">
        <v>17.39</v>
      </c>
      <c r="R3424">
        <v>0.24</v>
      </c>
    </row>
    <row r="3425">
      <c r="A3425" s="9">
        <v>41956</v>
      </c>
      <c r="B3425" s="2" t="inlineStr">
        <is>
          <t xml:space="preserve">2014-11</t>
        </is>
      </c>
      <c r="C3425" s="2" t="inlineStr">
        <is>
          <t xml:space="preserve">2014/15</t>
        </is>
      </c>
      <c r="D3425">
        <v>0.873</v>
      </c>
      <c r="E3425">
        <v>19.58</v>
      </c>
      <c r="F3425">
        <v>23.99</v>
      </c>
      <c r="G3425">
        <v>16.65</v>
      </c>
      <c r="H3425">
        <v>0.59</v>
      </c>
      <c r="I3425">
        <v>0.495</v>
      </c>
      <c r="J3425">
        <v>19.96</v>
      </c>
      <c r="K3425">
        <v>24.77</v>
      </c>
      <c r="L3425">
        <v>16.57</v>
      </c>
      <c r="M3425">
        <v>0.33</v>
      </c>
      <c r="N3425">
        <v>0.157</v>
      </c>
      <c r="O3425">
        <v>20.03</v>
      </c>
      <c r="P3425">
        <v>24.47</v>
      </c>
      <c r="Q3425">
        <v>17.08</v>
      </c>
      <c r="R3425">
        <v>0.86</v>
      </c>
    </row>
    <row r="3426">
      <c r="A3426" s="9">
        <v>41957</v>
      </c>
      <c r="B3426" s="2" t="inlineStr">
        <is>
          <t xml:space="preserve">2014-11</t>
        </is>
      </c>
      <c r="C3426" s="2" t="inlineStr">
        <is>
          <t xml:space="preserve">2014/15</t>
        </is>
      </c>
      <c r="D3426">
        <v>0.0</v>
      </c>
      <c r="E3426">
        <v>18.77</v>
      </c>
      <c r="F3426">
        <v>23.56</v>
      </c>
      <c r="G3426">
        <v>15.34</v>
      </c>
      <c r="H3426">
        <v>0.34</v>
      </c>
      <c r="I3426">
        <v>0.033</v>
      </c>
      <c r="J3426">
        <v>18.4</v>
      </c>
      <c r="K3426">
        <v>22.43</v>
      </c>
      <c r="L3426">
        <v>15.82</v>
      </c>
      <c r="M3426">
        <v>0.25</v>
      </c>
      <c r="N3426">
        <v>0.339</v>
      </c>
      <c r="O3426">
        <v>18.81</v>
      </c>
      <c r="P3426">
        <v>22.21</v>
      </c>
      <c r="Q3426">
        <v>16.58</v>
      </c>
      <c r="R3426">
        <v>0.47</v>
      </c>
    </row>
    <row r="3427">
      <c r="A3427" s="9">
        <v>41958</v>
      </c>
      <c r="B3427" s="2" t="inlineStr">
        <is>
          <t xml:space="preserve">2014-11</t>
        </is>
      </c>
      <c r="C3427" s="2" t="inlineStr">
        <is>
          <t xml:space="preserve">2014/15</t>
        </is>
      </c>
      <c r="D3427">
        <v>0.0</v>
      </c>
      <c r="E3427">
        <v>19.33</v>
      </c>
      <c r="F3427">
        <v>24.28</v>
      </c>
      <c r="G3427">
        <v>15.8</v>
      </c>
      <c r="H3427">
        <v>0.58</v>
      </c>
      <c r="I3427">
        <v>0.492</v>
      </c>
      <c r="J3427">
        <v>18.47</v>
      </c>
      <c r="K3427">
        <v>22.92</v>
      </c>
      <c r="L3427">
        <v>15.57</v>
      </c>
      <c r="M3427">
        <v>0.79</v>
      </c>
      <c r="N3427">
        <v>1.899</v>
      </c>
      <c r="O3427">
        <v>18.43</v>
      </c>
      <c r="P3427">
        <v>22.02</v>
      </c>
      <c r="Q3427">
        <v>16.0</v>
      </c>
      <c r="R3427">
        <v>1.24</v>
      </c>
    </row>
    <row r="3428">
      <c r="A3428" s="9">
        <v>41959</v>
      </c>
      <c r="B3428" s="2" t="inlineStr">
        <is>
          <t xml:space="preserve">2014-11</t>
        </is>
      </c>
      <c r="C3428" s="2" t="inlineStr">
        <is>
          <t xml:space="preserve">2014/15</t>
        </is>
      </c>
      <c r="D3428">
        <v>0.17</v>
      </c>
      <c r="E3428">
        <v>20.66</v>
      </c>
      <c r="F3428">
        <v>25.98</v>
      </c>
      <c r="G3428">
        <v>16.49</v>
      </c>
      <c r="H3428">
        <v>0.09</v>
      </c>
      <c r="I3428">
        <v>0.033</v>
      </c>
      <c r="J3428">
        <v>21.12</v>
      </c>
      <c r="K3428">
        <v>26.3</v>
      </c>
      <c r="L3428">
        <v>16.33</v>
      </c>
      <c r="M3428">
        <v>0.09</v>
      </c>
      <c r="N3428">
        <v>0.327</v>
      </c>
      <c r="O3428">
        <v>20.97</v>
      </c>
      <c r="P3428">
        <v>26.22</v>
      </c>
      <c r="Q3428">
        <v>16.89</v>
      </c>
      <c r="R3428">
        <v>0.11</v>
      </c>
    </row>
    <row r="3429">
      <c r="A3429" s="9">
        <v>41960</v>
      </c>
      <c r="B3429" s="2" t="inlineStr">
        <is>
          <t xml:space="preserve">2014-11</t>
        </is>
      </c>
      <c r="C3429" s="2" t="inlineStr">
        <is>
          <t xml:space="preserve">2014/15</t>
        </is>
      </c>
      <c r="D3429">
        <v>0.081</v>
      </c>
      <c r="E3429">
        <v>20.89</v>
      </c>
      <c r="F3429">
        <v>26.48</v>
      </c>
      <c r="G3429">
        <v>15.93</v>
      </c>
      <c r="H3429">
        <v>0.78</v>
      </c>
      <c r="I3429">
        <v>0.0</v>
      </c>
      <c r="J3429">
        <v>22.46</v>
      </c>
      <c r="K3429">
        <v>27.19</v>
      </c>
      <c r="L3429">
        <v>18.36</v>
      </c>
      <c r="M3429">
        <v>0.94</v>
      </c>
      <c r="N3429">
        <v>0.0</v>
      </c>
      <c r="O3429">
        <v>22.43</v>
      </c>
      <c r="P3429">
        <v>27.16</v>
      </c>
      <c r="Q3429">
        <v>19.43</v>
      </c>
      <c r="R3429">
        <v>1.47</v>
      </c>
    </row>
    <row r="3430">
      <c r="A3430" s="9">
        <v>41961</v>
      </c>
      <c r="B3430" s="2" t="inlineStr">
        <is>
          <t xml:space="preserve">2014-11</t>
        </is>
      </c>
      <c r="C3430" s="2" t="inlineStr">
        <is>
          <t xml:space="preserve">2014/15</t>
        </is>
      </c>
      <c r="D3430">
        <v>4.026</v>
      </c>
      <c r="E3430">
        <v>20.59</v>
      </c>
      <c r="F3430">
        <v>24.61</v>
      </c>
      <c r="G3430">
        <v>17.39</v>
      </c>
      <c r="H3430">
        <v>6.93</v>
      </c>
      <c r="I3430">
        <v>2.345</v>
      </c>
      <c r="J3430">
        <v>21.49</v>
      </c>
      <c r="K3430">
        <v>25.35</v>
      </c>
      <c r="L3430">
        <v>19.08</v>
      </c>
      <c r="M3430">
        <v>8.5</v>
      </c>
      <c r="N3430">
        <v>6.174</v>
      </c>
      <c r="O3430">
        <v>21.15</v>
      </c>
      <c r="P3430">
        <v>24.48</v>
      </c>
      <c r="Q3430">
        <v>19.33</v>
      </c>
      <c r="R3430">
        <v>20.93</v>
      </c>
    </row>
    <row r="3431">
      <c r="A3431" s="9">
        <v>41962</v>
      </c>
      <c r="B3431" s="2" t="inlineStr">
        <is>
          <t xml:space="preserve">2014-11</t>
        </is>
      </c>
      <c r="C3431" s="2" t="inlineStr">
        <is>
          <t xml:space="preserve">2014/15</t>
        </is>
      </c>
      <c r="D3431">
        <v>1.77</v>
      </c>
      <c r="E3431">
        <v>19.9</v>
      </c>
      <c r="F3431">
        <v>24.43</v>
      </c>
      <c r="G3431">
        <v>17.2</v>
      </c>
      <c r="H3431">
        <v>10.69</v>
      </c>
      <c r="I3431">
        <v>6.984</v>
      </c>
      <c r="J3431">
        <v>20.14</v>
      </c>
      <c r="K3431">
        <v>23.79</v>
      </c>
      <c r="L3431">
        <v>17.95</v>
      </c>
      <c r="M3431">
        <v>13.18</v>
      </c>
      <c r="N3431">
        <v>28.207</v>
      </c>
      <c r="O3431">
        <v>20.15</v>
      </c>
      <c r="P3431">
        <v>22.91</v>
      </c>
      <c r="Q3431">
        <v>18.27</v>
      </c>
      <c r="R3431">
        <v>30.4</v>
      </c>
    </row>
    <row r="3432">
      <c r="A3432" s="9">
        <v>41963</v>
      </c>
      <c r="B3432" s="2" t="inlineStr">
        <is>
          <t xml:space="preserve">2014-11</t>
        </is>
      </c>
      <c r="C3432" s="2" t="inlineStr">
        <is>
          <t xml:space="preserve">2014/15</t>
        </is>
      </c>
      <c r="D3432">
        <v>3.404</v>
      </c>
      <c r="E3432">
        <v>20.11</v>
      </c>
      <c r="F3432">
        <v>24.85</v>
      </c>
      <c r="G3432">
        <v>17.08</v>
      </c>
      <c r="H3432">
        <v>9.25</v>
      </c>
      <c r="I3432">
        <v>2.517</v>
      </c>
      <c r="J3432">
        <v>20.42</v>
      </c>
      <c r="K3432">
        <v>24.13</v>
      </c>
      <c r="L3432">
        <v>18.67</v>
      </c>
      <c r="M3432">
        <v>8.84</v>
      </c>
      <c r="N3432">
        <v>11.931</v>
      </c>
      <c r="O3432">
        <v>20.52</v>
      </c>
      <c r="P3432">
        <v>23.39</v>
      </c>
      <c r="Q3432">
        <v>18.99</v>
      </c>
      <c r="R3432">
        <v>22.65</v>
      </c>
    </row>
    <row r="3433">
      <c r="A3433" s="9">
        <v>41964</v>
      </c>
      <c r="B3433" s="2" t="inlineStr">
        <is>
          <t xml:space="preserve">2014-11</t>
        </is>
      </c>
      <c r="C3433" s="2" t="inlineStr">
        <is>
          <t xml:space="preserve">2014/15</t>
        </is>
      </c>
      <c r="D3433">
        <v>1.059</v>
      </c>
      <c r="E3433">
        <v>20.04</v>
      </c>
      <c r="F3433">
        <v>24.92</v>
      </c>
      <c r="G3433">
        <v>16.38</v>
      </c>
      <c r="H3433">
        <v>0.98</v>
      </c>
      <c r="I3433">
        <v>0.073</v>
      </c>
      <c r="J3433">
        <v>20.67</v>
      </c>
      <c r="K3433">
        <v>25.37</v>
      </c>
      <c r="L3433">
        <v>17.45</v>
      </c>
      <c r="M3433">
        <v>0.26</v>
      </c>
      <c r="N3433">
        <v>0.477</v>
      </c>
      <c r="O3433">
        <v>20.69</v>
      </c>
      <c r="P3433">
        <v>24.73</v>
      </c>
      <c r="Q3433">
        <v>17.98</v>
      </c>
      <c r="R3433">
        <v>0.39</v>
      </c>
    </row>
    <row r="3434">
      <c r="A3434" s="9">
        <v>41965</v>
      </c>
      <c r="B3434" s="2" t="inlineStr">
        <is>
          <t xml:space="preserve">2014-11</t>
        </is>
      </c>
      <c r="C3434" s="2" t="inlineStr">
        <is>
          <t xml:space="preserve">2014/15</t>
        </is>
      </c>
      <c r="D3434">
        <v>0.094</v>
      </c>
      <c r="E3434">
        <v>20.17</v>
      </c>
      <c r="F3434">
        <v>24.57</v>
      </c>
      <c r="G3434">
        <v>17.17</v>
      </c>
      <c r="H3434">
        <v>1.85</v>
      </c>
      <c r="I3434">
        <v>0.0</v>
      </c>
      <c r="J3434">
        <v>20.72</v>
      </c>
      <c r="K3434">
        <v>25.38</v>
      </c>
      <c r="L3434">
        <v>17.58</v>
      </c>
      <c r="M3434">
        <v>0.19</v>
      </c>
      <c r="N3434">
        <v>0.0</v>
      </c>
      <c r="O3434">
        <v>20.78</v>
      </c>
      <c r="P3434">
        <v>25.13</v>
      </c>
      <c r="Q3434">
        <v>17.91</v>
      </c>
      <c r="R3434">
        <v>0.14</v>
      </c>
    </row>
    <row r="3435">
      <c r="A3435" s="9">
        <v>41966</v>
      </c>
      <c r="B3435" s="2" t="inlineStr">
        <is>
          <t xml:space="preserve">2014-11</t>
        </is>
      </c>
      <c r="C3435" s="2" t="inlineStr">
        <is>
          <t xml:space="preserve">2014/15</t>
        </is>
      </c>
      <c r="D3435">
        <v>1.468</v>
      </c>
      <c r="E3435">
        <v>20.73</v>
      </c>
      <c r="F3435">
        <v>26.44</v>
      </c>
      <c r="G3435">
        <v>16.05</v>
      </c>
      <c r="H3435">
        <v>1.16</v>
      </c>
      <c r="I3435">
        <v>0.448</v>
      </c>
      <c r="J3435">
        <v>22.22</v>
      </c>
      <c r="K3435">
        <v>27.83</v>
      </c>
      <c r="L3435">
        <v>17.98</v>
      </c>
      <c r="M3435">
        <v>0.17</v>
      </c>
      <c r="N3435">
        <v>0.037</v>
      </c>
      <c r="O3435">
        <v>22.29</v>
      </c>
      <c r="P3435">
        <v>27.49</v>
      </c>
      <c r="Q3435">
        <v>18.92</v>
      </c>
      <c r="R3435">
        <v>0.05</v>
      </c>
    </row>
    <row r="3436">
      <c r="A3436" s="9">
        <v>41967</v>
      </c>
      <c r="B3436" s="2" t="inlineStr">
        <is>
          <t xml:space="preserve">2014-11</t>
        </is>
      </c>
      <c r="C3436" s="2" t="inlineStr">
        <is>
          <t xml:space="preserve">2014/15</t>
        </is>
      </c>
      <c r="D3436">
        <v>0.124</v>
      </c>
      <c r="E3436">
        <v>21.7</v>
      </c>
      <c r="F3436">
        <v>27.14</v>
      </c>
      <c r="G3436">
        <v>16.61</v>
      </c>
      <c r="H3436">
        <v>1.89</v>
      </c>
      <c r="I3436">
        <v>0.0</v>
      </c>
      <c r="J3436">
        <v>22.47</v>
      </c>
      <c r="K3436">
        <v>27.64</v>
      </c>
      <c r="L3436">
        <v>18.09</v>
      </c>
      <c r="M3436">
        <v>0.28</v>
      </c>
      <c r="N3436">
        <v>0.111</v>
      </c>
      <c r="O3436">
        <v>22.42</v>
      </c>
      <c r="P3436">
        <v>28.1</v>
      </c>
      <c r="Q3436">
        <v>17.24</v>
      </c>
      <c r="R3436">
        <v>0.25</v>
      </c>
    </row>
    <row r="3437">
      <c r="A3437" s="9">
        <v>41968</v>
      </c>
      <c r="B3437" s="2" t="inlineStr">
        <is>
          <t xml:space="preserve">2014-11</t>
        </is>
      </c>
      <c r="C3437" s="2" t="inlineStr">
        <is>
          <t xml:space="preserve">2014/15</t>
        </is>
      </c>
      <c r="D3437">
        <v>5.808</v>
      </c>
      <c r="E3437">
        <v>21.46</v>
      </c>
      <c r="F3437">
        <v>26.34</v>
      </c>
      <c r="G3437">
        <v>17.45</v>
      </c>
      <c r="H3437">
        <v>10.31</v>
      </c>
      <c r="I3437">
        <v>0.515</v>
      </c>
      <c r="J3437">
        <v>22.75</v>
      </c>
      <c r="K3437">
        <v>26.96</v>
      </c>
      <c r="L3437">
        <v>19.81</v>
      </c>
      <c r="M3437">
        <v>3.63</v>
      </c>
      <c r="N3437">
        <v>0.773</v>
      </c>
      <c r="O3437">
        <v>22.89</v>
      </c>
      <c r="P3437">
        <v>27.06</v>
      </c>
      <c r="Q3437">
        <v>19.91</v>
      </c>
      <c r="R3437">
        <v>6.11</v>
      </c>
    </row>
    <row r="3438">
      <c r="A3438" s="9">
        <v>41969</v>
      </c>
      <c r="B3438" s="2" t="inlineStr">
        <is>
          <t xml:space="preserve">2014-11</t>
        </is>
      </c>
      <c r="C3438" s="2" t="inlineStr">
        <is>
          <t xml:space="preserve">2014/15</t>
        </is>
      </c>
      <c r="D3438">
        <v>5.195</v>
      </c>
      <c r="E3438">
        <v>19.91</v>
      </c>
      <c r="F3438">
        <v>23.31</v>
      </c>
      <c r="G3438">
        <v>17.21</v>
      </c>
      <c r="H3438">
        <v>19.52</v>
      </c>
      <c r="I3438">
        <v>3.399</v>
      </c>
      <c r="J3438">
        <v>20.52</v>
      </c>
      <c r="K3438">
        <v>24.04</v>
      </c>
      <c r="L3438">
        <v>16.3</v>
      </c>
      <c r="M3438">
        <v>8.79</v>
      </c>
      <c r="N3438">
        <v>14.874</v>
      </c>
      <c r="O3438">
        <v>20.3</v>
      </c>
      <c r="P3438">
        <v>23.39</v>
      </c>
      <c r="Q3438">
        <v>16.79</v>
      </c>
      <c r="R3438">
        <v>22.06</v>
      </c>
    </row>
    <row r="3439">
      <c r="A3439" s="9">
        <v>41970</v>
      </c>
      <c r="B3439" s="2" t="inlineStr">
        <is>
          <t xml:space="preserve">2014-11</t>
        </is>
      </c>
      <c r="C3439" s="2" t="inlineStr">
        <is>
          <t xml:space="preserve">2014/15</t>
        </is>
      </c>
      <c r="D3439">
        <v>2.519</v>
      </c>
      <c r="E3439">
        <v>17.04</v>
      </c>
      <c r="F3439">
        <v>19.68</v>
      </c>
      <c r="G3439">
        <v>15.52</v>
      </c>
      <c r="H3439">
        <v>18.42</v>
      </c>
      <c r="I3439">
        <v>0.964</v>
      </c>
      <c r="J3439">
        <v>15.89</v>
      </c>
      <c r="K3439">
        <v>19.01</v>
      </c>
      <c r="L3439">
        <v>13.87</v>
      </c>
      <c r="M3439">
        <v>2.33</v>
      </c>
      <c r="N3439">
        <v>3.949</v>
      </c>
      <c r="O3439">
        <v>15.94</v>
      </c>
      <c r="P3439">
        <v>17.98</v>
      </c>
      <c r="Q3439">
        <v>14.54</v>
      </c>
      <c r="R3439">
        <v>3.83</v>
      </c>
    </row>
    <row r="3440">
      <c r="A3440" s="9">
        <v>41971</v>
      </c>
      <c r="B3440" s="2" t="inlineStr">
        <is>
          <t xml:space="preserve">2014-11</t>
        </is>
      </c>
      <c r="C3440" s="2" t="inlineStr">
        <is>
          <t xml:space="preserve">2014/15</t>
        </is>
      </c>
      <c r="D3440">
        <v>0.047</v>
      </c>
      <c r="E3440">
        <v>17.65</v>
      </c>
      <c r="F3440">
        <v>21.29</v>
      </c>
      <c r="G3440">
        <v>15.83</v>
      </c>
      <c r="H3440">
        <v>1.4</v>
      </c>
      <c r="I3440">
        <v>1.136</v>
      </c>
      <c r="J3440">
        <v>16.0</v>
      </c>
      <c r="K3440">
        <v>19.35</v>
      </c>
      <c r="L3440">
        <v>13.73</v>
      </c>
      <c r="M3440">
        <v>1.93</v>
      </c>
      <c r="N3440">
        <v>4.264</v>
      </c>
      <c r="O3440">
        <v>16.23</v>
      </c>
      <c r="P3440">
        <v>18.89</v>
      </c>
      <c r="Q3440">
        <v>14.07</v>
      </c>
      <c r="R3440">
        <v>2.72</v>
      </c>
    </row>
    <row r="3441">
      <c r="A3441" s="9">
        <v>41972</v>
      </c>
      <c r="B3441" s="2" t="inlineStr">
        <is>
          <t xml:space="preserve">2014-11</t>
        </is>
      </c>
      <c r="C3441" s="2" t="inlineStr">
        <is>
          <t xml:space="preserve">2014/15</t>
        </is>
      </c>
      <c r="D3441">
        <v>0.084</v>
      </c>
      <c r="E3441">
        <v>17.58</v>
      </c>
      <c r="F3441">
        <v>21.82</v>
      </c>
      <c r="G3441">
        <v>15.14</v>
      </c>
      <c r="H3441">
        <v>0.84</v>
      </c>
      <c r="I3441">
        <v>1.247</v>
      </c>
      <c r="J3441">
        <v>17.17</v>
      </c>
      <c r="K3441">
        <v>21.6</v>
      </c>
      <c r="L3441">
        <v>14.88</v>
      </c>
      <c r="M3441">
        <v>1.42</v>
      </c>
      <c r="N3441">
        <v>4.658</v>
      </c>
      <c r="O3441">
        <v>17.35</v>
      </c>
      <c r="P3441">
        <v>21.17</v>
      </c>
      <c r="Q3441">
        <v>15.4</v>
      </c>
      <c r="R3441">
        <v>1.74</v>
      </c>
    </row>
    <row r="3442">
      <c r="A3442" s="9">
        <v>41973</v>
      </c>
      <c r="B3442" s="2" t="inlineStr">
        <is>
          <t xml:space="preserve">2014-11</t>
        </is>
      </c>
      <c r="C3442" s="2" t="inlineStr">
        <is>
          <t xml:space="preserve">2014/15</t>
        </is>
      </c>
      <c r="D3442">
        <v>0.0</v>
      </c>
      <c r="E3442">
        <v>19.18</v>
      </c>
      <c r="F3442">
        <v>24.09</v>
      </c>
      <c r="G3442">
        <v>15.32</v>
      </c>
      <c r="H3442">
        <v>0.78</v>
      </c>
      <c r="I3442">
        <v>0.042</v>
      </c>
      <c r="J3442">
        <v>18.69</v>
      </c>
      <c r="K3442">
        <v>23.87</v>
      </c>
      <c r="L3442">
        <v>15.07</v>
      </c>
      <c r="M3442">
        <v>0.5</v>
      </c>
      <c r="N3442">
        <v>0.509</v>
      </c>
      <c r="O3442">
        <v>19.03</v>
      </c>
      <c r="P3442">
        <v>23.23</v>
      </c>
      <c r="Q3442">
        <v>15.9</v>
      </c>
      <c r="R3442">
        <v>1.26</v>
      </c>
    </row>
    <row r="3443">
      <c r="A3443" s="9">
        <v>41974</v>
      </c>
      <c r="B3443" s="2" t="inlineStr">
        <is>
          <t xml:space="preserve">2014-12</t>
        </is>
      </c>
      <c r="C3443" s="2" t="inlineStr">
        <is>
          <t xml:space="preserve">2014/15</t>
        </is>
      </c>
      <c r="D3443">
        <v>0.527</v>
      </c>
      <c r="E3443">
        <v>20.17</v>
      </c>
      <c r="F3443">
        <v>24.6</v>
      </c>
      <c r="G3443">
        <v>16.91</v>
      </c>
      <c r="H3443">
        <v>1.47</v>
      </c>
      <c r="I3443">
        <v>0.605</v>
      </c>
      <c r="J3443">
        <v>20.81</v>
      </c>
      <c r="K3443">
        <v>25.68</v>
      </c>
      <c r="L3443">
        <v>17.53</v>
      </c>
      <c r="M3443">
        <v>3.68</v>
      </c>
      <c r="N3443">
        <v>2.351</v>
      </c>
      <c r="O3443">
        <v>21.03</v>
      </c>
      <c r="P3443">
        <v>24.64</v>
      </c>
      <c r="Q3443">
        <v>18.86</v>
      </c>
      <c r="R3443">
        <v>9.41</v>
      </c>
    </row>
    <row r="3444">
      <c r="A3444" s="9">
        <v>41975</v>
      </c>
      <c r="B3444" s="2" t="inlineStr">
        <is>
          <t xml:space="preserve">2014-12</t>
        </is>
      </c>
      <c r="C3444" s="2" t="inlineStr">
        <is>
          <t xml:space="preserve">2014/15</t>
        </is>
      </c>
      <c r="D3444">
        <v>0.382</v>
      </c>
      <c r="E3444">
        <v>19.27</v>
      </c>
      <c r="F3444">
        <v>23.39</v>
      </c>
      <c r="G3444">
        <v>16.32</v>
      </c>
      <c r="H3444">
        <v>3.84</v>
      </c>
      <c r="I3444">
        <v>2.671</v>
      </c>
      <c r="J3444">
        <v>19.51</v>
      </c>
      <c r="K3444">
        <v>22.97</v>
      </c>
      <c r="L3444">
        <v>16.54</v>
      </c>
      <c r="M3444">
        <v>6.0</v>
      </c>
      <c r="N3444">
        <v>11.776</v>
      </c>
      <c r="O3444">
        <v>19.7</v>
      </c>
      <c r="P3444">
        <v>22.85</v>
      </c>
      <c r="Q3444">
        <v>16.77</v>
      </c>
      <c r="R3444">
        <v>15.66</v>
      </c>
    </row>
    <row r="3445">
      <c r="A3445" s="9">
        <v>41976</v>
      </c>
      <c r="B3445" s="2" t="inlineStr">
        <is>
          <t xml:space="preserve">2014-12</t>
        </is>
      </c>
      <c r="C3445" s="2" t="inlineStr">
        <is>
          <t xml:space="preserve">2014/15</t>
        </is>
      </c>
      <c r="D3445">
        <v>0.0</v>
      </c>
      <c r="E3445">
        <v>18.01</v>
      </c>
      <c r="F3445">
        <v>22.32</v>
      </c>
      <c r="G3445">
        <v>15.47</v>
      </c>
      <c r="H3445">
        <v>2.96</v>
      </c>
      <c r="I3445">
        <v>0.908</v>
      </c>
      <c r="J3445">
        <v>17.81</v>
      </c>
      <c r="K3445">
        <v>21.84</v>
      </c>
      <c r="L3445">
        <v>15.17</v>
      </c>
      <c r="M3445">
        <v>2.26</v>
      </c>
      <c r="N3445">
        <v>3.839</v>
      </c>
      <c r="O3445">
        <v>17.97</v>
      </c>
      <c r="P3445">
        <v>21.72</v>
      </c>
      <c r="Q3445">
        <v>16.0</v>
      </c>
      <c r="R3445">
        <v>4.25</v>
      </c>
    </row>
    <row r="3446">
      <c r="A3446" s="9">
        <v>41977</v>
      </c>
      <c r="B3446" s="2" t="inlineStr">
        <is>
          <t xml:space="preserve">2014-12</t>
        </is>
      </c>
      <c r="C3446" s="2" t="inlineStr">
        <is>
          <t xml:space="preserve">2014/15</t>
        </is>
      </c>
      <c r="D3446">
        <v>0.047</v>
      </c>
      <c r="E3446">
        <v>18.4</v>
      </c>
      <c r="F3446">
        <v>23.1</v>
      </c>
      <c r="G3446">
        <v>15.04</v>
      </c>
      <c r="H3446">
        <v>0.92</v>
      </c>
      <c r="I3446">
        <v>0.449</v>
      </c>
      <c r="J3446">
        <v>18.54</v>
      </c>
      <c r="K3446">
        <v>23.16</v>
      </c>
      <c r="L3446">
        <v>15.49</v>
      </c>
      <c r="M3446">
        <v>0.92</v>
      </c>
      <c r="N3446">
        <v>1.81</v>
      </c>
      <c r="O3446">
        <v>18.55</v>
      </c>
      <c r="P3446">
        <v>22.83</v>
      </c>
      <c r="Q3446">
        <v>15.71</v>
      </c>
      <c r="R3446">
        <v>1.6</v>
      </c>
    </row>
    <row r="3447">
      <c r="A3447" s="9">
        <v>41978</v>
      </c>
      <c r="B3447" s="2" t="inlineStr">
        <is>
          <t xml:space="preserve">2014-12</t>
        </is>
      </c>
      <c r="C3447" s="2" t="inlineStr">
        <is>
          <t xml:space="preserve">2014/15</t>
        </is>
      </c>
      <c r="D3447">
        <v>0.0</v>
      </c>
      <c r="E3447">
        <v>18.58</v>
      </c>
      <c r="F3447">
        <v>22.56</v>
      </c>
      <c r="G3447">
        <v>15.75</v>
      </c>
      <c r="H3447">
        <v>0.49</v>
      </c>
      <c r="I3447">
        <v>0.379</v>
      </c>
      <c r="J3447">
        <v>19.44</v>
      </c>
      <c r="K3447">
        <v>24.19</v>
      </c>
      <c r="L3447">
        <v>16.27</v>
      </c>
      <c r="M3447">
        <v>2.11</v>
      </c>
      <c r="N3447">
        <v>1.419</v>
      </c>
      <c r="O3447">
        <v>19.46</v>
      </c>
      <c r="P3447">
        <v>23.59</v>
      </c>
      <c r="Q3447">
        <v>16.79</v>
      </c>
      <c r="R3447">
        <v>3.0</v>
      </c>
    </row>
    <row r="3448">
      <c r="A3448" s="9">
        <v>41979</v>
      </c>
      <c r="B3448" s="2" t="inlineStr">
        <is>
          <t xml:space="preserve">2014-12</t>
        </is>
      </c>
      <c r="C3448" s="2" t="inlineStr">
        <is>
          <t xml:space="preserve">2014/15</t>
        </is>
      </c>
      <c r="D3448">
        <v>0.275</v>
      </c>
      <c r="E3448">
        <v>19.6</v>
      </c>
      <c r="F3448">
        <v>24.01</v>
      </c>
      <c r="G3448">
        <v>16.77</v>
      </c>
      <c r="H3448">
        <v>2.27</v>
      </c>
      <c r="I3448">
        <v>8.745</v>
      </c>
      <c r="J3448">
        <v>19.96</v>
      </c>
      <c r="K3448">
        <v>24.54</v>
      </c>
      <c r="L3448">
        <v>17.26</v>
      </c>
      <c r="M3448">
        <v>11.83</v>
      </c>
      <c r="N3448">
        <v>24.071</v>
      </c>
      <c r="O3448">
        <v>20.3</v>
      </c>
      <c r="P3448">
        <v>24.07</v>
      </c>
      <c r="Q3448">
        <v>18.12</v>
      </c>
      <c r="R3448">
        <v>19.64</v>
      </c>
    </row>
    <row r="3449">
      <c r="A3449" s="9">
        <v>41980</v>
      </c>
      <c r="B3449" s="2" t="inlineStr">
        <is>
          <t xml:space="preserve">2014-12</t>
        </is>
      </c>
      <c r="C3449" s="2" t="inlineStr">
        <is>
          <t xml:space="preserve">2014/15</t>
        </is>
      </c>
      <c r="D3449">
        <v>0.132</v>
      </c>
      <c r="E3449">
        <v>17.83</v>
      </c>
      <c r="F3449">
        <v>21.99</v>
      </c>
      <c r="G3449">
        <v>14.94</v>
      </c>
      <c r="H3449">
        <v>1.44</v>
      </c>
      <c r="I3449">
        <v>3.729</v>
      </c>
      <c r="J3449">
        <v>18.73</v>
      </c>
      <c r="K3449">
        <v>22.93</v>
      </c>
      <c r="L3449">
        <v>15.87</v>
      </c>
      <c r="M3449">
        <v>6.59</v>
      </c>
      <c r="N3449">
        <v>15.158</v>
      </c>
      <c r="O3449">
        <v>18.92</v>
      </c>
      <c r="P3449">
        <v>22.36</v>
      </c>
      <c r="Q3449">
        <v>16.47</v>
      </c>
      <c r="R3449">
        <v>12.99</v>
      </c>
    </row>
    <row r="3450">
      <c r="A3450" s="9">
        <v>41981</v>
      </c>
      <c r="B3450" s="2" t="inlineStr">
        <is>
          <t xml:space="preserve">2014-12</t>
        </is>
      </c>
      <c r="C3450" s="2" t="inlineStr">
        <is>
          <t xml:space="preserve">2014/15</t>
        </is>
      </c>
      <c r="D3450">
        <v>0.0</v>
      </c>
      <c r="E3450">
        <v>17.15</v>
      </c>
      <c r="F3450">
        <v>22.24</v>
      </c>
      <c r="G3450">
        <v>14.18</v>
      </c>
      <c r="H3450">
        <v>0.48</v>
      </c>
      <c r="I3450">
        <v>1.36</v>
      </c>
      <c r="J3450">
        <v>17.96</v>
      </c>
      <c r="K3450">
        <v>22.04</v>
      </c>
      <c r="L3450">
        <v>15.42</v>
      </c>
      <c r="M3450">
        <v>2.35</v>
      </c>
      <c r="N3450">
        <v>5.103</v>
      </c>
      <c r="O3450">
        <v>18.42</v>
      </c>
      <c r="P3450">
        <v>22.15</v>
      </c>
      <c r="Q3450">
        <v>16.2</v>
      </c>
      <c r="R3450">
        <v>3.5</v>
      </c>
    </row>
    <row r="3451">
      <c r="A3451" s="9">
        <v>41982</v>
      </c>
      <c r="B3451" s="2" t="inlineStr">
        <is>
          <t xml:space="preserve">2014-12</t>
        </is>
      </c>
      <c r="C3451" s="2" t="inlineStr">
        <is>
          <t xml:space="preserve">2014/15</t>
        </is>
      </c>
      <c r="D3451">
        <v>0.247</v>
      </c>
      <c r="E3451">
        <v>17.73</v>
      </c>
      <c r="F3451">
        <v>22.9</v>
      </c>
      <c r="G3451">
        <v>14.05</v>
      </c>
      <c r="H3451">
        <v>1.87</v>
      </c>
      <c r="I3451">
        <v>1.67</v>
      </c>
      <c r="J3451">
        <v>18.45</v>
      </c>
      <c r="K3451">
        <v>22.58</v>
      </c>
      <c r="L3451">
        <v>16.0</v>
      </c>
      <c r="M3451">
        <v>2.39</v>
      </c>
      <c r="N3451">
        <v>6.188</v>
      </c>
      <c r="O3451">
        <v>18.57</v>
      </c>
      <c r="P3451">
        <v>22.41</v>
      </c>
      <c r="Q3451">
        <v>16.08</v>
      </c>
      <c r="R3451">
        <v>3.17</v>
      </c>
    </row>
    <row r="3452">
      <c r="A3452" s="9">
        <v>41983</v>
      </c>
      <c r="B3452" s="2" t="inlineStr">
        <is>
          <t xml:space="preserve">2014-12</t>
        </is>
      </c>
      <c r="C3452" s="2" t="inlineStr">
        <is>
          <t xml:space="preserve">2014/15</t>
        </is>
      </c>
      <c r="D3452">
        <v>0.157</v>
      </c>
      <c r="E3452">
        <v>17.61</v>
      </c>
      <c r="F3452">
        <v>22.2</v>
      </c>
      <c r="G3452">
        <v>14.91</v>
      </c>
      <c r="H3452">
        <v>3.1</v>
      </c>
      <c r="I3452">
        <v>0.073</v>
      </c>
      <c r="J3452">
        <v>17.31</v>
      </c>
      <c r="K3452">
        <v>21.06</v>
      </c>
      <c r="L3452">
        <v>14.98</v>
      </c>
      <c r="M3452">
        <v>0.56</v>
      </c>
      <c r="N3452">
        <v>0.79</v>
      </c>
      <c r="O3452">
        <v>17.73</v>
      </c>
      <c r="P3452">
        <v>21.14</v>
      </c>
      <c r="Q3452">
        <v>15.61</v>
      </c>
      <c r="R3452">
        <v>0.92</v>
      </c>
    </row>
    <row r="3453">
      <c r="A3453" s="9">
        <v>41984</v>
      </c>
      <c r="B3453" s="2" t="inlineStr">
        <is>
          <t xml:space="preserve">2014-12</t>
        </is>
      </c>
      <c r="C3453" s="2" t="inlineStr">
        <is>
          <t xml:space="preserve">2014/15</t>
        </is>
      </c>
      <c r="D3453">
        <v>0.081</v>
      </c>
      <c r="E3453">
        <v>17.39</v>
      </c>
      <c r="F3453">
        <v>22.68</v>
      </c>
      <c r="G3453">
        <v>14.08</v>
      </c>
      <c r="H3453">
        <v>1.62</v>
      </c>
      <c r="I3453">
        <v>0.721</v>
      </c>
      <c r="J3453">
        <v>17.51</v>
      </c>
      <c r="K3453">
        <v>22.45</v>
      </c>
      <c r="L3453">
        <v>14.57</v>
      </c>
      <c r="M3453">
        <v>1.66</v>
      </c>
      <c r="N3453">
        <v>2.806</v>
      </c>
      <c r="O3453">
        <v>17.48</v>
      </c>
      <c r="P3453">
        <v>21.71</v>
      </c>
      <c r="Q3453">
        <v>15.28</v>
      </c>
      <c r="R3453">
        <v>3.21</v>
      </c>
    </row>
    <row r="3454">
      <c r="A3454" s="9">
        <v>41985</v>
      </c>
      <c r="B3454" s="2" t="inlineStr">
        <is>
          <t xml:space="preserve">2014-12</t>
        </is>
      </c>
      <c r="C3454" s="2" t="inlineStr">
        <is>
          <t xml:space="preserve">2014/15</t>
        </is>
      </c>
      <c r="D3454">
        <v>0.036</v>
      </c>
      <c r="E3454">
        <v>17.11</v>
      </c>
      <c r="F3454">
        <v>22.49</v>
      </c>
      <c r="G3454">
        <v>13.48</v>
      </c>
      <c r="H3454">
        <v>0.8</v>
      </c>
      <c r="I3454">
        <v>0.931</v>
      </c>
      <c r="J3454">
        <v>17.39</v>
      </c>
      <c r="K3454">
        <v>22.34</v>
      </c>
      <c r="L3454">
        <v>14.24</v>
      </c>
      <c r="M3454">
        <v>2.58</v>
      </c>
      <c r="N3454">
        <v>3.98</v>
      </c>
      <c r="O3454">
        <v>17.16</v>
      </c>
      <c r="P3454">
        <v>21.36</v>
      </c>
      <c r="Q3454">
        <v>14.67</v>
      </c>
      <c r="R3454">
        <v>5.66</v>
      </c>
    </row>
    <row r="3455">
      <c r="A3455" s="9">
        <v>41986</v>
      </c>
      <c r="B3455" s="2" t="inlineStr">
        <is>
          <t xml:space="preserve">2014-12</t>
        </is>
      </c>
      <c r="C3455" s="2" t="inlineStr">
        <is>
          <t xml:space="preserve">2014/15</t>
        </is>
      </c>
      <c r="D3455">
        <v>0.0</v>
      </c>
      <c r="E3455">
        <v>17.02</v>
      </c>
      <c r="F3455">
        <v>21.76</v>
      </c>
      <c r="G3455">
        <v>13.93</v>
      </c>
      <c r="H3455">
        <v>0.38</v>
      </c>
      <c r="I3455">
        <v>1.111</v>
      </c>
      <c r="J3455">
        <v>17.12</v>
      </c>
      <c r="K3455">
        <v>21.81</v>
      </c>
      <c r="L3455">
        <v>14.09</v>
      </c>
      <c r="M3455">
        <v>2.25</v>
      </c>
      <c r="N3455">
        <v>4.468</v>
      </c>
      <c r="O3455">
        <v>17.04</v>
      </c>
      <c r="P3455">
        <v>21.53</v>
      </c>
      <c r="Q3455">
        <v>14.3</v>
      </c>
      <c r="R3455">
        <v>5.08</v>
      </c>
    </row>
    <row r="3456">
      <c r="A3456" s="9">
        <v>41987</v>
      </c>
      <c r="B3456" s="2" t="inlineStr">
        <is>
          <t xml:space="preserve">2014-12</t>
        </is>
      </c>
      <c r="C3456" s="2" t="inlineStr">
        <is>
          <t xml:space="preserve">2014/15</t>
        </is>
      </c>
      <c r="D3456">
        <v>0.0</v>
      </c>
      <c r="E3456">
        <v>17.33</v>
      </c>
      <c r="F3456">
        <v>22.45</v>
      </c>
      <c r="G3456">
        <v>13.84</v>
      </c>
      <c r="H3456">
        <v>0.4</v>
      </c>
      <c r="I3456">
        <v>0.478</v>
      </c>
      <c r="J3456">
        <v>17.77</v>
      </c>
      <c r="K3456">
        <v>22.95</v>
      </c>
      <c r="L3456">
        <v>14.56</v>
      </c>
      <c r="M3456">
        <v>1.45</v>
      </c>
      <c r="N3456">
        <v>2.239</v>
      </c>
      <c r="O3456">
        <v>17.48</v>
      </c>
      <c r="P3456">
        <v>22.1</v>
      </c>
      <c r="Q3456">
        <v>14.81</v>
      </c>
      <c r="R3456">
        <v>3.95</v>
      </c>
    </row>
    <row r="3457">
      <c r="A3457" s="9">
        <v>41988</v>
      </c>
      <c r="B3457" s="2" t="inlineStr">
        <is>
          <t xml:space="preserve">2014-12</t>
        </is>
      </c>
      <c r="C3457" s="2" t="inlineStr">
        <is>
          <t xml:space="preserve">2014/15</t>
        </is>
      </c>
      <c r="D3457">
        <v>0.0</v>
      </c>
      <c r="E3457">
        <v>17.54</v>
      </c>
      <c r="F3457">
        <v>23.36</v>
      </c>
      <c r="G3457">
        <v>13.44</v>
      </c>
      <c r="H3457">
        <v>0.01</v>
      </c>
      <c r="I3457">
        <v>0.0</v>
      </c>
      <c r="J3457">
        <v>17.66</v>
      </c>
      <c r="K3457">
        <v>23.26</v>
      </c>
      <c r="L3457">
        <v>13.77</v>
      </c>
      <c r="M3457">
        <v>0.02</v>
      </c>
      <c r="N3457">
        <v>0.0</v>
      </c>
      <c r="O3457">
        <v>17.54</v>
      </c>
      <c r="P3457">
        <v>22.49</v>
      </c>
      <c r="Q3457">
        <v>14.37</v>
      </c>
      <c r="R3457">
        <v>0.13</v>
      </c>
    </row>
    <row r="3458">
      <c r="A3458" s="9">
        <v>41989</v>
      </c>
      <c r="B3458" s="2" t="inlineStr">
        <is>
          <t xml:space="preserve">2014-12</t>
        </is>
      </c>
      <c r="C3458" s="2" t="inlineStr">
        <is>
          <t xml:space="preserve">2014/15</t>
        </is>
      </c>
      <c r="D3458">
        <v>0.0</v>
      </c>
      <c r="E3458">
        <v>17.49</v>
      </c>
      <c r="F3458">
        <v>23.07</v>
      </c>
      <c r="G3458">
        <v>12.95</v>
      </c>
      <c r="H3458">
        <v>0.04</v>
      </c>
      <c r="I3458">
        <v>0.0</v>
      </c>
      <c r="J3458">
        <v>17.33</v>
      </c>
      <c r="K3458">
        <v>22.37</v>
      </c>
      <c r="L3458">
        <v>13.2</v>
      </c>
      <c r="M3458">
        <v>0.04</v>
      </c>
      <c r="N3458">
        <v>0.0</v>
      </c>
      <c r="O3458">
        <v>17.59</v>
      </c>
      <c r="P3458">
        <v>22.12</v>
      </c>
      <c r="Q3458">
        <v>14.15</v>
      </c>
      <c r="R3458">
        <v>0.19</v>
      </c>
    </row>
    <row r="3459">
      <c r="A3459" s="9">
        <v>41990</v>
      </c>
      <c r="B3459" s="2" t="inlineStr">
        <is>
          <t xml:space="preserve">2014-12</t>
        </is>
      </c>
      <c r="C3459" s="2" t="inlineStr">
        <is>
          <t xml:space="preserve">2014/15</t>
        </is>
      </c>
      <c r="D3459">
        <v>0.04</v>
      </c>
      <c r="E3459">
        <v>17.56</v>
      </c>
      <c r="F3459">
        <v>22.73</v>
      </c>
      <c r="G3459">
        <v>13.72</v>
      </c>
      <c r="H3459">
        <v>0.02</v>
      </c>
      <c r="I3459">
        <v>0.0</v>
      </c>
      <c r="J3459">
        <v>17.51</v>
      </c>
      <c r="K3459">
        <v>22.11</v>
      </c>
      <c r="L3459">
        <v>14.55</v>
      </c>
      <c r="M3459">
        <v>0.0</v>
      </c>
      <c r="N3459">
        <v>0.0</v>
      </c>
      <c r="O3459">
        <v>17.45</v>
      </c>
      <c r="P3459">
        <v>21.71</v>
      </c>
      <c r="Q3459">
        <v>14.42</v>
      </c>
      <c r="R3459">
        <v>0.0</v>
      </c>
    </row>
    <row r="3460">
      <c r="A3460" s="9">
        <v>41991</v>
      </c>
      <c r="B3460" s="2" t="inlineStr">
        <is>
          <t xml:space="preserve">2014-12</t>
        </is>
      </c>
      <c r="C3460" s="2" t="inlineStr">
        <is>
          <t xml:space="preserve">2014/15</t>
        </is>
      </c>
      <c r="D3460">
        <v>0.0</v>
      </c>
      <c r="E3460">
        <v>18.27</v>
      </c>
      <c r="F3460">
        <v>24.27</v>
      </c>
      <c r="G3460">
        <v>14.14</v>
      </c>
      <c r="H3460">
        <v>0.01</v>
      </c>
      <c r="I3460">
        <v>0.0</v>
      </c>
      <c r="J3460">
        <v>18.08</v>
      </c>
      <c r="K3460">
        <v>23.68</v>
      </c>
      <c r="L3460">
        <v>14.67</v>
      </c>
      <c r="M3460">
        <v>0.0</v>
      </c>
      <c r="N3460">
        <v>0.0</v>
      </c>
      <c r="O3460">
        <v>18.13</v>
      </c>
      <c r="P3460">
        <v>23.16</v>
      </c>
      <c r="Q3460">
        <v>15.08</v>
      </c>
      <c r="R3460">
        <v>0.0</v>
      </c>
    </row>
    <row r="3461">
      <c r="A3461" s="9">
        <v>41992</v>
      </c>
      <c r="B3461" s="2" t="inlineStr">
        <is>
          <t xml:space="preserve">2014-12</t>
        </is>
      </c>
      <c r="C3461" s="2" t="inlineStr">
        <is>
          <t xml:space="preserve">2014/15</t>
        </is>
      </c>
      <c r="D3461">
        <v>0.0</v>
      </c>
      <c r="E3461">
        <v>19.86</v>
      </c>
      <c r="F3461">
        <v>25.85</v>
      </c>
      <c r="G3461">
        <v>14.84</v>
      </c>
      <c r="H3461">
        <v>0.0</v>
      </c>
      <c r="I3461">
        <v>0.0</v>
      </c>
      <c r="J3461">
        <v>19.3</v>
      </c>
      <c r="K3461">
        <v>25.56</v>
      </c>
      <c r="L3461">
        <v>14.41</v>
      </c>
      <c r="M3461">
        <v>0.01</v>
      </c>
      <c r="N3461">
        <v>0.0</v>
      </c>
      <c r="O3461">
        <v>19.69</v>
      </c>
      <c r="P3461">
        <v>25.2</v>
      </c>
      <c r="Q3461">
        <v>15.34</v>
      </c>
      <c r="R3461">
        <v>0.01</v>
      </c>
    </row>
    <row r="3462">
      <c r="A3462" s="9">
        <v>41993</v>
      </c>
      <c r="B3462" s="2" t="inlineStr">
        <is>
          <t xml:space="preserve">2014-12</t>
        </is>
      </c>
      <c r="C3462" s="2" t="inlineStr">
        <is>
          <t xml:space="preserve">2014/15</t>
        </is>
      </c>
      <c r="D3462">
        <v>0.0</v>
      </c>
      <c r="E3462">
        <v>20.39</v>
      </c>
      <c r="F3462">
        <v>25.55</v>
      </c>
      <c r="G3462">
        <v>16.95</v>
      </c>
      <c r="H3462">
        <v>0.13</v>
      </c>
      <c r="I3462">
        <v>0.024</v>
      </c>
      <c r="J3462">
        <v>20.58</v>
      </c>
      <c r="K3462">
        <v>25.6</v>
      </c>
      <c r="L3462">
        <v>16.35</v>
      </c>
      <c r="M3462">
        <v>0.13</v>
      </c>
      <c r="N3462">
        <v>0.244</v>
      </c>
      <c r="O3462">
        <v>20.89</v>
      </c>
      <c r="P3462">
        <v>25.61</v>
      </c>
      <c r="Q3462">
        <v>17.62</v>
      </c>
      <c r="R3462">
        <v>0.15</v>
      </c>
    </row>
    <row r="3463">
      <c r="A3463" s="9">
        <v>41994</v>
      </c>
      <c r="B3463" s="2" t="inlineStr">
        <is>
          <t xml:space="preserve">2014-12</t>
        </is>
      </c>
      <c r="C3463" s="2" t="inlineStr">
        <is>
          <t xml:space="preserve">2014/15</t>
        </is>
      </c>
      <c r="D3463">
        <v>0.042</v>
      </c>
      <c r="E3463">
        <v>18.98</v>
      </c>
      <c r="F3463">
        <v>24.53</v>
      </c>
      <c r="G3463">
        <v>15.29</v>
      </c>
      <c r="H3463">
        <v>0.03</v>
      </c>
      <c r="I3463">
        <v>0.035</v>
      </c>
      <c r="J3463">
        <v>19.57</v>
      </c>
      <c r="K3463">
        <v>24.69</v>
      </c>
      <c r="L3463">
        <v>15.71</v>
      </c>
      <c r="M3463">
        <v>0.02</v>
      </c>
      <c r="N3463">
        <v>0.178</v>
      </c>
      <c r="O3463">
        <v>19.64</v>
      </c>
      <c r="P3463">
        <v>23.93</v>
      </c>
      <c r="Q3463">
        <v>16.7</v>
      </c>
      <c r="R3463">
        <v>0.03</v>
      </c>
    </row>
    <row r="3464">
      <c r="A3464" s="9">
        <v>41995</v>
      </c>
      <c r="B3464" s="2" t="inlineStr">
        <is>
          <t xml:space="preserve">2014-12</t>
        </is>
      </c>
      <c r="C3464" s="2" t="inlineStr">
        <is>
          <t xml:space="preserve">2014/15</t>
        </is>
      </c>
      <c r="D3464">
        <v>0.0</v>
      </c>
      <c r="E3464">
        <v>19.12</v>
      </c>
      <c r="F3464">
        <v>25.65</v>
      </c>
      <c r="G3464">
        <v>14.16</v>
      </c>
      <c r="H3464">
        <v>0.0</v>
      </c>
      <c r="I3464">
        <v>0.0</v>
      </c>
      <c r="J3464">
        <v>19.99</v>
      </c>
      <c r="K3464">
        <v>25.92</v>
      </c>
      <c r="L3464">
        <v>14.6</v>
      </c>
      <c r="M3464">
        <v>0.0</v>
      </c>
      <c r="N3464">
        <v>0.0</v>
      </c>
      <c r="O3464">
        <v>19.93</v>
      </c>
      <c r="P3464">
        <v>25.27</v>
      </c>
      <c r="Q3464">
        <v>16.08</v>
      </c>
      <c r="R3464">
        <v>0.0</v>
      </c>
    </row>
    <row r="3465">
      <c r="A3465" s="9">
        <v>41996</v>
      </c>
      <c r="B3465" s="2" t="inlineStr">
        <is>
          <t xml:space="preserve">2014-12</t>
        </is>
      </c>
      <c r="C3465" s="2" t="inlineStr">
        <is>
          <t xml:space="preserve">2014/15</t>
        </is>
      </c>
      <c r="D3465">
        <v>0.0</v>
      </c>
      <c r="E3465">
        <v>19.79</v>
      </c>
      <c r="F3465">
        <v>26.78</v>
      </c>
      <c r="G3465">
        <v>13.73</v>
      </c>
      <c r="H3465">
        <v>0.0</v>
      </c>
      <c r="I3465">
        <v>0.0</v>
      </c>
      <c r="J3465">
        <v>19.58</v>
      </c>
      <c r="K3465">
        <v>25.11</v>
      </c>
      <c r="L3465">
        <v>15.25</v>
      </c>
      <c r="M3465">
        <v>0.0</v>
      </c>
      <c r="N3465">
        <v>0.0</v>
      </c>
      <c r="O3465">
        <v>19.92</v>
      </c>
      <c r="P3465">
        <v>25.85</v>
      </c>
      <c r="Q3465">
        <v>14.57</v>
      </c>
      <c r="R3465">
        <v>0.0</v>
      </c>
    </row>
    <row r="3466">
      <c r="A3466" s="9">
        <v>41997</v>
      </c>
      <c r="B3466" s="2" t="inlineStr">
        <is>
          <t xml:space="preserve">2014-12</t>
        </is>
      </c>
      <c r="C3466" s="2" t="inlineStr">
        <is>
          <t xml:space="preserve">2014/15</t>
        </is>
      </c>
      <c r="D3466">
        <v>0.0</v>
      </c>
      <c r="E3466">
        <v>21.0</v>
      </c>
      <c r="F3466">
        <v>28.08</v>
      </c>
      <c r="G3466">
        <v>14.84</v>
      </c>
      <c r="H3466">
        <v>0.27</v>
      </c>
      <c r="I3466">
        <v>0.0</v>
      </c>
      <c r="J3466">
        <v>20.41</v>
      </c>
      <c r="K3466">
        <v>26.56</v>
      </c>
      <c r="L3466">
        <v>15.18</v>
      </c>
      <c r="M3466">
        <v>0.42</v>
      </c>
      <c r="N3466">
        <v>0.0</v>
      </c>
      <c r="O3466">
        <v>20.53</v>
      </c>
      <c r="P3466">
        <v>26.74</v>
      </c>
      <c r="Q3466">
        <v>15.06</v>
      </c>
      <c r="R3466">
        <v>0.95</v>
      </c>
    </row>
    <row r="3467">
      <c r="A3467" s="9">
        <v>41998</v>
      </c>
      <c r="B3467" s="2" t="inlineStr">
        <is>
          <t xml:space="preserve">2014-12</t>
        </is>
      </c>
      <c r="C3467" s="2" t="inlineStr">
        <is>
          <t xml:space="preserve">2014/15</t>
        </is>
      </c>
      <c r="D3467">
        <v>0.0</v>
      </c>
      <c r="E3467">
        <v>19.1</v>
      </c>
      <c r="F3467">
        <v>23.29</v>
      </c>
      <c r="G3467">
        <v>16.06</v>
      </c>
      <c r="H3467">
        <v>2.81</v>
      </c>
      <c r="I3467">
        <v>1.098</v>
      </c>
      <c r="J3467">
        <v>17.58</v>
      </c>
      <c r="K3467">
        <v>21.53</v>
      </c>
      <c r="L3467">
        <v>14.59</v>
      </c>
      <c r="M3467">
        <v>1.76</v>
      </c>
      <c r="N3467">
        <v>4.241</v>
      </c>
      <c r="O3467">
        <v>17.9</v>
      </c>
      <c r="P3467">
        <v>21.22</v>
      </c>
      <c r="Q3467">
        <v>15.58</v>
      </c>
      <c r="R3467">
        <v>2.94</v>
      </c>
    </row>
    <row r="3468">
      <c r="A3468" s="9">
        <v>41999</v>
      </c>
      <c r="B3468" s="2" t="inlineStr">
        <is>
          <t xml:space="preserve">2014-12</t>
        </is>
      </c>
      <c r="C3468" s="2" t="inlineStr">
        <is>
          <t xml:space="preserve">2014/15</t>
        </is>
      </c>
      <c r="D3468">
        <v>0.185</v>
      </c>
      <c r="E3468">
        <v>18.41</v>
      </c>
      <c r="F3468">
        <v>23.83</v>
      </c>
      <c r="G3468">
        <v>15.46</v>
      </c>
      <c r="H3468">
        <v>0.37</v>
      </c>
      <c r="I3468">
        <v>0.074</v>
      </c>
      <c r="J3468">
        <v>18.67</v>
      </c>
      <c r="K3468">
        <v>24.53</v>
      </c>
      <c r="L3468">
        <v>15.17</v>
      </c>
      <c r="M3468">
        <v>0.2</v>
      </c>
      <c r="N3468">
        <v>0.77</v>
      </c>
      <c r="O3468">
        <v>18.76</v>
      </c>
      <c r="P3468">
        <v>23.73</v>
      </c>
      <c r="Q3468">
        <v>15.54</v>
      </c>
      <c r="R3468">
        <v>0.41</v>
      </c>
    </row>
    <row r="3469">
      <c r="A3469" s="9">
        <v>42000</v>
      </c>
      <c r="B3469" s="2" t="inlineStr">
        <is>
          <t xml:space="preserve">2014-12</t>
        </is>
      </c>
      <c r="C3469" s="2" t="inlineStr">
        <is>
          <t xml:space="preserve">2014/15</t>
        </is>
      </c>
      <c r="D3469">
        <v>0.212</v>
      </c>
      <c r="E3469">
        <v>19.38</v>
      </c>
      <c r="F3469">
        <v>25.81</v>
      </c>
      <c r="G3469">
        <v>13.96</v>
      </c>
      <c r="H3469">
        <v>0.39</v>
      </c>
      <c r="I3469">
        <v>0.0</v>
      </c>
      <c r="J3469">
        <v>19.49</v>
      </c>
      <c r="K3469">
        <v>25.41</v>
      </c>
      <c r="L3469">
        <v>14.97</v>
      </c>
      <c r="M3469">
        <v>0.0</v>
      </c>
      <c r="N3469">
        <v>0.0</v>
      </c>
      <c r="O3469">
        <v>19.76</v>
      </c>
      <c r="P3469">
        <v>24.74</v>
      </c>
      <c r="Q3469">
        <v>16.07</v>
      </c>
      <c r="R3469">
        <v>0.16</v>
      </c>
    </row>
    <row r="3470">
      <c r="A3470" s="9">
        <v>42001</v>
      </c>
      <c r="B3470" s="2" t="inlineStr">
        <is>
          <t xml:space="preserve">2014-12</t>
        </is>
      </c>
      <c r="C3470" s="2" t="inlineStr">
        <is>
          <t xml:space="preserve">2014/15</t>
        </is>
      </c>
      <c r="D3470">
        <v>0.29</v>
      </c>
      <c r="E3470">
        <v>20.1</v>
      </c>
      <c r="F3470">
        <v>26.23</v>
      </c>
      <c r="G3470">
        <v>15.34</v>
      </c>
      <c r="H3470">
        <v>0.1</v>
      </c>
      <c r="I3470">
        <v>0.0</v>
      </c>
      <c r="J3470">
        <v>20.84</v>
      </c>
      <c r="K3470">
        <v>26.48</v>
      </c>
      <c r="L3470">
        <v>17.07</v>
      </c>
      <c r="M3470">
        <v>0.0</v>
      </c>
      <c r="N3470">
        <v>0.0</v>
      </c>
      <c r="O3470">
        <v>20.99</v>
      </c>
      <c r="P3470">
        <v>25.78</v>
      </c>
      <c r="Q3470">
        <v>18.08</v>
      </c>
      <c r="R3470">
        <v>0.47</v>
      </c>
    </row>
    <row r="3471">
      <c r="A3471" s="9">
        <v>42002</v>
      </c>
      <c r="B3471" s="2" t="inlineStr">
        <is>
          <t xml:space="preserve">2014-12</t>
        </is>
      </c>
      <c r="C3471" s="2" t="inlineStr">
        <is>
          <t xml:space="preserve">2014/15</t>
        </is>
      </c>
      <c r="D3471">
        <v>0.0</v>
      </c>
      <c r="E3471">
        <v>19.76</v>
      </c>
      <c r="F3471">
        <v>26.18</v>
      </c>
      <c r="G3471">
        <v>15.71</v>
      </c>
      <c r="H3471">
        <v>0.01</v>
      </c>
      <c r="I3471">
        <v>0.0</v>
      </c>
      <c r="J3471">
        <v>20.53</v>
      </c>
      <c r="K3471">
        <v>25.91</v>
      </c>
      <c r="L3471">
        <v>16.77</v>
      </c>
      <c r="M3471">
        <v>0.03</v>
      </c>
      <c r="N3471">
        <v>0.0</v>
      </c>
      <c r="O3471">
        <v>20.49</v>
      </c>
      <c r="P3471">
        <v>24.96</v>
      </c>
      <c r="Q3471">
        <v>17.71</v>
      </c>
      <c r="R3471">
        <v>0.24</v>
      </c>
    </row>
    <row r="3472">
      <c r="A3472" s="9">
        <v>42003</v>
      </c>
      <c r="B3472" s="2" t="inlineStr">
        <is>
          <t xml:space="preserve">2014-12</t>
        </is>
      </c>
      <c r="C3472" s="2" t="inlineStr">
        <is>
          <t xml:space="preserve">2014/15</t>
        </is>
      </c>
      <c r="D3472">
        <v>0.0</v>
      </c>
      <c r="E3472">
        <v>19.24</v>
      </c>
      <c r="F3472">
        <v>25.28</v>
      </c>
      <c r="G3472">
        <v>14.3</v>
      </c>
      <c r="H3472">
        <v>0.13</v>
      </c>
      <c r="I3472">
        <v>0.0</v>
      </c>
      <c r="J3472">
        <v>19.74</v>
      </c>
      <c r="K3472">
        <v>24.24</v>
      </c>
      <c r="L3472">
        <v>15.96</v>
      </c>
      <c r="M3472">
        <v>0.32</v>
      </c>
      <c r="N3472">
        <v>0.103</v>
      </c>
      <c r="O3472">
        <v>19.68</v>
      </c>
      <c r="P3472">
        <v>23.85</v>
      </c>
      <c r="Q3472">
        <v>16.6</v>
      </c>
      <c r="R3472">
        <v>1.67</v>
      </c>
    </row>
    <row r="3473">
      <c r="A3473" s="9">
        <v>42004</v>
      </c>
      <c r="B3473" s="2" t="inlineStr">
        <is>
          <t xml:space="preserve">2014-12</t>
        </is>
      </c>
      <c r="C3473" s="2" t="inlineStr">
        <is>
          <t xml:space="preserve">2014/15</t>
        </is>
      </c>
      <c r="D3473">
        <v>0.0</v>
      </c>
      <c r="E3473">
        <v>19.06</v>
      </c>
      <c r="F3473">
        <v>25.43</v>
      </c>
      <c r="G3473">
        <v>15.33</v>
      </c>
      <c r="H3473">
        <v>0.21</v>
      </c>
      <c r="I3473">
        <v>0.021</v>
      </c>
      <c r="J3473">
        <v>19.32</v>
      </c>
      <c r="K3473">
        <v>24.25</v>
      </c>
      <c r="L3473">
        <v>15.4</v>
      </c>
      <c r="M3473">
        <v>0.7</v>
      </c>
      <c r="N3473">
        <v>0.419</v>
      </c>
      <c r="O3473">
        <v>19.4</v>
      </c>
      <c r="P3473">
        <v>22.61</v>
      </c>
      <c r="Q3473">
        <v>16.78</v>
      </c>
      <c r="R3473">
        <v>1.58</v>
      </c>
    </row>
    <row r="3474">
      <c r="A3474" s="9">
        <v>42005</v>
      </c>
      <c r="B3474" s="2" t="inlineStr">
        <is>
          <t xml:space="preserve">2015-01</t>
        </is>
      </c>
      <c r="C3474" s="2" t="inlineStr">
        <is>
          <t xml:space="preserve">2014/15</t>
        </is>
      </c>
      <c r="D3474">
        <v>0.0</v>
      </c>
      <c r="E3474">
        <v>19.03</v>
      </c>
      <c r="F3474">
        <v>25.65</v>
      </c>
      <c r="G3474">
        <v>13.74</v>
      </c>
      <c r="H3474">
        <v>0.33</v>
      </c>
      <c r="I3474">
        <v>0.0</v>
      </c>
      <c r="J3474">
        <v>19.27</v>
      </c>
      <c r="K3474">
        <v>24.48</v>
      </c>
      <c r="L3474">
        <v>15.16</v>
      </c>
      <c r="M3474">
        <v>0.82</v>
      </c>
      <c r="N3474">
        <v>0.465</v>
      </c>
      <c r="O3474">
        <v>19.21</v>
      </c>
      <c r="P3474">
        <v>23.65</v>
      </c>
      <c r="Q3474">
        <v>15.54</v>
      </c>
      <c r="R3474">
        <v>2.27</v>
      </c>
    </row>
    <row r="3475">
      <c r="A3475" s="9">
        <v>42006</v>
      </c>
      <c r="B3475" s="2" t="inlineStr">
        <is>
          <t xml:space="preserve">2015-01</t>
        </is>
      </c>
      <c r="C3475" s="2" t="inlineStr">
        <is>
          <t xml:space="preserve">2014/15</t>
        </is>
      </c>
      <c r="D3475">
        <v>0.042</v>
      </c>
      <c r="E3475">
        <v>19.66</v>
      </c>
      <c r="F3475">
        <v>24.95</v>
      </c>
      <c r="G3475">
        <v>15.78</v>
      </c>
      <c r="H3475">
        <v>1.43</v>
      </c>
      <c r="I3475">
        <v>0.044</v>
      </c>
      <c r="J3475">
        <v>19.91</v>
      </c>
      <c r="K3475">
        <v>25.37</v>
      </c>
      <c r="L3475">
        <v>16.47</v>
      </c>
      <c r="M3475">
        <v>0.43</v>
      </c>
      <c r="N3475">
        <v>0.598</v>
      </c>
      <c r="O3475">
        <v>20.01</v>
      </c>
      <c r="P3475">
        <v>24.41</v>
      </c>
      <c r="Q3475">
        <v>17.12</v>
      </c>
      <c r="R3475">
        <v>2.13</v>
      </c>
    </row>
    <row r="3476">
      <c r="A3476" s="9">
        <v>42007</v>
      </c>
      <c r="B3476" s="2" t="inlineStr">
        <is>
          <t xml:space="preserve">2015-01</t>
        </is>
      </c>
      <c r="C3476" s="2" t="inlineStr">
        <is>
          <t xml:space="preserve">2014/15</t>
        </is>
      </c>
      <c r="D3476">
        <v>0.979</v>
      </c>
      <c r="E3476">
        <v>20.52</v>
      </c>
      <c r="F3476">
        <v>26.55</v>
      </c>
      <c r="G3476">
        <v>16.07</v>
      </c>
      <c r="H3476">
        <v>0.95</v>
      </c>
      <c r="I3476">
        <v>0.061</v>
      </c>
      <c r="J3476">
        <v>20.95</v>
      </c>
      <c r="K3476">
        <v>26.36</v>
      </c>
      <c r="L3476">
        <v>16.53</v>
      </c>
      <c r="M3476">
        <v>0.17</v>
      </c>
      <c r="N3476">
        <v>0.393</v>
      </c>
      <c r="O3476">
        <v>20.93</v>
      </c>
      <c r="P3476">
        <v>25.2</v>
      </c>
      <c r="Q3476">
        <v>17.79</v>
      </c>
      <c r="R3476">
        <v>1.47</v>
      </c>
    </row>
    <row r="3477">
      <c r="A3477" s="9">
        <v>42008</v>
      </c>
      <c r="B3477" s="2" t="inlineStr">
        <is>
          <t xml:space="preserve">2015-01</t>
        </is>
      </c>
      <c r="C3477" s="2" t="inlineStr">
        <is>
          <t xml:space="preserve">2014/15</t>
        </is>
      </c>
      <c r="D3477">
        <v>0.332</v>
      </c>
      <c r="E3477">
        <v>20.26</v>
      </c>
      <c r="F3477">
        <v>26.63</v>
      </c>
      <c r="G3477">
        <v>16.08</v>
      </c>
      <c r="H3477">
        <v>0.12</v>
      </c>
      <c r="I3477">
        <v>0.0</v>
      </c>
      <c r="J3477">
        <v>21.1</v>
      </c>
      <c r="K3477">
        <v>26.29</v>
      </c>
      <c r="L3477">
        <v>17.69</v>
      </c>
      <c r="M3477">
        <v>0.11</v>
      </c>
      <c r="N3477">
        <v>0.0</v>
      </c>
      <c r="O3477">
        <v>21.02</v>
      </c>
      <c r="P3477">
        <v>25.46</v>
      </c>
      <c r="Q3477">
        <v>18.25</v>
      </c>
      <c r="R3477">
        <v>0.27</v>
      </c>
    </row>
    <row r="3478">
      <c r="A3478" s="9">
        <v>42009</v>
      </c>
      <c r="B3478" s="2" t="inlineStr">
        <is>
          <t xml:space="preserve">2015-01</t>
        </is>
      </c>
      <c r="C3478" s="2" t="inlineStr">
        <is>
          <t xml:space="preserve">2014/15</t>
        </is>
      </c>
      <c r="D3478">
        <v>0.0</v>
      </c>
      <c r="E3478">
        <v>19.54</v>
      </c>
      <c r="F3478">
        <v>25.1</v>
      </c>
      <c r="G3478">
        <v>15.64</v>
      </c>
      <c r="H3478">
        <v>0.85</v>
      </c>
      <c r="I3478">
        <v>0.0</v>
      </c>
      <c r="J3478">
        <v>20.11</v>
      </c>
      <c r="K3478">
        <v>24.96</v>
      </c>
      <c r="L3478">
        <v>16.78</v>
      </c>
      <c r="M3478">
        <v>1.51</v>
      </c>
      <c r="N3478">
        <v>0.332</v>
      </c>
      <c r="O3478">
        <v>20.17</v>
      </c>
      <c r="P3478">
        <v>24.25</v>
      </c>
      <c r="Q3478">
        <v>17.27</v>
      </c>
      <c r="R3478">
        <v>4.65</v>
      </c>
    </row>
    <row r="3479">
      <c r="A3479" s="9">
        <v>42010</v>
      </c>
      <c r="B3479" s="2" t="inlineStr">
        <is>
          <t xml:space="preserve">2015-01</t>
        </is>
      </c>
      <c r="C3479" s="2" t="inlineStr">
        <is>
          <t xml:space="preserve">2014/15</t>
        </is>
      </c>
      <c r="D3479">
        <v>0.316</v>
      </c>
      <c r="E3479">
        <v>18.86</v>
      </c>
      <c r="F3479">
        <v>24.5</v>
      </c>
      <c r="G3479">
        <v>15.06</v>
      </c>
      <c r="H3479">
        <v>2.69</v>
      </c>
      <c r="I3479">
        <v>0.078</v>
      </c>
      <c r="J3479">
        <v>19.22</v>
      </c>
      <c r="K3479">
        <v>23.64</v>
      </c>
      <c r="L3479">
        <v>16.88</v>
      </c>
      <c r="M3479">
        <v>3.46</v>
      </c>
      <c r="N3479">
        <v>1.935</v>
      </c>
      <c r="O3479">
        <v>19.2</v>
      </c>
      <c r="P3479">
        <v>22.6</v>
      </c>
      <c r="Q3479">
        <v>17.28</v>
      </c>
      <c r="R3479">
        <v>9.69</v>
      </c>
    </row>
    <row r="3480">
      <c r="A3480" s="9">
        <v>42011</v>
      </c>
      <c r="B3480" s="2" t="inlineStr">
        <is>
          <t xml:space="preserve">2015-01</t>
        </is>
      </c>
      <c r="C3480" s="2" t="inlineStr">
        <is>
          <t xml:space="preserve">2014/15</t>
        </is>
      </c>
      <c r="D3480">
        <v>0.129</v>
      </c>
      <c r="E3480">
        <v>18.15</v>
      </c>
      <c r="F3480">
        <v>23.29</v>
      </c>
      <c r="G3480">
        <v>14.69</v>
      </c>
      <c r="H3480">
        <v>2.51</v>
      </c>
      <c r="I3480">
        <v>0.925</v>
      </c>
      <c r="J3480">
        <v>18.69</v>
      </c>
      <c r="K3480">
        <v>22.64</v>
      </c>
      <c r="L3480">
        <v>16.49</v>
      </c>
      <c r="M3480">
        <v>2.37</v>
      </c>
      <c r="N3480">
        <v>4.35</v>
      </c>
      <c r="O3480">
        <v>18.9</v>
      </c>
      <c r="P3480">
        <v>22.24</v>
      </c>
      <c r="Q3480">
        <v>16.87</v>
      </c>
      <c r="R3480">
        <v>6.45</v>
      </c>
    </row>
    <row r="3481">
      <c r="A3481" s="9">
        <v>42012</v>
      </c>
      <c r="B3481" s="2" t="inlineStr">
        <is>
          <t xml:space="preserve">2015-01</t>
        </is>
      </c>
      <c r="C3481" s="2" t="inlineStr">
        <is>
          <t xml:space="preserve">2014/15</t>
        </is>
      </c>
      <c r="D3481">
        <v>0.062</v>
      </c>
      <c r="E3481">
        <v>17.49</v>
      </c>
      <c r="F3481">
        <v>23.02</v>
      </c>
      <c r="G3481">
        <v>14.14</v>
      </c>
      <c r="H3481">
        <v>0.24</v>
      </c>
      <c r="I3481">
        <v>0.229</v>
      </c>
      <c r="J3481">
        <v>18.29</v>
      </c>
      <c r="K3481">
        <v>22.97</v>
      </c>
      <c r="L3481">
        <v>15.38</v>
      </c>
      <c r="M3481">
        <v>0.47</v>
      </c>
      <c r="N3481">
        <v>0.897</v>
      </c>
      <c r="O3481">
        <v>18.39</v>
      </c>
      <c r="P3481">
        <v>22.29</v>
      </c>
      <c r="Q3481">
        <v>15.68</v>
      </c>
      <c r="R3481">
        <v>1.01</v>
      </c>
    </row>
    <row r="3482">
      <c r="A3482" s="9">
        <v>42013</v>
      </c>
      <c r="B3482" s="2" t="inlineStr">
        <is>
          <t xml:space="preserve">2015-01</t>
        </is>
      </c>
      <c r="C3482" s="2" t="inlineStr">
        <is>
          <t xml:space="preserve">2014/15</t>
        </is>
      </c>
      <c r="D3482">
        <v>0.0</v>
      </c>
      <c r="E3482">
        <v>17.92</v>
      </c>
      <c r="F3482">
        <v>23.89</v>
      </c>
      <c r="G3482">
        <v>13.54</v>
      </c>
      <c r="H3482">
        <v>0.59</v>
      </c>
      <c r="I3482">
        <v>0.0</v>
      </c>
      <c r="J3482">
        <v>18.07</v>
      </c>
      <c r="K3482">
        <v>22.92</v>
      </c>
      <c r="L3482">
        <v>14.5</v>
      </c>
      <c r="M3482">
        <v>0.6</v>
      </c>
      <c r="N3482">
        <v>0.273</v>
      </c>
      <c r="O3482">
        <v>18.1</v>
      </c>
      <c r="P3482">
        <v>22.12</v>
      </c>
      <c r="Q3482">
        <v>14.83</v>
      </c>
      <c r="R3482">
        <v>1.8</v>
      </c>
    </row>
    <row r="3483">
      <c r="A3483" s="9">
        <v>42014</v>
      </c>
      <c r="B3483" s="2" t="inlineStr">
        <is>
          <t xml:space="preserve">2015-01</t>
        </is>
      </c>
      <c r="C3483" s="2" t="inlineStr">
        <is>
          <t xml:space="preserve">2014/15</t>
        </is>
      </c>
      <c r="D3483">
        <v>0.0</v>
      </c>
      <c r="E3483">
        <v>18.76</v>
      </c>
      <c r="F3483">
        <v>24.63</v>
      </c>
      <c r="G3483">
        <v>14.51</v>
      </c>
      <c r="H3483">
        <v>0.77</v>
      </c>
      <c r="I3483">
        <v>0.068</v>
      </c>
      <c r="J3483">
        <v>18.79</v>
      </c>
      <c r="K3483">
        <v>23.45</v>
      </c>
      <c r="L3483">
        <v>15.91</v>
      </c>
      <c r="M3483">
        <v>0.48</v>
      </c>
      <c r="N3483">
        <v>0.826</v>
      </c>
      <c r="O3483">
        <v>18.61</v>
      </c>
      <c r="P3483">
        <v>22.4</v>
      </c>
      <c r="Q3483">
        <v>16.31</v>
      </c>
      <c r="R3483">
        <v>2.2</v>
      </c>
    </row>
    <row r="3484">
      <c r="A3484" s="9">
        <v>42015</v>
      </c>
      <c r="B3484" s="2" t="inlineStr">
        <is>
          <t xml:space="preserve">2015-01</t>
        </is>
      </c>
      <c r="C3484" s="2" t="inlineStr">
        <is>
          <t xml:space="preserve">2014/15</t>
        </is>
      </c>
      <c r="D3484">
        <v>0.0</v>
      </c>
      <c r="E3484">
        <v>19.82</v>
      </c>
      <c r="F3484">
        <v>26.59</v>
      </c>
      <c r="G3484">
        <v>14.91</v>
      </c>
      <c r="H3484">
        <v>0.14</v>
      </c>
      <c r="I3484">
        <v>0.0</v>
      </c>
      <c r="J3484">
        <v>19.72</v>
      </c>
      <c r="K3484">
        <v>25.31</v>
      </c>
      <c r="L3484">
        <v>15.7</v>
      </c>
      <c r="M3484">
        <v>0.18</v>
      </c>
      <c r="N3484">
        <v>0.084</v>
      </c>
      <c r="O3484">
        <v>19.65</v>
      </c>
      <c r="P3484">
        <v>24.32</v>
      </c>
      <c r="Q3484">
        <v>16.3</v>
      </c>
      <c r="R3484">
        <v>0.76</v>
      </c>
    </row>
    <row r="3485">
      <c r="A3485" s="9">
        <v>42016</v>
      </c>
      <c r="B3485" s="2" t="inlineStr">
        <is>
          <t xml:space="preserve">2015-01</t>
        </is>
      </c>
      <c r="C3485" s="2" t="inlineStr">
        <is>
          <t xml:space="preserve">2014/15</t>
        </is>
      </c>
      <c r="D3485">
        <v>0.0</v>
      </c>
      <c r="E3485">
        <v>19.69</v>
      </c>
      <c r="F3485">
        <v>25.69</v>
      </c>
      <c r="G3485">
        <v>15.56</v>
      </c>
      <c r="H3485">
        <v>0.55</v>
      </c>
      <c r="I3485">
        <v>0.0</v>
      </c>
      <c r="J3485">
        <v>20.28</v>
      </c>
      <c r="K3485">
        <v>25.75</v>
      </c>
      <c r="L3485">
        <v>16.59</v>
      </c>
      <c r="M3485">
        <v>0.68</v>
      </c>
      <c r="N3485">
        <v>0.207</v>
      </c>
      <c r="O3485">
        <v>20.02</v>
      </c>
      <c r="P3485">
        <v>24.23</v>
      </c>
      <c r="Q3485">
        <v>17.12</v>
      </c>
      <c r="R3485">
        <v>2.26</v>
      </c>
    </row>
    <row r="3486">
      <c r="A3486" s="9">
        <v>42017</v>
      </c>
      <c r="B3486" s="2" t="inlineStr">
        <is>
          <t xml:space="preserve">2015-01</t>
        </is>
      </c>
      <c r="C3486" s="2" t="inlineStr">
        <is>
          <t xml:space="preserve">2014/15</t>
        </is>
      </c>
      <c r="D3486">
        <v>0.037</v>
      </c>
      <c r="E3486">
        <v>20.15</v>
      </c>
      <c r="F3486">
        <v>25.76</v>
      </c>
      <c r="G3486">
        <v>16.13</v>
      </c>
      <c r="H3486">
        <v>1.24</v>
      </c>
      <c r="I3486">
        <v>0.684</v>
      </c>
      <c r="J3486">
        <v>19.77</v>
      </c>
      <c r="K3486">
        <v>24.33</v>
      </c>
      <c r="L3486">
        <v>16.78</v>
      </c>
      <c r="M3486">
        <v>2.27</v>
      </c>
      <c r="N3486">
        <v>3.066</v>
      </c>
      <c r="O3486">
        <v>19.9</v>
      </c>
      <c r="P3486">
        <v>23.56</v>
      </c>
      <c r="Q3486">
        <v>17.89</v>
      </c>
      <c r="R3486">
        <v>5.16</v>
      </c>
    </row>
    <row r="3487">
      <c r="A3487" s="9">
        <v>42018</v>
      </c>
      <c r="B3487" s="2" t="inlineStr">
        <is>
          <t xml:space="preserve">2015-01</t>
        </is>
      </c>
      <c r="C3487" s="2" t="inlineStr">
        <is>
          <t xml:space="preserve">2014/15</t>
        </is>
      </c>
      <c r="D3487">
        <v>0.063</v>
      </c>
      <c r="E3487">
        <v>20.1</v>
      </c>
      <c r="F3487">
        <v>25.9</v>
      </c>
      <c r="G3487">
        <v>16.73</v>
      </c>
      <c r="H3487">
        <v>0.78</v>
      </c>
      <c r="I3487">
        <v>0.076</v>
      </c>
      <c r="J3487">
        <v>20.08</v>
      </c>
      <c r="K3487">
        <v>25.26</v>
      </c>
      <c r="L3487">
        <v>16.62</v>
      </c>
      <c r="M3487">
        <v>2.09</v>
      </c>
      <c r="N3487">
        <v>1.512</v>
      </c>
      <c r="O3487">
        <v>19.83</v>
      </c>
      <c r="P3487">
        <v>23.98</v>
      </c>
      <c r="Q3487">
        <v>17.35</v>
      </c>
      <c r="R3487">
        <v>5.03</v>
      </c>
    </row>
    <row r="3488">
      <c r="A3488" s="9">
        <v>42019</v>
      </c>
      <c r="B3488" s="2" t="inlineStr">
        <is>
          <t xml:space="preserve">2015-01</t>
        </is>
      </c>
      <c r="C3488" s="2" t="inlineStr">
        <is>
          <t xml:space="preserve">2014/15</t>
        </is>
      </c>
      <c r="D3488">
        <v>0.085</v>
      </c>
      <c r="E3488">
        <v>20.11</v>
      </c>
      <c r="F3488">
        <v>26.24</v>
      </c>
      <c r="G3488">
        <v>16.08</v>
      </c>
      <c r="H3488">
        <v>1.37</v>
      </c>
      <c r="I3488">
        <v>0.288</v>
      </c>
      <c r="J3488">
        <v>19.99</v>
      </c>
      <c r="K3488">
        <v>25.14</v>
      </c>
      <c r="L3488">
        <v>16.59</v>
      </c>
      <c r="M3488">
        <v>1.51</v>
      </c>
      <c r="N3488">
        <v>1.619</v>
      </c>
      <c r="O3488">
        <v>19.72</v>
      </c>
      <c r="P3488">
        <v>23.92</v>
      </c>
      <c r="Q3488">
        <v>17.32</v>
      </c>
      <c r="R3488">
        <v>3.62</v>
      </c>
    </row>
    <row r="3489">
      <c r="A3489" s="9">
        <v>42020</v>
      </c>
      <c r="B3489" s="2" t="inlineStr">
        <is>
          <t xml:space="preserve">2015-01</t>
        </is>
      </c>
      <c r="C3489" s="2" t="inlineStr">
        <is>
          <t xml:space="preserve">2014/15</t>
        </is>
      </c>
      <c r="D3489">
        <v>0.434</v>
      </c>
      <c r="E3489">
        <v>19.45</v>
      </c>
      <c r="F3489">
        <v>24.97</v>
      </c>
      <c r="G3489">
        <v>16.26</v>
      </c>
      <c r="H3489">
        <v>2.66</v>
      </c>
      <c r="I3489">
        <v>0.981</v>
      </c>
      <c r="J3489">
        <v>19.63</v>
      </c>
      <c r="K3489">
        <v>24.15</v>
      </c>
      <c r="L3489">
        <v>16.53</v>
      </c>
      <c r="M3489">
        <v>1.91</v>
      </c>
      <c r="N3489">
        <v>3.985</v>
      </c>
      <c r="O3489">
        <v>19.3</v>
      </c>
      <c r="P3489">
        <v>23.18</v>
      </c>
      <c r="Q3489">
        <v>16.81</v>
      </c>
      <c r="R3489">
        <v>6.12</v>
      </c>
    </row>
    <row r="3490">
      <c r="A3490" s="9">
        <v>42021</v>
      </c>
      <c r="B3490" s="2" t="inlineStr">
        <is>
          <t xml:space="preserve">2015-01</t>
        </is>
      </c>
      <c r="C3490" s="2" t="inlineStr">
        <is>
          <t xml:space="preserve">2014/15</t>
        </is>
      </c>
      <c r="D3490">
        <v>0.038</v>
      </c>
      <c r="E3490">
        <v>18.54</v>
      </c>
      <c r="F3490">
        <v>24.29</v>
      </c>
      <c r="G3490">
        <v>14.8</v>
      </c>
      <c r="H3490">
        <v>1.01</v>
      </c>
      <c r="I3490">
        <v>0.38</v>
      </c>
      <c r="J3490">
        <v>19.23</v>
      </c>
      <c r="K3490">
        <v>23.69</v>
      </c>
      <c r="L3490">
        <v>16.67</v>
      </c>
      <c r="M3490">
        <v>0.92</v>
      </c>
      <c r="N3490">
        <v>1.555</v>
      </c>
      <c r="O3490">
        <v>19.07</v>
      </c>
      <c r="P3490">
        <v>22.91</v>
      </c>
      <c r="Q3490">
        <v>16.69</v>
      </c>
      <c r="R3490">
        <v>2.8</v>
      </c>
    </row>
    <row r="3491">
      <c r="A3491" s="9">
        <v>42022</v>
      </c>
      <c r="B3491" s="2" t="inlineStr">
        <is>
          <t xml:space="preserve">2015-01</t>
        </is>
      </c>
      <c r="C3491" s="2" t="inlineStr">
        <is>
          <t xml:space="preserve">2014/15</t>
        </is>
      </c>
      <c r="D3491">
        <v>0.1</v>
      </c>
      <c r="E3491">
        <v>18.75</v>
      </c>
      <c r="F3491">
        <v>24.74</v>
      </c>
      <c r="G3491">
        <v>14.92</v>
      </c>
      <c r="H3491">
        <v>1.42</v>
      </c>
      <c r="I3491">
        <v>1.355</v>
      </c>
      <c r="J3491">
        <v>18.78</v>
      </c>
      <c r="K3491">
        <v>23.63</v>
      </c>
      <c r="L3491">
        <v>16.07</v>
      </c>
      <c r="M3491">
        <v>2.27</v>
      </c>
      <c r="N3491">
        <v>5.188</v>
      </c>
      <c r="O3491">
        <v>18.36</v>
      </c>
      <c r="P3491">
        <v>22.27</v>
      </c>
      <c r="Q3491">
        <v>16.06</v>
      </c>
      <c r="R3491">
        <v>3.17</v>
      </c>
    </row>
    <row r="3492">
      <c r="A3492" s="9">
        <v>42023</v>
      </c>
      <c r="B3492" s="2" t="inlineStr">
        <is>
          <t xml:space="preserve">2015-01</t>
        </is>
      </c>
      <c r="C3492" s="2" t="inlineStr">
        <is>
          <t xml:space="preserve">2014/15</t>
        </is>
      </c>
      <c r="D3492">
        <v>0.302</v>
      </c>
      <c r="E3492">
        <v>18.95</v>
      </c>
      <c r="F3492">
        <v>25.02</v>
      </c>
      <c r="G3492">
        <v>15.04</v>
      </c>
      <c r="H3492">
        <v>2.62</v>
      </c>
      <c r="I3492">
        <v>0.68</v>
      </c>
      <c r="J3492">
        <v>18.33</v>
      </c>
      <c r="K3492">
        <v>22.9</v>
      </c>
      <c r="L3492">
        <v>15.87</v>
      </c>
      <c r="M3492">
        <v>1.5</v>
      </c>
      <c r="N3492">
        <v>2.785</v>
      </c>
      <c r="O3492">
        <v>18.17</v>
      </c>
      <c r="P3492">
        <v>21.81</v>
      </c>
      <c r="Q3492">
        <v>16.25</v>
      </c>
      <c r="R3492">
        <v>6.09</v>
      </c>
    </row>
    <row r="3493">
      <c r="A3493" s="9">
        <v>42024</v>
      </c>
      <c r="B3493" s="2" t="inlineStr">
        <is>
          <t xml:space="preserve">2015-01</t>
        </is>
      </c>
      <c r="C3493" s="2" t="inlineStr">
        <is>
          <t xml:space="preserve">2014/15</t>
        </is>
      </c>
      <c r="D3493">
        <v>0.0</v>
      </c>
      <c r="E3493">
        <v>20.16</v>
      </c>
      <c r="F3493">
        <v>26.81</v>
      </c>
      <c r="G3493">
        <v>15.03</v>
      </c>
      <c r="H3493">
        <v>0.0</v>
      </c>
      <c r="I3493">
        <v>0.0</v>
      </c>
      <c r="J3493">
        <v>19.98</v>
      </c>
      <c r="K3493">
        <v>26.29</v>
      </c>
      <c r="L3493">
        <v>14.85</v>
      </c>
      <c r="M3493">
        <v>0.0</v>
      </c>
      <c r="N3493">
        <v>0.0</v>
      </c>
      <c r="O3493">
        <v>19.29</v>
      </c>
      <c r="P3493">
        <v>24.56</v>
      </c>
      <c r="Q3493">
        <v>15.36</v>
      </c>
      <c r="R3493">
        <v>0.0</v>
      </c>
    </row>
    <row r="3494">
      <c r="A3494" s="9">
        <v>42025</v>
      </c>
      <c r="B3494" s="2" t="inlineStr">
        <is>
          <t xml:space="preserve">2015-01</t>
        </is>
      </c>
      <c r="C3494" s="2" t="inlineStr">
        <is>
          <t xml:space="preserve">2014/15</t>
        </is>
      </c>
      <c r="D3494">
        <v>0.0</v>
      </c>
      <c r="E3494">
        <v>20.41</v>
      </c>
      <c r="F3494">
        <v>27.24</v>
      </c>
      <c r="G3494">
        <v>15.98</v>
      </c>
      <c r="H3494">
        <v>0.0</v>
      </c>
      <c r="I3494">
        <v>0.0</v>
      </c>
      <c r="J3494">
        <v>20.9</v>
      </c>
      <c r="K3494">
        <v>26.69</v>
      </c>
      <c r="L3494">
        <v>16.14</v>
      </c>
      <c r="M3494">
        <v>0.0</v>
      </c>
      <c r="N3494">
        <v>0.0</v>
      </c>
      <c r="O3494">
        <v>20.16</v>
      </c>
      <c r="P3494">
        <v>24.8</v>
      </c>
      <c r="Q3494">
        <v>16.91</v>
      </c>
      <c r="R3494">
        <v>0.0</v>
      </c>
    </row>
    <row r="3495">
      <c r="A3495" s="9">
        <v>42026</v>
      </c>
      <c r="B3495" s="2" t="inlineStr">
        <is>
          <t xml:space="preserve">2015-01</t>
        </is>
      </c>
      <c r="C3495" s="2" t="inlineStr">
        <is>
          <t xml:space="preserve">2014/15</t>
        </is>
      </c>
      <c r="D3495">
        <v>0.0</v>
      </c>
      <c r="E3495">
        <v>20.26</v>
      </c>
      <c r="F3495">
        <v>27.67</v>
      </c>
      <c r="G3495">
        <v>14.77</v>
      </c>
      <c r="H3495">
        <v>0.01</v>
      </c>
      <c r="I3495">
        <v>0.0</v>
      </c>
      <c r="J3495">
        <v>21.61</v>
      </c>
      <c r="K3495">
        <v>27.61</v>
      </c>
      <c r="L3495">
        <v>17.08</v>
      </c>
      <c r="M3495">
        <v>0.0</v>
      </c>
      <c r="N3495">
        <v>0.0</v>
      </c>
      <c r="O3495">
        <v>20.4</v>
      </c>
      <c r="P3495">
        <v>25.37</v>
      </c>
      <c r="Q3495">
        <v>17.04</v>
      </c>
      <c r="R3495">
        <v>0.0</v>
      </c>
    </row>
    <row r="3496">
      <c r="A3496" s="9">
        <v>42027</v>
      </c>
      <c r="B3496" s="2" t="inlineStr">
        <is>
          <t xml:space="preserve">2015-01</t>
        </is>
      </c>
      <c r="C3496" s="2" t="inlineStr">
        <is>
          <t xml:space="preserve">2014/15</t>
        </is>
      </c>
      <c r="D3496">
        <v>0.0</v>
      </c>
      <c r="E3496">
        <v>20.52</v>
      </c>
      <c r="F3496">
        <v>27.75</v>
      </c>
      <c r="G3496">
        <v>15.51</v>
      </c>
      <c r="H3496">
        <v>0.07</v>
      </c>
      <c r="I3496">
        <v>0.0</v>
      </c>
      <c r="J3496">
        <v>22.02</v>
      </c>
      <c r="K3496">
        <v>28.12</v>
      </c>
      <c r="L3496">
        <v>17.11</v>
      </c>
      <c r="M3496">
        <v>0.0</v>
      </c>
      <c r="N3496">
        <v>0.0</v>
      </c>
      <c r="O3496">
        <v>20.55</v>
      </c>
      <c r="P3496">
        <v>26.26</v>
      </c>
      <c r="Q3496">
        <v>15.99</v>
      </c>
      <c r="R3496">
        <v>0.01</v>
      </c>
    </row>
    <row r="3497">
      <c r="A3497" s="9">
        <v>42028</v>
      </c>
      <c r="B3497" s="2" t="inlineStr">
        <is>
          <t xml:space="preserve">2015-01</t>
        </is>
      </c>
      <c r="C3497" s="2" t="inlineStr">
        <is>
          <t xml:space="preserve">2014/15</t>
        </is>
      </c>
      <c r="D3497">
        <v>0.817</v>
      </c>
      <c r="E3497">
        <v>19.8</v>
      </c>
      <c r="F3497">
        <v>25.54</v>
      </c>
      <c r="G3497">
        <v>15.78</v>
      </c>
      <c r="H3497">
        <v>0.84</v>
      </c>
      <c r="I3497">
        <v>0.074</v>
      </c>
      <c r="J3497">
        <v>20.32</v>
      </c>
      <c r="K3497">
        <v>25.15</v>
      </c>
      <c r="L3497">
        <v>17.17</v>
      </c>
      <c r="M3497">
        <v>0.52</v>
      </c>
      <c r="N3497">
        <v>0.411</v>
      </c>
      <c r="O3497">
        <v>19.98</v>
      </c>
      <c r="P3497">
        <v>24.13</v>
      </c>
      <c r="Q3497">
        <v>17.26</v>
      </c>
      <c r="R3497">
        <v>1.11</v>
      </c>
    </row>
    <row r="3498">
      <c r="A3498" s="9">
        <v>42029</v>
      </c>
      <c r="B3498" s="2" t="inlineStr">
        <is>
          <t xml:space="preserve">2015-01</t>
        </is>
      </c>
      <c r="C3498" s="2" t="inlineStr">
        <is>
          <t xml:space="preserve">2014/15</t>
        </is>
      </c>
      <c r="D3498">
        <v>1.279</v>
      </c>
      <c r="E3498">
        <v>18.65</v>
      </c>
      <c r="F3498">
        <v>24.74</v>
      </c>
      <c r="G3498">
        <v>15.04</v>
      </c>
      <c r="H3498">
        <v>2.6</v>
      </c>
      <c r="I3498">
        <v>0.374</v>
      </c>
      <c r="J3498">
        <v>17.11</v>
      </c>
      <c r="K3498">
        <v>21.65</v>
      </c>
      <c r="L3498">
        <v>13.3</v>
      </c>
      <c r="M3498">
        <v>0.58</v>
      </c>
      <c r="N3498">
        <v>1.28</v>
      </c>
      <c r="O3498">
        <v>16.74</v>
      </c>
      <c r="P3498">
        <v>19.93</v>
      </c>
      <c r="Q3498">
        <v>14.55</v>
      </c>
      <c r="R3498">
        <v>1.99</v>
      </c>
    </row>
    <row r="3499">
      <c r="A3499" s="9">
        <v>42030</v>
      </c>
      <c r="B3499" s="2" t="inlineStr">
        <is>
          <t xml:space="preserve">2015-01</t>
        </is>
      </c>
      <c r="C3499" s="2" t="inlineStr">
        <is>
          <t xml:space="preserve">2014/15</t>
        </is>
      </c>
      <c r="D3499">
        <v>0.296</v>
      </c>
      <c r="E3499">
        <v>17.46</v>
      </c>
      <c r="F3499">
        <v>23.31</v>
      </c>
      <c r="G3499">
        <v>14.23</v>
      </c>
      <c r="H3499">
        <v>1.21</v>
      </c>
      <c r="I3499">
        <v>0.48</v>
      </c>
      <c r="J3499">
        <v>16.94</v>
      </c>
      <c r="K3499">
        <v>21.31</v>
      </c>
      <c r="L3499">
        <v>14.15</v>
      </c>
      <c r="M3499">
        <v>0.87</v>
      </c>
      <c r="N3499">
        <v>1.771</v>
      </c>
      <c r="O3499">
        <v>16.63</v>
      </c>
      <c r="P3499">
        <v>20.26</v>
      </c>
      <c r="Q3499">
        <v>14.47</v>
      </c>
      <c r="R3499">
        <v>1.34</v>
      </c>
    </row>
    <row r="3500">
      <c r="A3500" s="9">
        <v>42031</v>
      </c>
      <c r="B3500" s="2" t="inlineStr">
        <is>
          <t xml:space="preserve">2015-01</t>
        </is>
      </c>
      <c r="C3500" s="2" t="inlineStr">
        <is>
          <t xml:space="preserve">2014/15</t>
        </is>
      </c>
      <c r="D3500">
        <v>0.162</v>
      </c>
      <c r="E3500">
        <v>16.92</v>
      </c>
      <c r="F3500">
        <v>22.38</v>
      </c>
      <c r="G3500">
        <v>13.52</v>
      </c>
      <c r="H3500">
        <v>0.73</v>
      </c>
      <c r="I3500">
        <v>0.391</v>
      </c>
      <c r="J3500">
        <v>16.21</v>
      </c>
      <c r="K3500">
        <v>20.79</v>
      </c>
      <c r="L3500">
        <v>13.58</v>
      </c>
      <c r="M3500">
        <v>0.46</v>
      </c>
      <c r="N3500">
        <v>1.43</v>
      </c>
      <c r="O3500">
        <v>15.81</v>
      </c>
      <c r="P3500">
        <v>19.56</v>
      </c>
      <c r="Q3500">
        <v>13.83</v>
      </c>
      <c r="R3500">
        <v>1.16</v>
      </c>
    </row>
    <row r="3501">
      <c r="A3501" s="9">
        <v>42032</v>
      </c>
      <c r="B3501" s="2" t="inlineStr">
        <is>
          <t xml:space="preserve">2015-01</t>
        </is>
      </c>
      <c r="C3501" s="2" t="inlineStr">
        <is>
          <t xml:space="preserve">2014/15</t>
        </is>
      </c>
      <c r="D3501">
        <v>0.049</v>
      </c>
      <c r="E3501">
        <v>16.07</v>
      </c>
      <c r="F3501">
        <v>22.09</v>
      </c>
      <c r="G3501">
        <v>12.4</v>
      </c>
      <c r="H3501">
        <v>0.8</v>
      </c>
      <c r="I3501">
        <v>0.0</v>
      </c>
      <c r="J3501">
        <v>15.94</v>
      </c>
      <c r="K3501">
        <v>20.52</v>
      </c>
      <c r="L3501">
        <v>13.05</v>
      </c>
      <c r="M3501">
        <v>0.15</v>
      </c>
      <c r="N3501">
        <v>0.0</v>
      </c>
      <c r="O3501">
        <v>15.91</v>
      </c>
      <c r="P3501">
        <v>19.43</v>
      </c>
      <c r="Q3501">
        <v>13.55</v>
      </c>
      <c r="R3501">
        <v>0.78</v>
      </c>
    </row>
    <row r="3502">
      <c r="A3502" s="9">
        <v>42033</v>
      </c>
      <c r="B3502" s="2" t="inlineStr">
        <is>
          <t xml:space="preserve">2015-01</t>
        </is>
      </c>
      <c r="C3502" s="2" t="inlineStr">
        <is>
          <t xml:space="preserve">2014/15</t>
        </is>
      </c>
      <c r="D3502">
        <v>0.09</v>
      </c>
      <c r="E3502">
        <v>16.9</v>
      </c>
      <c r="F3502">
        <v>23.1</v>
      </c>
      <c r="G3502">
        <v>13.32</v>
      </c>
      <c r="H3502">
        <v>1.28</v>
      </c>
      <c r="I3502">
        <v>0.293</v>
      </c>
      <c r="J3502">
        <v>16.69</v>
      </c>
      <c r="K3502">
        <v>22.03</v>
      </c>
      <c r="L3502">
        <v>13.38</v>
      </c>
      <c r="M3502">
        <v>0.65</v>
      </c>
      <c r="N3502">
        <v>1.24</v>
      </c>
      <c r="O3502">
        <v>16.54</v>
      </c>
      <c r="P3502">
        <v>20.27</v>
      </c>
      <c r="Q3502">
        <v>14.39</v>
      </c>
      <c r="R3502">
        <v>2.95</v>
      </c>
    </row>
    <row r="3503">
      <c r="A3503" s="9">
        <v>42034</v>
      </c>
      <c r="B3503" s="2" t="inlineStr">
        <is>
          <t xml:space="preserve">2015-01</t>
        </is>
      </c>
      <c r="C3503" s="2" t="inlineStr">
        <is>
          <t xml:space="preserve">2014/15</t>
        </is>
      </c>
      <c r="D3503">
        <v>0.065</v>
      </c>
      <c r="E3503">
        <v>17.59</v>
      </c>
      <c r="F3503">
        <v>24.19</v>
      </c>
      <c r="G3503">
        <v>13.38</v>
      </c>
      <c r="H3503">
        <v>1.19</v>
      </c>
      <c r="I3503">
        <v>0.034</v>
      </c>
      <c r="J3503">
        <v>17.11</v>
      </c>
      <c r="K3503">
        <v>21.71</v>
      </c>
      <c r="L3503">
        <v>13.98</v>
      </c>
      <c r="M3503">
        <v>0.39</v>
      </c>
      <c r="N3503">
        <v>0.42</v>
      </c>
      <c r="O3503">
        <v>17.01</v>
      </c>
      <c r="P3503">
        <v>21.01</v>
      </c>
      <c r="Q3503">
        <v>14.56</v>
      </c>
      <c r="R3503">
        <v>1.99</v>
      </c>
    </row>
    <row r="3504">
      <c r="A3504" s="9">
        <v>42035</v>
      </c>
      <c r="B3504" s="2" t="inlineStr">
        <is>
          <t xml:space="preserve">2015-01</t>
        </is>
      </c>
      <c r="C3504" s="2" t="inlineStr">
        <is>
          <t xml:space="preserve">2014/15</t>
        </is>
      </c>
      <c r="D3504">
        <v>0.276</v>
      </c>
      <c r="E3504">
        <v>18.91</v>
      </c>
      <c r="F3504">
        <v>25.68</v>
      </c>
      <c r="G3504">
        <v>14.41</v>
      </c>
      <c r="H3504">
        <v>0.46</v>
      </c>
      <c r="I3504">
        <v>0.0</v>
      </c>
      <c r="J3504">
        <v>18.29</v>
      </c>
      <c r="K3504">
        <v>24.03</v>
      </c>
      <c r="L3504">
        <v>14.41</v>
      </c>
      <c r="M3504">
        <v>0.29</v>
      </c>
      <c r="N3504">
        <v>0.881</v>
      </c>
      <c r="O3504">
        <v>17.56</v>
      </c>
      <c r="P3504">
        <v>21.92</v>
      </c>
      <c r="Q3504">
        <v>14.72</v>
      </c>
      <c r="R3504">
        <v>0.96</v>
      </c>
    </row>
    <row r="3505">
      <c r="A3505" s="9">
        <v>42036</v>
      </c>
      <c r="B3505" s="2" t="inlineStr">
        <is>
          <t xml:space="preserve">2015-02</t>
        </is>
      </c>
      <c r="C3505" s="2" t="inlineStr">
        <is>
          <t xml:space="preserve">2014/15</t>
        </is>
      </c>
      <c r="D3505">
        <v>0.0</v>
      </c>
      <c r="E3505">
        <v>20.04</v>
      </c>
      <c r="F3505">
        <v>28.27</v>
      </c>
      <c r="G3505">
        <v>12.78</v>
      </c>
      <c r="H3505">
        <v>0.0</v>
      </c>
      <c r="I3505">
        <v>0.0</v>
      </c>
      <c r="J3505">
        <v>20.09</v>
      </c>
      <c r="K3505">
        <v>27.78</v>
      </c>
      <c r="L3505">
        <v>14.81</v>
      </c>
      <c r="M3505">
        <v>0.0</v>
      </c>
      <c r="N3505">
        <v>0.0</v>
      </c>
      <c r="O3505">
        <v>18.6</v>
      </c>
      <c r="P3505">
        <v>24.11</v>
      </c>
      <c r="Q3505">
        <v>15.3</v>
      </c>
      <c r="R3505">
        <v>0.0</v>
      </c>
    </row>
    <row r="3506">
      <c r="A3506" s="9">
        <v>42037</v>
      </c>
      <c r="B3506" s="2" t="inlineStr">
        <is>
          <t xml:space="preserve">2015-02</t>
        </is>
      </c>
      <c r="C3506" s="2" t="inlineStr">
        <is>
          <t xml:space="preserve">2014/15</t>
        </is>
      </c>
      <c r="D3506">
        <v>0.0</v>
      </c>
      <c r="E3506">
        <v>20.9</v>
      </c>
      <c r="F3506">
        <v>28.63</v>
      </c>
      <c r="G3506">
        <v>15.02</v>
      </c>
      <c r="H3506">
        <v>0.0</v>
      </c>
      <c r="I3506">
        <v>0.0</v>
      </c>
      <c r="J3506">
        <v>20.29</v>
      </c>
      <c r="K3506">
        <v>27.45</v>
      </c>
      <c r="L3506">
        <v>14.72</v>
      </c>
      <c r="M3506">
        <v>0.0</v>
      </c>
      <c r="N3506">
        <v>0.0</v>
      </c>
      <c r="O3506">
        <v>19.93</v>
      </c>
      <c r="P3506">
        <v>24.9</v>
      </c>
      <c r="Q3506">
        <v>16.31</v>
      </c>
      <c r="R3506">
        <v>0.0</v>
      </c>
    </row>
    <row r="3507">
      <c r="A3507" s="9">
        <v>42038</v>
      </c>
      <c r="B3507" s="2" t="inlineStr">
        <is>
          <t xml:space="preserve">2015-02</t>
        </is>
      </c>
      <c r="C3507" s="2" t="inlineStr">
        <is>
          <t xml:space="preserve">2014/15</t>
        </is>
      </c>
      <c r="D3507">
        <v>0.0</v>
      </c>
      <c r="E3507">
        <v>20.61</v>
      </c>
      <c r="F3507">
        <v>28.14</v>
      </c>
      <c r="G3507">
        <v>15.12</v>
      </c>
      <c r="H3507">
        <v>0.02</v>
      </c>
      <c r="I3507">
        <v>0.0</v>
      </c>
      <c r="J3507">
        <v>20.44</v>
      </c>
      <c r="K3507">
        <v>26.37</v>
      </c>
      <c r="L3507">
        <v>15.96</v>
      </c>
      <c r="M3507">
        <v>0.07</v>
      </c>
      <c r="N3507">
        <v>0.0</v>
      </c>
      <c r="O3507">
        <v>19.61</v>
      </c>
      <c r="P3507">
        <v>24.06</v>
      </c>
      <c r="Q3507">
        <v>16.25</v>
      </c>
      <c r="R3507">
        <v>0.2</v>
      </c>
    </row>
    <row r="3508">
      <c r="A3508" s="9">
        <v>42039</v>
      </c>
      <c r="B3508" s="2" t="inlineStr">
        <is>
          <t xml:space="preserve">2015-02</t>
        </is>
      </c>
      <c r="C3508" s="2" t="inlineStr">
        <is>
          <t xml:space="preserve">2014/15</t>
        </is>
      </c>
      <c r="D3508">
        <v>0.0</v>
      </c>
      <c r="E3508">
        <v>20.53</v>
      </c>
      <c r="F3508">
        <v>28.62</v>
      </c>
      <c r="G3508">
        <v>15.19</v>
      </c>
      <c r="H3508">
        <v>0.06</v>
      </c>
      <c r="I3508">
        <v>0.0</v>
      </c>
      <c r="J3508">
        <v>20.4</v>
      </c>
      <c r="K3508">
        <v>26.78</v>
      </c>
      <c r="L3508">
        <v>15.87</v>
      </c>
      <c r="M3508">
        <v>0.12</v>
      </c>
      <c r="N3508">
        <v>0.082</v>
      </c>
      <c r="O3508">
        <v>19.34</v>
      </c>
      <c r="P3508">
        <v>24.15</v>
      </c>
      <c r="Q3508">
        <v>16.3</v>
      </c>
      <c r="R3508">
        <v>0.25</v>
      </c>
    </row>
    <row r="3509">
      <c r="A3509" s="9">
        <v>42040</v>
      </c>
      <c r="B3509" s="2" t="inlineStr">
        <is>
          <t xml:space="preserve">2015-02</t>
        </is>
      </c>
      <c r="C3509" s="2" t="inlineStr">
        <is>
          <t xml:space="preserve">2014/15</t>
        </is>
      </c>
      <c r="D3509">
        <v>0.043</v>
      </c>
      <c r="E3509">
        <v>19.99</v>
      </c>
      <c r="F3509">
        <v>26.89</v>
      </c>
      <c r="G3509">
        <v>15.91</v>
      </c>
      <c r="H3509">
        <v>0.7</v>
      </c>
      <c r="I3509">
        <v>0.05</v>
      </c>
      <c r="J3509">
        <v>19.42</v>
      </c>
      <c r="K3509">
        <v>24.62</v>
      </c>
      <c r="L3509">
        <v>15.46</v>
      </c>
      <c r="M3509">
        <v>0.48</v>
      </c>
      <c r="N3509">
        <v>0.504</v>
      </c>
      <c r="O3509">
        <v>19.01</v>
      </c>
      <c r="P3509">
        <v>23.64</v>
      </c>
      <c r="Q3509">
        <v>15.66</v>
      </c>
      <c r="R3509">
        <v>0.83</v>
      </c>
    </row>
    <row r="3510">
      <c r="A3510" s="9">
        <v>42041</v>
      </c>
      <c r="B3510" s="2" t="inlineStr">
        <is>
          <t xml:space="preserve">2015-02</t>
        </is>
      </c>
      <c r="C3510" s="2" t="inlineStr">
        <is>
          <t xml:space="preserve">2014/15</t>
        </is>
      </c>
      <c r="D3510">
        <v>0.73</v>
      </c>
      <c r="E3510">
        <v>19.19</v>
      </c>
      <c r="F3510">
        <v>25.39</v>
      </c>
      <c r="G3510">
        <v>14.8</v>
      </c>
      <c r="H3510">
        <v>6.21</v>
      </c>
      <c r="I3510">
        <v>1.293</v>
      </c>
      <c r="J3510">
        <v>18.46</v>
      </c>
      <c r="K3510">
        <v>22.36</v>
      </c>
      <c r="L3510">
        <v>15.63</v>
      </c>
      <c r="M3510">
        <v>2.74</v>
      </c>
      <c r="N3510">
        <v>4.806</v>
      </c>
      <c r="O3510">
        <v>17.66</v>
      </c>
      <c r="P3510">
        <v>19.61</v>
      </c>
      <c r="Q3510">
        <v>16.16</v>
      </c>
      <c r="R3510">
        <v>10.38</v>
      </c>
    </row>
    <row r="3511">
      <c r="A3511" s="9">
        <v>42042</v>
      </c>
      <c r="B3511" s="2" t="inlineStr">
        <is>
          <t xml:space="preserve">2015-02</t>
        </is>
      </c>
      <c r="C3511" s="2" t="inlineStr">
        <is>
          <t xml:space="preserve">2014/15</t>
        </is>
      </c>
      <c r="D3511">
        <v>0.6</v>
      </c>
      <c r="E3511">
        <v>17.84</v>
      </c>
      <c r="F3511">
        <v>23.38</v>
      </c>
      <c r="G3511">
        <v>14.69</v>
      </c>
      <c r="H3511">
        <v>1.61</v>
      </c>
      <c r="I3511">
        <v>1.824</v>
      </c>
      <c r="J3511">
        <v>17.1</v>
      </c>
      <c r="K3511">
        <v>21.55</v>
      </c>
      <c r="L3511">
        <v>14.38</v>
      </c>
      <c r="M3511">
        <v>2.22</v>
      </c>
      <c r="N3511">
        <v>6.709</v>
      </c>
      <c r="O3511">
        <v>16.98</v>
      </c>
      <c r="P3511">
        <v>20.74</v>
      </c>
      <c r="Q3511">
        <v>14.37</v>
      </c>
      <c r="R3511">
        <v>3.41</v>
      </c>
    </row>
    <row r="3512">
      <c r="A3512" s="9">
        <v>42043</v>
      </c>
      <c r="B3512" s="2" t="inlineStr">
        <is>
          <t xml:space="preserve">2015-02</t>
        </is>
      </c>
      <c r="C3512" s="2" t="inlineStr">
        <is>
          <t xml:space="preserve">2014/15</t>
        </is>
      </c>
      <c r="D3512">
        <v>0.0</v>
      </c>
      <c r="E3512">
        <v>19.73</v>
      </c>
      <c r="F3512">
        <v>26.79</v>
      </c>
      <c r="G3512">
        <v>14.2</v>
      </c>
      <c r="H3512">
        <v>0.0</v>
      </c>
      <c r="I3512">
        <v>0.0</v>
      </c>
      <c r="J3512">
        <v>19.37</v>
      </c>
      <c r="K3512">
        <v>26.0</v>
      </c>
      <c r="L3512">
        <v>13.84</v>
      </c>
      <c r="M3512">
        <v>0.0</v>
      </c>
      <c r="N3512">
        <v>0.0</v>
      </c>
      <c r="O3512">
        <v>17.85</v>
      </c>
      <c r="P3512">
        <v>23.42</v>
      </c>
      <c r="Q3512">
        <v>13.35</v>
      </c>
      <c r="R3512">
        <v>0.0</v>
      </c>
    </row>
    <row r="3513">
      <c r="A3513" s="9">
        <v>42044</v>
      </c>
      <c r="B3513" s="2" t="inlineStr">
        <is>
          <t xml:space="preserve">2015-02</t>
        </is>
      </c>
      <c r="C3513" s="2" t="inlineStr">
        <is>
          <t xml:space="preserve">2014/15</t>
        </is>
      </c>
      <c r="D3513">
        <v>0.0</v>
      </c>
      <c r="E3513">
        <v>21.87</v>
      </c>
      <c r="F3513">
        <v>29.43</v>
      </c>
      <c r="G3513">
        <v>16.09</v>
      </c>
      <c r="H3513">
        <v>0.01</v>
      </c>
      <c r="I3513">
        <v>0.0</v>
      </c>
      <c r="J3513">
        <v>21.73</v>
      </c>
      <c r="K3513">
        <v>28.33</v>
      </c>
      <c r="L3513">
        <v>16.51</v>
      </c>
      <c r="M3513">
        <v>0.0</v>
      </c>
      <c r="N3513">
        <v>0.0</v>
      </c>
      <c r="O3513">
        <v>20.22</v>
      </c>
      <c r="P3513">
        <v>26.04</v>
      </c>
      <c r="Q3513">
        <v>15.6</v>
      </c>
      <c r="R3513">
        <v>0.0</v>
      </c>
    </row>
    <row r="3514">
      <c r="A3514" s="9">
        <v>42045</v>
      </c>
      <c r="B3514" s="2" t="inlineStr">
        <is>
          <t xml:space="preserve">2015-02</t>
        </is>
      </c>
      <c r="C3514" s="2" t="inlineStr">
        <is>
          <t xml:space="preserve">2014/15</t>
        </is>
      </c>
      <c r="D3514">
        <v>0.0</v>
      </c>
      <c r="E3514">
        <v>19.5</v>
      </c>
      <c r="F3514">
        <v>25.59</v>
      </c>
      <c r="G3514">
        <v>14.75</v>
      </c>
      <c r="H3514">
        <v>0.02</v>
      </c>
      <c r="I3514">
        <v>0.0</v>
      </c>
      <c r="J3514">
        <v>18.62</v>
      </c>
      <c r="K3514">
        <v>24.67</v>
      </c>
      <c r="L3514">
        <v>14.34</v>
      </c>
      <c r="M3514">
        <v>0.0</v>
      </c>
      <c r="N3514">
        <v>0.0</v>
      </c>
      <c r="O3514">
        <v>17.51</v>
      </c>
      <c r="P3514">
        <v>21.7</v>
      </c>
      <c r="Q3514">
        <v>14.47</v>
      </c>
      <c r="R3514">
        <v>0.01</v>
      </c>
    </row>
    <row r="3515">
      <c r="A3515" s="9">
        <v>42046</v>
      </c>
      <c r="B3515" s="2" t="inlineStr">
        <is>
          <t xml:space="preserve">2015-02</t>
        </is>
      </c>
      <c r="C3515" s="2" t="inlineStr">
        <is>
          <t xml:space="preserve">2014/15</t>
        </is>
      </c>
      <c r="D3515">
        <v>0.0</v>
      </c>
      <c r="E3515">
        <v>19.45</v>
      </c>
      <c r="F3515">
        <v>27.44</v>
      </c>
      <c r="G3515">
        <v>13.45</v>
      </c>
      <c r="H3515">
        <v>0.02</v>
      </c>
      <c r="I3515">
        <v>0.0</v>
      </c>
      <c r="J3515">
        <v>18.76</v>
      </c>
      <c r="K3515">
        <v>26.47</v>
      </c>
      <c r="L3515">
        <v>12.71</v>
      </c>
      <c r="M3515">
        <v>0.0</v>
      </c>
      <c r="N3515">
        <v>0.0</v>
      </c>
      <c r="O3515">
        <v>17.4</v>
      </c>
      <c r="P3515">
        <v>23.3</v>
      </c>
      <c r="Q3515">
        <v>13.34</v>
      </c>
      <c r="R3515">
        <v>0.0</v>
      </c>
    </row>
    <row r="3516">
      <c r="A3516" s="9">
        <v>42047</v>
      </c>
      <c r="B3516" s="2" t="inlineStr">
        <is>
          <t xml:space="preserve">2015-02</t>
        </is>
      </c>
      <c r="C3516" s="2" t="inlineStr">
        <is>
          <t xml:space="preserve">2014/15</t>
        </is>
      </c>
      <c r="D3516">
        <v>0.0</v>
      </c>
      <c r="E3516">
        <v>19.98</v>
      </c>
      <c r="F3516">
        <v>27.46</v>
      </c>
      <c r="G3516">
        <v>14.81</v>
      </c>
      <c r="H3516">
        <v>0.18</v>
      </c>
      <c r="I3516">
        <v>0.0</v>
      </c>
      <c r="J3516">
        <v>19.27</v>
      </c>
      <c r="K3516">
        <v>25.99</v>
      </c>
      <c r="L3516">
        <v>14.21</v>
      </c>
      <c r="M3516">
        <v>0.09</v>
      </c>
      <c r="N3516">
        <v>0.0</v>
      </c>
      <c r="O3516">
        <v>18.19</v>
      </c>
      <c r="P3516">
        <v>23.14</v>
      </c>
      <c r="Q3516">
        <v>14.39</v>
      </c>
      <c r="R3516">
        <v>0.14</v>
      </c>
    </row>
    <row r="3517">
      <c r="A3517" s="9">
        <v>42048</v>
      </c>
      <c r="B3517" s="2" t="inlineStr">
        <is>
          <t xml:space="preserve">2015-02</t>
        </is>
      </c>
      <c r="C3517" s="2" t="inlineStr">
        <is>
          <t xml:space="preserve">2014/15</t>
        </is>
      </c>
      <c r="D3517">
        <v>0.0</v>
      </c>
      <c r="E3517">
        <v>18.6</v>
      </c>
      <c r="F3517">
        <v>24.97</v>
      </c>
      <c r="G3517">
        <v>14.69</v>
      </c>
      <c r="H3517">
        <v>1.2</v>
      </c>
      <c r="I3517">
        <v>0.294</v>
      </c>
      <c r="J3517">
        <v>18.27</v>
      </c>
      <c r="K3517">
        <v>23.89</v>
      </c>
      <c r="L3517">
        <v>14.58</v>
      </c>
      <c r="M3517">
        <v>1.86</v>
      </c>
      <c r="N3517">
        <v>1.244</v>
      </c>
      <c r="O3517">
        <v>17.49</v>
      </c>
      <c r="P3517">
        <v>21.85</v>
      </c>
      <c r="Q3517">
        <v>14.63</v>
      </c>
      <c r="R3517">
        <v>5.46</v>
      </c>
    </row>
    <row r="3518">
      <c r="A3518" s="9">
        <v>42049</v>
      </c>
      <c r="B3518" s="2" t="inlineStr">
        <is>
          <t xml:space="preserve">2015-02</t>
        </is>
      </c>
      <c r="C3518" s="2" t="inlineStr">
        <is>
          <t xml:space="preserve">2014/15</t>
        </is>
      </c>
      <c r="D3518">
        <v>0.03</v>
      </c>
      <c r="E3518">
        <v>16.8</v>
      </c>
      <c r="F3518">
        <v>23.05</v>
      </c>
      <c r="G3518">
        <v>13.18</v>
      </c>
      <c r="H3518">
        <v>0.84</v>
      </c>
      <c r="I3518">
        <v>0.421</v>
      </c>
      <c r="J3518">
        <v>16.54</v>
      </c>
      <c r="K3518">
        <v>21.13</v>
      </c>
      <c r="L3518">
        <v>13.97</v>
      </c>
      <c r="M3518">
        <v>2.15</v>
      </c>
      <c r="N3518">
        <v>2.564</v>
      </c>
      <c r="O3518">
        <v>16.33</v>
      </c>
      <c r="P3518">
        <v>20.03</v>
      </c>
      <c r="Q3518">
        <v>14.15</v>
      </c>
      <c r="R3518">
        <v>4.72</v>
      </c>
    </row>
    <row r="3519">
      <c r="A3519" s="9">
        <v>42050</v>
      </c>
      <c r="B3519" s="2" t="inlineStr">
        <is>
          <t xml:space="preserve">2015-02</t>
        </is>
      </c>
      <c r="C3519" s="2" t="inlineStr">
        <is>
          <t xml:space="preserve">2014/15</t>
        </is>
      </c>
      <c r="D3519">
        <v>0.0</v>
      </c>
      <c r="E3519">
        <v>18.26</v>
      </c>
      <c r="F3519">
        <v>26.51</v>
      </c>
      <c r="G3519">
        <v>12.91</v>
      </c>
      <c r="H3519">
        <v>0.33</v>
      </c>
      <c r="I3519">
        <v>0.062</v>
      </c>
      <c r="J3519">
        <v>17.75</v>
      </c>
      <c r="K3519">
        <v>24.12</v>
      </c>
      <c r="L3519">
        <v>14.07</v>
      </c>
      <c r="M3519">
        <v>1.54</v>
      </c>
      <c r="N3519">
        <v>1.191</v>
      </c>
      <c r="O3519">
        <v>16.78</v>
      </c>
      <c r="P3519">
        <v>21.17</v>
      </c>
      <c r="Q3519">
        <v>14.38</v>
      </c>
      <c r="R3519">
        <v>3.48</v>
      </c>
    </row>
    <row r="3520">
      <c r="A3520" s="9">
        <v>42051</v>
      </c>
      <c r="B3520" s="2" t="inlineStr">
        <is>
          <t xml:space="preserve">2015-02</t>
        </is>
      </c>
      <c r="C3520" s="2" t="inlineStr">
        <is>
          <t xml:space="preserve">2014/15</t>
        </is>
      </c>
      <c r="D3520">
        <v>0.0</v>
      </c>
      <c r="E3520">
        <v>20.36</v>
      </c>
      <c r="F3520">
        <v>30.3</v>
      </c>
      <c r="G3520">
        <v>12.31</v>
      </c>
      <c r="H3520">
        <v>0.0</v>
      </c>
      <c r="I3520">
        <v>0.0</v>
      </c>
      <c r="J3520">
        <v>20.15</v>
      </c>
      <c r="K3520">
        <v>28.52</v>
      </c>
      <c r="L3520">
        <v>13.48</v>
      </c>
      <c r="M3520">
        <v>0.0</v>
      </c>
      <c r="N3520">
        <v>0.0</v>
      </c>
      <c r="O3520">
        <v>18.07</v>
      </c>
      <c r="P3520">
        <v>24.57</v>
      </c>
      <c r="Q3520">
        <v>13.76</v>
      </c>
      <c r="R3520">
        <v>0.0</v>
      </c>
    </row>
    <row r="3521">
      <c r="A3521" s="9">
        <v>42052</v>
      </c>
      <c r="B3521" s="2" t="inlineStr">
        <is>
          <t xml:space="preserve">2015-02</t>
        </is>
      </c>
      <c r="C3521" s="2" t="inlineStr">
        <is>
          <t xml:space="preserve">2014/15</t>
        </is>
      </c>
      <c r="D3521">
        <v>0.0</v>
      </c>
      <c r="E3521">
        <v>22.73</v>
      </c>
      <c r="F3521">
        <v>32.2</v>
      </c>
      <c r="G3521">
        <v>14.43</v>
      </c>
      <c r="H3521">
        <v>0.0</v>
      </c>
      <c r="I3521">
        <v>0.0</v>
      </c>
      <c r="J3521">
        <v>22.26</v>
      </c>
      <c r="K3521">
        <v>31.19</v>
      </c>
      <c r="L3521">
        <v>14.71</v>
      </c>
      <c r="M3521">
        <v>0.0</v>
      </c>
      <c r="N3521">
        <v>0.0</v>
      </c>
      <c r="O3521">
        <v>20.4</v>
      </c>
      <c r="P3521">
        <v>28.03</v>
      </c>
      <c r="Q3521">
        <v>14.14</v>
      </c>
      <c r="R3521">
        <v>0.0</v>
      </c>
    </row>
    <row r="3522">
      <c r="A3522" s="9">
        <v>42053</v>
      </c>
      <c r="B3522" s="2" t="inlineStr">
        <is>
          <t xml:space="preserve">2015-02</t>
        </is>
      </c>
      <c r="C3522" s="2" t="inlineStr">
        <is>
          <t xml:space="preserve">2014/15</t>
        </is>
      </c>
      <c r="D3522">
        <v>0.0</v>
      </c>
      <c r="E3522">
        <v>20.65</v>
      </c>
      <c r="F3522">
        <v>27.52</v>
      </c>
      <c r="G3522">
        <v>16.08</v>
      </c>
      <c r="H3522">
        <v>0.59</v>
      </c>
      <c r="I3522">
        <v>0.0</v>
      </c>
      <c r="J3522">
        <v>20.06</v>
      </c>
      <c r="K3522">
        <v>24.88</v>
      </c>
      <c r="L3522">
        <v>16.92</v>
      </c>
      <c r="M3522">
        <v>0.39</v>
      </c>
      <c r="N3522">
        <v>0.0</v>
      </c>
      <c r="O3522">
        <v>19.08</v>
      </c>
      <c r="P3522">
        <v>22.95</v>
      </c>
      <c r="Q3522">
        <v>16.51</v>
      </c>
      <c r="R3522">
        <v>1.08</v>
      </c>
    </row>
    <row r="3523">
      <c r="A3523" s="9">
        <v>42054</v>
      </c>
      <c r="B3523" s="2" t="inlineStr">
        <is>
          <t xml:space="preserve">2015-02</t>
        </is>
      </c>
      <c r="C3523" s="2" t="inlineStr">
        <is>
          <t xml:space="preserve">2014/15</t>
        </is>
      </c>
      <c r="D3523">
        <v>0.351</v>
      </c>
      <c r="E3523">
        <v>19.54</v>
      </c>
      <c r="F3523">
        <v>26.25</v>
      </c>
      <c r="G3523">
        <v>15.16</v>
      </c>
      <c r="H3523">
        <v>5.76</v>
      </c>
      <c r="I3523">
        <v>1.396</v>
      </c>
      <c r="J3523">
        <v>18.69</v>
      </c>
      <c r="K3523">
        <v>24.05</v>
      </c>
      <c r="L3523">
        <v>15.36</v>
      </c>
      <c r="M3523">
        <v>4.82</v>
      </c>
      <c r="N3523">
        <v>5.846</v>
      </c>
      <c r="O3523">
        <v>18.21</v>
      </c>
      <c r="P3523">
        <v>22.06</v>
      </c>
      <c r="Q3523">
        <v>15.47</v>
      </c>
      <c r="R3523">
        <v>13.72</v>
      </c>
    </row>
    <row r="3524">
      <c r="A3524" s="9">
        <v>42055</v>
      </c>
      <c r="B3524" s="2" t="inlineStr">
        <is>
          <t xml:space="preserve">2015-02</t>
        </is>
      </c>
      <c r="C3524" s="2" t="inlineStr">
        <is>
          <t xml:space="preserve">2014/15</t>
        </is>
      </c>
      <c r="D3524">
        <v>0.197</v>
      </c>
      <c r="E3524">
        <v>18.22</v>
      </c>
      <c r="F3524">
        <v>25.21</v>
      </c>
      <c r="G3524">
        <v>13.87</v>
      </c>
      <c r="H3524">
        <v>2.01</v>
      </c>
      <c r="I3524">
        <v>2.163</v>
      </c>
      <c r="J3524">
        <v>18.17</v>
      </c>
      <c r="K3524">
        <v>24.58</v>
      </c>
      <c r="L3524">
        <v>14.0</v>
      </c>
      <c r="M3524">
        <v>4.02</v>
      </c>
      <c r="N3524">
        <v>8.667</v>
      </c>
      <c r="O3524">
        <v>17.22</v>
      </c>
      <c r="P3524">
        <v>22.05</v>
      </c>
      <c r="Q3524">
        <v>14.39</v>
      </c>
      <c r="R3524">
        <v>7.12</v>
      </c>
    </row>
    <row r="3525">
      <c r="A3525" s="9">
        <v>42056</v>
      </c>
      <c r="B3525" s="2" t="inlineStr">
        <is>
          <t xml:space="preserve">2015-02</t>
        </is>
      </c>
      <c r="C3525" s="2" t="inlineStr">
        <is>
          <t xml:space="preserve">2014/15</t>
        </is>
      </c>
      <c r="D3525">
        <v>0.0</v>
      </c>
      <c r="E3525">
        <v>20.52</v>
      </c>
      <c r="F3525">
        <v>29.38</v>
      </c>
      <c r="G3525">
        <v>12.9</v>
      </c>
      <c r="H3525">
        <v>0.15</v>
      </c>
      <c r="I3525">
        <v>0.0</v>
      </c>
      <c r="J3525">
        <v>20.78</v>
      </c>
      <c r="K3525">
        <v>29.21</v>
      </c>
      <c r="L3525">
        <v>13.7</v>
      </c>
      <c r="M3525">
        <v>0.48</v>
      </c>
      <c r="N3525">
        <v>0.673</v>
      </c>
      <c r="O3525">
        <v>18.62</v>
      </c>
      <c r="P3525">
        <v>25.27</v>
      </c>
      <c r="Q3525">
        <v>13.74</v>
      </c>
      <c r="R3525">
        <v>1.29</v>
      </c>
    </row>
    <row r="3526">
      <c r="A3526" s="9">
        <v>42057</v>
      </c>
      <c r="B3526" s="2" t="inlineStr">
        <is>
          <t xml:space="preserve">2015-02</t>
        </is>
      </c>
      <c r="C3526" s="2" t="inlineStr">
        <is>
          <t xml:space="preserve">2014/15</t>
        </is>
      </c>
      <c r="D3526">
        <v>0.0</v>
      </c>
      <c r="E3526">
        <v>21.78</v>
      </c>
      <c r="F3526">
        <v>30.44</v>
      </c>
      <c r="G3526">
        <v>14.98</v>
      </c>
      <c r="H3526">
        <v>0.11</v>
      </c>
      <c r="I3526">
        <v>0.0</v>
      </c>
      <c r="J3526">
        <v>21.91</v>
      </c>
      <c r="K3526">
        <v>29.44</v>
      </c>
      <c r="L3526">
        <v>15.79</v>
      </c>
      <c r="M3526">
        <v>0.01</v>
      </c>
      <c r="N3526">
        <v>0.0</v>
      </c>
      <c r="O3526">
        <v>20.58</v>
      </c>
      <c r="P3526">
        <v>25.98</v>
      </c>
      <c r="Q3526">
        <v>16.73</v>
      </c>
      <c r="R3526">
        <v>0.15</v>
      </c>
    </row>
    <row r="3527">
      <c r="A3527" s="9">
        <v>42058</v>
      </c>
      <c r="B3527" s="2" t="inlineStr">
        <is>
          <t xml:space="preserve">2015-02</t>
        </is>
      </c>
      <c r="C3527" s="2" t="inlineStr">
        <is>
          <t xml:space="preserve">2014/15</t>
        </is>
      </c>
      <c r="D3527">
        <v>0.0</v>
      </c>
      <c r="E3527">
        <v>21.57</v>
      </c>
      <c r="F3527">
        <v>29.18</v>
      </c>
      <c r="G3527">
        <v>15.75</v>
      </c>
      <c r="H3527">
        <v>0.86</v>
      </c>
      <c r="I3527">
        <v>0.0</v>
      </c>
      <c r="J3527">
        <v>22.16</v>
      </c>
      <c r="K3527">
        <v>28.76</v>
      </c>
      <c r="L3527">
        <v>17.43</v>
      </c>
      <c r="M3527">
        <v>0.7</v>
      </c>
      <c r="N3527">
        <v>0.0</v>
      </c>
      <c r="O3527">
        <v>20.9</v>
      </c>
      <c r="P3527">
        <v>25.27</v>
      </c>
      <c r="Q3527">
        <v>17.46</v>
      </c>
      <c r="R3527">
        <v>1.37</v>
      </c>
    </row>
    <row r="3528">
      <c r="A3528" s="9">
        <v>42059</v>
      </c>
      <c r="B3528" s="2" t="inlineStr">
        <is>
          <t xml:space="preserve">2015-02</t>
        </is>
      </c>
      <c r="C3528" s="2" t="inlineStr">
        <is>
          <t xml:space="preserve">2014/15</t>
        </is>
      </c>
      <c r="D3528">
        <v>0.828</v>
      </c>
      <c r="E3528">
        <v>21.56</v>
      </c>
      <c r="F3528">
        <v>29.32</v>
      </c>
      <c r="G3528">
        <v>15.89</v>
      </c>
      <c r="H3528">
        <v>0.37</v>
      </c>
      <c r="I3528">
        <v>0.653</v>
      </c>
      <c r="J3528">
        <v>21.48</v>
      </c>
      <c r="K3528">
        <v>27.79</v>
      </c>
      <c r="L3528">
        <v>17.02</v>
      </c>
      <c r="M3528">
        <v>0.68</v>
      </c>
      <c r="N3528">
        <v>2.423</v>
      </c>
      <c r="O3528">
        <v>20.26</v>
      </c>
      <c r="P3528">
        <v>24.55</v>
      </c>
      <c r="Q3528">
        <v>17.02</v>
      </c>
      <c r="R3528">
        <v>1.07</v>
      </c>
    </row>
    <row r="3529">
      <c r="A3529" s="9">
        <v>42060</v>
      </c>
      <c r="B3529" s="2" t="inlineStr">
        <is>
          <t xml:space="preserve">2015-02</t>
        </is>
      </c>
      <c r="C3529" s="2" t="inlineStr">
        <is>
          <t xml:space="preserve">2014/15</t>
        </is>
      </c>
      <c r="D3529">
        <v>0.079</v>
      </c>
      <c r="E3529">
        <v>23.16</v>
      </c>
      <c r="F3529">
        <v>31.26</v>
      </c>
      <c r="G3529">
        <v>16.29</v>
      </c>
      <c r="H3529">
        <v>0.13</v>
      </c>
      <c r="I3529">
        <v>0.0</v>
      </c>
      <c r="J3529">
        <v>22.53</v>
      </c>
      <c r="K3529">
        <v>30.23</v>
      </c>
      <c r="L3529">
        <v>16.84</v>
      </c>
      <c r="M3529">
        <v>0.0</v>
      </c>
      <c r="N3529">
        <v>0.0</v>
      </c>
      <c r="O3529">
        <v>22.14</v>
      </c>
      <c r="P3529">
        <v>28.09</v>
      </c>
      <c r="Q3529">
        <v>17.33</v>
      </c>
      <c r="R3529">
        <v>0.0</v>
      </c>
    </row>
    <row r="3530">
      <c r="A3530" s="9">
        <v>42061</v>
      </c>
      <c r="B3530" s="2" t="inlineStr">
        <is>
          <t xml:space="preserve">2015-02</t>
        </is>
      </c>
      <c r="C3530" s="2" t="inlineStr">
        <is>
          <t xml:space="preserve">2014/15</t>
        </is>
      </c>
      <c r="D3530">
        <v>0.553</v>
      </c>
      <c r="E3530">
        <v>23.24</v>
      </c>
      <c r="F3530">
        <v>31.52</v>
      </c>
      <c r="G3530">
        <v>16.32</v>
      </c>
      <c r="H3530">
        <v>0.25</v>
      </c>
      <c r="I3530">
        <v>0.0</v>
      </c>
      <c r="J3530">
        <v>22.73</v>
      </c>
      <c r="K3530">
        <v>30.94</v>
      </c>
      <c r="L3530">
        <v>15.97</v>
      </c>
      <c r="M3530">
        <v>0.05</v>
      </c>
      <c r="N3530">
        <v>0.0</v>
      </c>
      <c r="O3530">
        <v>21.47</v>
      </c>
      <c r="P3530">
        <v>28.08</v>
      </c>
      <c r="Q3530">
        <v>15.78</v>
      </c>
      <c r="R3530">
        <v>0.1</v>
      </c>
    </row>
    <row r="3531">
      <c r="A3531" s="9">
        <v>42062</v>
      </c>
      <c r="B3531" s="2" t="inlineStr">
        <is>
          <t xml:space="preserve">2015-02</t>
        </is>
      </c>
      <c r="C3531" s="2" t="inlineStr">
        <is>
          <t xml:space="preserve">2014/15</t>
        </is>
      </c>
      <c r="D3531">
        <v>0.0</v>
      </c>
      <c r="E3531">
        <v>22.74</v>
      </c>
      <c r="F3531">
        <v>30.01</v>
      </c>
      <c r="G3531">
        <v>17.53</v>
      </c>
      <c r="H3531">
        <v>0.24</v>
      </c>
      <c r="I3531">
        <v>0.028</v>
      </c>
      <c r="J3531">
        <v>22.19</v>
      </c>
      <c r="K3531">
        <v>29.04</v>
      </c>
      <c r="L3531">
        <v>17.08</v>
      </c>
      <c r="M3531">
        <v>0.92</v>
      </c>
      <c r="N3531">
        <v>0.438</v>
      </c>
      <c r="O3531">
        <v>20.74</v>
      </c>
      <c r="P3531">
        <v>25.7</v>
      </c>
      <c r="Q3531">
        <v>17.11</v>
      </c>
      <c r="R3531">
        <v>2.26</v>
      </c>
    </row>
    <row r="3532">
      <c r="A3532" s="9">
        <v>42063</v>
      </c>
      <c r="B3532" s="2" t="inlineStr">
        <is>
          <t xml:space="preserve">2015-02</t>
        </is>
      </c>
      <c r="C3532" s="2" t="inlineStr">
        <is>
          <t xml:space="preserve">2014/15</t>
        </is>
      </c>
      <c r="D3532">
        <v>0.0</v>
      </c>
      <c r="E3532">
        <v>21.86</v>
      </c>
      <c r="F3532">
        <v>29.94</v>
      </c>
      <c r="G3532">
        <v>16.12</v>
      </c>
      <c r="H3532">
        <v>0.15</v>
      </c>
      <c r="I3532">
        <v>0.0</v>
      </c>
      <c r="J3532">
        <v>21.17</v>
      </c>
      <c r="K3532">
        <v>28.04</v>
      </c>
      <c r="L3532">
        <v>16.82</v>
      </c>
      <c r="M3532">
        <v>0.7</v>
      </c>
      <c r="N3532">
        <v>0.421</v>
      </c>
      <c r="O3532">
        <v>19.94</v>
      </c>
      <c r="P3532">
        <v>24.42</v>
      </c>
      <c r="Q3532">
        <v>17.1</v>
      </c>
      <c r="R3532">
        <v>1.65</v>
      </c>
    </row>
    <row r="3533">
      <c r="A3533" s="9">
        <v>42064</v>
      </c>
      <c r="B3533" s="2" t="inlineStr">
        <is>
          <t xml:space="preserve">2015-03</t>
        </is>
      </c>
      <c r="C3533" s="2" t="inlineStr">
        <is>
          <t xml:space="preserve">2014/15</t>
        </is>
      </c>
      <c r="D3533">
        <v>0.0</v>
      </c>
      <c r="E3533">
        <v>21.84</v>
      </c>
      <c r="F3533">
        <v>29.99</v>
      </c>
      <c r="G3533">
        <v>15.43</v>
      </c>
      <c r="H3533">
        <v>0.14</v>
      </c>
      <c r="I3533">
        <v>0.0</v>
      </c>
      <c r="J3533">
        <v>21.34</v>
      </c>
      <c r="K3533">
        <v>27.74</v>
      </c>
      <c r="L3533">
        <v>17.04</v>
      </c>
      <c r="M3533">
        <v>0.39</v>
      </c>
      <c r="N3533">
        <v>0.116</v>
      </c>
      <c r="O3533">
        <v>20.12</v>
      </c>
      <c r="P3533">
        <v>24.43</v>
      </c>
      <c r="Q3533">
        <v>17.02</v>
      </c>
      <c r="R3533">
        <v>1.17</v>
      </c>
    </row>
    <row r="3534">
      <c r="A3534" s="9">
        <v>42065</v>
      </c>
      <c r="B3534" s="2" t="inlineStr">
        <is>
          <t xml:space="preserve">2015-03</t>
        </is>
      </c>
      <c r="C3534" s="2" t="inlineStr">
        <is>
          <t xml:space="preserve">2014/15</t>
        </is>
      </c>
      <c r="D3534">
        <v>0.0</v>
      </c>
      <c r="E3534">
        <v>22.19</v>
      </c>
      <c r="F3534">
        <v>30.09</v>
      </c>
      <c r="G3534">
        <v>16.38</v>
      </c>
      <c r="H3534">
        <v>0.16</v>
      </c>
      <c r="I3534">
        <v>0.0</v>
      </c>
      <c r="J3534">
        <v>21.42</v>
      </c>
      <c r="K3534">
        <v>28.12</v>
      </c>
      <c r="L3534">
        <v>17.16</v>
      </c>
      <c r="M3534">
        <v>0.79</v>
      </c>
      <c r="N3534">
        <v>0.494</v>
      </c>
      <c r="O3534">
        <v>20.37</v>
      </c>
      <c r="P3534">
        <v>24.95</v>
      </c>
      <c r="Q3534">
        <v>17.73</v>
      </c>
      <c r="R3534">
        <v>1.76</v>
      </c>
    </row>
    <row r="3535">
      <c r="A3535" s="9">
        <v>42066</v>
      </c>
      <c r="B3535" s="2" t="inlineStr">
        <is>
          <t xml:space="preserve">2015-03</t>
        </is>
      </c>
      <c r="C3535" s="2" t="inlineStr">
        <is>
          <t xml:space="preserve">2014/15</t>
        </is>
      </c>
      <c r="D3535">
        <v>0.0</v>
      </c>
      <c r="E3535">
        <v>22.16</v>
      </c>
      <c r="F3535">
        <v>29.53</v>
      </c>
      <c r="G3535">
        <v>16.4</v>
      </c>
      <c r="H3535">
        <v>0.0</v>
      </c>
      <c r="I3535">
        <v>0.0</v>
      </c>
      <c r="J3535">
        <v>21.59</v>
      </c>
      <c r="K3535">
        <v>28.34</v>
      </c>
      <c r="L3535">
        <v>16.56</v>
      </c>
      <c r="M3535">
        <v>0.0</v>
      </c>
      <c r="N3535">
        <v>0.0</v>
      </c>
      <c r="O3535">
        <v>20.44</v>
      </c>
      <c r="P3535">
        <v>25.01</v>
      </c>
      <c r="Q3535">
        <v>17.02</v>
      </c>
      <c r="R3535">
        <v>0.02</v>
      </c>
    </row>
    <row r="3536">
      <c r="A3536" s="9">
        <v>42067</v>
      </c>
      <c r="B3536" s="2" t="inlineStr">
        <is>
          <t xml:space="preserve">2015-03</t>
        </is>
      </c>
      <c r="C3536" s="2" t="inlineStr">
        <is>
          <t xml:space="preserve">2014/15</t>
        </is>
      </c>
      <c r="D3536">
        <v>0.0</v>
      </c>
      <c r="E3536">
        <v>22.56</v>
      </c>
      <c r="F3536">
        <v>31.02</v>
      </c>
      <c r="G3536">
        <v>14.03</v>
      </c>
      <c r="H3536">
        <v>0.03</v>
      </c>
      <c r="I3536">
        <v>0.0</v>
      </c>
      <c r="J3536">
        <v>22.81</v>
      </c>
      <c r="K3536">
        <v>30.35</v>
      </c>
      <c r="L3536">
        <v>17.06</v>
      </c>
      <c r="M3536">
        <v>0.0</v>
      </c>
      <c r="N3536">
        <v>0.0</v>
      </c>
      <c r="O3536">
        <v>21.06</v>
      </c>
      <c r="P3536">
        <v>26.91</v>
      </c>
      <c r="Q3536">
        <v>17.15</v>
      </c>
      <c r="R3536">
        <v>0.0</v>
      </c>
    </row>
    <row r="3537">
      <c r="A3537" s="9">
        <v>42068</v>
      </c>
      <c r="B3537" s="2" t="inlineStr">
        <is>
          <t xml:space="preserve">2015-03</t>
        </is>
      </c>
      <c r="C3537" s="2" t="inlineStr">
        <is>
          <t xml:space="preserve">2014/15</t>
        </is>
      </c>
      <c r="D3537">
        <v>0.0</v>
      </c>
      <c r="E3537">
        <v>22.93</v>
      </c>
      <c r="F3537">
        <v>31.51</v>
      </c>
      <c r="G3537">
        <v>14.83</v>
      </c>
      <c r="H3537">
        <v>0.24</v>
      </c>
      <c r="I3537">
        <v>0.0</v>
      </c>
      <c r="J3537">
        <v>23.33</v>
      </c>
      <c r="K3537">
        <v>30.84</v>
      </c>
      <c r="L3537">
        <v>17.52</v>
      </c>
      <c r="M3537">
        <v>0.04</v>
      </c>
      <c r="N3537">
        <v>0.0</v>
      </c>
      <c r="O3537">
        <v>21.73</v>
      </c>
      <c r="P3537">
        <v>27.11</v>
      </c>
      <c r="Q3537">
        <v>17.62</v>
      </c>
      <c r="R3537">
        <v>0.2</v>
      </c>
    </row>
    <row r="3538">
      <c r="A3538" s="9">
        <v>42069</v>
      </c>
      <c r="B3538" s="2" t="inlineStr">
        <is>
          <t xml:space="preserve">2015-03</t>
        </is>
      </c>
      <c r="C3538" s="2" t="inlineStr">
        <is>
          <t xml:space="preserve">2014/15</t>
        </is>
      </c>
      <c r="D3538">
        <v>0.411</v>
      </c>
      <c r="E3538">
        <v>21.87</v>
      </c>
      <c r="F3538">
        <v>29.39</v>
      </c>
      <c r="G3538">
        <v>16.98</v>
      </c>
      <c r="H3538">
        <v>0.61</v>
      </c>
      <c r="I3538">
        <v>0.022</v>
      </c>
      <c r="J3538">
        <v>21.75</v>
      </c>
      <c r="K3538">
        <v>27.81</v>
      </c>
      <c r="L3538">
        <v>17.15</v>
      </c>
      <c r="M3538">
        <v>1.07</v>
      </c>
      <c r="N3538">
        <v>0.191</v>
      </c>
      <c r="O3538">
        <v>20.77</v>
      </c>
      <c r="P3538">
        <v>25.13</v>
      </c>
      <c r="Q3538">
        <v>17.4</v>
      </c>
      <c r="R3538">
        <v>2.33</v>
      </c>
    </row>
    <row r="3539">
      <c r="A3539" s="9">
        <v>42070</v>
      </c>
      <c r="B3539" s="2" t="inlineStr">
        <is>
          <t xml:space="preserve">2015-03</t>
        </is>
      </c>
      <c r="C3539" s="2" t="inlineStr">
        <is>
          <t xml:space="preserve">2014/15</t>
        </is>
      </c>
      <c r="D3539">
        <v>0.214</v>
      </c>
      <c r="E3539">
        <v>20.18</v>
      </c>
      <c r="F3539">
        <v>27.29</v>
      </c>
      <c r="G3539">
        <v>15.61</v>
      </c>
      <c r="H3539">
        <v>1.4</v>
      </c>
      <c r="I3539">
        <v>0.086</v>
      </c>
      <c r="J3539">
        <v>19.45</v>
      </c>
      <c r="K3539">
        <v>25.25</v>
      </c>
      <c r="L3539">
        <v>15.83</v>
      </c>
      <c r="M3539">
        <v>2.52</v>
      </c>
      <c r="N3539">
        <v>1.78</v>
      </c>
      <c r="O3539">
        <v>19.1</v>
      </c>
      <c r="P3539">
        <v>23.4</v>
      </c>
      <c r="Q3539">
        <v>16.56</v>
      </c>
      <c r="R3539">
        <v>7.45</v>
      </c>
    </row>
    <row r="3540">
      <c r="A3540" s="9">
        <v>42071</v>
      </c>
      <c r="B3540" s="2" t="inlineStr">
        <is>
          <t xml:space="preserve">2015-03</t>
        </is>
      </c>
      <c r="C3540" s="2" t="inlineStr">
        <is>
          <t xml:space="preserve">2014/15</t>
        </is>
      </c>
      <c r="D3540">
        <v>0.12</v>
      </c>
      <c r="E3540">
        <v>20.36</v>
      </c>
      <c r="F3540">
        <v>28.25</v>
      </c>
      <c r="G3540">
        <v>14.72</v>
      </c>
      <c r="H3540">
        <v>0.75</v>
      </c>
      <c r="I3540">
        <v>0.067</v>
      </c>
      <c r="J3540">
        <v>19.64</v>
      </c>
      <c r="K3540">
        <v>26.31</v>
      </c>
      <c r="L3540">
        <v>15.67</v>
      </c>
      <c r="M3540">
        <v>1.15</v>
      </c>
      <c r="N3540">
        <v>0.996</v>
      </c>
      <c r="O3540">
        <v>18.89</v>
      </c>
      <c r="P3540">
        <v>23.41</v>
      </c>
      <c r="Q3540">
        <v>16.34</v>
      </c>
      <c r="R3540">
        <v>3.33</v>
      </c>
    </row>
    <row r="3541">
      <c r="A3541" s="9">
        <v>42072</v>
      </c>
      <c r="B3541" s="2" t="inlineStr">
        <is>
          <t xml:space="preserve">2015-03</t>
        </is>
      </c>
      <c r="C3541" s="2" t="inlineStr">
        <is>
          <t xml:space="preserve">2014/15</t>
        </is>
      </c>
      <c r="D3541">
        <v>0.0</v>
      </c>
      <c r="E3541">
        <v>20.83</v>
      </c>
      <c r="F3541">
        <v>29.65</v>
      </c>
      <c r="G3541">
        <v>13.85</v>
      </c>
      <c r="H3541">
        <v>0.1</v>
      </c>
      <c r="I3541">
        <v>0.0</v>
      </c>
      <c r="J3541">
        <v>20.87</v>
      </c>
      <c r="K3541">
        <v>28.44</v>
      </c>
      <c r="L3541">
        <v>14.99</v>
      </c>
      <c r="M3541">
        <v>0.21</v>
      </c>
      <c r="N3541">
        <v>0.147</v>
      </c>
      <c r="O3541">
        <v>19.6</v>
      </c>
      <c r="P3541">
        <v>25.01</v>
      </c>
      <c r="Q3541">
        <v>15.26</v>
      </c>
      <c r="R3541">
        <v>0.42</v>
      </c>
    </row>
    <row r="3542">
      <c r="A3542" s="9">
        <v>42073</v>
      </c>
      <c r="B3542" s="2" t="inlineStr">
        <is>
          <t xml:space="preserve">2015-03</t>
        </is>
      </c>
      <c r="C3542" s="2" t="inlineStr">
        <is>
          <t xml:space="preserve">2014/15</t>
        </is>
      </c>
      <c r="D3542">
        <v>0.0</v>
      </c>
      <c r="E3542">
        <v>22.78</v>
      </c>
      <c r="F3542">
        <v>32.49</v>
      </c>
      <c r="G3542">
        <v>14.27</v>
      </c>
      <c r="H3542">
        <v>0.0</v>
      </c>
      <c r="I3542">
        <v>0.0</v>
      </c>
      <c r="J3542">
        <v>22.71</v>
      </c>
      <c r="K3542">
        <v>31.02</v>
      </c>
      <c r="L3542">
        <v>16.18</v>
      </c>
      <c r="M3542">
        <v>0.0</v>
      </c>
      <c r="N3542">
        <v>0.0</v>
      </c>
      <c r="O3542">
        <v>21.07</v>
      </c>
      <c r="P3542">
        <v>26.9</v>
      </c>
      <c r="Q3542">
        <v>17.01</v>
      </c>
      <c r="R3542">
        <v>0.01</v>
      </c>
    </row>
    <row r="3543">
      <c r="A3543" s="9">
        <v>42074</v>
      </c>
      <c r="B3543" s="2" t="inlineStr">
        <is>
          <t xml:space="preserve">2015-03</t>
        </is>
      </c>
      <c r="C3543" s="2" t="inlineStr">
        <is>
          <t xml:space="preserve">2014/15</t>
        </is>
      </c>
      <c r="D3543">
        <v>0.0</v>
      </c>
      <c r="E3543">
        <v>23.46</v>
      </c>
      <c r="F3543">
        <v>32.14</v>
      </c>
      <c r="G3543">
        <v>16.14</v>
      </c>
      <c r="H3543">
        <v>0.23</v>
      </c>
      <c r="I3543">
        <v>0.0</v>
      </c>
      <c r="J3543">
        <v>22.57</v>
      </c>
      <c r="K3543">
        <v>30.2</v>
      </c>
      <c r="L3543">
        <v>17.21</v>
      </c>
      <c r="M3543">
        <v>0.55</v>
      </c>
      <c r="N3543">
        <v>0.0</v>
      </c>
      <c r="O3543">
        <v>21.48</v>
      </c>
      <c r="P3543">
        <v>26.57</v>
      </c>
      <c r="Q3543">
        <v>17.91</v>
      </c>
      <c r="R3543">
        <v>1.92</v>
      </c>
    </row>
    <row r="3544">
      <c r="A3544" s="9">
        <v>42075</v>
      </c>
      <c r="B3544" s="2" t="inlineStr">
        <is>
          <t xml:space="preserve">2015-03</t>
        </is>
      </c>
      <c r="C3544" s="2" t="inlineStr">
        <is>
          <t xml:space="preserve">2014/15</t>
        </is>
      </c>
      <c r="D3544">
        <v>0.0</v>
      </c>
      <c r="E3544">
        <v>23.68</v>
      </c>
      <c r="F3544">
        <v>32.1</v>
      </c>
      <c r="G3544">
        <v>17.3</v>
      </c>
      <c r="H3544">
        <v>0.35</v>
      </c>
      <c r="I3544">
        <v>0.047</v>
      </c>
      <c r="J3544">
        <v>23.02</v>
      </c>
      <c r="K3544">
        <v>30.11</v>
      </c>
      <c r="L3544">
        <v>18.15</v>
      </c>
      <c r="M3544">
        <v>1.81</v>
      </c>
      <c r="N3544">
        <v>1.264</v>
      </c>
      <c r="O3544">
        <v>21.4</v>
      </c>
      <c r="P3544">
        <v>26.16</v>
      </c>
      <c r="Q3544">
        <v>18.31</v>
      </c>
      <c r="R3544">
        <v>3.49</v>
      </c>
    </row>
    <row r="3545">
      <c r="A3545" s="9">
        <v>42076</v>
      </c>
      <c r="B3545" s="2" t="inlineStr">
        <is>
          <t xml:space="preserve">2015-03</t>
        </is>
      </c>
      <c r="C3545" s="2" t="inlineStr">
        <is>
          <t xml:space="preserve">2014/15</t>
        </is>
      </c>
      <c r="D3545">
        <v>0.0</v>
      </c>
      <c r="E3545">
        <v>22.75</v>
      </c>
      <c r="F3545">
        <v>30.64</v>
      </c>
      <c r="G3545">
        <v>17.37</v>
      </c>
      <c r="H3545">
        <v>0.19</v>
      </c>
      <c r="I3545">
        <v>0.155</v>
      </c>
      <c r="J3545">
        <v>21.67</v>
      </c>
      <c r="K3545">
        <v>28.36</v>
      </c>
      <c r="L3545">
        <v>17.44</v>
      </c>
      <c r="M3545">
        <v>0.19</v>
      </c>
      <c r="N3545">
        <v>0.25</v>
      </c>
      <c r="O3545">
        <v>20.47</v>
      </c>
      <c r="P3545">
        <v>24.94</v>
      </c>
      <c r="Q3545">
        <v>17.69</v>
      </c>
      <c r="R3545">
        <v>0.31</v>
      </c>
    </row>
    <row r="3546">
      <c r="A3546" s="9">
        <v>42077</v>
      </c>
      <c r="B3546" s="2" t="inlineStr">
        <is>
          <t xml:space="preserve">2015-03</t>
        </is>
      </c>
      <c r="C3546" s="2" t="inlineStr">
        <is>
          <t xml:space="preserve">2014/15</t>
        </is>
      </c>
      <c r="D3546">
        <v>0.0</v>
      </c>
      <c r="E3546">
        <v>21.96</v>
      </c>
      <c r="F3546">
        <v>29.93</v>
      </c>
      <c r="G3546">
        <v>16.0</v>
      </c>
      <c r="H3546">
        <v>0.1</v>
      </c>
      <c r="I3546">
        <v>0.0</v>
      </c>
      <c r="J3546">
        <v>21.73</v>
      </c>
      <c r="K3546">
        <v>28.87</v>
      </c>
      <c r="L3546">
        <v>16.35</v>
      </c>
      <c r="M3546">
        <v>0.09</v>
      </c>
      <c r="N3546">
        <v>0.0</v>
      </c>
      <c r="O3546">
        <v>20.64</v>
      </c>
      <c r="P3546">
        <v>26.03</v>
      </c>
      <c r="Q3546">
        <v>17.0</v>
      </c>
      <c r="R3546">
        <v>0.29</v>
      </c>
    </row>
    <row r="3547">
      <c r="A3547" s="9">
        <v>42078</v>
      </c>
      <c r="B3547" s="2" t="inlineStr">
        <is>
          <t xml:space="preserve">2015-03</t>
        </is>
      </c>
      <c r="C3547" s="2" t="inlineStr">
        <is>
          <t xml:space="preserve">2014/15</t>
        </is>
      </c>
      <c r="D3547">
        <v>0.0</v>
      </c>
      <c r="E3547">
        <v>22.09</v>
      </c>
      <c r="F3547">
        <v>30.36</v>
      </c>
      <c r="G3547">
        <v>14.91</v>
      </c>
      <c r="H3547">
        <v>0.81</v>
      </c>
      <c r="I3547">
        <v>0.068</v>
      </c>
      <c r="J3547">
        <v>21.73</v>
      </c>
      <c r="K3547">
        <v>28.64</v>
      </c>
      <c r="L3547">
        <v>16.94</v>
      </c>
      <c r="M3547">
        <v>2.21</v>
      </c>
      <c r="N3547">
        <v>0.257</v>
      </c>
      <c r="O3547">
        <v>20.69</v>
      </c>
      <c r="P3547">
        <v>25.66</v>
      </c>
      <c r="Q3547">
        <v>17.24</v>
      </c>
      <c r="R3547">
        <v>6.46</v>
      </c>
    </row>
    <row r="3548">
      <c r="A3548" s="9">
        <v>42079</v>
      </c>
      <c r="B3548" s="2" t="inlineStr">
        <is>
          <t xml:space="preserve">2015-03</t>
        </is>
      </c>
      <c r="C3548" s="2" t="inlineStr">
        <is>
          <t xml:space="preserve">2014/15</t>
        </is>
      </c>
      <c r="D3548">
        <v>0.0</v>
      </c>
      <c r="E3548">
        <v>21.34</v>
      </c>
      <c r="F3548">
        <v>29.31</v>
      </c>
      <c r="G3548">
        <v>14.67</v>
      </c>
      <c r="H3548">
        <v>0.28</v>
      </c>
      <c r="I3548">
        <v>0.566</v>
      </c>
      <c r="J3548">
        <v>20.76</v>
      </c>
      <c r="K3548">
        <v>26.13</v>
      </c>
      <c r="L3548">
        <v>17.64</v>
      </c>
      <c r="M3548">
        <v>2.05</v>
      </c>
      <c r="N3548">
        <v>2.153</v>
      </c>
      <c r="O3548">
        <v>19.99</v>
      </c>
      <c r="P3548">
        <v>24.08</v>
      </c>
      <c r="Q3548">
        <v>17.38</v>
      </c>
      <c r="R3548">
        <v>2.82</v>
      </c>
    </row>
    <row r="3549">
      <c r="A3549" s="9">
        <v>42080</v>
      </c>
      <c r="B3549" s="2" t="inlineStr">
        <is>
          <t xml:space="preserve">2015-03</t>
        </is>
      </c>
      <c r="C3549" s="2" t="inlineStr">
        <is>
          <t xml:space="preserve">2014/15</t>
        </is>
      </c>
      <c r="D3549">
        <v>0.0</v>
      </c>
      <c r="E3549">
        <v>21.36</v>
      </c>
      <c r="F3549">
        <v>29.91</v>
      </c>
      <c r="G3549">
        <v>15.32</v>
      </c>
      <c r="H3549">
        <v>0.05</v>
      </c>
      <c r="I3549">
        <v>0.067</v>
      </c>
      <c r="J3549">
        <v>20.84</v>
      </c>
      <c r="K3549">
        <v>27.69</v>
      </c>
      <c r="L3549">
        <v>16.16</v>
      </c>
      <c r="M3549">
        <v>0.29</v>
      </c>
      <c r="N3549">
        <v>0.254</v>
      </c>
      <c r="O3549">
        <v>19.53</v>
      </c>
      <c r="P3549">
        <v>24.59</v>
      </c>
      <c r="Q3549">
        <v>16.06</v>
      </c>
      <c r="R3549">
        <v>0.5</v>
      </c>
    </row>
    <row r="3550">
      <c r="A3550" s="9">
        <v>42081</v>
      </c>
      <c r="B3550" s="2" t="inlineStr">
        <is>
          <t xml:space="preserve">2015-03</t>
        </is>
      </c>
      <c r="C3550" s="2" t="inlineStr">
        <is>
          <t xml:space="preserve">2014/15</t>
        </is>
      </c>
      <c r="D3550">
        <v>0.0</v>
      </c>
      <c r="E3550">
        <v>22.11</v>
      </c>
      <c r="F3550">
        <v>31.35</v>
      </c>
      <c r="G3550">
        <v>14.23</v>
      </c>
      <c r="H3550">
        <v>0.01</v>
      </c>
      <c r="I3550">
        <v>0.0</v>
      </c>
      <c r="J3550">
        <v>21.1</v>
      </c>
      <c r="K3550">
        <v>29.06</v>
      </c>
      <c r="L3550">
        <v>15.22</v>
      </c>
      <c r="M3550">
        <v>0.0</v>
      </c>
      <c r="N3550">
        <v>0.0</v>
      </c>
      <c r="O3550">
        <v>19.38</v>
      </c>
      <c r="P3550">
        <v>25.59</v>
      </c>
      <c r="Q3550">
        <v>14.51</v>
      </c>
      <c r="R3550">
        <v>0.0</v>
      </c>
    </row>
    <row r="3551">
      <c r="A3551" s="9">
        <v>42082</v>
      </c>
      <c r="B3551" s="2" t="inlineStr">
        <is>
          <t xml:space="preserve">2015-03</t>
        </is>
      </c>
      <c r="C3551" s="2" t="inlineStr">
        <is>
          <t xml:space="preserve">2014/15</t>
        </is>
      </c>
      <c r="D3551">
        <v>0.0</v>
      </c>
      <c r="E3551">
        <v>22.14</v>
      </c>
      <c r="F3551">
        <v>27.19</v>
      </c>
      <c r="G3551">
        <v>18.09</v>
      </c>
      <c r="H3551">
        <v>0.03</v>
      </c>
      <c r="I3551">
        <v>0.0</v>
      </c>
      <c r="J3551">
        <v>22.81</v>
      </c>
      <c r="K3551">
        <v>30.03</v>
      </c>
      <c r="L3551">
        <v>16.39</v>
      </c>
      <c r="M3551">
        <v>0.0</v>
      </c>
      <c r="N3551">
        <v>0.0</v>
      </c>
      <c r="O3551">
        <v>21.45</v>
      </c>
      <c r="P3551">
        <v>26.66</v>
      </c>
      <c r="Q3551">
        <v>17.31</v>
      </c>
      <c r="R3551">
        <v>0.01</v>
      </c>
    </row>
    <row r="3552">
      <c r="A3552" s="9">
        <v>42083</v>
      </c>
      <c r="B3552" s="2" t="inlineStr">
        <is>
          <t xml:space="preserve">2015-03</t>
        </is>
      </c>
      <c r="C3552" s="2" t="inlineStr">
        <is>
          <t xml:space="preserve">2014/15</t>
        </is>
      </c>
      <c r="D3552">
        <v>0.0</v>
      </c>
      <c r="E3552">
        <v>23.49</v>
      </c>
      <c r="F3552">
        <v>31.68</v>
      </c>
      <c r="G3552">
        <v>16.37</v>
      </c>
      <c r="H3552">
        <v>0.01</v>
      </c>
      <c r="I3552">
        <v>0.0</v>
      </c>
      <c r="J3552">
        <v>21.77</v>
      </c>
      <c r="K3552">
        <v>25.04</v>
      </c>
      <c r="L3552">
        <v>18.97</v>
      </c>
      <c r="M3552">
        <v>0.0</v>
      </c>
      <c r="N3552">
        <v>0.0</v>
      </c>
      <c r="O3552">
        <v>21.53</v>
      </c>
      <c r="P3552">
        <v>25.94</v>
      </c>
      <c r="Q3552">
        <v>18.48</v>
      </c>
      <c r="R3552">
        <v>0.0</v>
      </c>
    </row>
    <row r="3553">
      <c r="A3553" s="9">
        <v>42084</v>
      </c>
      <c r="B3553" s="2" t="inlineStr">
        <is>
          <t xml:space="preserve">2015-03</t>
        </is>
      </c>
      <c r="C3553" s="2" t="inlineStr">
        <is>
          <t xml:space="preserve">2014/15</t>
        </is>
      </c>
      <c r="D3553">
        <v>0.0</v>
      </c>
      <c r="E3553">
        <v>23.75</v>
      </c>
      <c r="F3553">
        <v>32.42</v>
      </c>
      <c r="G3553">
        <v>16.26</v>
      </c>
      <c r="H3553">
        <v>0.05</v>
      </c>
      <c r="I3553">
        <v>0.0</v>
      </c>
      <c r="J3553">
        <v>23.62</v>
      </c>
      <c r="K3553">
        <v>30.65</v>
      </c>
      <c r="L3553">
        <v>17.63</v>
      </c>
      <c r="M3553">
        <v>0.0</v>
      </c>
      <c r="N3553">
        <v>0.0</v>
      </c>
      <c r="O3553">
        <v>22.12</v>
      </c>
      <c r="P3553">
        <v>28.22</v>
      </c>
      <c r="Q3553">
        <v>18.0</v>
      </c>
      <c r="R3553">
        <v>0.0</v>
      </c>
    </row>
    <row r="3554">
      <c r="A3554" s="9">
        <v>42085</v>
      </c>
      <c r="B3554" s="2" t="inlineStr">
        <is>
          <t xml:space="preserve">2015-03</t>
        </is>
      </c>
      <c r="C3554" s="2" t="inlineStr">
        <is>
          <t xml:space="preserve">2014/15</t>
        </is>
      </c>
      <c r="D3554">
        <v>0.0</v>
      </c>
      <c r="E3554">
        <v>24.04</v>
      </c>
      <c r="F3554">
        <v>32.2</v>
      </c>
      <c r="G3554">
        <v>16.86</v>
      </c>
      <c r="H3554">
        <v>0.0</v>
      </c>
      <c r="I3554">
        <v>0.0</v>
      </c>
      <c r="J3554">
        <v>23.99</v>
      </c>
      <c r="K3554">
        <v>30.68</v>
      </c>
      <c r="L3554">
        <v>18.97</v>
      </c>
      <c r="M3554">
        <v>0.0</v>
      </c>
      <c r="N3554">
        <v>0.0</v>
      </c>
      <c r="O3554">
        <v>22.64</v>
      </c>
      <c r="P3554">
        <v>28.45</v>
      </c>
      <c r="Q3554">
        <v>18.75</v>
      </c>
      <c r="R3554">
        <v>0.0</v>
      </c>
    </row>
    <row r="3555">
      <c r="A3555" s="9">
        <v>42086</v>
      </c>
      <c r="B3555" s="2" t="inlineStr">
        <is>
          <t xml:space="preserve">2015-03</t>
        </is>
      </c>
      <c r="C3555" s="2" t="inlineStr">
        <is>
          <t xml:space="preserve">2014/15</t>
        </is>
      </c>
      <c r="D3555">
        <v>0.0</v>
      </c>
      <c r="E3555">
        <v>23.74</v>
      </c>
      <c r="F3555">
        <v>32.01</v>
      </c>
      <c r="G3555">
        <v>17.69</v>
      </c>
      <c r="H3555">
        <v>0.43</v>
      </c>
      <c r="I3555">
        <v>0.0</v>
      </c>
      <c r="J3555">
        <v>23.86</v>
      </c>
      <c r="K3555">
        <v>30.94</v>
      </c>
      <c r="L3555">
        <v>18.54</v>
      </c>
      <c r="M3555">
        <v>0.12</v>
      </c>
      <c r="N3555">
        <v>0.0</v>
      </c>
      <c r="O3555">
        <v>21.97</v>
      </c>
      <c r="P3555">
        <v>27.87</v>
      </c>
      <c r="Q3555">
        <v>17.79</v>
      </c>
      <c r="R3555">
        <v>0.05</v>
      </c>
    </row>
    <row r="3556">
      <c r="A3556" s="9">
        <v>42087</v>
      </c>
      <c r="B3556" s="2" t="inlineStr">
        <is>
          <t xml:space="preserve">2015-03</t>
        </is>
      </c>
      <c r="C3556" s="2" t="inlineStr">
        <is>
          <t xml:space="preserve">2014/15</t>
        </is>
      </c>
      <c r="D3556">
        <v>1.17</v>
      </c>
      <c r="E3556">
        <v>23.68</v>
      </c>
      <c r="F3556">
        <v>31.89</v>
      </c>
      <c r="G3556">
        <v>17.9</v>
      </c>
      <c r="H3556">
        <v>1.61</v>
      </c>
      <c r="I3556">
        <v>0.083</v>
      </c>
      <c r="J3556">
        <v>22.84</v>
      </c>
      <c r="K3556">
        <v>30.66</v>
      </c>
      <c r="L3556">
        <v>16.39</v>
      </c>
      <c r="M3556">
        <v>0.19</v>
      </c>
      <c r="N3556">
        <v>0.0</v>
      </c>
      <c r="O3556">
        <v>20.88</v>
      </c>
      <c r="P3556">
        <v>27.25</v>
      </c>
      <c r="Q3556">
        <v>15.39</v>
      </c>
      <c r="R3556">
        <v>0.09</v>
      </c>
    </row>
    <row r="3557">
      <c r="A3557" s="9">
        <v>42088</v>
      </c>
      <c r="B3557" s="2" t="inlineStr">
        <is>
          <t xml:space="preserve">2015-03</t>
        </is>
      </c>
      <c r="C3557" s="2" t="inlineStr">
        <is>
          <t xml:space="preserve">2014/15</t>
        </is>
      </c>
      <c r="D3557">
        <v>6.378</v>
      </c>
      <c r="E3557">
        <v>24.08</v>
      </c>
      <c r="F3557">
        <v>31.94</v>
      </c>
      <c r="G3557">
        <v>17.95</v>
      </c>
      <c r="H3557">
        <v>1.83</v>
      </c>
      <c r="I3557">
        <v>2.882</v>
      </c>
      <c r="J3557">
        <v>23.51</v>
      </c>
      <c r="K3557">
        <v>31.15</v>
      </c>
      <c r="L3557">
        <v>16.94</v>
      </c>
      <c r="M3557">
        <v>2.61</v>
      </c>
      <c r="N3557">
        <v>1.342</v>
      </c>
      <c r="O3557">
        <v>22.15</v>
      </c>
      <c r="P3557">
        <v>28.38</v>
      </c>
      <c r="Q3557">
        <v>17.37</v>
      </c>
      <c r="R3557">
        <v>2.42</v>
      </c>
    </row>
    <row r="3558">
      <c r="A3558" s="9">
        <v>42089</v>
      </c>
      <c r="B3558" s="2" t="inlineStr">
        <is>
          <t xml:space="preserve">2015-03</t>
        </is>
      </c>
      <c r="C3558" s="2" t="inlineStr">
        <is>
          <t xml:space="preserve">2014/15</t>
        </is>
      </c>
      <c r="D3558">
        <v>0.263</v>
      </c>
      <c r="E3558">
        <v>25.05</v>
      </c>
      <c r="F3558">
        <v>33.56</v>
      </c>
      <c r="G3558">
        <v>17.8</v>
      </c>
      <c r="H3558">
        <v>0.12</v>
      </c>
      <c r="I3558">
        <v>0.636</v>
      </c>
      <c r="J3558">
        <v>24.69</v>
      </c>
      <c r="K3558">
        <v>32.01</v>
      </c>
      <c r="L3558">
        <v>18.76</v>
      </c>
      <c r="M3558">
        <v>0.49</v>
      </c>
      <c r="N3558">
        <v>0.868</v>
      </c>
      <c r="O3558">
        <v>23.43</v>
      </c>
      <c r="P3558">
        <v>28.96</v>
      </c>
      <c r="Q3558">
        <v>19.0</v>
      </c>
      <c r="R3558">
        <v>0.21</v>
      </c>
    </row>
    <row r="3559">
      <c r="A3559" s="9">
        <v>42090</v>
      </c>
      <c r="B3559" s="2" t="inlineStr">
        <is>
          <t xml:space="preserve">2015-03</t>
        </is>
      </c>
      <c r="C3559" s="2" t="inlineStr">
        <is>
          <t xml:space="preserve">2014/15</t>
        </is>
      </c>
      <c r="D3559">
        <v>0.0</v>
      </c>
      <c r="E3559">
        <v>24.57</v>
      </c>
      <c r="F3559">
        <v>32.63</v>
      </c>
      <c r="G3559">
        <v>18.16</v>
      </c>
      <c r="H3559">
        <v>0.36</v>
      </c>
      <c r="I3559">
        <v>2.726</v>
      </c>
      <c r="J3559">
        <v>24.32</v>
      </c>
      <c r="K3559">
        <v>31.13</v>
      </c>
      <c r="L3559">
        <v>18.98</v>
      </c>
      <c r="M3559">
        <v>3.06</v>
      </c>
      <c r="N3559">
        <v>0.0</v>
      </c>
      <c r="O3559">
        <v>23.54</v>
      </c>
      <c r="P3559">
        <v>29.14</v>
      </c>
      <c r="Q3559">
        <v>19.63</v>
      </c>
      <c r="R3559">
        <v>1.12</v>
      </c>
    </row>
    <row r="3560">
      <c r="A3560" s="9">
        <v>42091</v>
      </c>
      <c r="B3560" s="2" t="inlineStr">
        <is>
          <t xml:space="preserve">2015-03</t>
        </is>
      </c>
      <c r="C3560" s="2" t="inlineStr">
        <is>
          <t xml:space="preserve">2014/15</t>
        </is>
      </c>
      <c r="D3560">
        <v>0.504</v>
      </c>
      <c r="E3560">
        <v>22.59</v>
      </c>
      <c r="F3560">
        <v>28.94</v>
      </c>
      <c r="G3560">
        <v>18.66</v>
      </c>
      <c r="H3560">
        <v>4.94</v>
      </c>
      <c r="I3560">
        <v>3.729</v>
      </c>
      <c r="J3560">
        <v>21.65</v>
      </c>
      <c r="K3560">
        <v>26.55</v>
      </c>
      <c r="L3560">
        <v>18.16</v>
      </c>
      <c r="M3560">
        <v>8.44</v>
      </c>
      <c r="N3560">
        <v>6.197</v>
      </c>
      <c r="O3560">
        <v>20.63</v>
      </c>
      <c r="P3560">
        <v>23.97</v>
      </c>
      <c r="Q3560">
        <v>18.17</v>
      </c>
      <c r="R3560">
        <v>19.01</v>
      </c>
    </row>
    <row r="3561">
      <c r="A3561" s="9">
        <v>42092</v>
      </c>
      <c r="B3561" s="2" t="inlineStr">
        <is>
          <t xml:space="preserve">2015-03</t>
        </is>
      </c>
      <c r="C3561" s="2" t="inlineStr">
        <is>
          <t xml:space="preserve">2014/15</t>
        </is>
      </c>
      <c r="D3561">
        <v>0.889</v>
      </c>
      <c r="E3561">
        <v>22.17</v>
      </c>
      <c r="F3561">
        <v>29.23</v>
      </c>
      <c r="G3561">
        <v>17.39</v>
      </c>
      <c r="H3561">
        <v>5.91</v>
      </c>
      <c r="I3561">
        <v>2.737</v>
      </c>
      <c r="J3561">
        <v>22.34</v>
      </c>
      <c r="K3561">
        <v>29.04</v>
      </c>
      <c r="L3561">
        <v>17.92</v>
      </c>
      <c r="M3561">
        <v>6.26</v>
      </c>
      <c r="N3561">
        <v>4.934</v>
      </c>
      <c r="O3561">
        <v>20.85</v>
      </c>
      <c r="P3561">
        <v>25.82</v>
      </c>
      <c r="Q3561">
        <v>17.56</v>
      </c>
      <c r="R3561">
        <v>16.29</v>
      </c>
    </row>
    <row r="3562">
      <c r="A3562" s="9">
        <v>42093</v>
      </c>
      <c r="B3562" s="2" t="inlineStr">
        <is>
          <t xml:space="preserve">2015-03</t>
        </is>
      </c>
      <c r="C3562" s="2" t="inlineStr">
        <is>
          <t xml:space="preserve">2014/15</t>
        </is>
      </c>
      <c r="D3562">
        <v>2.658</v>
      </c>
      <c r="E3562">
        <v>21.69</v>
      </c>
      <c r="F3562">
        <v>28.74</v>
      </c>
      <c r="G3562">
        <v>17.45</v>
      </c>
      <c r="H3562">
        <v>9.85</v>
      </c>
      <c r="I3562">
        <v>7.963</v>
      </c>
      <c r="J3562">
        <v>21.66</v>
      </c>
      <c r="K3562">
        <v>27.23</v>
      </c>
      <c r="L3562">
        <v>18.54</v>
      </c>
      <c r="M3562">
        <v>7.58</v>
      </c>
      <c r="N3562">
        <v>12.71</v>
      </c>
      <c r="O3562">
        <v>20.75</v>
      </c>
      <c r="P3562">
        <v>24.99</v>
      </c>
      <c r="Q3562">
        <v>18.11</v>
      </c>
      <c r="R3562">
        <v>15.47</v>
      </c>
    </row>
    <row r="3563">
      <c r="A3563" s="9">
        <v>42094</v>
      </c>
      <c r="B3563" s="2" t="inlineStr">
        <is>
          <t xml:space="preserve">2015-03</t>
        </is>
      </c>
      <c r="C3563" s="2" t="inlineStr">
        <is>
          <t xml:space="preserve">2014/15</t>
        </is>
      </c>
      <c r="D3563">
        <v>0.101</v>
      </c>
      <c r="E3563">
        <v>21.77</v>
      </c>
      <c r="F3563">
        <v>29.13</v>
      </c>
      <c r="G3563">
        <v>16.6</v>
      </c>
      <c r="H3563">
        <v>0.58</v>
      </c>
      <c r="I3563">
        <v>0.172</v>
      </c>
      <c r="J3563">
        <v>21.71</v>
      </c>
      <c r="K3563">
        <v>28.33</v>
      </c>
      <c r="L3563">
        <v>16.64</v>
      </c>
      <c r="M3563">
        <v>0.89</v>
      </c>
      <c r="N3563">
        <v>0.657</v>
      </c>
      <c r="O3563">
        <v>20.22</v>
      </c>
      <c r="P3563">
        <v>25.05</v>
      </c>
      <c r="Q3563">
        <v>16.6</v>
      </c>
      <c r="R3563">
        <v>1.96</v>
      </c>
    </row>
    <row r="3564">
      <c r="A3564" s="9">
        <v>42095</v>
      </c>
      <c r="B3564" s="2" t="inlineStr">
        <is>
          <t xml:space="preserve">2015-04</t>
        </is>
      </c>
      <c r="C3564" s="2" t="inlineStr">
        <is>
          <t xml:space="preserve">2014/15</t>
        </is>
      </c>
      <c r="D3564">
        <v>0.082</v>
      </c>
      <c r="E3564">
        <v>23.36</v>
      </c>
      <c r="F3564">
        <v>31.03</v>
      </c>
      <c r="G3564">
        <v>17.02</v>
      </c>
      <c r="H3564">
        <v>0.09</v>
      </c>
      <c r="I3564">
        <v>0.0</v>
      </c>
      <c r="J3564">
        <v>23.2</v>
      </c>
      <c r="K3564">
        <v>29.85</v>
      </c>
      <c r="L3564">
        <v>18.12</v>
      </c>
      <c r="M3564">
        <v>0.01</v>
      </c>
      <c r="N3564">
        <v>0.0</v>
      </c>
      <c r="O3564">
        <v>21.76</v>
      </c>
      <c r="P3564">
        <v>27.72</v>
      </c>
      <c r="Q3564">
        <v>17.37</v>
      </c>
      <c r="R3564">
        <v>0.12</v>
      </c>
    </row>
    <row r="3565">
      <c r="A3565" s="9">
        <v>42096</v>
      </c>
      <c r="B3565" s="2" t="inlineStr">
        <is>
          <t xml:space="preserve">2015-04</t>
        </is>
      </c>
      <c r="C3565" s="2" t="inlineStr">
        <is>
          <t xml:space="preserve">2014/15</t>
        </is>
      </c>
      <c r="D3565">
        <v>0.0</v>
      </c>
      <c r="E3565">
        <v>24.42</v>
      </c>
      <c r="F3565">
        <v>32.15</v>
      </c>
      <c r="G3565">
        <v>17.97</v>
      </c>
      <c r="H3565">
        <v>0.06</v>
      </c>
      <c r="I3565">
        <v>0.0</v>
      </c>
      <c r="J3565">
        <v>24.56</v>
      </c>
      <c r="K3565">
        <v>31.54</v>
      </c>
      <c r="L3565">
        <v>19.55</v>
      </c>
      <c r="M3565">
        <v>0.06</v>
      </c>
      <c r="N3565">
        <v>0.0</v>
      </c>
      <c r="O3565">
        <v>22.73</v>
      </c>
      <c r="P3565">
        <v>28.36</v>
      </c>
      <c r="Q3565">
        <v>18.88</v>
      </c>
      <c r="R3565">
        <v>0.09</v>
      </c>
    </row>
    <row r="3566">
      <c r="A3566" s="9">
        <v>42097</v>
      </c>
      <c r="B3566" s="2" t="inlineStr">
        <is>
          <t xml:space="preserve">2015-04</t>
        </is>
      </c>
      <c r="C3566" s="2" t="inlineStr">
        <is>
          <t xml:space="preserve">2014/15</t>
        </is>
      </c>
      <c r="D3566">
        <v>0.0</v>
      </c>
      <c r="E3566">
        <v>24.52</v>
      </c>
      <c r="F3566">
        <v>32.35</v>
      </c>
      <c r="G3566">
        <v>17.93</v>
      </c>
      <c r="H3566">
        <v>0.04</v>
      </c>
      <c r="I3566">
        <v>0.073</v>
      </c>
      <c r="J3566">
        <v>24.5</v>
      </c>
      <c r="K3566">
        <v>31.43</v>
      </c>
      <c r="L3566">
        <v>18.99</v>
      </c>
      <c r="M3566">
        <v>0.11</v>
      </c>
      <c r="N3566">
        <v>0.072</v>
      </c>
      <c r="O3566">
        <v>22.65</v>
      </c>
      <c r="P3566">
        <v>28.25</v>
      </c>
      <c r="Q3566">
        <v>18.83</v>
      </c>
      <c r="R3566">
        <v>0.19</v>
      </c>
    </row>
    <row r="3567">
      <c r="A3567" s="9">
        <v>42098</v>
      </c>
      <c r="B3567" s="2" t="inlineStr">
        <is>
          <t xml:space="preserve">2015-04</t>
        </is>
      </c>
      <c r="C3567" s="2" t="inlineStr">
        <is>
          <t xml:space="preserve">2014/15</t>
        </is>
      </c>
      <c r="D3567">
        <v>0.0</v>
      </c>
      <c r="E3567">
        <v>23.35</v>
      </c>
      <c r="F3567">
        <v>30.82</v>
      </c>
      <c r="G3567">
        <v>17.71</v>
      </c>
      <c r="H3567">
        <v>0.29</v>
      </c>
      <c r="I3567">
        <v>0.0</v>
      </c>
      <c r="J3567">
        <v>23.19</v>
      </c>
      <c r="K3567">
        <v>29.76</v>
      </c>
      <c r="L3567">
        <v>18.77</v>
      </c>
      <c r="M3567">
        <v>0.1</v>
      </c>
      <c r="N3567">
        <v>0.0</v>
      </c>
      <c r="O3567">
        <v>21.96</v>
      </c>
      <c r="P3567">
        <v>26.65</v>
      </c>
      <c r="Q3567">
        <v>18.69</v>
      </c>
      <c r="R3567">
        <v>0.66</v>
      </c>
    </row>
    <row r="3568">
      <c r="A3568" s="9">
        <v>42099</v>
      </c>
      <c r="B3568" s="2" t="inlineStr">
        <is>
          <t xml:space="preserve">2015-04</t>
        </is>
      </c>
      <c r="C3568" s="2" t="inlineStr">
        <is>
          <t xml:space="preserve">2014/15</t>
        </is>
      </c>
      <c r="D3568">
        <v>0.087</v>
      </c>
      <c r="E3568">
        <v>22.68</v>
      </c>
      <c r="F3568">
        <v>30.38</v>
      </c>
      <c r="G3568">
        <v>17.15</v>
      </c>
      <c r="H3568">
        <v>0.83</v>
      </c>
      <c r="I3568">
        <v>0.065</v>
      </c>
      <c r="J3568">
        <v>22.34</v>
      </c>
      <c r="K3568">
        <v>29.27</v>
      </c>
      <c r="L3568">
        <v>17.75</v>
      </c>
      <c r="M3568">
        <v>0.63</v>
      </c>
      <c r="N3568">
        <v>0.369</v>
      </c>
      <c r="O3568">
        <v>21.09</v>
      </c>
      <c r="P3568">
        <v>26.15</v>
      </c>
      <c r="Q3568">
        <v>17.74</v>
      </c>
      <c r="R3568">
        <v>2.6</v>
      </c>
    </row>
    <row r="3569">
      <c r="A3569" s="9">
        <v>42100</v>
      </c>
      <c r="B3569" s="2" t="inlineStr">
        <is>
          <t xml:space="preserve">2015-04</t>
        </is>
      </c>
      <c r="C3569" s="2" t="inlineStr">
        <is>
          <t xml:space="preserve">2014/15</t>
        </is>
      </c>
      <c r="D3569">
        <v>0.0</v>
      </c>
      <c r="E3569">
        <v>22.92</v>
      </c>
      <c r="F3569">
        <v>31.15</v>
      </c>
      <c r="G3569">
        <v>16.45</v>
      </c>
      <c r="H3569">
        <v>0.22</v>
      </c>
      <c r="I3569">
        <v>0.307</v>
      </c>
      <c r="J3569">
        <v>22.2</v>
      </c>
      <c r="K3569">
        <v>29.03</v>
      </c>
      <c r="L3569">
        <v>17.37</v>
      </c>
      <c r="M3569">
        <v>0.57</v>
      </c>
      <c r="N3569">
        <v>0.531</v>
      </c>
      <c r="O3569">
        <v>20.86</v>
      </c>
      <c r="P3569">
        <v>26.03</v>
      </c>
      <c r="Q3569">
        <v>17.25</v>
      </c>
      <c r="R3569">
        <v>1.29</v>
      </c>
    </row>
    <row r="3570">
      <c r="A3570" s="9">
        <v>42101</v>
      </c>
      <c r="B3570" s="2" t="inlineStr">
        <is>
          <t xml:space="preserve">2015-04</t>
        </is>
      </c>
      <c r="C3570" s="2" t="inlineStr">
        <is>
          <t xml:space="preserve">2014/15</t>
        </is>
      </c>
      <c r="D3570">
        <v>0.0</v>
      </c>
      <c r="E3570">
        <v>22.99</v>
      </c>
      <c r="F3570">
        <v>30.66</v>
      </c>
      <c r="G3570">
        <v>16.11</v>
      </c>
      <c r="H3570">
        <v>0.28</v>
      </c>
      <c r="I3570">
        <v>0.021</v>
      </c>
      <c r="J3570">
        <v>23.0</v>
      </c>
      <c r="K3570">
        <v>30.38</v>
      </c>
      <c r="L3570">
        <v>17.32</v>
      </c>
      <c r="M3570">
        <v>0.22</v>
      </c>
      <c r="N3570">
        <v>0.089</v>
      </c>
      <c r="O3570">
        <v>21.31</v>
      </c>
      <c r="P3570">
        <v>27.02</v>
      </c>
      <c r="Q3570">
        <v>17.14</v>
      </c>
      <c r="R3570">
        <v>0.96</v>
      </c>
    </row>
    <row r="3571">
      <c r="A3571" s="9">
        <v>42102</v>
      </c>
      <c r="B3571" s="2" t="inlineStr">
        <is>
          <t xml:space="preserve">2015-04</t>
        </is>
      </c>
      <c r="C3571" s="2" t="inlineStr">
        <is>
          <t xml:space="preserve">2014/15</t>
        </is>
      </c>
      <c r="D3571">
        <v>0.0</v>
      </c>
      <c r="E3571">
        <v>23.75</v>
      </c>
      <c r="F3571">
        <v>31.5</v>
      </c>
      <c r="G3571">
        <v>17.91</v>
      </c>
      <c r="H3571">
        <v>0.42</v>
      </c>
      <c r="I3571">
        <v>0.124</v>
      </c>
      <c r="J3571">
        <v>23.07</v>
      </c>
      <c r="K3571">
        <v>29.93</v>
      </c>
      <c r="L3571">
        <v>18.01</v>
      </c>
      <c r="M3571">
        <v>0.97</v>
      </c>
      <c r="N3571">
        <v>0.49</v>
      </c>
      <c r="O3571">
        <v>21.45</v>
      </c>
      <c r="P3571">
        <v>26.52</v>
      </c>
      <c r="Q3571">
        <v>18.24</v>
      </c>
      <c r="R3571">
        <v>2.64</v>
      </c>
    </row>
    <row r="3572">
      <c r="A3572" s="9">
        <v>42103</v>
      </c>
      <c r="B3572" s="2" t="inlineStr">
        <is>
          <t xml:space="preserve">2015-04</t>
        </is>
      </c>
      <c r="C3572" s="2" t="inlineStr">
        <is>
          <t xml:space="preserve">2014/15</t>
        </is>
      </c>
      <c r="D3572">
        <v>0.0</v>
      </c>
      <c r="E3572">
        <v>24.0</v>
      </c>
      <c r="F3572">
        <v>32.24</v>
      </c>
      <c r="G3572">
        <v>17.06</v>
      </c>
      <c r="H3572">
        <v>0.11</v>
      </c>
      <c r="I3572">
        <v>0.118</v>
      </c>
      <c r="J3572">
        <v>24.01</v>
      </c>
      <c r="K3572">
        <v>31.58</v>
      </c>
      <c r="L3572">
        <v>17.86</v>
      </c>
      <c r="M3572">
        <v>0.58</v>
      </c>
      <c r="N3572">
        <v>0.452</v>
      </c>
      <c r="O3572">
        <v>22.15</v>
      </c>
      <c r="P3572">
        <v>28.09</v>
      </c>
      <c r="Q3572">
        <v>18.2</v>
      </c>
      <c r="R3572">
        <v>0.96</v>
      </c>
    </row>
    <row r="3573">
      <c r="A3573" s="9">
        <v>42104</v>
      </c>
      <c r="B3573" s="2" t="inlineStr">
        <is>
          <t xml:space="preserve">2015-04</t>
        </is>
      </c>
      <c r="C3573" s="2" t="inlineStr">
        <is>
          <t xml:space="preserve">2014/15</t>
        </is>
      </c>
      <c r="D3573">
        <v>0.0</v>
      </c>
      <c r="E3573">
        <v>24.39</v>
      </c>
      <c r="F3573">
        <v>32.62</v>
      </c>
      <c r="G3573">
        <v>16.92</v>
      </c>
      <c r="H3573">
        <v>0.16</v>
      </c>
      <c r="I3573">
        <v>0.021</v>
      </c>
      <c r="J3573">
        <v>24.25</v>
      </c>
      <c r="K3573">
        <v>31.95</v>
      </c>
      <c r="L3573">
        <v>18.31</v>
      </c>
      <c r="M3573">
        <v>0.32</v>
      </c>
      <c r="N3573">
        <v>0.08</v>
      </c>
      <c r="O3573">
        <v>22.44</v>
      </c>
      <c r="P3573">
        <v>28.56</v>
      </c>
      <c r="Q3573">
        <v>18.32</v>
      </c>
      <c r="R3573">
        <v>0.9</v>
      </c>
    </row>
    <row r="3574">
      <c r="A3574" s="9">
        <v>42105</v>
      </c>
      <c r="B3574" s="2" t="inlineStr">
        <is>
          <t xml:space="preserve">2015-04</t>
        </is>
      </c>
      <c r="C3574" s="2" t="inlineStr">
        <is>
          <t xml:space="preserve">2014/15</t>
        </is>
      </c>
      <c r="D3574">
        <v>0.133</v>
      </c>
      <c r="E3574">
        <v>24.88</v>
      </c>
      <c r="F3574">
        <v>33.28</v>
      </c>
      <c r="G3574">
        <v>17.71</v>
      </c>
      <c r="H3574">
        <v>0.28</v>
      </c>
      <c r="I3574">
        <v>0.161</v>
      </c>
      <c r="J3574">
        <v>24.44</v>
      </c>
      <c r="K3574">
        <v>31.81</v>
      </c>
      <c r="L3574">
        <v>18.46</v>
      </c>
      <c r="M3574">
        <v>0.96</v>
      </c>
      <c r="N3574">
        <v>0.614</v>
      </c>
      <c r="O3574">
        <v>22.77</v>
      </c>
      <c r="P3574">
        <v>28.88</v>
      </c>
      <c r="Q3574">
        <v>18.74</v>
      </c>
      <c r="R3574">
        <v>1.64</v>
      </c>
    </row>
    <row r="3575">
      <c r="A3575" s="9">
        <v>42106</v>
      </c>
      <c r="B3575" s="2" t="inlineStr">
        <is>
          <t xml:space="preserve">2015-04</t>
        </is>
      </c>
      <c r="C3575" s="2" t="inlineStr">
        <is>
          <t xml:space="preserve">2014/15</t>
        </is>
      </c>
      <c r="D3575">
        <v>0.0</v>
      </c>
      <c r="E3575">
        <v>25.46</v>
      </c>
      <c r="F3575">
        <v>33.85</v>
      </c>
      <c r="G3575">
        <v>18.16</v>
      </c>
      <c r="H3575">
        <v>0.0</v>
      </c>
      <c r="I3575">
        <v>0.538</v>
      </c>
      <c r="J3575">
        <v>25.22</v>
      </c>
      <c r="K3575">
        <v>32.64</v>
      </c>
      <c r="L3575">
        <v>18.8</v>
      </c>
      <c r="M3575">
        <v>0.4</v>
      </c>
      <c r="N3575">
        <v>0.0</v>
      </c>
      <c r="O3575">
        <v>23.38</v>
      </c>
      <c r="P3575">
        <v>29.56</v>
      </c>
      <c r="Q3575">
        <v>19.11</v>
      </c>
      <c r="R3575">
        <v>0.02</v>
      </c>
    </row>
    <row r="3576">
      <c r="A3576" s="9">
        <v>42107</v>
      </c>
      <c r="B3576" s="2" t="inlineStr">
        <is>
          <t xml:space="preserve">2015-04</t>
        </is>
      </c>
      <c r="C3576" s="2" t="inlineStr">
        <is>
          <t xml:space="preserve">2014/15</t>
        </is>
      </c>
      <c r="D3576">
        <v>0.0</v>
      </c>
      <c r="E3576">
        <v>26.21</v>
      </c>
      <c r="F3576">
        <v>34.22</v>
      </c>
      <c r="G3576">
        <v>19.09</v>
      </c>
      <c r="H3576">
        <v>0.26</v>
      </c>
      <c r="I3576">
        <v>0.498</v>
      </c>
      <c r="J3576">
        <v>25.76</v>
      </c>
      <c r="K3576">
        <v>32.94</v>
      </c>
      <c r="L3576">
        <v>19.4</v>
      </c>
      <c r="M3576">
        <v>0.5</v>
      </c>
      <c r="N3576">
        <v>0.0</v>
      </c>
      <c r="O3576">
        <v>24.24</v>
      </c>
      <c r="P3576">
        <v>30.89</v>
      </c>
      <c r="Q3576">
        <v>19.51</v>
      </c>
      <c r="R3576">
        <v>0.04</v>
      </c>
    </row>
    <row r="3577">
      <c r="A3577" s="9">
        <v>42108</v>
      </c>
      <c r="B3577" s="2" t="inlineStr">
        <is>
          <t xml:space="preserve">2015-04</t>
        </is>
      </c>
      <c r="C3577" s="2" t="inlineStr">
        <is>
          <t xml:space="preserve">2014/15</t>
        </is>
      </c>
      <c r="D3577">
        <v>0.278</v>
      </c>
      <c r="E3577">
        <v>25.82</v>
      </c>
      <c r="F3577">
        <v>33.01</v>
      </c>
      <c r="G3577">
        <v>19.93</v>
      </c>
      <c r="H3577">
        <v>0.35</v>
      </c>
      <c r="I3577">
        <v>0.35</v>
      </c>
      <c r="J3577">
        <v>25.63</v>
      </c>
      <c r="K3577">
        <v>31.85</v>
      </c>
      <c r="L3577">
        <v>20.82</v>
      </c>
      <c r="M3577">
        <v>1.87</v>
      </c>
      <c r="N3577">
        <v>0.0</v>
      </c>
      <c r="O3577">
        <v>23.9</v>
      </c>
      <c r="P3577">
        <v>29.56</v>
      </c>
      <c r="Q3577">
        <v>20.16</v>
      </c>
      <c r="R3577">
        <v>0.84</v>
      </c>
    </row>
    <row r="3578">
      <c r="A3578" s="9">
        <v>42109</v>
      </c>
      <c r="B3578" s="2" t="inlineStr">
        <is>
          <t xml:space="preserve">2015-04</t>
        </is>
      </c>
      <c r="C3578" s="2" t="inlineStr">
        <is>
          <t xml:space="preserve">2014/15</t>
        </is>
      </c>
      <c r="D3578">
        <v>0.104</v>
      </c>
      <c r="E3578">
        <v>25.71</v>
      </c>
      <c r="F3578">
        <v>32.41</v>
      </c>
      <c r="G3578">
        <v>19.43</v>
      </c>
      <c r="H3578">
        <v>0.47</v>
      </c>
      <c r="I3578">
        <v>6.297</v>
      </c>
      <c r="J3578">
        <v>25.21</v>
      </c>
      <c r="K3578">
        <v>30.42</v>
      </c>
      <c r="L3578">
        <v>20.69</v>
      </c>
      <c r="M3578">
        <v>4.12</v>
      </c>
      <c r="N3578">
        <v>6.964</v>
      </c>
      <c r="O3578">
        <v>23.69</v>
      </c>
      <c r="P3578">
        <v>28.6</v>
      </c>
      <c r="Q3578">
        <v>20.05</v>
      </c>
      <c r="R3578">
        <v>1.86</v>
      </c>
    </row>
    <row r="3579">
      <c r="A3579" s="9">
        <v>42110</v>
      </c>
      <c r="B3579" s="2" t="inlineStr">
        <is>
          <t xml:space="preserve">2015-04</t>
        </is>
      </c>
      <c r="C3579" s="2" t="inlineStr">
        <is>
          <t xml:space="preserve">2014/15</t>
        </is>
      </c>
      <c r="D3579">
        <v>0.328</v>
      </c>
      <c r="E3579">
        <v>26.5</v>
      </c>
      <c r="F3579">
        <v>34.34</v>
      </c>
      <c r="G3579">
        <v>19.74</v>
      </c>
      <c r="H3579">
        <v>0.11</v>
      </c>
      <c r="I3579">
        <v>0.023</v>
      </c>
      <c r="J3579">
        <v>25.83</v>
      </c>
      <c r="K3579">
        <v>32.5</v>
      </c>
      <c r="L3579">
        <v>20.66</v>
      </c>
      <c r="M3579">
        <v>0.07</v>
      </c>
      <c r="N3579">
        <v>0.0</v>
      </c>
      <c r="O3579">
        <v>24.16</v>
      </c>
      <c r="P3579">
        <v>30.22</v>
      </c>
      <c r="Q3579">
        <v>20.19</v>
      </c>
      <c r="R3579">
        <v>0.02</v>
      </c>
    </row>
    <row r="3580">
      <c r="A3580" s="9">
        <v>42111</v>
      </c>
      <c r="B3580" s="2" t="inlineStr">
        <is>
          <t xml:space="preserve">2015-04</t>
        </is>
      </c>
      <c r="C3580" s="2" t="inlineStr">
        <is>
          <t xml:space="preserve">2014/15</t>
        </is>
      </c>
      <c r="D3580">
        <v>0.0</v>
      </c>
      <c r="E3580">
        <v>26.55</v>
      </c>
      <c r="F3580">
        <v>34.72</v>
      </c>
      <c r="G3580">
        <v>18.88</v>
      </c>
      <c r="H3580">
        <v>0.0</v>
      </c>
      <c r="I3580">
        <v>0.054</v>
      </c>
      <c r="J3580">
        <v>25.97</v>
      </c>
      <c r="K3580">
        <v>32.85</v>
      </c>
      <c r="L3580">
        <v>20.25</v>
      </c>
      <c r="M3580">
        <v>0.25</v>
      </c>
      <c r="N3580">
        <v>0.082</v>
      </c>
      <c r="O3580">
        <v>24.66</v>
      </c>
      <c r="P3580">
        <v>31.32</v>
      </c>
      <c r="Q3580">
        <v>19.7</v>
      </c>
      <c r="R3580">
        <v>0.06</v>
      </c>
    </row>
    <row r="3581">
      <c r="A3581" s="9">
        <v>42112</v>
      </c>
      <c r="B3581" s="2" t="inlineStr">
        <is>
          <t xml:space="preserve">2015-04</t>
        </is>
      </c>
      <c r="C3581" s="2" t="inlineStr">
        <is>
          <t xml:space="preserve">2014/15</t>
        </is>
      </c>
      <c r="D3581">
        <v>0.0</v>
      </c>
      <c r="E3581">
        <v>26.67</v>
      </c>
      <c r="F3581">
        <v>35.48</v>
      </c>
      <c r="G3581">
        <v>19.21</v>
      </c>
      <c r="H3581">
        <v>0.14</v>
      </c>
      <c r="I3581">
        <v>0.7</v>
      </c>
      <c r="J3581">
        <v>25.91</v>
      </c>
      <c r="K3581">
        <v>32.72</v>
      </c>
      <c r="L3581">
        <v>20.46</v>
      </c>
      <c r="M3581">
        <v>1.74</v>
      </c>
      <c r="N3581">
        <v>0.253</v>
      </c>
      <c r="O3581">
        <v>25.24</v>
      </c>
      <c r="P3581">
        <v>32.52</v>
      </c>
      <c r="Q3581">
        <v>18.91</v>
      </c>
      <c r="R3581">
        <v>1.01</v>
      </c>
    </row>
    <row r="3582">
      <c r="A3582" s="9">
        <v>42113</v>
      </c>
      <c r="B3582" s="2" t="inlineStr">
        <is>
          <t xml:space="preserve">2015-04</t>
        </is>
      </c>
      <c r="C3582" s="2" t="inlineStr">
        <is>
          <t xml:space="preserve">2014/15</t>
        </is>
      </c>
      <c r="D3582">
        <v>0.717</v>
      </c>
      <c r="E3582">
        <v>27.02</v>
      </c>
      <c r="F3582">
        <v>35.74</v>
      </c>
      <c r="G3582">
        <v>18.85</v>
      </c>
      <c r="H3582">
        <v>0.53</v>
      </c>
      <c r="I3582">
        <v>4.299</v>
      </c>
      <c r="J3582">
        <v>26.0</v>
      </c>
      <c r="K3582">
        <v>33.05</v>
      </c>
      <c r="L3582">
        <v>20.23</v>
      </c>
      <c r="M3582">
        <v>2.47</v>
      </c>
      <c r="N3582">
        <v>6.312</v>
      </c>
      <c r="O3582">
        <v>25.43</v>
      </c>
      <c r="P3582">
        <v>32.16</v>
      </c>
      <c r="Q3582">
        <v>20.0</v>
      </c>
      <c r="R3582">
        <v>1.55</v>
      </c>
    </row>
    <row r="3583">
      <c r="A3583" s="9">
        <v>42114</v>
      </c>
      <c r="B3583" s="2" t="inlineStr">
        <is>
          <t xml:space="preserve">2015-04</t>
        </is>
      </c>
      <c r="C3583" s="2" t="inlineStr">
        <is>
          <t xml:space="preserve">2014/15</t>
        </is>
      </c>
      <c r="D3583">
        <v>0.0</v>
      </c>
      <c r="E3583">
        <v>27.79</v>
      </c>
      <c r="F3583">
        <v>36.12</v>
      </c>
      <c r="G3583">
        <v>20.71</v>
      </c>
      <c r="H3583">
        <v>0.01</v>
      </c>
      <c r="I3583">
        <v>0.0</v>
      </c>
      <c r="J3583">
        <v>26.68</v>
      </c>
      <c r="K3583">
        <v>33.72</v>
      </c>
      <c r="L3583">
        <v>20.99</v>
      </c>
      <c r="M3583">
        <v>0.0</v>
      </c>
      <c r="N3583">
        <v>0.0</v>
      </c>
      <c r="O3583">
        <v>26.41</v>
      </c>
      <c r="P3583">
        <v>32.75</v>
      </c>
      <c r="Q3583">
        <v>20.93</v>
      </c>
      <c r="R3583">
        <v>0.0</v>
      </c>
    </row>
    <row r="3584">
      <c r="A3584" s="9">
        <v>42115</v>
      </c>
      <c r="B3584" s="2" t="inlineStr">
        <is>
          <t xml:space="preserve">2015-04</t>
        </is>
      </c>
      <c r="C3584" s="2" t="inlineStr">
        <is>
          <t xml:space="preserve">2014/15</t>
        </is>
      </c>
      <c r="D3584">
        <v>0.039</v>
      </c>
      <c r="E3584">
        <v>27.52</v>
      </c>
      <c r="F3584">
        <v>35.91</v>
      </c>
      <c r="G3584">
        <v>20.11</v>
      </c>
      <c r="H3584">
        <v>0.01</v>
      </c>
      <c r="I3584">
        <v>0.0</v>
      </c>
      <c r="J3584">
        <v>26.84</v>
      </c>
      <c r="K3584">
        <v>33.79</v>
      </c>
      <c r="L3584">
        <v>21.61</v>
      </c>
      <c r="M3584">
        <v>0.01</v>
      </c>
      <c r="N3584">
        <v>0.0</v>
      </c>
      <c r="O3584">
        <v>26.0</v>
      </c>
      <c r="P3584">
        <v>31.83</v>
      </c>
      <c r="Q3584">
        <v>21.71</v>
      </c>
      <c r="R3584">
        <v>0.01</v>
      </c>
    </row>
    <row r="3585">
      <c r="A3585" s="9">
        <v>42116</v>
      </c>
      <c r="B3585" s="2" t="inlineStr">
        <is>
          <t xml:space="preserve">2015-04</t>
        </is>
      </c>
      <c r="C3585" s="2" t="inlineStr">
        <is>
          <t xml:space="preserve">2014/15</t>
        </is>
      </c>
      <c r="D3585">
        <v>0.0</v>
      </c>
      <c r="E3585">
        <v>27.43</v>
      </c>
      <c r="F3585">
        <v>35.62</v>
      </c>
      <c r="G3585">
        <v>20.21</v>
      </c>
      <c r="H3585">
        <v>0.0</v>
      </c>
      <c r="I3585">
        <v>0.0</v>
      </c>
      <c r="J3585">
        <v>26.99</v>
      </c>
      <c r="K3585">
        <v>33.68</v>
      </c>
      <c r="L3585">
        <v>21.91</v>
      </c>
      <c r="M3585">
        <v>0.0</v>
      </c>
      <c r="N3585">
        <v>0.0</v>
      </c>
      <c r="O3585">
        <v>25.33</v>
      </c>
      <c r="P3585">
        <v>31.78</v>
      </c>
      <c r="Q3585">
        <v>21.08</v>
      </c>
      <c r="R3585">
        <v>0.0</v>
      </c>
    </row>
    <row r="3586">
      <c r="A3586" s="9">
        <v>42117</v>
      </c>
      <c r="B3586" s="2" t="inlineStr">
        <is>
          <t xml:space="preserve">2015-04</t>
        </is>
      </c>
      <c r="C3586" s="2" t="inlineStr">
        <is>
          <t xml:space="preserve">2014/15</t>
        </is>
      </c>
      <c r="D3586">
        <v>0.0</v>
      </c>
      <c r="E3586">
        <v>27.35</v>
      </c>
      <c r="F3586">
        <v>36.37</v>
      </c>
      <c r="G3586">
        <v>19.49</v>
      </c>
      <c r="H3586">
        <v>0.0</v>
      </c>
      <c r="I3586">
        <v>0.0</v>
      </c>
      <c r="J3586">
        <v>27.75</v>
      </c>
      <c r="K3586">
        <v>35.54</v>
      </c>
      <c r="L3586">
        <v>21.29</v>
      </c>
      <c r="M3586">
        <v>0.0</v>
      </c>
      <c r="N3586">
        <v>0.0</v>
      </c>
      <c r="O3586">
        <v>25.39</v>
      </c>
      <c r="P3586">
        <v>32.37</v>
      </c>
      <c r="Q3586">
        <v>20.9</v>
      </c>
      <c r="R3586">
        <v>0.0</v>
      </c>
    </row>
    <row r="3587">
      <c r="A3587" s="9">
        <v>42118</v>
      </c>
      <c r="B3587" s="2" t="inlineStr">
        <is>
          <t xml:space="preserve">2015-04</t>
        </is>
      </c>
      <c r="C3587" s="2" t="inlineStr">
        <is>
          <t xml:space="preserve">2014/15</t>
        </is>
      </c>
      <c r="D3587">
        <v>0.0</v>
      </c>
      <c r="E3587">
        <v>27.2</v>
      </c>
      <c r="F3587">
        <v>36.37</v>
      </c>
      <c r="G3587">
        <v>18.76</v>
      </c>
      <c r="H3587">
        <v>0.0</v>
      </c>
      <c r="I3587">
        <v>0.0</v>
      </c>
      <c r="J3587">
        <v>27.4</v>
      </c>
      <c r="K3587">
        <v>35.54</v>
      </c>
      <c r="L3587">
        <v>20.15</v>
      </c>
      <c r="M3587">
        <v>0.1</v>
      </c>
      <c r="N3587">
        <v>0.0</v>
      </c>
      <c r="O3587">
        <v>24.87</v>
      </c>
      <c r="P3587">
        <v>32.27</v>
      </c>
      <c r="Q3587">
        <v>19.11</v>
      </c>
      <c r="R3587">
        <v>0.0</v>
      </c>
    </row>
    <row r="3588">
      <c r="A3588" s="9">
        <v>42119</v>
      </c>
      <c r="B3588" s="2" t="inlineStr">
        <is>
          <t xml:space="preserve">2015-04</t>
        </is>
      </c>
      <c r="C3588" s="2" t="inlineStr">
        <is>
          <t xml:space="preserve">2014/15</t>
        </is>
      </c>
      <c r="D3588">
        <v>0.0</v>
      </c>
      <c r="E3588">
        <v>27.32</v>
      </c>
      <c r="F3588">
        <v>36.55</v>
      </c>
      <c r="G3588">
        <v>19.12</v>
      </c>
      <c r="H3588">
        <v>0.0</v>
      </c>
      <c r="I3588">
        <v>0.175</v>
      </c>
      <c r="J3588">
        <v>27.27</v>
      </c>
      <c r="K3588">
        <v>34.67</v>
      </c>
      <c r="L3588">
        <v>21.13</v>
      </c>
      <c r="M3588">
        <v>0.12</v>
      </c>
      <c r="N3588">
        <v>0.0</v>
      </c>
      <c r="O3588">
        <v>25.49</v>
      </c>
      <c r="P3588">
        <v>32.78</v>
      </c>
      <c r="Q3588">
        <v>19.94</v>
      </c>
      <c r="R3588">
        <v>0.0</v>
      </c>
    </row>
    <row r="3589">
      <c r="A3589" s="9">
        <v>42120</v>
      </c>
      <c r="B3589" s="2" t="inlineStr">
        <is>
          <t xml:space="preserve">2015-04</t>
        </is>
      </c>
      <c r="C3589" s="2" t="inlineStr">
        <is>
          <t xml:space="preserve">2014/15</t>
        </is>
      </c>
      <c r="D3589">
        <v>0.0</v>
      </c>
      <c r="E3589">
        <v>27.61</v>
      </c>
      <c r="F3589">
        <v>36.97</v>
      </c>
      <c r="G3589">
        <v>18.82</v>
      </c>
      <c r="H3589">
        <v>0.0</v>
      </c>
      <c r="I3589">
        <v>0.0</v>
      </c>
      <c r="J3589">
        <v>27.36</v>
      </c>
      <c r="K3589">
        <v>35.52</v>
      </c>
      <c r="L3589">
        <v>21.51</v>
      </c>
      <c r="M3589">
        <v>0.0</v>
      </c>
      <c r="N3589">
        <v>0.0</v>
      </c>
      <c r="O3589">
        <v>26.35</v>
      </c>
      <c r="P3589">
        <v>33.8</v>
      </c>
      <c r="Q3589">
        <v>20.29</v>
      </c>
      <c r="R3589">
        <v>0.0</v>
      </c>
    </row>
    <row r="3590">
      <c r="A3590" s="9">
        <v>42121</v>
      </c>
      <c r="B3590" s="2" t="inlineStr">
        <is>
          <t xml:space="preserve">2015-04</t>
        </is>
      </c>
      <c r="C3590" s="2" t="inlineStr">
        <is>
          <t xml:space="preserve">2014/15</t>
        </is>
      </c>
      <c r="D3590">
        <v>0.0</v>
      </c>
      <c r="E3590">
        <v>26.94</v>
      </c>
      <c r="F3590">
        <v>35.31</v>
      </c>
      <c r="G3590">
        <v>19.15</v>
      </c>
      <c r="H3590">
        <v>0.0</v>
      </c>
      <c r="I3590">
        <v>0.0</v>
      </c>
      <c r="J3590">
        <v>26.67</v>
      </c>
      <c r="K3590">
        <v>35.44</v>
      </c>
      <c r="L3590">
        <v>19.76</v>
      </c>
      <c r="M3590">
        <v>0.0</v>
      </c>
      <c r="N3590">
        <v>0.0</v>
      </c>
      <c r="O3590">
        <v>26.88</v>
      </c>
      <c r="P3590">
        <v>35.06</v>
      </c>
      <c r="Q3590">
        <v>19.67</v>
      </c>
      <c r="R3590">
        <v>0.0</v>
      </c>
    </row>
    <row r="3591">
      <c r="A3591" s="9">
        <v>42122</v>
      </c>
      <c r="B3591" s="2" t="inlineStr">
        <is>
          <t xml:space="preserve">2015-04</t>
        </is>
      </c>
      <c r="C3591" s="2" t="inlineStr">
        <is>
          <t xml:space="preserve">2014/15</t>
        </is>
      </c>
      <c r="D3591">
        <v>10.585</v>
      </c>
      <c r="E3591">
        <v>27.6</v>
      </c>
      <c r="F3591">
        <v>36.36</v>
      </c>
      <c r="G3591">
        <v>20.91</v>
      </c>
      <c r="H3591">
        <v>9.19</v>
      </c>
      <c r="I3591">
        <v>0.351</v>
      </c>
      <c r="J3591">
        <v>26.44</v>
      </c>
      <c r="K3591">
        <v>32.05</v>
      </c>
      <c r="L3591">
        <v>21.31</v>
      </c>
      <c r="M3591">
        <v>0.83</v>
      </c>
      <c r="N3591">
        <v>0.189</v>
      </c>
      <c r="O3591">
        <v>26.4</v>
      </c>
      <c r="P3591">
        <v>31.83</v>
      </c>
      <c r="Q3591">
        <v>21.1</v>
      </c>
      <c r="R3591">
        <v>0.86</v>
      </c>
    </row>
    <row r="3592">
      <c r="A3592" s="9">
        <v>42123</v>
      </c>
      <c r="B3592" s="2" t="inlineStr">
        <is>
          <t xml:space="preserve">2015-04</t>
        </is>
      </c>
      <c r="C3592" s="2" t="inlineStr">
        <is>
          <t xml:space="preserve">2014/15</t>
        </is>
      </c>
      <c r="D3592">
        <v>0.516</v>
      </c>
      <c r="E3592">
        <v>24.41</v>
      </c>
      <c r="F3592">
        <v>27.6</v>
      </c>
      <c r="G3592">
        <v>21.63</v>
      </c>
      <c r="H3592">
        <v>8.04</v>
      </c>
      <c r="I3592">
        <v>1.042</v>
      </c>
      <c r="J3592">
        <v>25.77</v>
      </c>
      <c r="K3592">
        <v>30.05</v>
      </c>
      <c r="L3592">
        <v>21.89</v>
      </c>
      <c r="M3592">
        <v>3.11</v>
      </c>
      <c r="N3592">
        <v>0.145</v>
      </c>
      <c r="O3592">
        <v>24.74</v>
      </c>
      <c r="P3592">
        <v>28.62</v>
      </c>
      <c r="Q3592">
        <v>21.22</v>
      </c>
      <c r="R3592">
        <v>3.13</v>
      </c>
    </row>
    <row r="3593">
      <c r="A3593" s="9">
        <v>42124</v>
      </c>
      <c r="B3593" s="2" t="inlineStr">
        <is>
          <t xml:space="preserve">2015-04</t>
        </is>
      </c>
      <c r="C3593" s="2" t="inlineStr">
        <is>
          <t xml:space="preserve">2014/15</t>
        </is>
      </c>
      <c r="D3593">
        <v>14.502</v>
      </c>
      <c r="E3593">
        <v>22.65</v>
      </c>
      <c r="F3593">
        <v>27.25</v>
      </c>
      <c r="G3593">
        <v>20.34</v>
      </c>
      <c r="H3593">
        <v>9.69</v>
      </c>
      <c r="I3593">
        <v>13.0</v>
      </c>
      <c r="J3593">
        <v>23.55</v>
      </c>
      <c r="K3593">
        <v>27.87</v>
      </c>
      <c r="L3593">
        <v>20.51</v>
      </c>
      <c r="M3593">
        <v>11.95</v>
      </c>
      <c r="N3593">
        <v>5.039</v>
      </c>
      <c r="O3593">
        <v>22.3</v>
      </c>
      <c r="P3593">
        <v>26.3</v>
      </c>
      <c r="Q3593">
        <v>19.56</v>
      </c>
      <c r="R3593">
        <v>10.55</v>
      </c>
    </row>
    <row r="3594">
      <c r="A3594" s="9">
        <v>42125</v>
      </c>
      <c r="B3594" s="2" t="inlineStr">
        <is>
          <t xml:space="preserve">2015-05</t>
        </is>
      </c>
      <c r="C3594" s="2" t="inlineStr">
        <is>
          <t xml:space="preserve">2014/15</t>
        </is>
      </c>
      <c r="D3594">
        <v>5.818</v>
      </c>
      <c r="E3594">
        <v>21.28</v>
      </c>
      <c r="F3594">
        <v>25.77</v>
      </c>
      <c r="G3594">
        <v>18.95</v>
      </c>
      <c r="H3594">
        <v>8.28</v>
      </c>
      <c r="I3594">
        <v>3.598</v>
      </c>
      <c r="J3594">
        <v>22.46</v>
      </c>
      <c r="K3594">
        <v>27.66</v>
      </c>
      <c r="L3594">
        <v>19.01</v>
      </c>
      <c r="M3594">
        <v>3.22</v>
      </c>
      <c r="N3594">
        <v>0.131</v>
      </c>
      <c r="O3594">
        <v>21.01</v>
      </c>
      <c r="P3594">
        <v>24.13</v>
      </c>
      <c r="Q3594">
        <v>19.01</v>
      </c>
      <c r="R3594">
        <v>1.9</v>
      </c>
    </row>
    <row r="3595">
      <c r="A3595" s="9">
        <v>42126</v>
      </c>
      <c r="B3595" s="2" t="inlineStr">
        <is>
          <t xml:space="preserve">2015-05</t>
        </is>
      </c>
      <c r="C3595" s="2" t="inlineStr">
        <is>
          <t xml:space="preserve">2014/15</t>
        </is>
      </c>
      <c r="D3595">
        <v>5.602</v>
      </c>
      <c r="E3595">
        <v>22.78</v>
      </c>
      <c r="F3595">
        <v>29.88</v>
      </c>
      <c r="G3595">
        <v>18.1</v>
      </c>
      <c r="H3595">
        <v>7.26</v>
      </c>
      <c r="I3595">
        <v>0.262</v>
      </c>
      <c r="J3595">
        <v>23.36</v>
      </c>
      <c r="K3595">
        <v>29.48</v>
      </c>
      <c r="L3595">
        <v>19.07</v>
      </c>
      <c r="M3595">
        <v>1.51</v>
      </c>
      <c r="N3595">
        <v>0.311</v>
      </c>
      <c r="O3595">
        <v>22.05</v>
      </c>
      <c r="P3595">
        <v>27.65</v>
      </c>
      <c r="Q3595">
        <v>18.22</v>
      </c>
      <c r="R3595">
        <v>2.12</v>
      </c>
    </row>
    <row r="3596">
      <c r="A3596" s="9">
        <v>42127</v>
      </c>
      <c r="B3596" s="2" t="inlineStr">
        <is>
          <t xml:space="preserve">2015-05</t>
        </is>
      </c>
      <c r="C3596" s="2" t="inlineStr">
        <is>
          <t xml:space="preserve">2014/15</t>
        </is>
      </c>
      <c r="D3596">
        <v>6.494</v>
      </c>
      <c r="E3596">
        <v>22.78</v>
      </c>
      <c r="F3596">
        <v>29.54</v>
      </c>
      <c r="G3596">
        <v>18.5</v>
      </c>
      <c r="H3596">
        <v>4.14</v>
      </c>
      <c r="I3596">
        <v>1.615</v>
      </c>
      <c r="J3596">
        <v>23.9</v>
      </c>
      <c r="K3596">
        <v>31.1</v>
      </c>
      <c r="L3596">
        <v>18.99</v>
      </c>
      <c r="M3596">
        <v>1.19</v>
      </c>
      <c r="N3596">
        <v>0.666</v>
      </c>
      <c r="O3596">
        <v>22.03</v>
      </c>
      <c r="P3596">
        <v>27.7</v>
      </c>
      <c r="Q3596">
        <v>18.82</v>
      </c>
      <c r="R3596">
        <v>1.29</v>
      </c>
    </row>
    <row r="3597">
      <c r="A3597" s="9">
        <v>42128</v>
      </c>
      <c r="B3597" s="2" t="inlineStr">
        <is>
          <t xml:space="preserve">2015-05</t>
        </is>
      </c>
      <c r="C3597" s="2" t="inlineStr">
        <is>
          <t xml:space="preserve">2014/15</t>
        </is>
      </c>
      <c r="D3597">
        <v>0.0</v>
      </c>
      <c r="E3597">
        <v>24.24</v>
      </c>
      <c r="F3597">
        <v>31.65</v>
      </c>
      <c r="G3597">
        <v>18.94</v>
      </c>
      <c r="H3597">
        <v>0.04</v>
      </c>
      <c r="I3597">
        <v>0.323</v>
      </c>
      <c r="J3597">
        <v>24.7</v>
      </c>
      <c r="K3597">
        <v>32.47</v>
      </c>
      <c r="L3597">
        <v>17.9</v>
      </c>
      <c r="M3597">
        <v>0.2</v>
      </c>
      <c r="N3597">
        <v>0.492</v>
      </c>
      <c r="O3597">
        <v>22.81</v>
      </c>
      <c r="P3597">
        <v>29.69</v>
      </c>
      <c r="Q3597">
        <v>17.79</v>
      </c>
      <c r="R3597">
        <v>0.14</v>
      </c>
    </row>
    <row r="3598">
      <c r="A3598" s="9">
        <v>42129</v>
      </c>
      <c r="B3598" s="2" t="inlineStr">
        <is>
          <t xml:space="preserve">2015-05</t>
        </is>
      </c>
      <c r="C3598" s="2" t="inlineStr">
        <is>
          <t xml:space="preserve">2014/15</t>
        </is>
      </c>
      <c r="D3598">
        <v>0.175</v>
      </c>
      <c r="E3598">
        <v>24.61</v>
      </c>
      <c r="F3598">
        <v>32.07</v>
      </c>
      <c r="G3598">
        <v>18.45</v>
      </c>
      <c r="H3598">
        <v>1.56</v>
      </c>
      <c r="I3598">
        <v>0.0</v>
      </c>
      <c r="J3598">
        <v>25.52</v>
      </c>
      <c r="K3598">
        <v>33.27</v>
      </c>
      <c r="L3598">
        <v>18.76</v>
      </c>
      <c r="M3598">
        <v>0.01</v>
      </c>
      <c r="N3598">
        <v>0.0</v>
      </c>
      <c r="O3598">
        <v>23.69</v>
      </c>
      <c r="P3598">
        <v>30.62</v>
      </c>
      <c r="Q3598">
        <v>18.81</v>
      </c>
      <c r="R3598">
        <v>0.2</v>
      </c>
    </row>
    <row r="3599">
      <c r="A3599" s="9">
        <v>42130</v>
      </c>
      <c r="B3599" s="2" t="inlineStr">
        <is>
          <t xml:space="preserve">2015-05</t>
        </is>
      </c>
      <c r="C3599" s="2" t="inlineStr">
        <is>
          <t xml:space="preserve">2014/15</t>
        </is>
      </c>
      <c r="D3599">
        <v>1.227</v>
      </c>
      <c r="E3599">
        <v>24.02</v>
      </c>
      <c r="F3599">
        <v>30.92</v>
      </c>
      <c r="G3599">
        <v>18.95</v>
      </c>
      <c r="H3599">
        <v>5.87</v>
      </c>
      <c r="I3599">
        <v>0.0</v>
      </c>
      <c r="J3599">
        <v>25.72</v>
      </c>
      <c r="K3599">
        <v>33.49</v>
      </c>
      <c r="L3599">
        <v>19.11</v>
      </c>
      <c r="M3599">
        <v>0.03</v>
      </c>
      <c r="N3599">
        <v>0.0</v>
      </c>
      <c r="O3599">
        <v>23.51</v>
      </c>
      <c r="P3599">
        <v>29.72</v>
      </c>
      <c r="Q3599">
        <v>19.02</v>
      </c>
      <c r="R3599">
        <v>1.36</v>
      </c>
    </row>
    <row r="3600">
      <c r="A3600" s="9">
        <v>42131</v>
      </c>
      <c r="B3600" s="2" t="inlineStr">
        <is>
          <t xml:space="preserve">2015-05</t>
        </is>
      </c>
      <c r="C3600" s="2" t="inlineStr">
        <is>
          <t xml:space="preserve">2014/15</t>
        </is>
      </c>
      <c r="D3600">
        <v>6.077</v>
      </c>
      <c r="E3600">
        <v>24.2</v>
      </c>
      <c r="F3600">
        <v>30.34</v>
      </c>
      <c r="G3600">
        <v>19.73</v>
      </c>
      <c r="H3600">
        <v>4.81</v>
      </c>
      <c r="I3600">
        <v>0.117</v>
      </c>
      <c r="J3600">
        <v>24.3</v>
      </c>
      <c r="K3600">
        <v>30.08</v>
      </c>
      <c r="L3600">
        <v>20.22</v>
      </c>
      <c r="M3600">
        <v>0.38</v>
      </c>
      <c r="N3600">
        <v>0.0</v>
      </c>
      <c r="O3600">
        <v>22.53</v>
      </c>
      <c r="P3600">
        <v>26.44</v>
      </c>
      <c r="Q3600">
        <v>19.86</v>
      </c>
      <c r="R3600">
        <v>0.8</v>
      </c>
    </row>
    <row r="3601">
      <c r="A3601" s="9">
        <v>42132</v>
      </c>
      <c r="B3601" s="2" t="inlineStr">
        <is>
          <t xml:space="preserve">2015-05</t>
        </is>
      </c>
      <c r="C3601" s="2" t="inlineStr">
        <is>
          <t xml:space="preserve">2014/15</t>
        </is>
      </c>
      <c r="D3601">
        <v>0.033</v>
      </c>
      <c r="E3601">
        <v>24.32</v>
      </c>
      <c r="F3601">
        <v>29.96</v>
      </c>
      <c r="G3601">
        <v>20.58</v>
      </c>
      <c r="H3601">
        <v>0.37</v>
      </c>
      <c r="I3601">
        <v>0.0</v>
      </c>
      <c r="J3601">
        <v>23.56</v>
      </c>
      <c r="K3601">
        <v>27.87</v>
      </c>
      <c r="L3601">
        <v>20.39</v>
      </c>
      <c r="M3601">
        <v>0.49</v>
      </c>
      <c r="N3601">
        <v>0.0</v>
      </c>
      <c r="O3601">
        <v>23.56</v>
      </c>
      <c r="P3601">
        <v>28.77</v>
      </c>
      <c r="Q3601">
        <v>20.36</v>
      </c>
      <c r="R3601">
        <v>1.69</v>
      </c>
    </row>
    <row r="3602">
      <c r="A3602" s="9">
        <v>42133</v>
      </c>
      <c r="B3602" s="2" t="inlineStr">
        <is>
          <t xml:space="preserve">2015-05</t>
        </is>
      </c>
      <c r="C3602" s="2" t="inlineStr">
        <is>
          <t xml:space="preserve">2014/15</t>
        </is>
      </c>
      <c r="D3602">
        <v>0.0</v>
      </c>
      <c r="E3602">
        <v>25.32</v>
      </c>
      <c r="F3602">
        <v>32.23</v>
      </c>
      <c r="G3602">
        <v>20.24</v>
      </c>
      <c r="H3602">
        <v>0.47</v>
      </c>
      <c r="I3602">
        <v>0.389</v>
      </c>
      <c r="J3602">
        <v>24.88</v>
      </c>
      <c r="K3602">
        <v>31.15</v>
      </c>
      <c r="L3602">
        <v>20.46</v>
      </c>
      <c r="M3602">
        <v>2.19</v>
      </c>
      <c r="N3602">
        <v>1.461</v>
      </c>
      <c r="O3602">
        <v>23.87</v>
      </c>
      <c r="P3602">
        <v>29.64</v>
      </c>
      <c r="Q3602">
        <v>20.7</v>
      </c>
      <c r="R3602">
        <v>4.19</v>
      </c>
    </row>
    <row r="3603">
      <c r="A3603" s="9">
        <v>42134</v>
      </c>
      <c r="B3603" s="2" t="inlineStr">
        <is>
          <t xml:space="preserve">2015-05</t>
        </is>
      </c>
      <c r="C3603" s="2" t="inlineStr">
        <is>
          <t xml:space="preserve">2014/15</t>
        </is>
      </c>
      <c r="D3603">
        <v>0.0</v>
      </c>
      <c r="E3603">
        <v>25.35</v>
      </c>
      <c r="F3603">
        <v>32.63</v>
      </c>
      <c r="G3603">
        <v>18.62</v>
      </c>
      <c r="H3603">
        <v>0.06</v>
      </c>
      <c r="I3603">
        <v>0.061</v>
      </c>
      <c r="J3603">
        <v>26.37</v>
      </c>
      <c r="K3603">
        <v>33.59</v>
      </c>
      <c r="L3603">
        <v>20.83</v>
      </c>
      <c r="M3603">
        <v>0.29</v>
      </c>
      <c r="N3603">
        <v>0.232</v>
      </c>
      <c r="O3603">
        <v>24.79</v>
      </c>
      <c r="P3603">
        <v>31.45</v>
      </c>
      <c r="Q3603">
        <v>20.55</v>
      </c>
      <c r="R3603">
        <v>0.53</v>
      </c>
    </row>
    <row r="3604">
      <c r="A3604" s="9">
        <v>42135</v>
      </c>
      <c r="B3604" s="2" t="inlineStr">
        <is>
          <t xml:space="preserve">2015-05</t>
        </is>
      </c>
      <c r="C3604" s="2" t="inlineStr">
        <is>
          <t xml:space="preserve">2014/15</t>
        </is>
      </c>
      <c r="D3604">
        <v>0.0</v>
      </c>
      <c r="E3604">
        <v>25.49</v>
      </c>
      <c r="F3604">
        <v>32.89</v>
      </c>
      <c r="G3604">
        <v>18.6</v>
      </c>
      <c r="H3604">
        <v>0.0</v>
      </c>
      <c r="I3604">
        <v>0.0</v>
      </c>
      <c r="J3604">
        <v>26.72</v>
      </c>
      <c r="K3604">
        <v>34.17</v>
      </c>
      <c r="L3604">
        <v>21.79</v>
      </c>
      <c r="M3604">
        <v>0.0</v>
      </c>
      <c r="N3604">
        <v>0.0</v>
      </c>
      <c r="O3604">
        <v>24.66</v>
      </c>
      <c r="P3604">
        <v>30.95</v>
      </c>
      <c r="Q3604">
        <v>20.55</v>
      </c>
      <c r="R3604">
        <v>0.0</v>
      </c>
    </row>
    <row r="3605">
      <c r="A3605" s="9">
        <v>42136</v>
      </c>
      <c r="B3605" s="2" t="inlineStr">
        <is>
          <t xml:space="preserve">2015-05</t>
        </is>
      </c>
      <c r="C3605" s="2" t="inlineStr">
        <is>
          <t xml:space="preserve">2014/15</t>
        </is>
      </c>
      <c r="D3605">
        <v>0.0</v>
      </c>
      <c r="E3605">
        <v>24.98</v>
      </c>
      <c r="F3605">
        <v>31.18</v>
      </c>
      <c r="G3605">
        <v>19.11</v>
      </c>
      <c r="H3605">
        <v>0.0</v>
      </c>
      <c r="I3605">
        <v>0.0</v>
      </c>
      <c r="J3605">
        <v>26.39</v>
      </c>
      <c r="K3605">
        <v>33.08</v>
      </c>
      <c r="L3605">
        <v>22.02</v>
      </c>
      <c r="M3605">
        <v>0.0</v>
      </c>
      <c r="N3605">
        <v>0.0</v>
      </c>
      <c r="O3605">
        <v>24.49</v>
      </c>
      <c r="P3605">
        <v>30.47</v>
      </c>
      <c r="Q3605">
        <v>20.72</v>
      </c>
      <c r="R3605">
        <v>0.0</v>
      </c>
    </row>
    <row r="3606">
      <c r="A3606" s="9">
        <v>42137</v>
      </c>
      <c r="B3606" s="2" t="inlineStr">
        <is>
          <t xml:space="preserve">2015-05</t>
        </is>
      </c>
      <c r="C3606" s="2" t="inlineStr">
        <is>
          <t xml:space="preserve">2014/15</t>
        </is>
      </c>
      <c r="D3606">
        <v>0.0</v>
      </c>
      <c r="E3606">
        <v>24.87</v>
      </c>
      <c r="F3606">
        <v>31.82</v>
      </c>
      <c r="G3606">
        <v>19.02</v>
      </c>
      <c r="H3606">
        <v>0.13</v>
      </c>
      <c r="I3606">
        <v>0.0</v>
      </c>
      <c r="J3606">
        <v>24.93</v>
      </c>
      <c r="K3606">
        <v>31.18</v>
      </c>
      <c r="L3606">
        <v>21.21</v>
      </c>
      <c r="M3606">
        <v>0.0</v>
      </c>
      <c r="N3606">
        <v>0.0</v>
      </c>
      <c r="O3606">
        <v>23.44</v>
      </c>
      <c r="P3606">
        <v>28.4</v>
      </c>
      <c r="Q3606">
        <v>20.69</v>
      </c>
      <c r="R3606">
        <v>0.12</v>
      </c>
    </row>
    <row r="3607">
      <c r="A3607" s="9">
        <v>42138</v>
      </c>
      <c r="B3607" s="2" t="inlineStr">
        <is>
          <t xml:space="preserve">2015-05</t>
        </is>
      </c>
      <c r="C3607" s="2" t="inlineStr">
        <is>
          <t xml:space="preserve">2014/15</t>
        </is>
      </c>
      <c r="D3607">
        <v>0.0</v>
      </c>
      <c r="E3607">
        <v>23.21</v>
      </c>
      <c r="F3607">
        <v>28.5</v>
      </c>
      <c r="G3607">
        <v>18.98</v>
      </c>
      <c r="H3607">
        <v>4.11</v>
      </c>
      <c r="I3607">
        <v>0.0</v>
      </c>
      <c r="J3607">
        <v>25.0</v>
      </c>
      <c r="K3607">
        <v>31.75</v>
      </c>
      <c r="L3607">
        <v>20.56</v>
      </c>
      <c r="M3607">
        <v>0.54</v>
      </c>
      <c r="N3607">
        <v>0.0</v>
      </c>
      <c r="O3607">
        <v>23.31</v>
      </c>
      <c r="P3607">
        <v>28.75</v>
      </c>
      <c r="Q3607">
        <v>20.22</v>
      </c>
      <c r="R3607">
        <v>2.87</v>
      </c>
    </row>
    <row r="3608">
      <c r="A3608" s="9">
        <v>42139</v>
      </c>
      <c r="B3608" s="2" t="inlineStr">
        <is>
          <t xml:space="preserve">2015-05</t>
        </is>
      </c>
      <c r="C3608" s="2" t="inlineStr">
        <is>
          <t xml:space="preserve">2014/15</t>
        </is>
      </c>
      <c r="D3608">
        <v>7.728</v>
      </c>
      <c r="E3608">
        <v>23.34</v>
      </c>
      <c r="F3608">
        <v>29.65</v>
      </c>
      <c r="G3608">
        <v>18.72</v>
      </c>
      <c r="H3608">
        <v>4.82</v>
      </c>
      <c r="I3608">
        <v>3.409</v>
      </c>
      <c r="J3608">
        <v>24.23</v>
      </c>
      <c r="K3608">
        <v>30.21</v>
      </c>
      <c r="L3608">
        <v>19.91</v>
      </c>
      <c r="M3608">
        <v>12.23</v>
      </c>
      <c r="N3608">
        <v>2.19</v>
      </c>
      <c r="O3608">
        <v>23.37</v>
      </c>
      <c r="P3608">
        <v>29.73</v>
      </c>
      <c r="Q3608">
        <v>19.97</v>
      </c>
      <c r="R3608">
        <v>7.83</v>
      </c>
    </row>
    <row r="3609">
      <c r="A3609" s="9">
        <v>42140</v>
      </c>
      <c r="B3609" s="2" t="inlineStr">
        <is>
          <t xml:space="preserve">2015-05</t>
        </is>
      </c>
      <c r="C3609" s="2" t="inlineStr">
        <is>
          <t xml:space="preserve">2014/15</t>
        </is>
      </c>
      <c r="D3609">
        <v>0.587</v>
      </c>
      <c r="E3609">
        <v>24.33</v>
      </c>
      <c r="F3609">
        <v>31.94</v>
      </c>
      <c r="G3609">
        <v>17.34</v>
      </c>
      <c r="H3609">
        <v>0.08</v>
      </c>
      <c r="I3609">
        <v>19.552</v>
      </c>
      <c r="J3609">
        <v>24.82</v>
      </c>
      <c r="K3609">
        <v>30.44</v>
      </c>
      <c r="L3609">
        <v>20.42</v>
      </c>
      <c r="M3609">
        <v>9.73</v>
      </c>
      <c r="N3609">
        <v>8.888</v>
      </c>
      <c r="O3609">
        <v>24.0</v>
      </c>
      <c r="P3609">
        <v>30.23</v>
      </c>
      <c r="Q3609">
        <v>19.5</v>
      </c>
      <c r="R3609">
        <v>0.88</v>
      </c>
    </row>
    <row r="3610">
      <c r="A3610" s="9">
        <v>42141</v>
      </c>
      <c r="B3610" s="2" t="inlineStr">
        <is>
          <t xml:space="preserve">2015-05</t>
        </is>
      </c>
      <c r="C3610" s="2" t="inlineStr">
        <is>
          <t xml:space="preserve">2014/15</t>
        </is>
      </c>
      <c r="D3610">
        <v>0.0</v>
      </c>
      <c r="E3610">
        <v>24.83</v>
      </c>
      <c r="F3610">
        <v>32.76</v>
      </c>
      <c r="G3610">
        <v>18.41</v>
      </c>
      <c r="H3610">
        <v>0.76</v>
      </c>
      <c r="I3610">
        <v>0.0</v>
      </c>
      <c r="J3610">
        <v>25.49</v>
      </c>
      <c r="K3610">
        <v>32.87</v>
      </c>
      <c r="L3610">
        <v>19.85</v>
      </c>
      <c r="M3610">
        <v>0.04</v>
      </c>
      <c r="N3610">
        <v>0.0</v>
      </c>
      <c r="O3610">
        <v>24.25</v>
      </c>
      <c r="P3610">
        <v>30.95</v>
      </c>
      <c r="Q3610">
        <v>19.9</v>
      </c>
      <c r="R3610">
        <v>0.08</v>
      </c>
    </row>
    <row r="3611">
      <c r="A3611" s="9">
        <v>42142</v>
      </c>
      <c r="B3611" s="2" t="inlineStr">
        <is>
          <t xml:space="preserve">2015-05</t>
        </is>
      </c>
      <c r="C3611" s="2" t="inlineStr">
        <is>
          <t xml:space="preserve">2014/15</t>
        </is>
      </c>
      <c r="D3611">
        <v>0.999</v>
      </c>
      <c r="E3611">
        <v>24.11</v>
      </c>
      <c r="F3611">
        <v>30.15</v>
      </c>
      <c r="G3611">
        <v>19.78</v>
      </c>
      <c r="H3611">
        <v>0.18</v>
      </c>
      <c r="I3611">
        <v>0.0</v>
      </c>
      <c r="J3611">
        <v>24.74</v>
      </c>
      <c r="K3611">
        <v>29.53</v>
      </c>
      <c r="L3611">
        <v>20.87</v>
      </c>
      <c r="M3611">
        <v>0.36</v>
      </c>
      <c r="N3611">
        <v>0.0</v>
      </c>
      <c r="O3611">
        <v>23.39</v>
      </c>
      <c r="P3611">
        <v>27.84</v>
      </c>
      <c r="Q3611">
        <v>20.34</v>
      </c>
      <c r="R3611">
        <v>0.46</v>
      </c>
    </row>
    <row r="3612">
      <c r="A3612" s="9">
        <v>42143</v>
      </c>
      <c r="B3612" s="2" t="inlineStr">
        <is>
          <t xml:space="preserve">2015-05</t>
        </is>
      </c>
      <c r="C3612" s="2" t="inlineStr">
        <is>
          <t xml:space="preserve">2014/15</t>
        </is>
      </c>
      <c r="D3612">
        <v>0.0</v>
      </c>
      <c r="E3612">
        <v>24.6</v>
      </c>
      <c r="F3612">
        <v>32.85</v>
      </c>
      <c r="G3612">
        <v>17.52</v>
      </c>
      <c r="H3612">
        <v>0.03</v>
      </c>
      <c r="I3612">
        <v>0.909</v>
      </c>
      <c r="J3612">
        <v>25.28</v>
      </c>
      <c r="K3612">
        <v>32.52</v>
      </c>
      <c r="L3612">
        <v>19.85</v>
      </c>
      <c r="M3612">
        <v>0.85</v>
      </c>
      <c r="N3612">
        <v>0.221</v>
      </c>
      <c r="O3612">
        <v>23.93</v>
      </c>
      <c r="P3612">
        <v>30.1</v>
      </c>
      <c r="Q3612">
        <v>19.95</v>
      </c>
      <c r="R3612">
        <v>0.38</v>
      </c>
    </row>
    <row r="3613">
      <c r="A3613" s="9">
        <v>42144</v>
      </c>
      <c r="B3613" s="2" t="inlineStr">
        <is>
          <t xml:space="preserve">2015-05</t>
        </is>
      </c>
      <c r="C3613" s="2" t="inlineStr">
        <is>
          <t xml:space="preserve">2014/15</t>
        </is>
      </c>
      <c r="D3613">
        <v>0.0</v>
      </c>
      <c r="E3613">
        <v>24.68</v>
      </c>
      <c r="F3613">
        <v>32.44</v>
      </c>
      <c r="G3613">
        <v>17.75</v>
      </c>
      <c r="H3613">
        <v>0.0</v>
      </c>
      <c r="I3613">
        <v>0.0</v>
      </c>
      <c r="J3613">
        <v>25.66</v>
      </c>
      <c r="K3613">
        <v>33.14</v>
      </c>
      <c r="L3613">
        <v>19.49</v>
      </c>
      <c r="M3613">
        <v>0.05</v>
      </c>
      <c r="N3613">
        <v>0.0</v>
      </c>
      <c r="O3613">
        <v>24.41</v>
      </c>
      <c r="P3613">
        <v>31.08</v>
      </c>
      <c r="Q3613">
        <v>19.61</v>
      </c>
      <c r="R3613">
        <v>0.02</v>
      </c>
    </row>
    <row r="3614">
      <c r="A3614" s="9">
        <v>42145</v>
      </c>
      <c r="B3614" s="2" t="inlineStr">
        <is>
          <t xml:space="preserve">2015-05</t>
        </is>
      </c>
      <c r="C3614" s="2" t="inlineStr">
        <is>
          <t xml:space="preserve">2014/15</t>
        </is>
      </c>
      <c r="D3614">
        <v>0.046</v>
      </c>
      <c r="E3614">
        <v>24.62</v>
      </c>
      <c r="F3614">
        <v>30.76</v>
      </c>
      <c r="G3614">
        <v>19.65</v>
      </c>
      <c r="H3614">
        <v>0.49</v>
      </c>
      <c r="I3614">
        <v>0.238</v>
      </c>
      <c r="J3614">
        <v>24.8</v>
      </c>
      <c r="K3614">
        <v>29.14</v>
      </c>
      <c r="L3614">
        <v>20.95</v>
      </c>
      <c r="M3614">
        <v>1.66</v>
      </c>
      <c r="N3614">
        <v>0.341</v>
      </c>
      <c r="O3614">
        <v>24.02</v>
      </c>
      <c r="P3614">
        <v>29.05</v>
      </c>
      <c r="Q3614">
        <v>20.16</v>
      </c>
      <c r="R3614">
        <v>0.63</v>
      </c>
    </row>
    <row r="3615">
      <c r="A3615" s="9">
        <v>42146</v>
      </c>
      <c r="B3615" s="2" t="inlineStr">
        <is>
          <t xml:space="preserve">2015-05</t>
        </is>
      </c>
      <c r="C3615" s="2" t="inlineStr">
        <is>
          <t xml:space="preserve">2014/15</t>
        </is>
      </c>
      <c r="D3615">
        <v>2.182</v>
      </c>
      <c r="E3615">
        <v>23.66</v>
      </c>
      <c r="F3615">
        <v>28.85</v>
      </c>
      <c r="G3615">
        <v>20.36</v>
      </c>
      <c r="H3615">
        <v>1.82</v>
      </c>
      <c r="I3615">
        <v>5.089</v>
      </c>
      <c r="J3615">
        <v>24.39</v>
      </c>
      <c r="K3615">
        <v>30.09</v>
      </c>
      <c r="L3615">
        <v>20.45</v>
      </c>
      <c r="M3615">
        <v>4.66</v>
      </c>
      <c r="N3615">
        <v>1.28</v>
      </c>
      <c r="O3615">
        <v>23.65</v>
      </c>
      <c r="P3615">
        <v>28.8</v>
      </c>
      <c r="Q3615">
        <v>20.38</v>
      </c>
      <c r="R3615">
        <v>2.46</v>
      </c>
    </row>
    <row r="3616">
      <c r="A3616" s="9">
        <v>42147</v>
      </c>
      <c r="B3616" s="2" t="inlineStr">
        <is>
          <t xml:space="preserve">2015-05</t>
        </is>
      </c>
      <c r="C3616" s="2" t="inlineStr">
        <is>
          <t xml:space="preserve">2014/15</t>
        </is>
      </c>
      <c r="D3616">
        <v>0.205</v>
      </c>
      <c r="E3616">
        <v>23.51</v>
      </c>
      <c r="F3616">
        <v>28.6</v>
      </c>
      <c r="G3616">
        <v>19.58</v>
      </c>
      <c r="H3616">
        <v>1.05</v>
      </c>
      <c r="I3616">
        <v>4.259</v>
      </c>
      <c r="J3616">
        <v>23.84</v>
      </c>
      <c r="K3616">
        <v>28.98</v>
      </c>
      <c r="L3616">
        <v>21.22</v>
      </c>
      <c r="M3616">
        <v>8.25</v>
      </c>
      <c r="N3616">
        <v>4.151</v>
      </c>
      <c r="O3616">
        <v>23.63</v>
      </c>
      <c r="P3616">
        <v>28.7</v>
      </c>
      <c r="Q3616">
        <v>21.02</v>
      </c>
      <c r="R3616">
        <v>6.61</v>
      </c>
    </row>
    <row r="3617">
      <c r="A3617" s="9">
        <v>42148</v>
      </c>
      <c r="B3617" s="2" t="inlineStr">
        <is>
          <t xml:space="preserve">2015-05</t>
        </is>
      </c>
      <c r="C3617" s="2" t="inlineStr">
        <is>
          <t xml:space="preserve">2014/15</t>
        </is>
      </c>
      <c r="D3617">
        <v>0.323</v>
      </c>
      <c r="E3617">
        <v>24.39</v>
      </c>
      <c r="F3617">
        <v>31.65</v>
      </c>
      <c r="G3617">
        <v>18.58</v>
      </c>
      <c r="H3617">
        <v>0.75</v>
      </c>
      <c r="I3617">
        <v>15.709</v>
      </c>
      <c r="J3617">
        <v>24.1</v>
      </c>
      <c r="K3617">
        <v>30.61</v>
      </c>
      <c r="L3617">
        <v>20.1</v>
      </c>
      <c r="M3617">
        <v>11.82</v>
      </c>
      <c r="N3617">
        <v>23.351</v>
      </c>
      <c r="O3617">
        <v>23.4</v>
      </c>
      <c r="P3617">
        <v>28.6</v>
      </c>
      <c r="Q3617">
        <v>20.56</v>
      </c>
      <c r="R3617">
        <v>5.24</v>
      </c>
    </row>
    <row r="3618">
      <c r="A3618" s="9">
        <v>42149</v>
      </c>
      <c r="B3618" s="2" t="inlineStr">
        <is>
          <t xml:space="preserve">2015-05</t>
        </is>
      </c>
      <c r="C3618" s="2" t="inlineStr">
        <is>
          <t xml:space="preserve">2014/15</t>
        </is>
      </c>
      <c r="D3618">
        <v>0.033</v>
      </c>
      <c r="E3618">
        <v>25.39</v>
      </c>
      <c r="F3618">
        <v>33.02</v>
      </c>
      <c r="G3618">
        <v>18.22</v>
      </c>
      <c r="H3618">
        <v>0.06</v>
      </c>
      <c r="I3618">
        <v>4.064</v>
      </c>
      <c r="J3618">
        <v>25.32</v>
      </c>
      <c r="K3618">
        <v>32.76</v>
      </c>
      <c r="L3618">
        <v>19.31</v>
      </c>
      <c r="M3618">
        <v>1.57</v>
      </c>
      <c r="N3618">
        <v>2.433</v>
      </c>
      <c r="O3618">
        <v>24.56</v>
      </c>
      <c r="P3618">
        <v>31.33</v>
      </c>
      <c r="Q3618">
        <v>20.13</v>
      </c>
      <c r="R3618">
        <v>0.47</v>
      </c>
    </row>
    <row r="3619">
      <c r="A3619" s="9">
        <v>42150</v>
      </c>
      <c r="B3619" s="2" t="inlineStr">
        <is>
          <t xml:space="preserve">2015-05</t>
        </is>
      </c>
      <c r="C3619" s="2" t="inlineStr">
        <is>
          <t xml:space="preserve">2014/15</t>
        </is>
      </c>
      <c r="D3619">
        <v>0.0</v>
      </c>
      <c r="E3619">
        <v>25.81</v>
      </c>
      <c r="F3619">
        <v>33.41</v>
      </c>
      <c r="G3619">
        <v>18.92</v>
      </c>
      <c r="H3619">
        <v>0.0</v>
      </c>
      <c r="I3619">
        <v>0.0</v>
      </c>
      <c r="J3619">
        <v>26.05</v>
      </c>
      <c r="K3619">
        <v>33.84</v>
      </c>
      <c r="L3619">
        <v>19.97</v>
      </c>
      <c r="M3619">
        <v>2.39</v>
      </c>
      <c r="N3619">
        <v>0.0</v>
      </c>
      <c r="O3619">
        <v>24.95</v>
      </c>
      <c r="P3619">
        <v>31.82</v>
      </c>
      <c r="Q3619">
        <v>20.28</v>
      </c>
      <c r="R3619">
        <v>0.02</v>
      </c>
    </row>
    <row r="3620">
      <c r="A3620" s="9">
        <v>42151</v>
      </c>
      <c r="B3620" s="2" t="inlineStr">
        <is>
          <t xml:space="preserve">2015-05</t>
        </is>
      </c>
      <c r="C3620" s="2" t="inlineStr">
        <is>
          <t xml:space="preserve">2014/15</t>
        </is>
      </c>
      <c r="D3620">
        <v>0.0</v>
      </c>
      <c r="E3620">
        <v>25.56</v>
      </c>
      <c r="F3620">
        <v>33.33</v>
      </c>
      <c r="G3620">
        <v>19.23</v>
      </c>
      <c r="H3620">
        <v>0.0</v>
      </c>
      <c r="I3620">
        <v>3.865</v>
      </c>
      <c r="J3620">
        <v>24.99</v>
      </c>
      <c r="K3620">
        <v>31.67</v>
      </c>
      <c r="L3620">
        <v>20.52</v>
      </c>
      <c r="M3620">
        <v>2.61</v>
      </c>
      <c r="N3620">
        <v>0.0</v>
      </c>
      <c r="O3620">
        <v>24.15</v>
      </c>
      <c r="P3620">
        <v>30.17</v>
      </c>
      <c r="Q3620">
        <v>20.2</v>
      </c>
      <c r="R3620">
        <v>0.09</v>
      </c>
    </row>
    <row r="3621">
      <c r="A3621" s="9">
        <v>42152</v>
      </c>
      <c r="B3621" s="2" t="inlineStr">
        <is>
          <t xml:space="preserve">2015-05</t>
        </is>
      </c>
      <c r="C3621" s="2" t="inlineStr">
        <is>
          <t xml:space="preserve">2014/15</t>
        </is>
      </c>
      <c r="D3621">
        <v>0.0</v>
      </c>
      <c r="E3621">
        <v>25.11</v>
      </c>
      <c r="F3621">
        <v>32.19</v>
      </c>
      <c r="G3621">
        <v>19.73</v>
      </c>
      <c r="H3621">
        <v>0.03</v>
      </c>
      <c r="I3621">
        <v>0.609</v>
      </c>
      <c r="J3621">
        <v>24.25</v>
      </c>
      <c r="K3621">
        <v>31.13</v>
      </c>
      <c r="L3621">
        <v>19.13</v>
      </c>
      <c r="M3621">
        <v>0.61</v>
      </c>
      <c r="N3621">
        <v>0.094</v>
      </c>
      <c r="O3621">
        <v>23.72</v>
      </c>
      <c r="P3621">
        <v>29.83</v>
      </c>
      <c r="Q3621">
        <v>19.52</v>
      </c>
      <c r="R3621">
        <v>0.31</v>
      </c>
    </row>
    <row r="3622">
      <c r="A3622" s="9">
        <v>42153</v>
      </c>
      <c r="B3622" s="2" t="inlineStr">
        <is>
          <t xml:space="preserve">2015-05</t>
        </is>
      </c>
      <c r="C3622" s="2" t="inlineStr">
        <is>
          <t xml:space="preserve">2014/15</t>
        </is>
      </c>
      <c r="D3622">
        <v>0.0</v>
      </c>
      <c r="E3622">
        <v>24.89</v>
      </c>
      <c r="F3622">
        <v>31.31</v>
      </c>
      <c r="G3622">
        <v>19.87</v>
      </c>
      <c r="H3622">
        <v>0.0</v>
      </c>
      <c r="I3622">
        <v>0.0</v>
      </c>
      <c r="J3622">
        <v>23.8</v>
      </c>
      <c r="K3622">
        <v>27.98</v>
      </c>
      <c r="L3622">
        <v>20.46</v>
      </c>
      <c r="M3622">
        <v>0.0</v>
      </c>
      <c r="N3622">
        <v>0.0</v>
      </c>
      <c r="O3622">
        <v>23.56</v>
      </c>
      <c r="P3622">
        <v>29.22</v>
      </c>
      <c r="Q3622">
        <v>19.87</v>
      </c>
      <c r="R3622">
        <v>0.0</v>
      </c>
    </row>
    <row r="3623">
      <c r="A3623" s="9">
        <v>42154</v>
      </c>
      <c r="B3623" s="2" t="inlineStr">
        <is>
          <t xml:space="preserve">2015-05</t>
        </is>
      </c>
      <c r="C3623" s="2" t="inlineStr">
        <is>
          <t xml:space="preserve">2014/15</t>
        </is>
      </c>
      <c r="D3623">
        <v>0.0</v>
      </c>
      <c r="E3623">
        <v>25.15</v>
      </c>
      <c r="F3623">
        <v>32.02</v>
      </c>
      <c r="G3623">
        <v>19.48</v>
      </c>
      <c r="H3623">
        <v>0.0</v>
      </c>
      <c r="I3623">
        <v>0.0</v>
      </c>
      <c r="J3623">
        <v>24.32</v>
      </c>
      <c r="K3623">
        <v>30.33</v>
      </c>
      <c r="L3623">
        <v>19.0</v>
      </c>
      <c r="M3623">
        <v>0.01</v>
      </c>
      <c r="N3623">
        <v>0.0</v>
      </c>
      <c r="O3623">
        <v>23.84</v>
      </c>
      <c r="P3623">
        <v>30.43</v>
      </c>
      <c r="Q3623">
        <v>19.37</v>
      </c>
      <c r="R3623">
        <v>0.0</v>
      </c>
    </row>
    <row r="3624">
      <c r="A3624" s="9">
        <v>42155</v>
      </c>
      <c r="B3624" s="2" t="inlineStr">
        <is>
          <t xml:space="preserve">2015-05</t>
        </is>
      </c>
      <c r="C3624" s="2" t="inlineStr">
        <is>
          <t xml:space="preserve">2014/15</t>
        </is>
      </c>
      <c r="D3624">
        <v>0.0</v>
      </c>
      <c r="E3624">
        <v>23.66</v>
      </c>
      <c r="F3624">
        <v>28.41</v>
      </c>
      <c r="G3624">
        <v>20.64</v>
      </c>
      <c r="H3624">
        <v>0.69</v>
      </c>
      <c r="I3624">
        <v>0.054</v>
      </c>
      <c r="J3624">
        <v>24.2</v>
      </c>
      <c r="K3624">
        <v>29.97</v>
      </c>
      <c r="L3624">
        <v>19.94</v>
      </c>
      <c r="M3624">
        <v>0.42</v>
      </c>
      <c r="N3624">
        <v>0.082</v>
      </c>
      <c r="O3624">
        <v>23.66</v>
      </c>
      <c r="P3624">
        <v>27.87</v>
      </c>
      <c r="Q3624">
        <v>20.03</v>
      </c>
      <c r="R3624">
        <v>0.66</v>
      </c>
    </row>
    <row r="3625">
      <c r="A3625" s="9">
        <v>42156</v>
      </c>
      <c r="B3625" s="2" t="inlineStr">
        <is>
          <t xml:space="preserve">2015-06</t>
        </is>
      </c>
      <c r="C3625" s="2" t="inlineStr">
        <is>
          <t xml:space="preserve">2014/15</t>
        </is>
      </c>
      <c r="D3625">
        <v>1.369</v>
      </c>
      <c r="E3625">
        <v>23.93</v>
      </c>
      <c r="F3625">
        <v>30.2</v>
      </c>
      <c r="G3625">
        <v>19.31</v>
      </c>
      <c r="H3625">
        <v>2.41</v>
      </c>
      <c r="I3625">
        <v>1.507</v>
      </c>
      <c r="J3625">
        <v>24.53</v>
      </c>
      <c r="K3625">
        <v>31.27</v>
      </c>
      <c r="L3625">
        <v>20.53</v>
      </c>
      <c r="M3625">
        <v>2.32</v>
      </c>
      <c r="N3625">
        <v>2.117</v>
      </c>
      <c r="O3625">
        <v>23.62</v>
      </c>
      <c r="P3625">
        <v>29.7</v>
      </c>
      <c r="Q3625">
        <v>20.45</v>
      </c>
      <c r="R3625">
        <v>3.62</v>
      </c>
    </row>
    <row r="3626">
      <c r="A3626" s="9">
        <v>42157</v>
      </c>
      <c r="B3626" s="2" t="inlineStr">
        <is>
          <t xml:space="preserve">2015-06</t>
        </is>
      </c>
      <c r="C3626" s="2" t="inlineStr">
        <is>
          <t xml:space="preserve">2014/15</t>
        </is>
      </c>
      <c r="D3626">
        <v>1.296</v>
      </c>
      <c r="E3626">
        <v>21.7</v>
      </c>
      <c r="F3626">
        <v>25.29</v>
      </c>
      <c r="G3626">
        <v>18.2</v>
      </c>
      <c r="H3626">
        <v>1.54</v>
      </c>
      <c r="I3626">
        <v>1.598</v>
      </c>
      <c r="J3626">
        <v>23.62</v>
      </c>
      <c r="K3626">
        <v>28.9</v>
      </c>
      <c r="L3626">
        <v>20.69</v>
      </c>
      <c r="M3626">
        <v>2.46</v>
      </c>
      <c r="N3626">
        <v>2.139</v>
      </c>
      <c r="O3626">
        <v>22.67</v>
      </c>
      <c r="P3626">
        <v>26.73</v>
      </c>
      <c r="Q3626">
        <v>20.08</v>
      </c>
      <c r="R3626">
        <v>4.6</v>
      </c>
    </row>
    <row r="3627">
      <c r="A3627" s="9">
        <v>42158</v>
      </c>
      <c r="B3627" s="2" t="inlineStr">
        <is>
          <t xml:space="preserve">2015-06</t>
        </is>
      </c>
      <c r="C3627" s="2" t="inlineStr">
        <is>
          <t xml:space="preserve">2014/15</t>
        </is>
      </c>
      <c r="D3627">
        <v>0.463</v>
      </c>
      <c r="E3627">
        <v>23.31</v>
      </c>
      <c r="F3627">
        <v>31.15</v>
      </c>
      <c r="G3627">
        <v>17.45</v>
      </c>
      <c r="H3627">
        <v>3.81</v>
      </c>
      <c r="I3627">
        <v>0.563</v>
      </c>
      <c r="J3627">
        <v>23.5</v>
      </c>
      <c r="K3627">
        <v>28.55</v>
      </c>
      <c r="L3627">
        <v>20.12</v>
      </c>
      <c r="M3627">
        <v>7.63</v>
      </c>
      <c r="N3627">
        <v>0.869</v>
      </c>
      <c r="O3627">
        <v>22.14</v>
      </c>
      <c r="P3627">
        <v>25.75</v>
      </c>
      <c r="Q3627">
        <v>19.45</v>
      </c>
      <c r="R3627">
        <v>5.37</v>
      </c>
    </row>
    <row r="3628">
      <c r="A3628" s="9">
        <v>42159</v>
      </c>
      <c r="B3628" s="2" t="inlineStr">
        <is>
          <t xml:space="preserve">2015-06</t>
        </is>
      </c>
      <c r="C3628" s="2" t="inlineStr">
        <is>
          <t xml:space="preserve">2014/15</t>
        </is>
      </c>
      <c r="D3628">
        <v>8.683</v>
      </c>
      <c r="E3628">
        <v>22.64</v>
      </c>
      <c r="F3628">
        <v>28.03</v>
      </c>
      <c r="G3628">
        <v>18.69</v>
      </c>
      <c r="H3628">
        <v>8.02</v>
      </c>
      <c r="I3628">
        <v>23.337</v>
      </c>
      <c r="J3628">
        <v>23.37</v>
      </c>
      <c r="K3628">
        <v>28.28</v>
      </c>
      <c r="L3628">
        <v>19.68</v>
      </c>
      <c r="M3628">
        <v>16.54</v>
      </c>
      <c r="N3628">
        <v>17.07</v>
      </c>
      <c r="O3628">
        <v>23.62</v>
      </c>
      <c r="P3628">
        <v>29.59</v>
      </c>
      <c r="Q3628">
        <v>18.91</v>
      </c>
      <c r="R3628">
        <v>8.02</v>
      </c>
    </row>
    <row r="3629">
      <c r="A3629" s="9">
        <v>42160</v>
      </c>
      <c r="B3629" s="2" t="inlineStr">
        <is>
          <t xml:space="preserve">2015-06</t>
        </is>
      </c>
      <c r="C3629" s="2" t="inlineStr">
        <is>
          <t xml:space="preserve">2014/15</t>
        </is>
      </c>
      <c r="D3629">
        <v>38.707</v>
      </c>
      <c r="E3629">
        <v>21.42</v>
      </c>
      <c r="F3629">
        <v>23.4</v>
      </c>
      <c r="G3629">
        <v>19.68</v>
      </c>
      <c r="H3629">
        <v>26.11</v>
      </c>
      <c r="I3629">
        <v>20.054</v>
      </c>
      <c r="J3629">
        <v>23.14</v>
      </c>
      <c r="K3629">
        <v>26.76</v>
      </c>
      <c r="L3629">
        <v>20.91</v>
      </c>
      <c r="M3629">
        <v>17.92</v>
      </c>
      <c r="N3629">
        <v>11.191</v>
      </c>
      <c r="O3629">
        <v>22.94</v>
      </c>
      <c r="P3629">
        <v>26.82</v>
      </c>
      <c r="Q3629">
        <v>20.52</v>
      </c>
      <c r="R3629">
        <v>16.38</v>
      </c>
    </row>
    <row r="3630">
      <c r="A3630" s="9">
        <v>42161</v>
      </c>
      <c r="B3630" s="2" t="inlineStr">
        <is>
          <t xml:space="preserve">2015-06</t>
        </is>
      </c>
      <c r="C3630" s="2" t="inlineStr">
        <is>
          <t xml:space="preserve">2014/15</t>
        </is>
      </c>
      <c r="D3630">
        <v>9.796</v>
      </c>
      <c r="E3630">
        <v>21.68</v>
      </c>
      <c r="F3630">
        <v>25.53</v>
      </c>
      <c r="G3630">
        <v>18.98</v>
      </c>
      <c r="H3630">
        <v>8.98</v>
      </c>
      <c r="I3630">
        <v>8.347</v>
      </c>
      <c r="J3630">
        <v>22.62</v>
      </c>
      <c r="K3630">
        <v>26.01</v>
      </c>
      <c r="L3630">
        <v>19.83</v>
      </c>
      <c r="M3630">
        <v>12.08</v>
      </c>
      <c r="N3630">
        <v>3.332</v>
      </c>
      <c r="O3630">
        <v>22.25</v>
      </c>
      <c r="P3630">
        <v>25.78</v>
      </c>
      <c r="Q3630">
        <v>19.91</v>
      </c>
      <c r="R3630">
        <v>7.66</v>
      </c>
    </row>
    <row r="3631">
      <c r="A3631" s="9">
        <v>42162</v>
      </c>
      <c r="B3631" s="2" t="inlineStr">
        <is>
          <t xml:space="preserve">2015-06</t>
        </is>
      </c>
      <c r="C3631" s="2" t="inlineStr">
        <is>
          <t xml:space="preserve">2014/15</t>
        </is>
      </c>
      <c r="D3631">
        <v>24.691</v>
      </c>
      <c r="E3631">
        <v>21.79</v>
      </c>
      <c r="F3631">
        <v>26.81</v>
      </c>
      <c r="G3631">
        <v>18.5</v>
      </c>
      <c r="H3631">
        <v>18.38</v>
      </c>
      <c r="I3631">
        <v>9.318</v>
      </c>
      <c r="J3631">
        <v>23.12</v>
      </c>
      <c r="K3631">
        <v>27.54</v>
      </c>
      <c r="L3631">
        <v>19.53</v>
      </c>
      <c r="M3631">
        <v>3.38</v>
      </c>
      <c r="N3631">
        <v>5.84</v>
      </c>
      <c r="O3631">
        <v>23.05</v>
      </c>
      <c r="P3631">
        <v>28.14</v>
      </c>
      <c r="Q3631">
        <v>19.68</v>
      </c>
      <c r="R3631">
        <v>4.17</v>
      </c>
    </row>
    <row r="3632">
      <c r="A3632" s="9">
        <v>42163</v>
      </c>
      <c r="B3632" s="2" t="inlineStr">
        <is>
          <t xml:space="preserve">2015-06</t>
        </is>
      </c>
      <c r="C3632" s="2" t="inlineStr">
        <is>
          <t xml:space="preserve">2014/15</t>
        </is>
      </c>
      <c r="D3632">
        <v>15.084</v>
      </c>
      <c r="E3632">
        <v>20.8</v>
      </c>
      <c r="F3632">
        <v>24.32</v>
      </c>
      <c r="G3632">
        <v>18.62</v>
      </c>
      <c r="H3632">
        <v>6.38</v>
      </c>
      <c r="I3632">
        <v>0.793</v>
      </c>
      <c r="J3632">
        <v>22.34</v>
      </c>
      <c r="K3632">
        <v>26.55</v>
      </c>
      <c r="L3632">
        <v>20.0</v>
      </c>
      <c r="M3632">
        <v>2.44</v>
      </c>
      <c r="N3632">
        <v>0.681</v>
      </c>
      <c r="O3632">
        <v>23.25</v>
      </c>
      <c r="P3632">
        <v>27.58</v>
      </c>
      <c r="Q3632">
        <v>20.51</v>
      </c>
      <c r="R3632">
        <v>1.71</v>
      </c>
    </row>
    <row r="3633">
      <c r="A3633" s="9">
        <v>42164</v>
      </c>
      <c r="B3633" s="2" t="inlineStr">
        <is>
          <t xml:space="preserve">2015-06</t>
        </is>
      </c>
      <c r="C3633" s="2" t="inlineStr">
        <is>
          <t xml:space="preserve">2014/15</t>
        </is>
      </c>
      <c r="D3633">
        <v>10.385</v>
      </c>
      <c r="E3633">
        <v>22.07</v>
      </c>
      <c r="F3633">
        <v>27.44</v>
      </c>
      <c r="G3633">
        <v>17.81</v>
      </c>
      <c r="H3633">
        <v>12.3</v>
      </c>
      <c r="I3633">
        <v>31.47</v>
      </c>
      <c r="J3633">
        <v>22.56</v>
      </c>
      <c r="K3633">
        <v>27.83</v>
      </c>
      <c r="L3633">
        <v>19.08</v>
      </c>
      <c r="M3633">
        <v>28.08</v>
      </c>
      <c r="N3633">
        <v>46.99</v>
      </c>
      <c r="O3633">
        <v>23.43</v>
      </c>
      <c r="P3633">
        <v>28.67</v>
      </c>
      <c r="Q3633">
        <v>19.66</v>
      </c>
      <c r="R3633">
        <v>22.45</v>
      </c>
    </row>
    <row r="3634">
      <c r="A3634" s="9">
        <v>42165</v>
      </c>
      <c r="B3634" s="2" t="inlineStr">
        <is>
          <t xml:space="preserve">2015-06</t>
        </is>
      </c>
      <c r="C3634" s="2" t="inlineStr">
        <is>
          <t xml:space="preserve">2014/15</t>
        </is>
      </c>
      <c r="D3634">
        <v>4.154</v>
      </c>
      <c r="E3634">
        <v>21.78</v>
      </c>
      <c r="F3634">
        <v>26.1</v>
      </c>
      <c r="G3634">
        <v>19.07</v>
      </c>
      <c r="H3634">
        <v>12.48</v>
      </c>
      <c r="I3634">
        <v>1.038</v>
      </c>
      <c r="J3634">
        <v>22.22</v>
      </c>
      <c r="K3634">
        <v>26.17</v>
      </c>
      <c r="L3634">
        <v>19.33</v>
      </c>
      <c r="M3634">
        <v>13.17</v>
      </c>
      <c r="N3634">
        <v>0.661</v>
      </c>
      <c r="O3634">
        <v>22.28</v>
      </c>
      <c r="P3634">
        <v>24.84</v>
      </c>
      <c r="Q3634">
        <v>20.44</v>
      </c>
      <c r="R3634">
        <v>9.19</v>
      </c>
    </row>
    <row r="3635">
      <c r="A3635" s="9">
        <v>42166</v>
      </c>
      <c r="B3635" s="2" t="inlineStr">
        <is>
          <t xml:space="preserve">2015-06</t>
        </is>
      </c>
      <c r="C3635" s="2" t="inlineStr">
        <is>
          <t xml:space="preserve">2014/15</t>
        </is>
      </c>
      <c r="D3635">
        <v>28.758</v>
      </c>
      <c r="E3635">
        <v>21.6</v>
      </c>
      <c r="F3635">
        <v>25.18</v>
      </c>
      <c r="G3635">
        <v>19.82</v>
      </c>
      <c r="H3635">
        <v>29.42</v>
      </c>
      <c r="I3635">
        <v>19.939</v>
      </c>
      <c r="J3635">
        <v>22.14</v>
      </c>
      <c r="K3635">
        <v>26.19</v>
      </c>
      <c r="L3635">
        <v>19.19</v>
      </c>
      <c r="M3635">
        <v>11.41</v>
      </c>
      <c r="N3635">
        <v>15.751</v>
      </c>
      <c r="O3635">
        <v>22.72</v>
      </c>
      <c r="P3635">
        <v>26.96</v>
      </c>
      <c r="Q3635">
        <v>19.5</v>
      </c>
      <c r="R3635">
        <v>14.54</v>
      </c>
    </row>
    <row r="3636">
      <c r="A3636" s="9">
        <v>42167</v>
      </c>
      <c r="B3636" s="2" t="inlineStr">
        <is>
          <t xml:space="preserve">2015-06</t>
        </is>
      </c>
      <c r="C3636" s="2" t="inlineStr">
        <is>
          <t xml:space="preserve">2014/15</t>
        </is>
      </c>
      <c r="D3636">
        <v>15.045</v>
      </c>
      <c r="E3636">
        <v>22.15</v>
      </c>
      <c r="F3636">
        <v>26.58</v>
      </c>
      <c r="G3636">
        <v>18.79</v>
      </c>
      <c r="H3636">
        <v>5.26</v>
      </c>
      <c r="I3636">
        <v>10.818</v>
      </c>
      <c r="J3636">
        <v>22.15</v>
      </c>
      <c r="K3636">
        <v>25.45</v>
      </c>
      <c r="L3636">
        <v>19.13</v>
      </c>
      <c r="M3636">
        <v>17.85</v>
      </c>
      <c r="N3636">
        <v>15.732</v>
      </c>
      <c r="O3636">
        <v>22.33</v>
      </c>
      <c r="P3636">
        <v>25.62</v>
      </c>
      <c r="Q3636">
        <v>19.78</v>
      </c>
      <c r="R3636">
        <v>8.96</v>
      </c>
    </row>
    <row r="3637">
      <c r="A3637" s="9">
        <v>42168</v>
      </c>
      <c r="B3637" s="2" t="inlineStr">
        <is>
          <t xml:space="preserve">2015-06</t>
        </is>
      </c>
      <c r="C3637" s="2" t="inlineStr">
        <is>
          <t xml:space="preserve">2014/15</t>
        </is>
      </c>
      <c r="D3637">
        <v>11.466</v>
      </c>
      <c r="E3637">
        <v>22.52</v>
      </c>
      <c r="F3637">
        <v>26.24</v>
      </c>
      <c r="G3637">
        <v>19.78</v>
      </c>
      <c r="H3637">
        <v>14.55</v>
      </c>
      <c r="I3637">
        <v>17.977</v>
      </c>
      <c r="J3637">
        <v>23.09</v>
      </c>
      <c r="K3637">
        <v>27.74</v>
      </c>
      <c r="L3637">
        <v>19.6</v>
      </c>
      <c r="M3637">
        <v>11.49</v>
      </c>
      <c r="N3637">
        <v>19.891</v>
      </c>
      <c r="O3637">
        <v>23.38</v>
      </c>
      <c r="P3637">
        <v>28.06</v>
      </c>
      <c r="Q3637">
        <v>19.37</v>
      </c>
      <c r="R3637">
        <v>11.87</v>
      </c>
    </row>
    <row r="3638">
      <c r="A3638" s="9">
        <v>42169</v>
      </c>
      <c r="B3638" s="2" t="inlineStr">
        <is>
          <t xml:space="preserve">2015-06</t>
        </is>
      </c>
      <c r="C3638" s="2" t="inlineStr">
        <is>
          <t xml:space="preserve">2014/15</t>
        </is>
      </c>
      <c r="D3638">
        <v>5.867</v>
      </c>
      <c r="E3638">
        <v>22.05</v>
      </c>
      <c r="F3638">
        <v>25.91</v>
      </c>
      <c r="G3638">
        <v>19.8</v>
      </c>
      <c r="H3638">
        <v>2.56</v>
      </c>
      <c r="I3638">
        <v>8.406</v>
      </c>
      <c r="J3638">
        <v>23.03</v>
      </c>
      <c r="K3638">
        <v>27.58</v>
      </c>
      <c r="L3638">
        <v>19.39</v>
      </c>
      <c r="M3638">
        <v>5.6</v>
      </c>
      <c r="N3638">
        <v>8.384</v>
      </c>
      <c r="O3638">
        <v>22.85</v>
      </c>
      <c r="P3638">
        <v>26.96</v>
      </c>
      <c r="Q3638">
        <v>20.31</v>
      </c>
      <c r="R3638">
        <v>5.75</v>
      </c>
    </row>
    <row r="3639">
      <c r="A3639" s="9">
        <v>42170</v>
      </c>
      <c r="B3639" s="2" t="inlineStr">
        <is>
          <t xml:space="preserve">2015-06</t>
        </is>
      </c>
      <c r="C3639" s="2" t="inlineStr">
        <is>
          <t xml:space="preserve">2014/15</t>
        </is>
      </c>
      <c r="D3639">
        <v>0.406</v>
      </c>
      <c r="E3639">
        <v>21.63</v>
      </c>
      <c r="F3639">
        <v>25.52</v>
      </c>
      <c r="G3639">
        <v>18.62</v>
      </c>
      <c r="H3639">
        <v>1.79</v>
      </c>
      <c r="I3639">
        <v>1.235</v>
      </c>
      <c r="J3639">
        <v>22.36</v>
      </c>
      <c r="K3639">
        <v>25.58</v>
      </c>
      <c r="L3639">
        <v>19.92</v>
      </c>
      <c r="M3639">
        <v>2.56</v>
      </c>
      <c r="N3639">
        <v>1.845</v>
      </c>
      <c r="O3639">
        <v>22.39</v>
      </c>
      <c r="P3639">
        <v>25.11</v>
      </c>
      <c r="Q3639">
        <v>20.61</v>
      </c>
      <c r="R3639">
        <v>1.96</v>
      </c>
    </row>
    <row r="3640">
      <c r="A3640" s="9">
        <v>42171</v>
      </c>
      <c r="B3640" s="2" t="inlineStr">
        <is>
          <t xml:space="preserve">2015-06</t>
        </is>
      </c>
      <c r="C3640" s="2" t="inlineStr">
        <is>
          <t xml:space="preserve">2014/15</t>
        </is>
      </c>
      <c r="D3640">
        <v>6.84</v>
      </c>
      <c r="E3640">
        <v>22.29</v>
      </c>
      <c r="F3640">
        <v>26.49</v>
      </c>
      <c r="G3640">
        <v>19.06</v>
      </c>
      <c r="H3640">
        <v>2.61</v>
      </c>
      <c r="I3640">
        <v>7.079</v>
      </c>
      <c r="J3640">
        <v>22.94</v>
      </c>
      <c r="K3640">
        <v>26.88</v>
      </c>
      <c r="L3640">
        <v>19.41</v>
      </c>
      <c r="M3640">
        <v>7.9</v>
      </c>
      <c r="N3640">
        <v>2.87</v>
      </c>
      <c r="O3640">
        <v>22.97</v>
      </c>
      <c r="P3640">
        <v>26.79</v>
      </c>
      <c r="Q3640">
        <v>20.41</v>
      </c>
      <c r="R3640">
        <v>5.48</v>
      </c>
    </row>
    <row r="3641">
      <c r="A3641" s="9">
        <v>42172</v>
      </c>
      <c r="B3641" s="2" t="inlineStr">
        <is>
          <t xml:space="preserve">2015-06</t>
        </is>
      </c>
      <c r="C3641" s="2" t="inlineStr">
        <is>
          <t xml:space="preserve">2014/15</t>
        </is>
      </c>
      <c r="D3641">
        <v>0.04</v>
      </c>
      <c r="E3641">
        <v>22.43</v>
      </c>
      <c r="F3641">
        <v>27.85</v>
      </c>
      <c r="G3641">
        <v>17.67</v>
      </c>
      <c r="H3641">
        <v>0.16</v>
      </c>
      <c r="I3641">
        <v>2.076</v>
      </c>
      <c r="J3641">
        <v>23.14</v>
      </c>
      <c r="K3641">
        <v>27.6</v>
      </c>
      <c r="L3641">
        <v>20.04</v>
      </c>
      <c r="M3641">
        <v>0.65</v>
      </c>
      <c r="N3641">
        <v>0.0</v>
      </c>
      <c r="O3641">
        <v>23.27</v>
      </c>
      <c r="P3641">
        <v>28.02</v>
      </c>
      <c r="Q3641">
        <v>20.4</v>
      </c>
      <c r="R3641">
        <v>0.03</v>
      </c>
    </row>
    <row r="3642">
      <c r="A3642" s="9">
        <v>42173</v>
      </c>
      <c r="B3642" s="2" t="inlineStr">
        <is>
          <t xml:space="preserve">2015-06</t>
        </is>
      </c>
      <c r="C3642" s="2" t="inlineStr">
        <is>
          <t xml:space="preserve">2014/15</t>
        </is>
      </c>
      <c r="D3642">
        <v>0.137</v>
      </c>
      <c r="E3642">
        <v>22.85</v>
      </c>
      <c r="F3642">
        <v>27.4</v>
      </c>
      <c r="G3642">
        <v>18.74</v>
      </c>
      <c r="H3642">
        <v>1.99</v>
      </c>
      <c r="I3642">
        <v>0.0</v>
      </c>
      <c r="J3642">
        <v>23.18</v>
      </c>
      <c r="K3642">
        <v>27.45</v>
      </c>
      <c r="L3642">
        <v>19.53</v>
      </c>
      <c r="M3642">
        <v>1.38</v>
      </c>
      <c r="N3642">
        <v>0.0</v>
      </c>
      <c r="O3642">
        <v>23.35</v>
      </c>
      <c r="P3642">
        <v>27.62</v>
      </c>
      <c r="Q3642">
        <v>20.33</v>
      </c>
      <c r="R3642">
        <v>3.16</v>
      </c>
    </row>
    <row r="3643">
      <c r="A3643" s="9">
        <v>42174</v>
      </c>
      <c r="B3643" s="2" t="inlineStr">
        <is>
          <t xml:space="preserve">2015-06</t>
        </is>
      </c>
      <c r="C3643" s="2" t="inlineStr">
        <is>
          <t xml:space="preserve">2014/15</t>
        </is>
      </c>
      <c r="D3643">
        <v>0.341</v>
      </c>
      <c r="E3643">
        <v>22.09</v>
      </c>
      <c r="F3643">
        <v>26.99</v>
      </c>
      <c r="G3643">
        <v>18.8</v>
      </c>
      <c r="H3643">
        <v>1.41</v>
      </c>
      <c r="I3643">
        <v>0.434</v>
      </c>
      <c r="J3643">
        <v>22.17</v>
      </c>
      <c r="K3643">
        <v>24.88</v>
      </c>
      <c r="L3643">
        <v>20.18</v>
      </c>
      <c r="M3643">
        <v>1.75</v>
      </c>
      <c r="N3643">
        <v>1.722</v>
      </c>
      <c r="O3643">
        <v>22.31</v>
      </c>
      <c r="P3643">
        <v>24.85</v>
      </c>
      <c r="Q3643">
        <v>20.96</v>
      </c>
      <c r="R3643">
        <v>4.74</v>
      </c>
    </row>
    <row r="3644">
      <c r="A3644" s="9">
        <v>42175</v>
      </c>
      <c r="B3644" s="2" t="inlineStr">
        <is>
          <t xml:space="preserve">2015-06</t>
        </is>
      </c>
      <c r="C3644" s="2" t="inlineStr">
        <is>
          <t xml:space="preserve">2014/15</t>
        </is>
      </c>
      <c r="D3644">
        <v>0.474</v>
      </c>
      <c r="E3644">
        <v>22.52</v>
      </c>
      <c r="F3644">
        <v>26.78</v>
      </c>
      <c r="G3644">
        <v>19.36</v>
      </c>
      <c r="H3644">
        <v>0.3</v>
      </c>
      <c r="I3644">
        <v>0.0</v>
      </c>
      <c r="J3644">
        <v>22.39</v>
      </c>
      <c r="K3644">
        <v>25.93</v>
      </c>
      <c r="L3644">
        <v>19.85</v>
      </c>
      <c r="M3644">
        <v>0.04</v>
      </c>
      <c r="N3644">
        <v>0.0</v>
      </c>
      <c r="O3644">
        <v>22.52</v>
      </c>
      <c r="P3644">
        <v>25.8</v>
      </c>
      <c r="Q3644">
        <v>20.4</v>
      </c>
      <c r="R3644">
        <v>0.53</v>
      </c>
    </row>
    <row r="3645">
      <c r="A3645" s="9">
        <v>42176</v>
      </c>
      <c r="B3645" s="2" t="inlineStr">
        <is>
          <t xml:space="preserve">2015-06</t>
        </is>
      </c>
      <c r="C3645" s="2" t="inlineStr">
        <is>
          <t xml:space="preserve">2014/15</t>
        </is>
      </c>
      <c r="D3645">
        <v>0.0</v>
      </c>
      <c r="E3645">
        <v>22.33</v>
      </c>
      <c r="F3645">
        <v>28.28</v>
      </c>
      <c r="G3645">
        <v>17.9</v>
      </c>
      <c r="H3645">
        <v>0.0</v>
      </c>
      <c r="I3645">
        <v>0.0</v>
      </c>
      <c r="J3645">
        <v>23.24</v>
      </c>
      <c r="K3645">
        <v>28.75</v>
      </c>
      <c r="L3645">
        <v>19.52</v>
      </c>
      <c r="M3645">
        <v>0.0</v>
      </c>
      <c r="N3645">
        <v>0.0</v>
      </c>
      <c r="O3645">
        <v>23.21</v>
      </c>
      <c r="P3645">
        <v>28.12</v>
      </c>
      <c r="Q3645">
        <v>20.01</v>
      </c>
      <c r="R3645">
        <v>0.0</v>
      </c>
    </row>
    <row r="3646">
      <c r="A3646" s="9">
        <v>42177</v>
      </c>
      <c r="B3646" s="2" t="inlineStr">
        <is>
          <t xml:space="preserve">2015-06</t>
        </is>
      </c>
      <c r="C3646" s="2" t="inlineStr">
        <is>
          <t xml:space="preserve">2014/15</t>
        </is>
      </c>
      <c r="D3646">
        <v>0.0</v>
      </c>
      <c r="E3646">
        <v>21.95</v>
      </c>
      <c r="F3646">
        <v>28.46</v>
      </c>
      <c r="G3646">
        <v>16.83</v>
      </c>
      <c r="H3646">
        <v>0.08</v>
      </c>
      <c r="I3646">
        <v>0.0</v>
      </c>
      <c r="J3646">
        <v>22.91</v>
      </c>
      <c r="K3646">
        <v>28.54</v>
      </c>
      <c r="L3646">
        <v>18.69</v>
      </c>
      <c r="M3646">
        <v>0.07</v>
      </c>
      <c r="N3646">
        <v>0.0</v>
      </c>
      <c r="O3646">
        <v>22.85</v>
      </c>
      <c r="P3646">
        <v>27.86</v>
      </c>
      <c r="Q3646">
        <v>19.17</v>
      </c>
      <c r="R3646">
        <v>0.32</v>
      </c>
    </row>
    <row r="3647">
      <c r="A3647" s="9">
        <v>42178</v>
      </c>
      <c r="B3647" s="2" t="inlineStr">
        <is>
          <t xml:space="preserve">2015-06</t>
        </is>
      </c>
      <c r="C3647" s="2" t="inlineStr">
        <is>
          <t xml:space="preserve">2014/15</t>
        </is>
      </c>
      <c r="D3647">
        <v>0.0</v>
      </c>
      <c r="E3647">
        <v>22.49</v>
      </c>
      <c r="F3647">
        <v>29.33</v>
      </c>
      <c r="G3647">
        <v>16.99</v>
      </c>
      <c r="H3647">
        <v>0.43</v>
      </c>
      <c r="I3647">
        <v>0.04</v>
      </c>
      <c r="J3647">
        <v>22.83</v>
      </c>
      <c r="K3647">
        <v>28.59</v>
      </c>
      <c r="L3647">
        <v>18.44</v>
      </c>
      <c r="M3647">
        <v>0.51</v>
      </c>
      <c r="N3647">
        <v>0.164</v>
      </c>
      <c r="O3647">
        <v>22.77</v>
      </c>
      <c r="P3647">
        <v>28.11</v>
      </c>
      <c r="Q3647">
        <v>19.05</v>
      </c>
      <c r="R3647">
        <v>1.5</v>
      </c>
    </row>
    <row r="3648">
      <c r="A3648" s="9">
        <v>42179</v>
      </c>
      <c r="B3648" s="2" t="inlineStr">
        <is>
          <t xml:space="preserve">2015-06</t>
        </is>
      </c>
      <c r="C3648" s="2" t="inlineStr">
        <is>
          <t xml:space="preserve">2014/15</t>
        </is>
      </c>
      <c r="D3648">
        <v>0.197</v>
      </c>
      <c r="E3648">
        <v>22.4</v>
      </c>
      <c r="F3648">
        <v>26.95</v>
      </c>
      <c r="G3648">
        <v>18.37</v>
      </c>
      <c r="H3648">
        <v>6.39</v>
      </c>
      <c r="I3648">
        <v>0.144</v>
      </c>
      <c r="J3648">
        <v>23.32</v>
      </c>
      <c r="K3648">
        <v>28.5</v>
      </c>
      <c r="L3648">
        <v>19.21</v>
      </c>
      <c r="M3648">
        <v>2.19</v>
      </c>
      <c r="N3648">
        <v>0.619</v>
      </c>
      <c r="O3648">
        <v>22.9</v>
      </c>
      <c r="P3648">
        <v>27.29</v>
      </c>
      <c r="Q3648">
        <v>19.59</v>
      </c>
      <c r="R3648">
        <v>7.1</v>
      </c>
    </row>
    <row r="3649">
      <c r="A3649" s="9">
        <v>42180</v>
      </c>
      <c r="B3649" s="2" t="inlineStr">
        <is>
          <t xml:space="preserve">2015-06</t>
        </is>
      </c>
      <c r="C3649" s="2" t="inlineStr">
        <is>
          <t xml:space="preserve">2014/15</t>
        </is>
      </c>
      <c r="D3649">
        <v>4.879</v>
      </c>
      <c r="E3649">
        <v>22.54</v>
      </c>
      <c r="F3649">
        <v>26.48</v>
      </c>
      <c r="G3649">
        <v>19.31</v>
      </c>
      <c r="H3649">
        <v>2.96</v>
      </c>
      <c r="I3649">
        <v>5.984</v>
      </c>
      <c r="J3649">
        <v>22.84</v>
      </c>
      <c r="K3649">
        <v>26.82</v>
      </c>
      <c r="L3649">
        <v>20.46</v>
      </c>
      <c r="M3649">
        <v>5.03</v>
      </c>
      <c r="N3649">
        <v>7.359</v>
      </c>
      <c r="O3649">
        <v>22.82</v>
      </c>
      <c r="P3649">
        <v>26.4</v>
      </c>
      <c r="Q3649">
        <v>20.81</v>
      </c>
      <c r="R3649">
        <v>5.09</v>
      </c>
    </row>
    <row r="3650">
      <c r="A3650" s="9">
        <v>42181</v>
      </c>
      <c r="B3650" s="2" t="inlineStr">
        <is>
          <t xml:space="preserve">2015-06</t>
        </is>
      </c>
      <c r="C3650" s="2" t="inlineStr">
        <is>
          <t xml:space="preserve">2014/15</t>
        </is>
      </c>
      <c r="D3650">
        <v>0.397</v>
      </c>
      <c r="E3650">
        <v>23.21</v>
      </c>
      <c r="F3650">
        <v>29.32</v>
      </c>
      <c r="G3650">
        <v>19.02</v>
      </c>
      <c r="H3650">
        <v>1.08</v>
      </c>
      <c r="I3650">
        <v>0.233</v>
      </c>
      <c r="J3650">
        <v>23.43</v>
      </c>
      <c r="K3650">
        <v>28.23</v>
      </c>
      <c r="L3650">
        <v>20.04</v>
      </c>
      <c r="M3650">
        <v>1.04</v>
      </c>
      <c r="N3650">
        <v>0.903</v>
      </c>
      <c r="O3650">
        <v>23.21</v>
      </c>
      <c r="P3650">
        <v>27.48</v>
      </c>
      <c r="Q3650">
        <v>20.82</v>
      </c>
      <c r="R3650">
        <v>2.67</v>
      </c>
    </row>
    <row r="3651">
      <c r="A3651" s="9">
        <v>42182</v>
      </c>
      <c r="B3651" s="2" t="inlineStr">
        <is>
          <t xml:space="preserve">2015-06</t>
        </is>
      </c>
      <c r="C3651" s="2" t="inlineStr">
        <is>
          <t xml:space="preserve">2014/15</t>
        </is>
      </c>
      <c r="D3651">
        <v>0.0</v>
      </c>
      <c r="E3651">
        <v>22.68</v>
      </c>
      <c r="F3651">
        <v>29.24</v>
      </c>
      <c r="G3651">
        <v>17.39</v>
      </c>
      <c r="H3651">
        <v>0.0</v>
      </c>
      <c r="I3651">
        <v>0.0</v>
      </c>
      <c r="J3651">
        <v>23.72</v>
      </c>
      <c r="K3651">
        <v>29.65</v>
      </c>
      <c r="L3651">
        <v>19.25</v>
      </c>
      <c r="M3651">
        <v>0.0</v>
      </c>
      <c r="N3651">
        <v>0.0</v>
      </c>
      <c r="O3651">
        <v>23.34</v>
      </c>
      <c r="P3651">
        <v>28.68</v>
      </c>
      <c r="Q3651">
        <v>19.39</v>
      </c>
      <c r="R3651">
        <v>0.0</v>
      </c>
    </row>
    <row r="3652">
      <c r="A3652" s="9">
        <v>42183</v>
      </c>
      <c r="B3652" s="2" t="inlineStr">
        <is>
          <t xml:space="preserve">2015-06</t>
        </is>
      </c>
      <c r="C3652" s="2" t="inlineStr">
        <is>
          <t xml:space="preserve">2014/15</t>
        </is>
      </c>
      <c r="D3652">
        <v>0.0</v>
      </c>
      <c r="E3652">
        <v>23.15</v>
      </c>
      <c r="F3652">
        <v>28.68</v>
      </c>
      <c r="G3652">
        <v>18.05</v>
      </c>
      <c r="H3652">
        <v>0.18</v>
      </c>
      <c r="I3652">
        <v>0.0</v>
      </c>
      <c r="J3652">
        <v>23.87</v>
      </c>
      <c r="K3652">
        <v>29.59</v>
      </c>
      <c r="L3652">
        <v>18.99</v>
      </c>
      <c r="M3652">
        <v>0.01</v>
      </c>
      <c r="N3652">
        <v>0.0</v>
      </c>
      <c r="O3652">
        <v>23.73</v>
      </c>
      <c r="P3652">
        <v>29.12</v>
      </c>
      <c r="Q3652">
        <v>19.51</v>
      </c>
      <c r="R3652">
        <v>0.15</v>
      </c>
    </row>
    <row r="3653">
      <c r="A3653" s="9">
        <v>42184</v>
      </c>
      <c r="B3653" s="2" t="inlineStr">
        <is>
          <t xml:space="preserve">2015-06</t>
        </is>
      </c>
      <c r="C3653" s="2" t="inlineStr">
        <is>
          <t xml:space="preserve">2014/15</t>
        </is>
      </c>
      <c r="D3653">
        <v>0.0</v>
      </c>
      <c r="E3653">
        <v>22.98</v>
      </c>
      <c r="F3653">
        <v>26.75</v>
      </c>
      <c r="G3653">
        <v>19.52</v>
      </c>
      <c r="H3653">
        <v>0.47</v>
      </c>
      <c r="I3653">
        <v>0.0</v>
      </c>
      <c r="J3653">
        <v>23.43</v>
      </c>
      <c r="K3653">
        <v>26.87</v>
      </c>
      <c r="L3653">
        <v>20.94</v>
      </c>
      <c r="M3653">
        <v>0.19</v>
      </c>
      <c r="N3653">
        <v>0.0</v>
      </c>
      <c r="O3653">
        <v>23.19</v>
      </c>
      <c r="P3653">
        <v>26.4</v>
      </c>
      <c r="Q3653">
        <v>21.18</v>
      </c>
      <c r="R3653">
        <v>0.91</v>
      </c>
    </row>
    <row r="3654">
      <c r="A3654" s="9">
        <v>42185</v>
      </c>
      <c r="B3654" s="2" t="inlineStr">
        <is>
          <t xml:space="preserve">2015-06</t>
        </is>
      </c>
      <c r="C3654" s="2" t="inlineStr">
        <is>
          <t xml:space="preserve">2014/15</t>
        </is>
      </c>
      <c r="D3654">
        <v>0.328</v>
      </c>
      <c r="E3654">
        <v>23.28</v>
      </c>
      <c r="F3654">
        <v>29.26</v>
      </c>
      <c r="G3654">
        <v>19.0</v>
      </c>
      <c r="H3654">
        <v>0.62</v>
      </c>
      <c r="I3654">
        <v>0.045</v>
      </c>
      <c r="J3654">
        <v>24.3</v>
      </c>
      <c r="K3654">
        <v>30.15</v>
      </c>
      <c r="L3654">
        <v>20.17</v>
      </c>
      <c r="M3654">
        <v>0.19</v>
      </c>
      <c r="N3654">
        <v>0.249</v>
      </c>
      <c r="O3654">
        <v>23.8</v>
      </c>
      <c r="P3654">
        <v>29.43</v>
      </c>
      <c r="Q3654">
        <v>20.77</v>
      </c>
      <c r="R3654">
        <v>0.99</v>
      </c>
    </row>
    <row r="3655">
      <c r="A3655" s="9">
        <v>42186</v>
      </c>
      <c r="B3655" s="2" t="inlineStr">
        <is>
          <t xml:space="preserve">2015-07</t>
        </is>
      </c>
      <c r="C3655" s="2" t="inlineStr">
        <is>
          <t xml:space="preserve">2015/16</t>
        </is>
      </c>
      <c r="D3655">
        <v>0.0</v>
      </c>
      <c r="E3655">
        <v>22.28</v>
      </c>
      <c r="F3655">
        <v>29.19</v>
      </c>
      <c r="G3655">
        <v>15.7</v>
      </c>
      <c r="H3655">
        <v>0.02</v>
      </c>
      <c r="I3655">
        <v>0.0</v>
      </c>
      <c r="J3655">
        <v>23.69</v>
      </c>
      <c r="K3655">
        <v>30.03</v>
      </c>
      <c r="L3655">
        <v>18.75</v>
      </c>
      <c r="M3655">
        <v>0.0</v>
      </c>
      <c r="N3655">
        <v>0.0</v>
      </c>
      <c r="O3655">
        <v>23.14</v>
      </c>
      <c r="P3655">
        <v>28.87</v>
      </c>
      <c r="Q3655">
        <v>18.63</v>
      </c>
      <c r="R3655">
        <v>0.0</v>
      </c>
    </row>
    <row r="3656">
      <c r="A3656" s="9">
        <v>42187</v>
      </c>
      <c r="B3656" s="2" t="inlineStr">
        <is>
          <t xml:space="preserve">2015-07</t>
        </is>
      </c>
      <c r="C3656" s="2" t="inlineStr">
        <is>
          <t xml:space="preserve">2015/16</t>
        </is>
      </c>
      <c r="D3656">
        <v>0.0</v>
      </c>
      <c r="E3656">
        <v>23.32</v>
      </c>
      <c r="F3656">
        <v>29.23</v>
      </c>
      <c r="G3656">
        <v>18.04</v>
      </c>
      <c r="H3656">
        <v>0.1</v>
      </c>
      <c r="I3656">
        <v>0.0</v>
      </c>
      <c r="J3656">
        <v>24.1</v>
      </c>
      <c r="K3656">
        <v>30.01</v>
      </c>
      <c r="L3656">
        <v>18.75</v>
      </c>
      <c r="M3656">
        <v>0.0</v>
      </c>
      <c r="N3656">
        <v>0.0</v>
      </c>
      <c r="O3656">
        <v>23.76</v>
      </c>
      <c r="P3656">
        <v>29.56</v>
      </c>
      <c r="Q3656">
        <v>19.27</v>
      </c>
      <c r="R3656">
        <v>0.01</v>
      </c>
    </row>
    <row r="3657">
      <c r="A3657" s="9">
        <v>42188</v>
      </c>
      <c r="B3657" s="2" t="inlineStr">
        <is>
          <t xml:space="preserve">2015-07</t>
        </is>
      </c>
      <c r="C3657" s="2" t="inlineStr">
        <is>
          <t xml:space="preserve">2015/16</t>
        </is>
      </c>
      <c r="D3657">
        <v>0.0</v>
      </c>
      <c r="E3657">
        <v>23.82</v>
      </c>
      <c r="F3657">
        <v>30.01</v>
      </c>
      <c r="G3657">
        <v>18.87</v>
      </c>
      <c r="H3657">
        <v>0.0</v>
      </c>
      <c r="I3657">
        <v>0.0</v>
      </c>
      <c r="J3657">
        <v>24.1</v>
      </c>
      <c r="K3657">
        <v>28.8</v>
      </c>
      <c r="L3657">
        <v>20.43</v>
      </c>
      <c r="M3657">
        <v>0.01</v>
      </c>
      <c r="N3657">
        <v>0.0</v>
      </c>
      <c r="O3657">
        <v>23.83</v>
      </c>
      <c r="P3657">
        <v>28.18</v>
      </c>
      <c r="Q3657">
        <v>21.24</v>
      </c>
      <c r="R3657">
        <v>0.03</v>
      </c>
    </row>
    <row r="3658">
      <c r="A3658" s="9">
        <v>42189</v>
      </c>
      <c r="B3658" s="2" t="inlineStr">
        <is>
          <t xml:space="preserve">2015-07</t>
        </is>
      </c>
      <c r="C3658" s="2" t="inlineStr">
        <is>
          <t xml:space="preserve">2015/16</t>
        </is>
      </c>
      <c r="D3658">
        <v>0.0</v>
      </c>
      <c r="E3658">
        <v>22.59</v>
      </c>
      <c r="F3658">
        <v>27.79</v>
      </c>
      <c r="G3658">
        <v>17.75</v>
      </c>
      <c r="H3658">
        <v>0.31</v>
      </c>
      <c r="I3658">
        <v>0.0</v>
      </c>
      <c r="J3658">
        <v>23.71</v>
      </c>
      <c r="K3658">
        <v>28.82</v>
      </c>
      <c r="L3658">
        <v>19.96</v>
      </c>
      <c r="M3658">
        <v>0.2</v>
      </c>
      <c r="N3658">
        <v>0.0</v>
      </c>
      <c r="O3658">
        <v>23.4</v>
      </c>
      <c r="P3658">
        <v>28.6</v>
      </c>
      <c r="Q3658">
        <v>20.26</v>
      </c>
      <c r="R3658">
        <v>0.86</v>
      </c>
    </row>
    <row r="3659">
      <c r="A3659" s="9">
        <v>42190</v>
      </c>
      <c r="B3659" s="2" t="inlineStr">
        <is>
          <t xml:space="preserve">2015-07</t>
        </is>
      </c>
      <c r="C3659" s="2" t="inlineStr">
        <is>
          <t xml:space="preserve">2015/16</t>
        </is>
      </c>
      <c r="D3659">
        <v>0.073</v>
      </c>
      <c r="E3659">
        <v>23.29</v>
      </c>
      <c r="F3659">
        <v>28.54</v>
      </c>
      <c r="G3659">
        <v>18.92</v>
      </c>
      <c r="H3659">
        <v>0.56</v>
      </c>
      <c r="I3659">
        <v>0.076</v>
      </c>
      <c r="J3659">
        <v>24.25</v>
      </c>
      <c r="K3659">
        <v>29.77</v>
      </c>
      <c r="L3659">
        <v>19.87</v>
      </c>
      <c r="M3659">
        <v>0.39</v>
      </c>
      <c r="N3659">
        <v>0.393</v>
      </c>
      <c r="O3659">
        <v>23.74</v>
      </c>
      <c r="P3659">
        <v>28.68</v>
      </c>
      <c r="Q3659">
        <v>20.31</v>
      </c>
      <c r="R3659">
        <v>1.59</v>
      </c>
    </row>
    <row r="3660">
      <c r="A3660" s="9">
        <v>42191</v>
      </c>
      <c r="B3660" s="2" t="inlineStr">
        <is>
          <t xml:space="preserve">2015-07</t>
        </is>
      </c>
      <c r="C3660" s="2" t="inlineStr">
        <is>
          <t xml:space="preserve">2015/16</t>
        </is>
      </c>
      <c r="D3660">
        <v>0.0</v>
      </c>
      <c r="E3660">
        <v>23.52</v>
      </c>
      <c r="F3660">
        <v>29.82</v>
      </c>
      <c r="G3660">
        <v>18.97</v>
      </c>
      <c r="H3660">
        <v>0.09</v>
      </c>
      <c r="I3660">
        <v>0.0</v>
      </c>
      <c r="J3660">
        <v>24.28</v>
      </c>
      <c r="K3660">
        <v>29.46</v>
      </c>
      <c r="L3660">
        <v>20.58</v>
      </c>
      <c r="M3660">
        <v>0.0</v>
      </c>
      <c r="N3660">
        <v>0.0</v>
      </c>
      <c r="O3660">
        <v>23.82</v>
      </c>
      <c r="P3660">
        <v>28.54</v>
      </c>
      <c r="Q3660">
        <v>21.05</v>
      </c>
      <c r="R3660">
        <v>0.0</v>
      </c>
    </row>
    <row r="3661">
      <c r="A3661" s="9">
        <v>42192</v>
      </c>
      <c r="B3661" s="2" t="inlineStr">
        <is>
          <t xml:space="preserve">2015-07</t>
        </is>
      </c>
      <c r="C3661" s="2" t="inlineStr">
        <is>
          <t xml:space="preserve">2015/16</t>
        </is>
      </c>
      <c r="D3661">
        <v>0.0</v>
      </c>
      <c r="E3661">
        <v>22.23</v>
      </c>
      <c r="F3661">
        <v>28.44</v>
      </c>
      <c r="G3661">
        <v>16.78</v>
      </c>
      <c r="H3661">
        <v>0.27</v>
      </c>
      <c r="I3661">
        <v>0.0</v>
      </c>
      <c r="J3661">
        <v>23.41</v>
      </c>
      <c r="K3661">
        <v>28.3</v>
      </c>
      <c r="L3661">
        <v>19.78</v>
      </c>
      <c r="M3661">
        <v>0.37</v>
      </c>
      <c r="N3661">
        <v>0.0</v>
      </c>
      <c r="O3661">
        <v>23.03</v>
      </c>
      <c r="P3661">
        <v>27.77</v>
      </c>
      <c r="Q3661">
        <v>19.53</v>
      </c>
      <c r="R3661">
        <v>1.19</v>
      </c>
    </row>
    <row r="3662">
      <c r="A3662" s="9">
        <v>42193</v>
      </c>
      <c r="B3662" s="2" t="inlineStr">
        <is>
          <t xml:space="preserve">2015-07</t>
        </is>
      </c>
      <c r="C3662" s="2" t="inlineStr">
        <is>
          <t xml:space="preserve">2015/16</t>
        </is>
      </c>
      <c r="D3662">
        <v>0.328</v>
      </c>
      <c r="E3662">
        <v>22.27</v>
      </c>
      <c r="F3662">
        <v>28.57</v>
      </c>
      <c r="G3662">
        <v>16.66</v>
      </c>
      <c r="H3662">
        <v>2.3</v>
      </c>
      <c r="I3662">
        <v>0.234</v>
      </c>
      <c r="J3662">
        <v>22.8</v>
      </c>
      <c r="K3662">
        <v>28.01</v>
      </c>
      <c r="L3662">
        <v>19.32</v>
      </c>
      <c r="M3662">
        <v>2.58</v>
      </c>
      <c r="N3662">
        <v>0.902</v>
      </c>
      <c r="O3662">
        <v>22.67</v>
      </c>
      <c r="P3662">
        <v>27.49</v>
      </c>
      <c r="Q3662">
        <v>19.58</v>
      </c>
      <c r="R3662">
        <v>3.51</v>
      </c>
    </row>
    <row r="3663">
      <c r="A3663" s="9">
        <v>42194</v>
      </c>
      <c r="B3663" s="2" t="inlineStr">
        <is>
          <t xml:space="preserve">2015-07</t>
        </is>
      </c>
      <c r="C3663" s="2" t="inlineStr">
        <is>
          <t xml:space="preserve">2015/16</t>
        </is>
      </c>
      <c r="D3663">
        <v>3.787</v>
      </c>
      <c r="E3663">
        <v>22.13</v>
      </c>
      <c r="F3663">
        <v>27.01</v>
      </c>
      <c r="G3663">
        <v>18.81</v>
      </c>
      <c r="H3663">
        <v>2.89</v>
      </c>
      <c r="I3663">
        <v>2.711</v>
      </c>
      <c r="J3663">
        <v>22.2</v>
      </c>
      <c r="K3663">
        <v>25.76</v>
      </c>
      <c r="L3663">
        <v>20.02</v>
      </c>
      <c r="M3663">
        <v>2.55</v>
      </c>
      <c r="N3663">
        <v>2.812</v>
      </c>
      <c r="O3663">
        <v>22.46</v>
      </c>
      <c r="P3663">
        <v>26.59</v>
      </c>
      <c r="Q3663">
        <v>20.34</v>
      </c>
      <c r="R3663">
        <v>3.02</v>
      </c>
    </row>
    <row r="3664">
      <c r="A3664" s="9">
        <v>42195</v>
      </c>
      <c r="B3664" s="2" t="inlineStr">
        <is>
          <t xml:space="preserve">2015-07</t>
        </is>
      </c>
      <c r="C3664" s="2" t="inlineStr">
        <is>
          <t xml:space="preserve">2015/16</t>
        </is>
      </c>
      <c r="D3664">
        <v>1.273</v>
      </c>
      <c r="E3664">
        <v>22.29</v>
      </c>
      <c r="F3664">
        <v>27.82</v>
      </c>
      <c r="G3664">
        <v>18.21</v>
      </c>
      <c r="H3664">
        <v>2.91</v>
      </c>
      <c r="I3664">
        <v>2.744</v>
      </c>
      <c r="J3664">
        <v>23.22</v>
      </c>
      <c r="K3664">
        <v>28.69</v>
      </c>
      <c r="L3664">
        <v>19.55</v>
      </c>
      <c r="M3664">
        <v>4.14</v>
      </c>
      <c r="N3664">
        <v>3.85</v>
      </c>
      <c r="O3664">
        <v>23.29</v>
      </c>
      <c r="P3664">
        <v>28.88</v>
      </c>
      <c r="Q3664">
        <v>19.97</v>
      </c>
      <c r="R3664">
        <v>3.86</v>
      </c>
    </row>
    <row r="3665">
      <c r="A3665" s="9">
        <v>42196</v>
      </c>
      <c r="B3665" s="2" t="inlineStr">
        <is>
          <t xml:space="preserve">2015-07</t>
        </is>
      </c>
      <c r="C3665" s="2" t="inlineStr">
        <is>
          <t xml:space="preserve">2015/16</t>
        </is>
      </c>
      <c r="D3665">
        <v>0.407</v>
      </c>
      <c r="E3665">
        <v>22.91</v>
      </c>
      <c r="F3665">
        <v>29.68</v>
      </c>
      <c r="G3665">
        <v>18.0</v>
      </c>
      <c r="H3665">
        <v>1.28</v>
      </c>
      <c r="I3665">
        <v>2.722</v>
      </c>
      <c r="J3665">
        <v>23.37</v>
      </c>
      <c r="K3665">
        <v>28.14</v>
      </c>
      <c r="L3665">
        <v>19.99</v>
      </c>
      <c r="M3665">
        <v>1.42</v>
      </c>
      <c r="N3665">
        <v>0.694</v>
      </c>
      <c r="O3665">
        <v>23.61</v>
      </c>
      <c r="P3665">
        <v>29.16</v>
      </c>
      <c r="Q3665">
        <v>20.47</v>
      </c>
      <c r="R3665">
        <v>1.65</v>
      </c>
    </row>
    <row r="3666">
      <c r="A3666" s="9">
        <v>42197</v>
      </c>
      <c r="B3666" s="2" t="inlineStr">
        <is>
          <t xml:space="preserve">2015-07</t>
        </is>
      </c>
      <c r="C3666" s="2" t="inlineStr">
        <is>
          <t xml:space="preserve">2015/16</t>
        </is>
      </c>
      <c r="D3666">
        <v>0.0</v>
      </c>
      <c r="E3666">
        <v>23.14</v>
      </c>
      <c r="F3666">
        <v>30.36</v>
      </c>
      <c r="G3666">
        <v>17.93</v>
      </c>
      <c r="H3666">
        <v>0.17</v>
      </c>
      <c r="I3666">
        <v>0.0</v>
      </c>
      <c r="J3666">
        <v>23.95</v>
      </c>
      <c r="K3666">
        <v>30.19</v>
      </c>
      <c r="L3666">
        <v>18.85</v>
      </c>
      <c r="M3666">
        <v>0.03</v>
      </c>
      <c r="N3666">
        <v>0.0</v>
      </c>
      <c r="O3666">
        <v>23.58</v>
      </c>
      <c r="P3666">
        <v>29.06</v>
      </c>
      <c r="Q3666">
        <v>19.96</v>
      </c>
      <c r="R3666">
        <v>0.07</v>
      </c>
    </row>
    <row r="3667">
      <c r="A3667" s="9">
        <v>42198</v>
      </c>
      <c r="B3667" s="2" t="inlineStr">
        <is>
          <t xml:space="preserve">2015-07</t>
        </is>
      </c>
      <c r="C3667" s="2" t="inlineStr">
        <is>
          <t xml:space="preserve">2015/16</t>
        </is>
      </c>
      <c r="D3667">
        <v>0.164</v>
      </c>
      <c r="E3667">
        <v>23.69</v>
      </c>
      <c r="F3667">
        <v>30.58</v>
      </c>
      <c r="G3667">
        <v>18.3</v>
      </c>
      <c r="H3667">
        <v>0.37</v>
      </c>
      <c r="I3667">
        <v>0.0</v>
      </c>
      <c r="J3667">
        <v>23.59</v>
      </c>
      <c r="K3667">
        <v>30.36</v>
      </c>
      <c r="L3667">
        <v>18.05</v>
      </c>
      <c r="M3667">
        <v>0.44</v>
      </c>
      <c r="N3667">
        <v>0.0</v>
      </c>
      <c r="O3667">
        <v>23.27</v>
      </c>
      <c r="P3667">
        <v>29.45</v>
      </c>
      <c r="Q3667">
        <v>18.8</v>
      </c>
      <c r="R3667">
        <v>0.44</v>
      </c>
    </row>
    <row r="3668">
      <c r="A3668" s="9">
        <v>42199</v>
      </c>
      <c r="B3668" s="2" t="inlineStr">
        <is>
          <t xml:space="preserve">2015-07</t>
        </is>
      </c>
      <c r="C3668" s="2" t="inlineStr">
        <is>
          <t xml:space="preserve">2015/16</t>
        </is>
      </c>
      <c r="D3668">
        <v>3.504</v>
      </c>
      <c r="E3668">
        <v>23.29</v>
      </c>
      <c r="F3668">
        <v>28.86</v>
      </c>
      <c r="G3668">
        <v>18.36</v>
      </c>
      <c r="H3668">
        <v>2.55</v>
      </c>
      <c r="I3668">
        <v>1.433</v>
      </c>
      <c r="J3668">
        <v>23.38</v>
      </c>
      <c r="K3668">
        <v>29.57</v>
      </c>
      <c r="L3668">
        <v>19.5</v>
      </c>
      <c r="M3668">
        <v>0.81</v>
      </c>
      <c r="N3668">
        <v>0.677</v>
      </c>
      <c r="O3668">
        <v>23.79</v>
      </c>
      <c r="P3668">
        <v>30.53</v>
      </c>
      <c r="Q3668">
        <v>19.35</v>
      </c>
      <c r="R3668">
        <v>1.07</v>
      </c>
    </row>
    <row r="3669">
      <c r="A3669" s="9">
        <v>42200</v>
      </c>
      <c r="B3669" s="2" t="inlineStr">
        <is>
          <t xml:space="preserve">2015-07</t>
        </is>
      </c>
      <c r="C3669" s="2" t="inlineStr">
        <is>
          <t xml:space="preserve">2015/16</t>
        </is>
      </c>
      <c r="D3669">
        <v>0.073</v>
      </c>
      <c r="E3669">
        <v>23.63</v>
      </c>
      <c r="F3669">
        <v>28.87</v>
      </c>
      <c r="G3669">
        <v>19.13</v>
      </c>
      <c r="H3669">
        <v>0.21</v>
      </c>
      <c r="I3669">
        <v>0.0</v>
      </c>
      <c r="J3669">
        <v>23.48</v>
      </c>
      <c r="K3669">
        <v>27.49</v>
      </c>
      <c r="L3669">
        <v>20.36</v>
      </c>
      <c r="M3669">
        <v>0.66</v>
      </c>
      <c r="N3669">
        <v>0.0</v>
      </c>
      <c r="O3669">
        <v>23.27</v>
      </c>
      <c r="P3669">
        <v>27.26</v>
      </c>
      <c r="Q3669">
        <v>20.73</v>
      </c>
      <c r="R3669">
        <v>0.48</v>
      </c>
    </row>
    <row r="3670">
      <c r="A3670" s="9">
        <v>42201</v>
      </c>
      <c r="B3670" s="2" t="inlineStr">
        <is>
          <t xml:space="preserve">2015-07</t>
        </is>
      </c>
      <c r="C3670" s="2" t="inlineStr">
        <is>
          <t xml:space="preserve">2015/16</t>
        </is>
      </c>
      <c r="D3670">
        <v>0.387</v>
      </c>
      <c r="E3670">
        <v>23.68</v>
      </c>
      <c r="F3670">
        <v>29.48</v>
      </c>
      <c r="G3670">
        <v>18.84</v>
      </c>
      <c r="H3670">
        <v>1.09</v>
      </c>
      <c r="I3670">
        <v>1.285</v>
      </c>
      <c r="J3670">
        <v>23.58</v>
      </c>
      <c r="K3670">
        <v>28.29</v>
      </c>
      <c r="L3670">
        <v>20.24</v>
      </c>
      <c r="M3670">
        <v>5.9</v>
      </c>
      <c r="N3670">
        <v>1.748</v>
      </c>
      <c r="O3670">
        <v>23.35</v>
      </c>
      <c r="P3670">
        <v>28.57</v>
      </c>
      <c r="Q3670">
        <v>20.44</v>
      </c>
      <c r="R3670">
        <v>4.11</v>
      </c>
    </row>
    <row r="3671">
      <c r="A3671" s="9">
        <v>42202</v>
      </c>
      <c r="B3671" s="2" t="inlineStr">
        <is>
          <t xml:space="preserve">2015-07</t>
        </is>
      </c>
      <c r="C3671" s="2" t="inlineStr">
        <is>
          <t xml:space="preserve">2015/16</t>
        </is>
      </c>
      <c r="D3671">
        <v>0.196</v>
      </c>
      <c r="E3671">
        <v>24.48</v>
      </c>
      <c r="F3671">
        <v>31.87</v>
      </c>
      <c r="G3671">
        <v>19.16</v>
      </c>
      <c r="H3671">
        <v>0.61</v>
      </c>
      <c r="I3671">
        <v>13.829</v>
      </c>
      <c r="J3671">
        <v>23.45</v>
      </c>
      <c r="K3671">
        <v>27.65</v>
      </c>
      <c r="L3671">
        <v>20.58</v>
      </c>
      <c r="M3671">
        <v>9.69</v>
      </c>
      <c r="N3671">
        <v>13.81</v>
      </c>
      <c r="O3671">
        <v>24.11</v>
      </c>
      <c r="P3671">
        <v>30.36</v>
      </c>
      <c r="Q3671">
        <v>20.8</v>
      </c>
      <c r="R3671">
        <v>5.12</v>
      </c>
    </row>
    <row r="3672">
      <c r="A3672" s="9">
        <v>42203</v>
      </c>
      <c r="B3672" s="2" t="inlineStr">
        <is>
          <t xml:space="preserve">2015-07</t>
        </is>
      </c>
      <c r="C3672" s="2" t="inlineStr">
        <is>
          <t xml:space="preserve">2015/16</t>
        </is>
      </c>
      <c r="D3672">
        <v>0.747</v>
      </c>
      <c r="E3672">
        <v>23.97</v>
      </c>
      <c r="F3672">
        <v>30.46</v>
      </c>
      <c r="G3672">
        <v>19.18</v>
      </c>
      <c r="H3672">
        <v>6.13</v>
      </c>
      <c r="I3672">
        <v>1.53</v>
      </c>
      <c r="J3672">
        <v>23.82</v>
      </c>
      <c r="K3672">
        <v>29.17</v>
      </c>
      <c r="L3672">
        <v>19.24</v>
      </c>
      <c r="M3672">
        <v>5.44</v>
      </c>
      <c r="N3672">
        <v>1.884</v>
      </c>
      <c r="O3672">
        <v>23.88</v>
      </c>
      <c r="P3672">
        <v>28.92</v>
      </c>
      <c r="Q3672">
        <v>20.69</v>
      </c>
      <c r="R3672">
        <v>7.45</v>
      </c>
    </row>
    <row r="3673">
      <c r="A3673" s="9">
        <v>42204</v>
      </c>
      <c r="B3673" s="2" t="inlineStr">
        <is>
          <t xml:space="preserve">2015-07</t>
        </is>
      </c>
      <c r="C3673" s="2" t="inlineStr">
        <is>
          <t xml:space="preserve">2015/16</t>
        </is>
      </c>
      <c r="D3673">
        <v>6.722</v>
      </c>
      <c r="E3673">
        <v>23.38</v>
      </c>
      <c r="F3673">
        <v>30.5</v>
      </c>
      <c r="G3673">
        <v>19.05</v>
      </c>
      <c r="H3673">
        <v>7.15</v>
      </c>
      <c r="I3673">
        <v>11.141</v>
      </c>
      <c r="J3673">
        <v>23.43</v>
      </c>
      <c r="K3673">
        <v>28.04</v>
      </c>
      <c r="L3673">
        <v>20.26</v>
      </c>
      <c r="M3673">
        <v>15.11</v>
      </c>
      <c r="N3673">
        <v>8.188</v>
      </c>
      <c r="O3673">
        <v>23.67</v>
      </c>
      <c r="P3673">
        <v>29.04</v>
      </c>
      <c r="Q3673">
        <v>20.55</v>
      </c>
      <c r="R3673">
        <v>6.52</v>
      </c>
    </row>
    <row r="3674">
      <c r="A3674" s="9">
        <v>42205</v>
      </c>
      <c r="B3674" s="2" t="inlineStr">
        <is>
          <t xml:space="preserve">2015-07</t>
        </is>
      </c>
      <c r="C3674" s="2" t="inlineStr">
        <is>
          <t xml:space="preserve">2015/16</t>
        </is>
      </c>
      <c r="D3674">
        <v>1.826</v>
      </c>
      <c r="E3674">
        <v>23.29</v>
      </c>
      <c r="F3674">
        <v>29.82</v>
      </c>
      <c r="G3674">
        <v>17.65</v>
      </c>
      <c r="H3674">
        <v>2.36</v>
      </c>
      <c r="I3674">
        <v>10.352</v>
      </c>
      <c r="J3674">
        <v>24.13</v>
      </c>
      <c r="K3674">
        <v>29.96</v>
      </c>
      <c r="L3674">
        <v>19.02</v>
      </c>
      <c r="M3674">
        <v>2.42</v>
      </c>
      <c r="N3674">
        <v>3.709</v>
      </c>
      <c r="O3674">
        <v>24.02</v>
      </c>
      <c r="P3674">
        <v>29.79</v>
      </c>
      <c r="Q3674">
        <v>19.53</v>
      </c>
      <c r="R3674">
        <v>0.27</v>
      </c>
    </row>
    <row r="3675">
      <c r="A3675" s="9">
        <v>42206</v>
      </c>
      <c r="B3675" s="2" t="inlineStr">
        <is>
          <t xml:space="preserve">2015-07</t>
        </is>
      </c>
      <c r="C3675" s="2" t="inlineStr">
        <is>
          <t xml:space="preserve">2015/16</t>
        </is>
      </c>
      <c r="D3675">
        <v>0.0</v>
      </c>
      <c r="E3675">
        <v>23.97</v>
      </c>
      <c r="F3675">
        <v>30.61</v>
      </c>
      <c r="G3675">
        <v>18.51</v>
      </c>
      <c r="H3675">
        <v>0.4</v>
      </c>
      <c r="I3675">
        <v>0.425</v>
      </c>
      <c r="J3675">
        <v>23.71</v>
      </c>
      <c r="K3675">
        <v>28.81</v>
      </c>
      <c r="L3675">
        <v>19.12</v>
      </c>
      <c r="M3675">
        <v>0.39</v>
      </c>
      <c r="N3675">
        <v>0.0</v>
      </c>
      <c r="O3675">
        <v>24.01</v>
      </c>
      <c r="P3675">
        <v>29.8</v>
      </c>
      <c r="Q3675">
        <v>20.12</v>
      </c>
      <c r="R3675">
        <v>0.05</v>
      </c>
    </row>
    <row r="3676">
      <c r="A3676" s="9">
        <v>42207</v>
      </c>
      <c r="B3676" s="2" t="inlineStr">
        <is>
          <t xml:space="preserve">2015-07</t>
        </is>
      </c>
      <c r="C3676" s="2" t="inlineStr">
        <is>
          <t xml:space="preserve">2015/16</t>
        </is>
      </c>
      <c r="D3676">
        <v>0.254</v>
      </c>
      <c r="E3676">
        <v>24.61</v>
      </c>
      <c r="F3676">
        <v>31.88</v>
      </c>
      <c r="G3676">
        <v>18.41</v>
      </c>
      <c r="H3676">
        <v>0.66</v>
      </c>
      <c r="I3676">
        <v>0.67</v>
      </c>
      <c r="J3676">
        <v>23.95</v>
      </c>
      <c r="K3676">
        <v>28.66</v>
      </c>
      <c r="L3676">
        <v>20.41</v>
      </c>
      <c r="M3676">
        <v>0.92</v>
      </c>
      <c r="N3676">
        <v>0.0</v>
      </c>
      <c r="O3676">
        <v>24.4</v>
      </c>
      <c r="P3676">
        <v>30.35</v>
      </c>
      <c r="Q3676">
        <v>20.33</v>
      </c>
      <c r="R3676">
        <v>0.39</v>
      </c>
    </row>
    <row r="3677">
      <c r="A3677" s="9">
        <v>42208</v>
      </c>
      <c r="B3677" s="2" t="inlineStr">
        <is>
          <t xml:space="preserve">2015-07</t>
        </is>
      </c>
      <c r="C3677" s="2" t="inlineStr">
        <is>
          <t xml:space="preserve">2015/16</t>
        </is>
      </c>
      <c r="D3677">
        <v>0.883</v>
      </c>
      <c r="E3677">
        <v>24.14</v>
      </c>
      <c r="F3677">
        <v>29.79</v>
      </c>
      <c r="G3677">
        <v>19.64</v>
      </c>
      <c r="H3677">
        <v>1.14</v>
      </c>
      <c r="I3677">
        <v>1.059</v>
      </c>
      <c r="J3677">
        <v>23.86</v>
      </c>
      <c r="K3677">
        <v>28.46</v>
      </c>
      <c r="L3677">
        <v>20.58</v>
      </c>
      <c r="M3677">
        <v>2.39</v>
      </c>
      <c r="N3677">
        <v>0.14</v>
      </c>
      <c r="O3677">
        <v>24.42</v>
      </c>
      <c r="P3677">
        <v>30.04</v>
      </c>
      <c r="Q3677">
        <v>20.75</v>
      </c>
      <c r="R3677">
        <v>1.35</v>
      </c>
    </row>
    <row r="3678">
      <c r="A3678" s="9">
        <v>42209</v>
      </c>
      <c r="B3678" s="2" t="inlineStr">
        <is>
          <t xml:space="preserve">2015-07</t>
        </is>
      </c>
      <c r="C3678" s="2" t="inlineStr">
        <is>
          <t xml:space="preserve">2015/16</t>
        </is>
      </c>
      <c r="D3678">
        <v>1.567</v>
      </c>
      <c r="E3678">
        <v>22.97</v>
      </c>
      <c r="F3678">
        <v>27.65</v>
      </c>
      <c r="G3678">
        <v>19.33</v>
      </c>
      <c r="H3678">
        <v>1.61</v>
      </c>
      <c r="I3678">
        <v>3.008</v>
      </c>
      <c r="J3678">
        <v>24.1</v>
      </c>
      <c r="K3678">
        <v>29.55</v>
      </c>
      <c r="L3678">
        <v>20.37</v>
      </c>
      <c r="M3678">
        <v>2.34</v>
      </c>
      <c r="N3678">
        <v>3.534</v>
      </c>
      <c r="O3678">
        <v>23.97</v>
      </c>
      <c r="P3678">
        <v>28.8</v>
      </c>
      <c r="Q3678">
        <v>21.01</v>
      </c>
      <c r="R3678">
        <v>1.38</v>
      </c>
    </row>
    <row r="3679">
      <c r="A3679" s="9">
        <v>42210</v>
      </c>
      <c r="B3679" s="2" t="inlineStr">
        <is>
          <t xml:space="preserve">2015-07</t>
        </is>
      </c>
      <c r="C3679" s="2" t="inlineStr">
        <is>
          <t xml:space="preserve">2015/16</t>
        </is>
      </c>
      <c r="D3679">
        <v>0.092</v>
      </c>
      <c r="E3679">
        <v>23.64</v>
      </c>
      <c r="F3679">
        <v>30.31</v>
      </c>
      <c r="G3679">
        <v>19.18</v>
      </c>
      <c r="H3679">
        <v>0.29</v>
      </c>
      <c r="I3679">
        <v>1.088</v>
      </c>
      <c r="J3679">
        <v>24.52</v>
      </c>
      <c r="K3679">
        <v>30.61</v>
      </c>
      <c r="L3679">
        <v>20.59</v>
      </c>
      <c r="M3679">
        <v>0.72</v>
      </c>
      <c r="N3679">
        <v>0.208</v>
      </c>
      <c r="O3679">
        <v>24.21</v>
      </c>
      <c r="P3679">
        <v>29.77</v>
      </c>
      <c r="Q3679">
        <v>20.95</v>
      </c>
      <c r="R3679">
        <v>0.79</v>
      </c>
    </row>
    <row r="3680">
      <c r="A3680" s="9">
        <v>42211</v>
      </c>
      <c r="B3680" s="2" t="inlineStr">
        <is>
          <t xml:space="preserve">2015-07</t>
        </is>
      </c>
      <c r="C3680" s="2" t="inlineStr">
        <is>
          <t xml:space="preserve">2015/16</t>
        </is>
      </c>
      <c r="D3680">
        <v>0.0</v>
      </c>
      <c r="E3680">
        <v>24.07</v>
      </c>
      <c r="F3680">
        <v>31.77</v>
      </c>
      <c r="G3680">
        <v>17.19</v>
      </c>
      <c r="H3680">
        <v>0.02</v>
      </c>
      <c r="I3680">
        <v>0.029</v>
      </c>
      <c r="J3680">
        <v>24.82</v>
      </c>
      <c r="K3680">
        <v>31.78</v>
      </c>
      <c r="L3680">
        <v>19.38</v>
      </c>
      <c r="M3680">
        <v>0.08</v>
      </c>
      <c r="N3680">
        <v>0.108</v>
      </c>
      <c r="O3680">
        <v>24.59</v>
      </c>
      <c r="P3680">
        <v>31.44</v>
      </c>
      <c r="Q3680">
        <v>20.2</v>
      </c>
      <c r="R3680">
        <v>0.15</v>
      </c>
    </row>
    <row r="3681">
      <c r="A3681" s="9">
        <v>42212</v>
      </c>
      <c r="B3681" s="2" t="inlineStr">
        <is>
          <t xml:space="preserve">2015-07</t>
        </is>
      </c>
      <c r="C3681" s="2" t="inlineStr">
        <is>
          <t xml:space="preserve">2015/16</t>
        </is>
      </c>
      <c r="D3681">
        <v>0.0</v>
      </c>
      <c r="E3681">
        <v>24.01</v>
      </c>
      <c r="F3681">
        <v>31.73</v>
      </c>
      <c r="G3681">
        <v>17.23</v>
      </c>
      <c r="H3681">
        <v>0.01</v>
      </c>
      <c r="I3681">
        <v>0.0</v>
      </c>
      <c r="J3681">
        <v>24.72</v>
      </c>
      <c r="K3681">
        <v>30.07</v>
      </c>
      <c r="L3681">
        <v>20.07</v>
      </c>
      <c r="M3681">
        <v>0.0</v>
      </c>
      <c r="N3681">
        <v>0.0</v>
      </c>
      <c r="O3681">
        <v>24.57</v>
      </c>
      <c r="P3681">
        <v>30.74</v>
      </c>
      <c r="Q3681">
        <v>20.45</v>
      </c>
      <c r="R3681">
        <v>0.01</v>
      </c>
    </row>
    <row r="3682">
      <c r="A3682" s="9">
        <v>42213</v>
      </c>
      <c r="B3682" s="2" t="inlineStr">
        <is>
          <t xml:space="preserve">2015-07</t>
        </is>
      </c>
      <c r="C3682" s="2" t="inlineStr">
        <is>
          <t xml:space="preserve">2015/16</t>
        </is>
      </c>
      <c r="D3682">
        <v>0.0</v>
      </c>
      <c r="E3682">
        <v>24.54</v>
      </c>
      <c r="F3682">
        <v>31.82</v>
      </c>
      <c r="G3682">
        <v>18.78</v>
      </c>
      <c r="H3682">
        <v>0.02</v>
      </c>
      <c r="I3682">
        <v>0.0</v>
      </c>
      <c r="J3682">
        <v>24.48</v>
      </c>
      <c r="K3682">
        <v>30.58</v>
      </c>
      <c r="L3682">
        <v>19.23</v>
      </c>
      <c r="M3682">
        <v>0.13</v>
      </c>
      <c r="N3682">
        <v>0.0</v>
      </c>
      <c r="O3682">
        <v>24.42</v>
      </c>
      <c r="P3682">
        <v>30.33</v>
      </c>
      <c r="Q3682">
        <v>20.12</v>
      </c>
      <c r="R3682">
        <v>0.1</v>
      </c>
    </row>
    <row r="3683">
      <c r="A3683" s="9">
        <v>42214</v>
      </c>
      <c r="B3683" s="2" t="inlineStr">
        <is>
          <t xml:space="preserve">2015-07</t>
        </is>
      </c>
      <c r="C3683" s="2" t="inlineStr">
        <is>
          <t xml:space="preserve">2015/16</t>
        </is>
      </c>
      <c r="D3683">
        <v>0.0</v>
      </c>
      <c r="E3683">
        <v>24.08</v>
      </c>
      <c r="F3683">
        <v>31.69</v>
      </c>
      <c r="G3683">
        <v>17.88</v>
      </c>
      <c r="H3683">
        <v>0.63</v>
      </c>
      <c r="I3683">
        <v>0.304</v>
      </c>
      <c r="J3683">
        <v>24.6</v>
      </c>
      <c r="K3683">
        <v>31.5</v>
      </c>
      <c r="L3683">
        <v>19.74</v>
      </c>
      <c r="M3683">
        <v>0.56</v>
      </c>
      <c r="N3683">
        <v>0.431</v>
      </c>
      <c r="O3683">
        <v>24.27</v>
      </c>
      <c r="P3683">
        <v>30.8</v>
      </c>
      <c r="Q3683">
        <v>20.08</v>
      </c>
      <c r="R3683">
        <v>1.47</v>
      </c>
    </row>
    <row r="3684">
      <c r="A3684" s="9">
        <v>42215</v>
      </c>
      <c r="B3684" s="2" t="inlineStr">
        <is>
          <t xml:space="preserve">2015-07</t>
        </is>
      </c>
      <c r="C3684" s="2" t="inlineStr">
        <is>
          <t xml:space="preserve">2015/16</t>
        </is>
      </c>
      <c r="D3684">
        <v>0.329</v>
      </c>
      <c r="E3684">
        <v>23.28</v>
      </c>
      <c r="F3684">
        <v>29.44</v>
      </c>
      <c r="G3684">
        <v>18.69</v>
      </c>
      <c r="H3684">
        <v>1.51</v>
      </c>
      <c r="I3684">
        <v>0.269</v>
      </c>
      <c r="J3684">
        <v>23.42</v>
      </c>
      <c r="K3684">
        <v>29.09</v>
      </c>
      <c r="L3684">
        <v>19.92</v>
      </c>
      <c r="M3684">
        <v>4.86</v>
      </c>
      <c r="N3684">
        <v>0.959</v>
      </c>
      <c r="O3684">
        <v>23.36</v>
      </c>
      <c r="P3684">
        <v>28.52</v>
      </c>
      <c r="Q3684">
        <v>20.69</v>
      </c>
      <c r="R3684">
        <v>4.76</v>
      </c>
    </row>
    <row r="3685">
      <c r="A3685" s="9">
        <v>42216</v>
      </c>
      <c r="B3685" s="2" t="inlineStr">
        <is>
          <t xml:space="preserve">2015-07</t>
        </is>
      </c>
      <c r="C3685" s="2" t="inlineStr">
        <is>
          <t xml:space="preserve">2015/16</t>
        </is>
      </c>
      <c r="D3685">
        <v>0.043</v>
      </c>
      <c r="E3685">
        <v>23.69</v>
      </c>
      <c r="F3685">
        <v>31.27</v>
      </c>
      <c r="G3685">
        <v>17.19</v>
      </c>
      <c r="H3685">
        <v>0.33</v>
      </c>
      <c r="I3685">
        <v>3.253</v>
      </c>
      <c r="J3685">
        <v>24.44</v>
      </c>
      <c r="K3685">
        <v>31.59</v>
      </c>
      <c r="L3685">
        <v>19.67</v>
      </c>
      <c r="M3685">
        <v>1.44</v>
      </c>
      <c r="N3685">
        <v>0.478</v>
      </c>
      <c r="O3685">
        <v>23.87</v>
      </c>
      <c r="P3685">
        <v>30.0</v>
      </c>
      <c r="Q3685">
        <v>19.96</v>
      </c>
      <c r="R3685">
        <v>2.09</v>
      </c>
    </row>
    <row r="3686">
      <c r="A3686" s="9">
        <v>42217</v>
      </c>
      <c r="B3686" s="2" t="inlineStr">
        <is>
          <t xml:space="preserve">2015-08</t>
        </is>
      </c>
      <c r="C3686" s="2" t="inlineStr">
        <is>
          <t xml:space="preserve">2015/16</t>
        </is>
      </c>
      <c r="D3686">
        <v>0.092</v>
      </c>
      <c r="E3686">
        <v>23.21</v>
      </c>
      <c r="F3686">
        <v>28.92</v>
      </c>
      <c r="G3686">
        <v>18.8</v>
      </c>
      <c r="H3686">
        <v>0.52</v>
      </c>
      <c r="I3686">
        <v>0.311</v>
      </c>
      <c r="J3686">
        <v>23.52</v>
      </c>
      <c r="K3686">
        <v>27.61</v>
      </c>
      <c r="L3686">
        <v>20.76</v>
      </c>
      <c r="M3686">
        <v>1.4</v>
      </c>
      <c r="N3686">
        <v>1.15</v>
      </c>
      <c r="O3686">
        <v>23.44</v>
      </c>
      <c r="P3686">
        <v>28.77</v>
      </c>
      <c r="Q3686">
        <v>20.42</v>
      </c>
      <c r="R3686">
        <v>3.01</v>
      </c>
    </row>
    <row r="3687">
      <c r="A3687" s="9">
        <v>42218</v>
      </c>
      <c r="B3687" s="2" t="inlineStr">
        <is>
          <t xml:space="preserve">2015-08</t>
        </is>
      </c>
      <c r="C3687" s="2" t="inlineStr">
        <is>
          <t xml:space="preserve">2015/16</t>
        </is>
      </c>
      <c r="D3687">
        <v>0.0</v>
      </c>
      <c r="E3687">
        <v>24.53</v>
      </c>
      <c r="F3687">
        <v>31.36</v>
      </c>
      <c r="G3687">
        <v>19.12</v>
      </c>
      <c r="H3687">
        <v>1.48</v>
      </c>
      <c r="I3687">
        <v>0.0</v>
      </c>
      <c r="J3687">
        <v>24.29</v>
      </c>
      <c r="K3687">
        <v>30.26</v>
      </c>
      <c r="L3687">
        <v>19.79</v>
      </c>
      <c r="M3687">
        <v>7.29</v>
      </c>
      <c r="N3687">
        <v>0.0</v>
      </c>
      <c r="O3687">
        <v>24.24</v>
      </c>
      <c r="P3687">
        <v>30.38</v>
      </c>
      <c r="Q3687">
        <v>20.34</v>
      </c>
      <c r="R3687">
        <v>5.6</v>
      </c>
    </row>
    <row r="3688">
      <c r="A3688" s="9">
        <v>42219</v>
      </c>
      <c r="B3688" s="2" t="inlineStr">
        <is>
          <t xml:space="preserve">2015-08</t>
        </is>
      </c>
      <c r="C3688" s="2" t="inlineStr">
        <is>
          <t xml:space="preserve">2015/16</t>
        </is>
      </c>
      <c r="D3688">
        <v>0.545</v>
      </c>
      <c r="E3688">
        <v>24.14</v>
      </c>
      <c r="F3688">
        <v>31.69</v>
      </c>
      <c r="G3688">
        <v>18.88</v>
      </c>
      <c r="H3688">
        <v>0.85</v>
      </c>
      <c r="I3688">
        <v>14.486</v>
      </c>
      <c r="J3688">
        <v>23.61</v>
      </c>
      <c r="K3688">
        <v>28.41</v>
      </c>
      <c r="L3688">
        <v>20.2</v>
      </c>
      <c r="M3688">
        <v>6.27</v>
      </c>
      <c r="N3688">
        <v>22.163</v>
      </c>
      <c r="O3688">
        <v>23.44</v>
      </c>
      <c r="P3688">
        <v>27.36</v>
      </c>
      <c r="Q3688">
        <v>21.16</v>
      </c>
      <c r="R3688">
        <v>4.77</v>
      </c>
    </row>
    <row r="3689">
      <c r="A3689" s="9">
        <v>42220</v>
      </c>
      <c r="B3689" s="2" t="inlineStr">
        <is>
          <t xml:space="preserve">2015-08</t>
        </is>
      </c>
      <c r="C3689" s="2" t="inlineStr">
        <is>
          <t xml:space="preserve">2015/16</t>
        </is>
      </c>
      <c r="D3689">
        <v>0.0</v>
      </c>
      <c r="E3689">
        <v>23.81</v>
      </c>
      <c r="F3689">
        <v>31.67</v>
      </c>
      <c r="G3689">
        <v>16.92</v>
      </c>
      <c r="H3689">
        <v>0.11</v>
      </c>
      <c r="I3689">
        <v>0.0</v>
      </c>
      <c r="J3689">
        <v>24.69</v>
      </c>
      <c r="K3689">
        <v>31.5</v>
      </c>
      <c r="L3689">
        <v>19.47</v>
      </c>
      <c r="M3689">
        <v>0.31</v>
      </c>
      <c r="N3689">
        <v>0.0</v>
      </c>
      <c r="O3689">
        <v>24.09</v>
      </c>
      <c r="P3689">
        <v>30.19</v>
      </c>
      <c r="Q3689">
        <v>19.81</v>
      </c>
      <c r="R3689">
        <v>0.87</v>
      </c>
    </row>
    <row r="3690">
      <c r="A3690" s="9">
        <v>42221</v>
      </c>
      <c r="B3690" s="2" t="inlineStr">
        <is>
          <t xml:space="preserve">2015-08</t>
        </is>
      </c>
      <c r="C3690" s="2" t="inlineStr">
        <is>
          <t xml:space="preserve">2015/16</t>
        </is>
      </c>
      <c r="D3690">
        <v>0.0</v>
      </c>
      <c r="E3690">
        <v>24.2</v>
      </c>
      <c r="F3690">
        <v>31.57</v>
      </c>
      <c r="G3690">
        <v>18.2</v>
      </c>
      <c r="H3690">
        <v>0.58</v>
      </c>
      <c r="I3690">
        <v>0.137</v>
      </c>
      <c r="J3690">
        <v>24.29</v>
      </c>
      <c r="K3690">
        <v>30.74</v>
      </c>
      <c r="L3690">
        <v>20.66</v>
      </c>
      <c r="M3690">
        <v>2.61</v>
      </c>
      <c r="N3690">
        <v>0.521</v>
      </c>
      <c r="O3690">
        <v>24.02</v>
      </c>
      <c r="P3690">
        <v>29.74</v>
      </c>
      <c r="Q3690">
        <v>20.91</v>
      </c>
      <c r="R3690">
        <v>3.08</v>
      </c>
    </row>
    <row r="3691">
      <c r="A3691" s="9">
        <v>42222</v>
      </c>
      <c r="B3691" s="2" t="inlineStr">
        <is>
          <t xml:space="preserve">2015-08</t>
        </is>
      </c>
      <c r="C3691" s="2" t="inlineStr">
        <is>
          <t xml:space="preserve">2015/16</t>
        </is>
      </c>
      <c r="D3691">
        <v>0.075</v>
      </c>
      <c r="E3691">
        <v>24.33</v>
      </c>
      <c r="F3691">
        <v>30.91</v>
      </c>
      <c r="G3691">
        <v>18.35</v>
      </c>
      <c r="H3691">
        <v>0.23</v>
      </c>
      <c r="I3691">
        <v>3.597</v>
      </c>
      <c r="J3691">
        <v>24.2</v>
      </c>
      <c r="K3691">
        <v>29.98</v>
      </c>
      <c r="L3691">
        <v>20.46</v>
      </c>
      <c r="M3691">
        <v>1.93</v>
      </c>
      <c r="N3691">
        <v>5.404</v>
      </c>
      <c r="O3691">
        <v>23.96</v>
      </c>
      <c r="P3691">
        <v>29.65</v>
      </c>
      <c r="Q3691">
        <v>20.94</v>
      </c>
      <c r="R3691">
        <v>1.84</v>
      </c>
    </row>
    <row r="3692">
      <c r="A3692" s="9">
        <v>42223</v>
      </c>
      <c r="B3692" s="2" t="inlineStr">
        <is>
          <t xml:space="preserve">2015-08</t>
        </is>
      </c>
      <c r="C3692" s="2" t="inlineStr">
        <is>
          <t xml:space="preserve">2015/16</t>
        </is>
      </c>
      <c r="D3692">
        <v>0.0</v>
      </c>
      <c r="E3692">
        <v>25.69</v>
      </c>
      <c r="F3692">
        <v>33.7</v>
      </c>
      <c r="G3692">
        <v>19.85</v>
      </c>
      <c r="H3692">
        <v>0.37</v>
      </c>
      <c r="I3692">
        <v>0.4</v>
      </c>
      <c r="J3692">
        <v>24.46</v>
      </c>
      <c r="K3692">
        <v>30.7</v>
      </c>
      <c r="L3692">
        <v>19.49</v>
      </c>
      <c r="M3692">
        <v>0.43</v>
      </c>
      <c r="N3692">
        <v>0.633</v>
      </c>
      <c r="O3692">
        <v>24.1</v>
      </c>
      <c r="P3692">
        <v>30.35</v>
      </c>
      <c r="Q3692">
        <v>20.03</v>
      </c>
      <c r="R3692">
        <v>0.93</v>
      </c>
    </row>
    <row r="3693">
      <c r="A3693" s="9">
        <v>42224</v>
      </c>
      <c r="B3693" s="2" t="inlineStr">
        <is>
          <t xml:space="preserve">2015-08</t>
        </is>
      </c>
      <c r="C3693" s="2" t="inlineStr">
        <is>
          <t xml:space="preserve">2015/16</t>
        </is>
      </c>
      <c r="D3693">
        <v>0.639</v>
      </c>
      <c r="E3693">
        <v>25.4</v>
      </c>
      <c r="F3693">
        <v>33.28</v>
      </c>
      <c r="G3693">
        <v>19.41</v>
      </c>
      <c r="H3693">
        <v>0.96</v>
      </c>
      <c r="I3693">
        <v>0.0</v>
      </c>
      <c r="J3693">
        <v>25.27</v>
      </c>
      <c r="K3693">
        <v>31.53</v>
      </c>
      <c r="L3693">
        <v>20.09</v>
      </c>
      <c r="M3693">
        <v>0.1</v>
      </c>
      <c r="N3693">
        <v>0.0</v>
      </c>
      <c r="O3693">
        <v>24.66</v>
      </c>
      <c r="P3693">
        <v>31.06</v>
      </c>
      <c r="Q3693">
        <v>20.23</v>
      </c>
      <c r="R3693">
        <v>0.71</v>
      </c>
    </row>
    <row r="3694">
      <c r="A3694" s="9">
        <v>42225</v>
      </c>
      <c r="B3694" s="2" t="inlineStr">
        <is>
          <t xml:space="preserve">2015-08</t>
        </is>
      </c>
      <c r="C3694" s="2" t="inlineStr">
        <is>
          <t xml:space="preserve">2015/16</t>
        </is>
      </c>
      <c r="D3694">
        <v>0.13</v>
      </c>
      <c r="E3694">
        <v>25.61</v>
      </c>
      <c r="F3694">
        <v>32.96</v>
      </c>
      <c r="G3694">
        <v>19.43</v>
      </c>
      <c r="H3694">
        <v>0.06</v>
      </c>
      <c r="I3694">
        <v>0.075</v>
      </c>
      <c r="J3694">
        <v>25.03</v>
      </c>
      <c r="K3694">
        <v>30.87</v>
      </c>
      <c r="L3694">
        <v>20.48</v>
      </c>
      <c r="M3694">
        <v>0.05</v>
      </c>
      <c r="N3694">
        <v>0.083</v>
      </c>
      <c r="O3694">
        <v>24.83</v>
      </c>
      <c r="P3694">
        <v>31.52</v>
      </c>
      <c r="Q3694">
        <v>20.35</v>
      </c>
      <c r="R3694">
        <v>0.05</v>
      </c>
    </row>
    <row r="3695">
      <c r="A3695" s="9">
        <v>42226</v>
      </c>
      <c r="B3695" s="2" t="inlineStr">
        <is>
          <t xml:space="preserve">2015-08</t>
        </is>
      </c>
      <c r="C3695" s="2" t="inlineStr">
        <is>
          <t xml:space="preserve">2015/16</t>
        </is>
      </c>
      <c r="D3695">
        <v>0.0</v>
      </c>
      <c r="E3695">
        <v>25.26</v>
      </c>
      <c r="F3695">
        <v>32.29</v>
      </c>
      <c r="G3695">
        <v>19.8</v>
      </c>
      <c r="H3695">
        <v>1.32</v>
      </c>
      <c r="I3695">
        <v>0.0</v>
      </c>
      <c r="J3695">
        <v>24.83</v>
      </c>
      <c r="K3695">
        <v>30.82</v>
      </c>
      <c r="L3695">
        <v>20.06</v>
      </c>
      <c r="M3695">
        <v>0.33</v>
      </c>
      <c r="N3695">
        <v>0.0</v>
      </c>
      <c r="O3695">
        <v>24.6</v>
      </c>
      <c r="P3695">
        <v>30.59</v>
      </c>
      <c r="Q3695">
        <v>20.48</v>
      </c>
      <c r="R3695">
        <v>0.78</v>
      </c>
    </row>
    <row r="3696">
      <c r="A3696" s="9">
        <v>42227</v>
      </c>
      <c r="B3696" s="2" t="inlineStr">
        <is>
          <t xml:space="preserve">2015-08</t>
        </is>
      </c>
      <c r="C3696" s="2" t="inlineStr">
        <is>
          <t xml:space="preserve">2015/16</t>
        </is>
      </c>
      <c r="D3696">
        <v>1.307</v>
      </c>
      <c r="E3696">
        <v>22.14</v>
      </c>
      <c r="F3696">
        <v>27.37</v>
      </c>
      <c r="G3696">
        <v>18.09</v>
      </c>
      <c r="H3696">
        <v>0.89</v>
      </c>
      <c r="I3696">
        <v>4.273</v>
      </c>
      <c r="J3696">
        <v>23.13</v>
      </c>
      <c r="K3696">
        <v>27.12</v>
      </c>
      <c r="L3696">
        <v>20.5</v>
      </c>
      <c r="M3696">
        <v>4.19</v>
      </c>
      <c r="N3696">
        <v>6.302</v>
      </c>
      <c r="O3696">
        <v>23.22</v>
      </c>
      <c r="P3696">
        <v>27.92</v>
      </c>
      <c r="Q3696">
        <v>20.55</v>
      </c>
      <c r="R3696">
        <v>2.56</v>
      </c>
    </row>
    <row r="3697">
      <c r="A3697" s="9">
        <v>42228</v>
      </c>
      <c r="B3697" s="2" t="inlineStr">
        <is>
          <t xml:space="preserve">2015-08</t>
        </is>
      </c>
      <c r="C3697" s="2" t="inlineStr">
        <is>
          <t xml:space="preserve">2015/16</t>
        </is>
      </c>
      <c r="D3697">
        <v>0.0</v>
      </c>
      <c r="E3697">
        <v>23.17</v>
      </c>
      <c r="F3697">
        <v>30.61</v>
      </c>
      <c r="G3697">
        <v>16.35</v>
      </c>
      <c r="H3697">
        <v>0.02</v>
      </c>
      <c r="I3697">
        <v>0.938</v>
      </c>
      <c r="J3697">
        <v>23.87</v>
      </c>
      <c r="K3697">
        <v>30.31</v>
      </c>
      <c r="L3697">
        <v>19.83</v>
      </c>
      <c r="M3697">
        <v>0.39</v>
      </c>
      <c r="N3697">
        <v>0.0</v>
      </c>
      <c r="O3697">
        <v>24.0</v>
      </c>
      <c r="P3697">
        <v>30.54</v>
      </c>
      <c r="Q3697">
        <v>19.33</v>
      </c>
      <c r="R3697">
        <v>0.2</v>
      </c>
    </row>
    <row r="3698">
      <c r="A3698" s="9">
        <v>42229</v>
      </c>
      <c r="B3698" s="2" t="inlineStr">
        <is>
          <t xml:space="preserve">2015-08</t>
        </is>
      </c>
      <c r="C3698" s="2" t="inlineStr">
        <is>
          <t xml:space="preserve">2015/16</t>
        </is>
      </c>
      <c r="D3698">
        <v>0.0</v>
      </c>
      <c r="E3698">
        <v>23.39</v>
      </c>
      <c r="F3698">
        <v>30.26</v>
      </c>
      <c r="G3698">
        <v>18.12</v>
      </c>
      <c r="H3698">
        <v>3.46</v>
      </c>
      <c r="I3698">
        <v>0.029</v>
      </c>
      <c r="J3698">
        <v>24.24</v>
      </c>
      <c r="K3698">
        <v>30.69</v>
      </c>
      <c r="L3698">
        <v>19.46</v>
      </c>
      <c r="M3698">
        <v>2.15</v>
      </c>
      <c r="N3698">
        <v>0.113</v>
      </c>
      <c r="O3698">
        <v>23.83</v>
      </c>
      <c r="P3698">
        <v>28.85</v>
      </c>
      <c r="Q3698">
        <v>20.71</v>
      </c>
      <c r="R3698">
        <v>2.8</v>
      </c>
    </row>
    <row r="3699">
      <c r="A3699" s="9">
        <v>42230</v>
      </c>
      <c r="B3699" s="2" t="inlineStr">
        <is>
          <t xml:space="preserve">2015-08</t>
        </is>
      </c>
      <c r="C3699" s="2" t="inlineStr">
        <is>
          <t xml:space="preserve">2015/16</t>
        </is>
      </c>
      <c r="D3699">
        <v>10.466</v>
      </c>
      <c r="E3699">
        <v>24.32</v>
      </c>
      <c r="F3699">
        <v>32.38</v>
      </c>
      <c r="G3699">
        <v>18.7</v>
      </c>
      <c r="H3699">
        <v>6.14</v>
      </c>
      <c r="I3699">
        <v>4.768</v>
      </c>
      <c r="J3699">
        <v>23.95</v>
      </c>
      <c r="K3699">
        <v>30.65</v>
      </c>
      <c r="L3699">
        <v>19.4</v>
      </c>
      <c r="M3699">
        <v>5.92</v>
      </c>
      <c r="N3699">
        <v>2.294</v>
      </c>
      <c r="O3699">
        <v>23.64</v>
      </c>
      <c r="P3699">
        <v>29.79</v>
      </c>
      <c r="Q3699">
        <v>20.28</v>
      </c>
      <c r="R3699">
        <v>5.32</v>
      </c>
    </row>
    <row r="3700">
      <c r="A3700" s="9">
        <v>42231</v>
      </c>
      <c r="B3700" s="2" t="inlineStr">
        <is>
          <t xml:space="preserve">2015-08</t>
        </is>
      </c>
      <c r="C3700" s="2" t="inlineStr">
        <is>
          <t xml:space="preserve">2015/16</t>
        </is>
      </c>
      <c r="D3700">
        <v>1.416</v>
      </c>
      <c r="E3700">
        <v>22.84</v>
      </c>
      <c r="F3700">
        <v>29.26</v>
      </c>
      <c r="G3700">
        <v>18.51</v>
      </c>
      <c r="H3700">
        <v>2.45</v>
      </c>
      <c r="I3700">
        <v>14.826</v>
      </c>
      <c r="J3700">
        <v>23.05</v>
      </c>
      <c r="K3700">
        <v>28.23</v>
      </c>
      <c r="L3700">
        <v>19.53</v>
      </c>
      <c r="M3700">
        <v>12.04</v>
      </c>
      <c r="N3700">
        <v>8.797</v>
      </c>
      <c r="O3700">
        <v>23.94</v>
      </c>
      <c r="P3700">
        <v>30.65</v>
      </c>
      <c r="Q3700">
        <v>20.21</v>
      </c>
      <c r="R3700">
        <v>5.92</v>
      </c>
    </row>
    <row r="3701">
      <c r="A3701" s="9">
        <v>42232</v>
      </c>
      <c r="B3701" s="2" t="inlineStr">
        <is>
          <t xml:space="preserve">2015-08</t>
        </is>
      </c>
      <c r="C3701" s="2" t="inlineStr">
        <is>
          <t xml:space="preserve">2015/16</t>
        </is>
      </c>
      <c r="D3701">
        <v>2.111</v>
      </c>
      <c r="E3701">
        <v>24.15</v>
      </c>
      <c r="F3701">
        <v>32.08</v>
      </c>
      <c r="G3701">
        <v>17.94</v>
      </c>
      <c r="H3701">
        <v>2.39</v>
      </c>
      <c r="I3701">
        <v>5.329</v>
      </c>
      <c r="J3701">
        <v>23.52</v>
      </c>
      <c r="K3701">
        <v>28.38</v>
      </c>
      <c r="L3701">
        <v>19.88</v>
      </c>
      <c r="M3701">
        <v>8.42</v>
      </c>
      <c r="N3701">
        <v>6.183</v>
      </c>
      <c r="O3701">
        <v>23.61</v>
      </c>
      <c r="P3701">
        <v>29.4</v>
      </c>
      <c r="Q3701">
        <v>19.94</v>
      </c>
      <c r="R3701">
        <v>5.7</v>
      </c>
    </row>
    <row r="3702">
      <c r="A3702" s="9">
        <v>42233</v>
      </c>
      <c r="B3702" s="2" t="inlineStr">
        <is>
          <t xml:space="preserve">2015-08</t>
        </is>
      </c>
      <c r="C3702" s="2" t="inlineStr">
        <is>
          <t xml:space="preserve">2015/16</t>
        </is>
      </c>
      <c r="D3702">
        <v>0.659</v>
      </c>
      <c r="E3702">
        <v>24.95</v>
      </c>
      <c r="F3702">
        <v>32.52</v>
      </c>
      <c r="G3702">
        <v>19.53</v>
      </c>
      <c r="H3702">
        <v>1.31</v>
      </c>
      <c r="I3702">
        <v>8.377</v>
      </c>
      <c r="J3702">
        <v>24.22</v>
      </c>
      <c r="K3702">
        <v>29.73</v>
      </c>
      <c r="L3702">
        <v>20.03</v>
      </c>
      <c r="M3702">
        <v>3.06</v>
      </c>
      <c r="N3702">
        <v>11.185</v>
      </c>
      <c r="O3702">
        <v>24.01</v>
      </c>
      <c r="P3702">
        <v>29.56</v>
      </c>
      <c r="Q3702">
        <v>20.71</v>
      </c>
      <c r="R3702">
        <v>2.7</v>
      </c>
    </row>
    <row r="3703">
      <c r="A3703" s="9">
        <v>42234</v>
      </c>
      <c r="B3703" s="2" t="inlineStr">
        <is>
          <t xml:space="preserve">2015-08</t>
        </is>
      </c>
      <c r="C3703" s="2" t="inlineStr">
        <is>
          <t xml:space="preserve">2015/16</t>
        </is>
      </c>
      <c r="D3703">
        <v>0.0</v>
      </c>
      <c r="E3703">
        <v>25.61</v>
      </c>
      <c r="F3703">
        <v>33.79</v>
      </c>
      <c r="G3703">
        <v>18.61</v>
      </c>
      <c r="H3703">
        <v>0.0</v>
      </c>
      <c r="I3703">
        <v>0.0</v>
      </c>
      <c r="J3703">
        <v>25.71</v>
      </c>
      <c r="K3703">
        <v>32.75</v>
      </c>
      <c r="L3703">
        <v>20.0</v>
      </c>
      <c r="M3703">
        <v>0.07</v>
      </c>
      <c r="N3703">
        <v>0.0</v>
      </c>
      <c r="O3703">
        <v>25.43</v>
      </c>
      <c r="P3703">
        <v>32.52</v>
      </c>
      <c r="Q3703">
        <v>20.79</v>
      </c>
      <c r="R3703">
        <v>0.06</v>
      </c>
    </row>
    <row r="3704">
      <c r="A3704" s="9">
        <v>42235</v>
      </c>
      <c r="B3704" s="2" t="inlineStr">
        <is>
          <t xml:space="preserve">2015-08</t>
        </is>
      </c>
      <c r="C3704" s="2" t="inlineStr">
        <is>
          <t xml:space="preserve">2015/16</t>
        </is>
      </c>
      <c r="D3704">
        <v>0.0</v>
      </c>
      <c r="E3704">
        <v>25.76</v>
      </c>
      <c r="F3704">
        <v>33.87</v>
      </c>
      <c r="G3704">
        <v>17.77</v>
      </c>
      <c r="H3704">
        <v>0.34</v>
      </c>
      <c r="I3704">
        <v>0.0</v>
      </c>
      <c r="J3704">
        <v>25.99</v>
      </c>
      <c r="K3704">
        <v>33.77</v>
      </c>
      <c r="L3704">
        <v>19.63</v>
      </c>
      <c r="M3704">
        <v>0.26</v>
      </c>
      <c r="N3704">
        <v>0.0</v>
      </c>
      <c r="O3704">
        <v>25.82</v>
      </c>
      <c r="P3704">
        <v>33.4</v>
      </c>
      <c r="Q3704">
        <v>20.54</v>
      </c>
      <c r="R3704">
        <v>0.31</v>
      </c>
    </row>
    <row r="3705">
      <c r="A3705" s="9">
        <v>42236</v>
      </c>
      <c r="B3705" s="2" t="inlineStr">
        <is>
          <t xml:space="preserve">2015-08</t>
        </is>
      </c>
      <c r="C3705" s="2" t="inlineStr">
        <is>
          <t xml:space="preserve">2015/16</t>
        </is>
      </c>
      <c r="D3705">
        <v>4.155</v>
      </c>
      <c r="E3705">
        <v>24.87</v>
      </c>
      <c r="F3705">
        <v>31.31</v>
      </c>
      <c r="G3705">
        <v>19.85</v>
      </c>
      <c r="H3705">
        <v>8.27</v>
      </c>
      <c r="I3705">
        <v>1.877</v>
      </c>
      <c r="J3705">
        <v>24.9</v>
      </c>
      <c r="K3705">
        <v>30.62</v>
      </c>
      <c r="L3705">
        <v>19.62</v>
      </c>
      <c r="M3705">
        <v>7.2</v>
      </c>
      <c r="N3705">
        <v>0.875</v>
      </c>
      <c r="O3705">
        <v>24.24</v>
      </c>
      <c r="P3705">
        <v>29.14</v>
      </c>
      <c r="Q3705">
        <v>20.39</v>
      </c>
      <c r="R3705">
        <v>9.56</v>
      </c>
    </row>
    <row r="3706">
      <c r="A3706" s="9">
        <v>42237</v>
      </c>
      <c r="B3706" s="2" t="inlineStr">
        <is>
          <t xml:space="preserve">2015-08</t>
        </is>
      </c>
      <c r="C3706" s="2" t="inlineStr">
        <is>
          <t xml:space="preserve">2015/16</t>
        </is>
      </c>
      <c r="D3706">
        <v>13.808</v>
      </c>
      <c r="E3706">
        <v>24.79</v>
      </c>
      <c r="F3706">
        <v>32.58</v>
      </c>
      <c r="G3706">
        <v>19.33</v>
      </c>
      <c r="H3706">
        <v>4.34</v>
      </c>
      <c r="I3706">
        <v>10.365</v>
      </c>
      <c r="J3706">
        <v>24.46</v>
      </c>
      <c r="K3706">
        <v>30.15</v>
      </c>
      <c r="L3706">
        <v>20.27</v>
      </c>
      <c r="M3706">
        <v>4.32</v>
      </c>
      <c r="N3706">
        <v>10.292</v>
      </c>
      <c r="O3706">
        <v>23.93</v>
      </c>
      <c r="P3706">
        <v>28.82</v>
      </c>
      <c r="Q3706">
        <v>21.05</v>
      </c>
      <c r="R3706">
        <v>8.76</v>
      </c>
    </row>
    <row r="3707">
      <c r="A3707" s="9">
        <v>42238</v>
      </c>
      <c r="B3707" s="2" t="inlineStr">
        <is>
          <t xml:space="preserve">2015-08</t>
        </is>
      </c>
      <c r="C3707" s="2" t="inlineStr">
        <is>
          <t xml:space="preserve">2015/16</t>
        </is>
      </c>
      <c r="D3707">
        <v>0.0</v>
      </c>
      <c r="E3707">
        <v>24.66</v>
      </c>
      <c r="F3707">
        <v>32.32</v>
      </c>
      <c r="G3707">
        <v>17.75</v>
      </c>
      <c r="H3707">
        <v>0.13</v>
      </c>
      <c r="I3707">
        <v>0.135</v>
      </c>
      <c r="J3707">
        <v>24.26</v>
      </c>
      <c r="K3707">
        <v>29.96</v>
      </c>
      <c r="L3707">
        <v>19.8</v>
      </c>
      <c r="M3707">
        <v>0.66</v>
      </c>
      <c r="N3707">
        <v>0.513</v>
      </c>
      <c r="O3707">
        <v>24.07</v>
      </c>
      <c r="P3707">
        <v>30.03</v>
      </c>
      <c r="Q3707">
        <v>20.53</v>
      </c>
      <c r="R3707">
        <v>1.26</v>
      </c>
    </row>
    <row r="3708">
      <c r="A3708" s="9">
        <v>42239</v>
      </c>
      <c r="B3708" s="2" t="inlineStr">
        <is>
          <t xml:space="preserve">2015-08</t>
        </is>
      </c>
      <c r="C3708" s="2" t="inlineStr">
        <is>
          <t xml:space="preserve">2015/16</t>
        </is>
      </c>
      <c r="D3708">
        <v>0.0</v>
      </c>
      <c r="E3708">
        <v>25.34</v>
      </c>
      <c r="F3708">
        <v>33.24</v>
      </c>
      <c r="G3708">
        <v>18.97</v>
      </c>
      <c r="H3708">
        <v>0.0</v>
      </c>
      <c r="I3708">
        <v>0.0</v>
      </c>
      <c r="J3708">
        <v>23.97</v>
      </c>
      <c r="K3708">
        <v>28.99</v>
      </c>
      <c r="L3708">
        <v>19.62</v>
      </c>
      <c r="M3708">
        <v>0.02</v>
      </c>
      <c r="N3708">
        <v>0.0</v>
      </c>
      <c r="O3708">
        <v>23.97</v>
      </c>
      <c r="P3708">
        <v>29.3</v>
      </c>
      <c r="Q3708">
        <v>20.23</v>
      </c>
      <c r="R3708">
        <v>0.05</v>
      </c>
    </row>
    <row r="3709">
      <c r="A3709" s="9">
        <v>42240</v>
      </c>
      <c r="B3709" s="2" t="inlineStr">
        <is>
          <t xml:space="preserve">2015-08</t>
        </is>
      </c>
      <c r="C3709" s="2" t="inlineStr">
        <is>
          <t xml:space="preserve">2015/16</t>
        </is>
      </c>
      <c r="D3709">
        <v>0.0</v>
      </c>
      <c r="E3709">
        <v>25.16</v>
      </c>
      <c r="F3709">
        <v>33.36</v>
      </c>
      <c r="G3709">
        <v>18.35</v>
      </c>
      <c r="H3709">
        <v>0.02</v>
      </c>
      <c r="I3709">
        <v>0.0</v>
      </c>
      <c r="J3709">
        <v>24.36</v>
      </c>
      <c r="K3709">
        <v>31.05</v>
      </c>
      <c r="L3709">
        <v>18.88</v>
      </c>
      <c r="M3709">
        <v>0.01</v>
      </c>
      <c r="N3709">
        <v>0.0</v>
      </c>
      <c r="O3709">
        <v>23.89</v>
      </c>
      <c r="P3709">
        <v>30.11</v>
      </c>
      <c r="Q3709">
        <v>19.27</v>
      </c>
      <c r="R3709">
        <v>0.03</v>
      </c>
    </row>
    <row r="3710">
      <c r="A3710" s="9">
        <v>42241</v>
      </c>
      <c r="B3710" s="2" t="inlineStr">
        <is>
          <t xml:space="preserve">2015-08</t>
        </is>
      </c>
      <c r="C3710" s="2" t="inlineStr">
        <is>
          <t xml:space="preserve">2015/16</t>
        </is>
      </c>
      <c r="D3710">
        <v>0.0</v>
      </c>
      <c r="E3710">
        <v>25.63</v>
      </c>
      <c r="F3710">
        <v>33.71</v>
      </c>
      <c r="G3710">
        <v>18.76</v>
      </c>
      <c r="H3710">
        <v>0.05</v>
      </c>
      <c r="I3710">
        <v>0.0</v>
      </c>
      <c r="J3710">
        <v>24.7</v>
      </c>
      <c r="K3710">
        <v>32.08</v>
      </c>
      <c r="L3710">
        <v>18.16</v>
      </c>
      <c r="M3710">
        <v>0.08</v>
      </c>
      <c r="N3710">
        <v>0.0</v>
      </c>
      <c r="O3710">
        <v>24.31</v>
      </c>
      <c r="P3710">
        <v>31.35</v>
      </c>
      <c r="Q3710">
        <v>19.01</v>
      </c>
      <c r="R3710">
        <v>0.14</v>
      </c>
    </row>
    <row r="3711">
      <c r="A3711" s="9">
        <v>42242</v>
      </c>
      <c r="B3711" s="2" t="inlineStr">
        <is>
          <t xml:space="preserve">2015-08</t>
        </is>
      </c>
      <c r="C3711" s="2" t="inlineStr">
        <is>
          <t xml:space="preserve">2015/16</t>
        </is>
      </c>
      <c r="D3711">
        <v>0.077</v>
      </c>
      <c r="E3711">
        <v>24.72</v>
      </c>
      <c r="F3711">
        <v>31.83</v>
      </c>
      <c r="G3711">
        <v>19.83</v>
      </c>
      <c r="H3711">
        <v>1.22</v>
      </c>
      <c r="I3711">
        <v>0.585</v>
      </c>
      <c r="J3711">
        <v>24.53</v>
      </c>
      <c r="K3711">
        <v>30.85</v>
      </c>
      <c r="L3711">
        <v>20.03</v>
      </c>
      <c r="M3711">
        <v>2.3</v>
      </c>
      <c r="N3711">
        <v>0.0</v>
      </c>
      <c r="O3711">
        <v>24.47</v>
      </c>
      <c r="P3711">
        <v>31.05</v>
      </c>
      <c r="Q3711">
        <v>20.42</v>
      </c>
      <c r="R3711">
        <v>1.15</v>
      </c>
    </row>
    <row r="3712">
      <c r="A3712" s="9">
        <v>42243</v>
      </c>
      <c r="B3712" s="2" t="inlineStr">
        <is>
          <t xml:space="preserve">2015-08</t>
        </is>
      </c>
      <c r="C3712" s="2" t="inlineStr">
        <is>
          <t xml:space="preserve">2015/16</t>
        </is>
      </c>
      <c r="D3712">
        <v>2.322</v>
      </c>
      <c r="E3712">
        <v>24.02</v>
      </c>
      <c r="F3712">
        <v>29.4</v>
      </c>
      <c r="G3712">
        <v>19.93</v>
      </c>
      <c r="H3712">
        <v>2.56</v>
      </c>
      <c r="I3712">
        <v>3.465</v>
      </c>
      <c r="J3712">
        <v>23.24</v>
      </c>
      <c r="K3712">
        <v>27.62</v>
      </c>
      <c r="L3712">
        <v>19.52</v>
      </c>
      <c r="M3712">
        <v>6.63</v>
      </c>
      <c r="N3712">
        <v>1.411</v>
      </c>
      <c r="O3712">
        <v>23.46</v>
      </c>
      <c r="P3712">
        <v>27.07</v>
      </c>
      <c r="Q3712">
        <v>21.45</v>
      </c>
      <c r="R3712">
        <v>4.48</v>
      </c>
    </row>
    <row r="3713">
      <c r="A3713" s="9">
        <v>42244</v>
      </c>
      <c r="B3713" s="2" t="inlineStr">
        <is>
          <t xml:space="preserve">2015-08</t>
        </is>
      </c>
      <c r="C3713" s="2" t="inlineStr">
        <is>
          <t xml:space="preserve">2015/16</t>
        </is>
      </c>
      <c r="D3713">
        <v>0.197</v>
      </c>
      <c r="E3713">
        <v>25.54</v>
      </c>
      <c r="F3713">
        <v>33.65</v>
      </c>
      <c r="G3713">
        <v>19.26</v>
      </c>
      <c r="H3713">
        <v>3.96</v>
      </c>
      <c r="I3713">
        <v>11.321</v>
      </c>
      <c r="J3713">
        <v>24.18</v>
      </c>
      <c r="K3713">
        <v>29.21</v>
      </c>
      <c r="L3713">
        <v>21.08</v>
      </c>
      <c r="M3713">
        <v>14.49</v>
      </c>
      <c r="N3713">
        <v>14.162</v>
      </c>
      <c r="O3713">
        <v>24.13</v>
      </c>
      <c r="P3713">
        <v>29.5</v>
      </c>
      <c r="Q3713">
        <v>21.38</v>
      </c>
      <c r="R3713">
        <v>10.87</v>
      </c>
    </row>
    <row r="3714">
      <c r="A3714" s="9">
        <v>42245</v>
      </c>
      <c r="B3714" s="2" t="inlineStr">
        <is>
          <t xml:space="preserve">2015-08</t>
        </is>
      </c>
      <c r="C3714" s="2" t="inlineStr">
        <is>
          <t xml:space="preserve">2015/16</t>
        </is>
      </c>
      <c r="D3714">
        <v>5.054</v>
      </c>
      <c r="E3714">
        <v>24.93</v>
      </c>
      <c r="F3714">
        <v>32.41</v>
      </c>
      <c r="G3714">
        <v>19.76</v>
      </c>
      <c r="H3714">
        <v>3.02</v>
      </c>
      <c r="I3714">
        <v>17.703</v>
      </c>
      <c r="J3714">
        <v>23.31</v>
      </c>
      <c r="K3714">
        <v>28.17</v>
      </c>
      <c r="L3714">
        <v>20.43</v>
      </c>
      <c r="M3714">
        <v>8.33</v>
      </c>
      <c r="N3714">
        <v>26.443</v>
      </c>
      <c r="O3714">
        <v>23.87</v>
      </c>
      <c r="P3714">
        <v>28.97</v>
      </c>
      <c r="Q3714">
        <v>21.11</v>
      </c>
      <c r="R3714">
        <v>7.17</v>
      </c>
    </row>
    <row r="3715">
      <c r="A3715" s="9">
        <v>42246</v>
      </c>
      <c r="B3715" s="2" t="inlineStr">
        <is>
          <t xml:space="preserve">2015-08</t>
        </is>
      </c>
      <c r="C3715" s="2" t="inlineStr">
        <is>
          <t xml:space="preserve">2015/16</t>
        </is>
      </c>
      <c r="D3715">
        <v>1.979</v>
      </c>
      <c r="E3715">
        <v>25.5</v>
      </c>
      <c r="F3715">
        <v>33.13</v>
      </c>
      <c r="G3715">
        <v>20.05</v>
      </c>
      <c r="H3715">
        <v>2.5</v>
      </c>
      <c r="I3715">
        <v>0.902</v>
      </c>
      <c r="J3715">
        <v>23.8</v>
      </c>
      <c r="K3715">
        <v>29.18</v>
      </c>
      <c r="L3715">
        <v>19.93</v>
      </c>
      <c r="M3715">
        <v>2.71</v>
      </c>
      <c r="N3715">
        <v>0.427</v>
      </c>
      <c r="O3715">
        <v>24.05</v>
      </c>
      <c r="P3715">
        <v>29.42</v>
      </c>
      <c r="Q3715">
        <v>20.4</v>
      </c>
      <c r="R3715">
        <v>1.09</v>
      </c>
    </row>
    <row r="3716">
      <c r="A3716" s="9">
        <v>42247</v>
      </c>
      <c r="B3716" s="2" t="inlineStr">
        <is>
          <t xml:space="preserve">2015-08</t>
        </is>
      </c>
      <c r="C3716" s="2" t="inlineStr">
        <is>
          <t xml:space="preserve">2015/16</t>
        </is>
      </c>
      <c r="D3716">
        <v>4.125</v>
      </c>
      <c r="E3716">
        <v>25.49</v>
      </c>
      <c r="F3716">
        <v>33.36</v>
      </c>
      <c r="G3716">
        <v>20.45</v>
      </c>
      <c r="H3716">
        <v>5.17</v>
      </c>
      <c r="I3716">
        <v>2.614</v>
      </c>
      <c r="J3716">
        <v>24.11</v>
      </c>
      <c r="K3716">
        <v>29.5</v>
      </c>
      <c r="L3716">
        <v>19.11</v>
      </c>
      <c r="M3716">
        <v>24.72</v>
      </c>
      <c r="N3716">
        <v>0.32</v>
      </c>
      <c r="O3716">
        <v>24.48</v>
      </c>
      <c r="P3716">
        <v>30.63</v>
      </c>
      <c r="Q3716">
        <v>20.66</v>
      </c>
      <c r="R3716">
        <v>16.49</v>
      </c>
    </row>
    <row r="3717">
      <c r="A3717" s="9">
        <v>42248</v>
      </c>
      <c r="B3717" s="2" t="inlineStr">
        <is>
          <t xml:space="preserve">2015-09</t>
        </is>
      </c>
      <c r="C3717" s="2" t="inlineStr">
        <is>
          <t xml:space="preserve">2015/16</t>
        </is>
      </c>
      <c r="D3717">
        <v>4.225</v>
      </c>
      <c r="E3717">
        <v>24.41</v>
      </c>
      <c r="F3717">
        <v>30.49</v>
      </c>
      <c r="G3717">
        <v>19.7</v>
      </c>
      <c r="H3717">
        <v>6.33</v>
      </c>
      <c r="I3717">
        <v>37.488</v>
      </c>
      <c r="J3717">
        <v>23.3</v>
      </c>
      <c r="K3717">
        <v>27.61</v>
      </c>
      <c r="L3717">
        <v>21.0</v>
      </c>
      <c r="M3717">
        <v>17.45</v>
      </c>
      <c r="N3717">
        <v>49.329</v>
      </c>
      <c r="O3717">
        <v>24.27</v>
      </c>
      <c r="P3717">
        <v>29.37</v>
      </c>
      <c r="Q3717">
        <v>21.77</v>
      </c>
      <c r="R3717">
        <v>9.45</v>
      </c>
    </row>
    <row r="3718">
      <c r="A3718" s="9">
        <v>42249</v>
      </c>
      <c r="B3718" s="2" t="inlineStr">
        <is>
          <t xml:space="preserve">2015-09</t>
        </is>
      </c>
      <c r="C3718" s="2" t="inlineStr">
        <is>
          <t xml:space="preserve">2015/16</t>
        </is>
      </c>
      <c r="D3718">
        <v>15.106</v>
      </c>
      <c r="E3718">
        <v>22.77</v>
      </c>
      <c r="F3718">
        <v>27.78</v>
      </c>
      <c r="G3718">
        <v>19.81</v>
      </c>
      <c r="H3718">
        <v>5.74</v>
      </c>
      <c r="I3718">
        <v>14.78</v>
      </c>
      <c r="J3718">
        <v>22.45</v>
      </c>
      <c r="K3718">
        <v>25.62</v>
      </c>
      <c r="L3718">
        <v>20.56</v>
      </c>
      <c r="M3718">
        <v>11.55</v>
      </c>
      <c r="N3718">
        <v>11.175</v>
      </c>
      <c r="O3718">
        <v>23.15</v>
      </c>
      <c r="P3718">
        <v>26.31</v>
      </c>
      <c r="Q3718">
        <v>20.77</v>
      </c>
      <c r="R3718">
        <v>6.23</v>
      </c>
    </row>
    <row r="3719">
      <c r="A3719" s="9">
        <v>42250</v>
      </c>
      <c r="B3719" s="2" t="inlineStr">
        <is>
          <t xml:space="preserve">2015-09</t>
        </is>
      </c>
      <c r="C3719" s="2" t="inlineStr">
        <is>
          <t xml:space="preserve">2015/16</t>
        </is>
      </c>
      <c r="D3719">
        <v>6.477</v>
      </c>
      <c r="E3719">
        <v>22.08</v>
      </c>
      <c r="F3719">
        <v>28.42</v>
      </c>
      <c r="G3719">
        <v>18.09</v>
      </c>
      <c r="H3719">
        <v>7.82</v>
      </c>
      <c r="I3719">
        <v>14.284</v>
      </c>
      <c r="J3719">
        <v>22.09</v>
      </c>
      <c r="K3719">
        <v>26.14</v>
      </c>
      <c r="L3719">
        <v>19.2</v>
      </c>
      <c r="M3719">
        <v>19.68</v>
      </c>
      <c r="N3719">
        <v>15.398</v>
      </c>
      <c r="O3719">
        <v>22.03</v>
      </c>
      <c r="P3719">
        <v>25.81</v>
      </c>
      <c r="Q3719">
        <v>19.86</v>
      </c>
      <c r="R3719">
        <v>17.42</v>
      </c>
    </row>
    <row r="3720">
      <c r="A3720" s="9">
        <v>42251</v>
      </c>
      <c r="B3720" s="2" t="inlineStr">
        <is>
          <t xml:space="preserve">2015-09</t>
        </is>
      </c>
      <c r="C3720" s="2" t="inlineStr">
        <is>
          <t xml:space="preserve">2015/16</t>
        </is>
      </c>
      <c r="D3720">
        <v>8.466</v>
      </c>
      <c r="E3720">
        <v>21.42</v>
      </c>
      <c r="F3720">
        <v>26.56</v>
      </c>
      <c r="G3720">
        <v>17.44</v>
      </c>
      <c r="H3720">
        <v>11.11</v>
      </c>
      <c r="I3720">
        <v>23.037</v>
      </c>
      <c r="J3720">
        <v>22.16</v>
      </c>
      <c r="K3720">
        <v>25.93</v>
      </c>
      <c r="L3720">
        <v>18.85</v>
      </c>
      <c r="M3720">
        <v>14.18</v>
      </c>
      <c r="N3720">
        <v>33.092</v>
      </c>
      <c r="O3720">
        <v>22.01</v>
      </c>
      <c r="P3720">
        <v>25.86</v>
      </c>
      <c r="Q3720">
        <v>19.07</v>
      </c>
      <c r="R3720">
        <v>10.5</v>
      </c>
    </row>
    <row r="3721">
      <c r="A3721" s="9">
        <v>42252</v>
      </c>
      <c r="B3721" s="2" t="inlineStr">
        <is>
          <t xml:space="preserve">2015-09</t>
        </is>
      </c>
      <c r="C3721" s="2" t="inlineStr">
        <is>
          <t xml:space="preserve">2015/16</t>
        </is>
      </c>
      <c r="D3721">
        <v>10.519</v>
      </c>
      <c r="E3721">
        <v>20.74</v>
      </c>
      <c r="F3721">
        <v>24.29</v>
      </c>
      <c r="G3721">
        <v>18.29</v>
      </c>
      <c r="H3721">
        <v>6.22</v>
      </c>
      <c r="I3721">
        <v>12.339</v>
      </c>
      <c r="J3721">
        <v>22.0</v>
      </c>
      <c r="K3721">
        <v>26.12</v>
      </c>
      <c r="L3721">
        <v>19.35</v>
      </c>
      <c r="M3721">
        <v>16.08</v>
      </c>
      <c r="N3721">
        <v>13.428</v>
      </c>
      <c r="O3721">
        <v>21.94</v>
      </c>
      <c r="P3721">
        <v>26.31</v>
      </c>
      <c r="Q3721">
        <v>19.62</v>
      </c>
      <c r="R3721">
        <v>12.34</v>
      </c>
    </row>
    <row r="3722">
      <c r="A3722" s="9">
        <v>42253</v>
      </c>
      <c r="B3722" s="2" t="inlineStr">
        <is>
          <t xml:space="preserve">2015-09</t>
        </is>
      </c>
      <c r="C3722" s="2" t="inlineStr">
        <is>
          <t xml:space="preserve">2015/16</t>
        </is>
      </c>
      <c r="D3722">
        <v>5.372</v>
      </c>
      <c r="E3722">
        <v>23.2</v>
      </c>
      <c r="F3722">
        <v>30.48</v>
      </c>
      <c r="G3722">
        <v>17.73</v>
      </c>
      <c r="H3722">
        <v>2.85</v>
      </c>
      <c r="I3722">
        <v>37.918</v>
      </c>
      <c r="J3722">
        <v>22.8</v>
      </c>
      <c r="K3722">
        <v>27.41</v>
      </c>
      <c r="L3722">
        <v>19.64</v>
      </c>
      <c r="M3722">
        <v>25.23</v>
      </c>
      <c r="N3722">
        <v>56.441</v>
      </c>
      <c r="O3722">
        <v>22.69</v>
      </c>
      <c r="P3722">
        <v>27.18</v>
      </c>
      <c r="Q3722">
        <v>20.13</v>
      </c>
      <c r="R3722">
        <v>14.56</v>
      </c>
    </row>
    <row r="3723">
      <c r="A3723" s="9">
        <v>42254</v>
      </c>
      <c r="B3723" s="2" t="inlineStr">
        <is>
          <t xml:space="preserve">2015-09</t>
        </is>
      </c>
      <c r="C3723" s="2" t="inlineStr">
        <is>
          <t xml:space="preserve">2015/16</t>
        </is>
      </c>
      <c r="D3723">
        <v>0.14</v>
      </c>
      <c r="E3723">
        <v>23.78</v>
      </c>
      <c r="F3723">
        <v>30.69</v>
      </c>
      <c r="G3723">
        <v>17.61</v>
      </c>
      <c r="H3723">
        <v>0.17</v>
      </c>
      <c r="I3723">
        <v>0.714</v>
      </c>
      <c r="J3723">
        <v>23.04</v>
      </c>
      <c r="K3723">
        <v>27.68</v>
      </c>
      <c r="L3723">
        <v>19.6</v>
      </c>
      <c r="M3723">
        <v>0.22</v>
      </c>
      <c r="N3723">
        <v>1.023</v>
      </c>
      <c r="O3723">
        <v>23.42</v>
      </c>
      <c r="P3723">
        <v>28.4</v>
      </c>
      <c r="Q3723">
        <v>20.37</v>
      </c>
      <c r="R3723">
        <v>0.19</v>
      </c>
    </row>
    <row r="3724">
      <c r="A3724" s="9">
        <v>42255</v>
      </c>
      <c r="B3724" s="2" t="inlineStr">
        <is>
          <t xml:space="preserve">2015-09</t>
        </is>
      </c>
      <c r="C3724" s="2" t="inlineStr">
        <is>
          <t xml:space="preserve">2015/16</t>
        </is>
      </c>
      <c r="D3724">
        <v>0.196</v>
      </c>
      <c r="E3724">
        <v>24.22</v>
      </c>
      <c r="F3724">
        <v>31.16</v>
      </c>
      <c r="G3724">
        <v>19.35</v>
      </c>
      <c r="H3724">
        <v>0.6</v>
      </c>
      <c r="I3724">
        <v>0.0</v>
      </c>
      <c r="J3724">
        <v>22.35</v>
      </c>
      <c r="K3724">
        <v>25.6</v>
      </c>
      <c r="L3724">
        <v>19.79</v>
      </c>
      <c r="M3724">
        <v>0.38</v>
      </c>
      <c r="N3724">
        <v>0.0</v>
      </c>
      <c r="O3724">
        <v>22.95</v>
      </c>
      <c r="P3724">
        <v>26.65</v>
      </c>
      <c r="Q3724">
        <v>20.78</v>
      </c>
      <c r="R3724">
        <v>1.62</v>
      </c>
    </row>
    <row r="3725">
      <c r="A3725" s="9">
        <v>42256</v>
      </c>
      <c r="B3725" s="2" t="inlineStr">
        <is>
          <t xml:space="preserve">2015-09</t>
        </is>
      </c>
      <c r="C3725" s="2" t="inlineStr">
        <is>
          <t xml:space="preserve">2015/16</t>
        </is>
      </c>
      <c r="D3725">
        <v>2.121</v>
      </c>
      <c r="E3725">
        <v>23.7</v>
      </c>
      <c r="F3725">
        <v>30.54</v>
      </c>
      <c r="G3725">
        <v>18.19</v>
      </c>
      <c r="H3725">
        <v>7.26</v>
      </c>
      <c r="I3725">
        <v>0.281</v>
      </c>
      <c r="J3725">
        <v>22.74</v>
      </c>
      <c r="K3725">
        <v>26.31</v>
      </c>
      <c r="L3725">
        <v>19.77</v>
      </c>
      <c r="M3725">
        <v>7.7</v>
      </c>
      <c r="N3725">
        <v>0.716</v>
      </c>
      <c r="O3725">
        <v>23.15</v>
      </c>
      <c r="P3725">
        <v>26.74</v>
      </c>
      <c r="Q3725">
        <v>20.53</v>
      </c>
      <c r="R3725">
        <v>9.17</v>
      </c>
    </row>
    <row r="3726">
      <c r="A3726" s="9">
        <v>42257</v>
      </c>
      <c r="B3726" s="2" t="inlineStr">
        <is>
          <t xml:space="preserve">2015-09</t>
        </is>
      </c>
      <c r="C3726" s="2" t="inlineStr">
        <is>
          <t xml:space="preserve">2015/16</t>
        </is>
      </c>
      <c r="D3726">
        <v>16.401</v>
      </c>
      <c r="E3726">
        <v>24.53</v>
      </c>
      <c r="F3726">
        <v>32.29</v>
      </c>
      <c r="G3726">
        <v>18.24</v>
      </c>
      <c r="H3726">
        <v>5.34</v>
      </c>
      <c r="I3726">
        <v>28.557</v>
      </c>
      <c r="J3726">
        <v>23.78</v>
      </c>
      <c r="K3726">
        <v>28.15</v>
      </c>
      <c r="L3726">
        <v>20.24</v>
      </c>
      <c r="M3726">
        <v>18.49</v>
      </c>
      <c r="N3726">
        <v>36.275</v>
      </c>
      <c r="O3726">
        <v>23.96</v>
      </c>
      <c r="P3726">
        <v>29.6</v>
      </c>
      <c r="Q3726">
        <v>20.32</v>
      </c>
      <c r="R3726">
        <v>12.76</v>
      </c>
    </row>
    <row r="3727">
      <c r="A3727" s="9">
        <v>42258</v>
      </c>
      <c r="B3727" s="2" t="inlineStr">
        <is>
          <t xml:space="preserve">2015-09</t>
        </is>
      </c>
      <c r="C3727" s="2" t="inlineStr">
        <is>
          <t xml:space="preserve">2015/16</t>
        </is>
      </c>
      <c r="D3727">
        <v>0.0</v>
      </c>
      <c r="E3727">
        <v>25.43</v>
      </c>
      <c r="F3727">
        <v>32.67</v>
      </c>
      <c r="G3727">
        <v>19.63</v>
      </c>
      <c r="H3727">
        <v>0.88</v>
      </c>
      <c r="I3727">
        <v>0.0</v>
      </c>
      <c r="J3727">
        <v>23.47</v>
      </c>
      <c r="K3727">
        <v>27.74</v>
      </c>
      <c r="L3727">
        <v>19.45</v>
      </c>
      <c r="M3727">
        <v>0.45</v>
      </c>
      <c r="N3727">
        <v>0.163</v>
      </c>
      <c r="O3727">
        <v>24.13</v>
      </c>
      <c r="P3727">
        <v>29.16</v>
      </c>
      <c r="Q3727">
        <v>20.71</v>
      </c>
      <c r="R3727">
        <v>2.46</v>
      </c>
    </row>
    <row r="3728">
      <c r="A3728" s="9">
        <v>42259</v>
      </c>
      <c r="B3728" s="2" t="inlineStr">
        <is>
          <t xml:space="preserve">2015-09</t>
        </is>
      </c>
      <c r="C3728" s="2" t="inlineStr">
        <is>
          <t xml:space="preserve">2015/16</t>
        </is>
      </c>
      <c r="D3728">
        <v>0.0</v>
      </c>
      <c r="E3728">
        <v>24.99</v>
      </c>
      <c r="F3728">
        <v>32.59</v>
      </c>
      <c r="G3728">
        <v>19.13</v>
      </c>
      <c r="H3728">
        <v>3.09</v>
      </c>
      <c r="I3728">
        <v>0.275</v>
      </c>
      <c r="J3728">
        <v>24.31</v>
      </c>
      <c r="K3728">
        <v>29.55</v>
      </c>
      <c r="L3728">
        <v>19.82</v>
      </c>
      <c r="M3728">
        <v>4.67</v>
      </c>
      <c r="N3728">
        <v>0.0</v>
      </c>
      <c r="O3728">
        <v>24.57</v>
      </c>
      <c r="P3728">
        <v>29.87</v>
      </c>
      <c r="Q3728">
        <v>20.63</v>
      </c>
      <c r="R3728">
        <v>4.07</v>
      </c>
    </row>
    <row r="3729">
      <c r="A3729" s="9">
        <v>42260</v>
      </c>
      <c r="B3729" s="2" t="inlineStr">
        <is>
          <t xml:space="preserve">2015-09</t>
        </is>
      </c>
      <c r="C3729" s="2" t="inlineStr">
        <is>
          <t xml:space="preserve">2015/16</t>
        </is>
      </c>
      <c r="D3729">
        <v>11.853</v>
      </c>
      <c r="E3729">
        <v>23.82</v>
      </c>
      <c r="F3729">
        <v>30.78</v>
      </c>
      <c r="G3729">
        <v>19.81</v>
      </c>
      <c r="H3729">
        <v>5.18</v>
      </c>
      <c r="I3729">
        <v>12.328</v>
      </c>
      <c r="J3729">
        <v>23.11</v>
      </c>
      <c r="K3729">
        <v>27.17</v>
      </c>
      <c r="L3729">
        <v>20.43</v>
      </c>
      <c r="M3729">
        <v>10.9</v>
      </c>
      <c r="N3729">
        <v>10.219</v>
      </c>
      <c r="O3729">
        <v>24.19</v>
      </c>
      <c r="P3729">
        <v>28.31</v>
      </c>
      <c r="Q3729">
        <v>21.81</v>
      </c>
      <c r="R3729">
        <v>6.25</v>
      </c>
    </row>
    <row r="3730">
      <c r="A3730" s="9">
        <v>42261</v>
      </c>
      <c r="B3730" s="2" t="inlineStr">
        <is>
          <t xml:space="preserve">2015-09</t>
        </is>
      </c>
      <c r="C3730" s="2" t="inlineStr">
        <is>
          <t xml:space="preserve">2015/16</t>
        </is>
      </c>
      <c r="D3730">
        <v>8.816</v>
      </c>
      <c r="E3730">
        <v>24.26</v>
      </c>
      <c r="F3730">
        <v>31.83</v>
      </c>
      <c r="G3730">
        <v>18.18</v>
      </c>
      <c r="H3730">
        <v>3.64</v>
      </c>
      <c r="I3730">
        <v>6.783</v>
      </c>
      <c r="J3730">
        <v>23.17</v>
      </c>
      <c r="K3730">
        <v>27.6</v>
      </c>
      <c r="L3730">
        <v>18.76</v>
      </c>
      <c r="M3730">
        <v>2.64</v>
      </c>
      <c r="N3730">
        <v>6.429</v>
      </c>
      <c r="O3730">
        <v>23.38</v>
      </c>
      <c r="P3730">
        <v>27.46</v>
      </c>
      <c r="Q3730">
        <v>20.22</v>
      </c>
      <c r="R3730">
        <v>3.1</v>
      </c>
    </row>
    <row r="3731">
      <c r="A3731" s="9">
        <v>42262</v>
      </c>
      <c r="B3731" s="2" t="inlineStr">
        <is>
          <t xml:space="preserve">2015-09</t>
        </is>
      </c>
      <c r="C3731" s="2" t="inlineStr">
        <is>
          <t xml:space="preserve">2015/16</t>
        </is>
      </c>
      <c r="D3731">
        <v>0.386</v>
      </c>
      <c r="E3731">
        <v>24.78</v>
      </c>
      <c r="F3731">
        <v>32.24</v>
      </c>
      <c r="G3731">
        <v>18.27</v>
      </c>
      <c r="H3731">
        <v>0.27</v>
      </c>
      <c r="I3731">
        <v>1.474</v>
      </c>
      <c r="J3731">
        <v>24.16</v>
      </c>
      <c r="K3731">
        <v>28.81</v>
      </c>
      <c r="L3731">
        <v>20.87</v>
      </c>
      <c r="M3731">
        <v>2.08</v>
      </c>
      <c r="N3731">
        <v>1.138</v>
      </c>
      <c r="O3731">
        <v>24.37</v>
      </c>
      <c r="P3731">
        <v>29.82</v>
      </c>
      <c r="Q3731">
        <v>21.32</v>
      </c>
      <c r="R3731">
        <v>1.74</v>
      </c>
    </row>
    <row r="3732">
      <c r="A3732" s="9">
        <v>42263</v>
      </c>
      <c r="B3732" s="2" t="inlineStr">
        <is>
          <t xml:space="preserve">2015-09</t>
        </is>
      </c>
      <c r="C3732" s="2" t="inlineStr">
        <is>
          <t xml:space="preserve">2015/16</t>
        </is>
      </c>
      <c r="D3732">
        <v>0.0</v>
      </c>
      <c r="E3732">
        <v>25.39</v>
      </c>
      <c r="F3732">
        <v>32.82</v>
      </c>
      <c r="G3732">
        <v>18.74</v>
      </c>
      <c r="H3732">
        <v>0.67</v>
      </c>
      <c r="I3732">
        <v>1.549</v>
      </c>
      <c r="J3732">
        <v>24.09</v>
      </c>
      <c r="K3732">
        <v>28.82</v>
      </c>
      <c r="L3732">
        <v>20.1</v>
      </c>
      <c r="M3732">
        <v>2.68</v>
      </c>
      <c r="N3732">
        <v>2.401</v>
      </c>
      <c r="O3732">
        <v>24.35</v>
      </c>
      <c r="P3732">
        <v>29.42</v>
      </c>
      <c r="Q3732">
        <v>21.24</v>
      </c>
      <c r="R3732">
        <v>1.93</v>
      </c>
    </row>
    <row r="3733">
      <c r="A3733" s="9">
        <v>42264</v>
      </c>
      <c r="B3733" s="2" t="inlineStr">
        <is>
          <t xml:space="preserve">2015-09</t>
        </is>
      </c>
      <c r="C3733" s="2" t="inlineStr">
        <is>
          <t xml:space="preserve">2015/16</t>
        </is>
      </c>
      <c r="D3733">
        <v>1.466</v>
      </c>
      <c r="E3733">
        <v>24.89</v>
      </c>
      <c r="F3733">
        <v>31.29</v>
      </c>
      <c r="G3733">
        <v>19.74</v>
      </c>
      <c r="H3733">
        <v>2.78</v>
      </c>
      <c r="I3733">
        <v>4.852</v>
      </c>
      <c r="J3733">
        <v>23.15</v>
      </c>
      <c r="K3733">
        <v>27.2</v>
      </c>
      <c r="L3733">
        <v>20.1</v>
      </c>
      <c r="M3733">
        <v>3.18</v>
      </c>
      <c r="N3733">
        <v>2.667</v>
      </c>
      <c r="O3733">
        <v>23.6</v>
      </c>
      <c r="P3733">
        <v>28.18</v>
      </c>
      <c r="Q3733">
        <v>20.85</v>
      </c>
      <c r="R3733">
        <v>1.94</v>
      </c>
    </row>
    <row r="3734">
      <c r="A3734" s="9">
        <v>42265</v>
      </c>
      <c r="B3734" s="2" t="inlineStr">
        <is>
          <t xml:space="preserve">2015-09</t>
        </is>
      </c>
      <c r="C3734" s="2" t="inlineStr">
        <is>
          <t xml:space="preserve">2015/16</t>
        </is>
      </c>
      <c r="D3734">
        <v>4.977</v>
      </c>
      <c r="E3734">
        <v>23.81</v>
      </c>
      <c r="F3734">
        <v>29.7</v>
      </c>
      <c r="G3734">
        <v>20.0</v>
      </c>
      <c r="H3734">
        <v>8.32</v>
      </c>
      <c r="I3734">
        <v>0.123</v>
      </c>
      <c r="J3734">
        <v>21.81</v>
      </c>
      <c r="K3734">
        <v>25.72</v>
      </c>
      <c r="L3734">
        <v>18.82</v>
      </c>
      <c r="M3734">
        <v>6.12</v>
      </c>
      <c r="N3734">
        <v>0.0</v>
      </c>
      <c r="O3734">
        <v>23.25</v>
      </c>
      <c r="P3734">
        <v>27.65</v>
      </c>
      <c r="Q3734">
        <v>20.2</v>
      </c>
      <c r="R3734">
        <v>4.97</v>
      </c>
    </row>
    <row r="3735">
      <c r="A3735" s="9">
        <v>42266</v>
      </c>
      <c r="B3735" s="2" t="inlineStr">
        <is>
          <t xml:space="preserve">2015-09</t>
        </is>
      </c>
      <c r="C3735" s="2" t="inlineStr">
        <is>
          <t xml:space="preserve">2015/16</t>
        </is>
      </c>
      <c r="D3735">
        <v>13.07</v>
      </c>
      <c r="E3735">
        <v>23.04</v>
      </c>
      <c r="F3735">
        <v>28.66</v>
      </c>
      <c r="G3735">
        <v>19.24</v>
      </c>
      <c r="H3735">
        <v>19.28</v>
      </c>
      <c r="I3735">
        <v>28.852</v>
      </c>
      <c r="J3735">
        <v>22.46</v>
      </c>
      <c r="K3735">
        <v>25.71</v>
      </c>
      <c r="L3735">
        <v>19.8</v>
      </c>
      <c r="M3735">
        <v>23.56</v>
      </c>
      <c r="N3735">
        <v>42.808</v>
      </c>
      <c r="O3735">
        <v>22.96</v>
      </c>
      <c r="P3735">
        <v>26.08</v>
      </c>
      <c r="Q3735">
        <v>20.29</v>
      </c>
      <c r="R3735">
        <v>18.05</v>
      </c>
    </row>
    <row r="3736">
      <c r="A3736" s="9">
        <v>42267</v>
      </c>
      <c r="B3736" s="2" t="inlineStr">
        <is>
          <t xml:space="preserve">2015-09</t>
        </is>
      </c>
      <c r="C3736" s="2" t="inlineStr">
        <is>
          <t xml:space="preserve">2015/16</t>
        </is>
      </c>
      <c r="D3736">
        <v>16.488</v>
      </c>
      <c r="E3736">
        <v>22.12</v>
      </c>
      <c r="F3736">
        <v>25.88</v>
      </c>
      <c r="G3736">
        <v>19.72</v>
      </c>
      <c r="H3736">
        <v>12.69</v>
      </c>
      <c r="I3736">
        <v>7.282</v>
      </c>
      <c r="J3736">
        <v>22.88</v>
      </c>
      <c r="K3736">
        <v>26.87</v>
      </c>
      <c r="L3736">
        <v>19.28</v>
      </c>
      <c r="M3736">
        <v>4.64</v>
      </c>
      <c r="N3736">
        <v>4.81</v>
      </c>
      <c r="O3736">
        <v>22.63</v>
      </c>
      <c r="P3736">
        <v>25.87</v>
      </c>
      <c r="Q3736">
        <v>20.75</v>
      </c>
      <c r="R3736">
        <v>7.08</v>
      </c>
    </row>
    <row r="3737">
      <c r="A3737" s="9">
        <v>42268</v>
      </c>
      <c r="B3737" s="2" t="inlineStr">
        <is>
          <t xml:space="preserve">2015-09</t>
        </is>
      </c>
      <c r="C3737" s="2" t="inlineStr">
        <is>
          <t xml:space="preserve">2015/16</t>
        </is>
      </c>
      <c r="D3737">
        <v>1.824</v>
      </c>
      <c r="E3737">
        <v>22.15</v>
      </c>
      <c r="F3737">
        <v>27.2</v>
      </c>
      <c r="G3737">
        <v>19.24</v>
      </c>
      <c r="H3737">
        <v>2.71</v>
      </c>
      <c r="I3737">
        <v>17.542</v>
      </c>
      <c r="J3737">
        <v>21.98</v>
      </c>
      <c r="K3737">
        <v>24.16</v>
      </c>
      <c r="L3737">
        <v>20.57</v>
      </c>
      <c r="M3737">
        <v>20.34</v>
      </c>
      <c r="N3737">
        <v>14.673</v>
      </c>
      <c r="O3737">
        <v>22.74</v>
      </c>
      <c r="P3737">
        <v>25.72</v>
      </c>
      <c r="Q3737">
        <v>21.26</v>
      </c>
      <c r="R3737">
        <v>11.22</v>
      </c>
    </row>
    <row r="3738">
      <c r="A3738" s="9">
        <v>42269</v>
      </c>
      <c r="B3738" s="2" t="inlineStr">
        <is>
          <t xml:space="preserve">2015-09</t>
        </is>
      </c>
      <c r="C3738" s="2" t="inlineStr">
        <is>
          <t xml:space="preserve">2015/16</t>
        </is>
      </c>
      <c r="D3738">
        <v>5.074</v>
      </c>
      <c r="E3738">
        <v>21.58</v>
      </c>
      <c r="F3738">
        <v>26.29</v>
      </c>
      <c r="G3738">
        <v>18.35</v>
      </c>
      <c r="H3738">
        <v>8.01</v>
      </c>
      <c r="I3738">
        <v>12.196</v>
      </c>
      <c r="J3738">
        <v>23.18</v>
      </c>
      <c r="K3738">
        <v>27.11</v>
      </c>
      <c r="L3738">
        <v>20.31</v>
      </c>
      <c r="M3738">
        <v>8.47</v>
      </c>
      <c r="N3738">
        <v>17.497</v>
      </c>
      <c r="O3738">
        <v>22.97</v>
      </c>
      <c r="P3738">
        <v>26.54</v>
      </c>
      <c r="Q3738">
        <v>21.09</v>
      </c>
      <c r="R3738">
        <v>7.02</v>
      </c>
    </row>
    <row r="3739">
      <c r="A3739" s="9">
        <v>42270</v>
      </c>
      <c r="B3739" s="2" t="inlineStr">
        <is>
          <t xml:space="preserve">2015-09</t>
        </is>
      </c>
      <c r="C3739" s="2" t="inlineStr">
        <is>
          <t xml:space="preserve">2015/16</t>
        </is>
      </c>
      <c r="D3739">
        <v>2.564</v>
      </c>
      <c r="E3739">
        <v>20.86</v>
      </c>
      <c r="F3739">
        <v>24.62</v>
      </c>
      <c r="G3739">
        <v>18.15</v>
      </c>
      <c r="H3739">
        <v>3.36</v>
      </c>
      <c r="I3739">
        <v>4.39</v>
      </c>
      <c r="J3739">
        <v>21.36</v>
      </c>
      <c r="K3739">
        <v>24.33</v>
      </c>
      <c r="L3739">
        <v>19.11</v>
      </c>
      <c r="M3739">
        <v>3.76</v>
      </c>
      <c r="N3739">
        <v>1.509</v>
      </c>
      <c r="O3739">
        <v>21.97</v>
      </c>
      <c r="P3739">
        <v>26.09</v>
      </c>
      <c r="Q3739">
        <v>19.65</v>
      </c>
      <c r="R3739">
        <v>3.54</v>
      </c>
    </row>
    <row r="3740">
      <c r="A3740" s="9">
        <v>42271</v>
      </c>
      <c r="B3740" s="2" t="inlineStr">
        <is>
          <t xml:space="preserve">2015-09</t>
        </is>
      </c>
      <c r="C3740" s="2" t="inlineStr">
        <is>
          <t xml:space="preserve">2015/16</t>
        </is>
      </c>
      <c r="D3740">
        <v>1.104</v>
      </c>
      <c r="E3740">
        <v>21.17</v>
      </c>
      <c r="F3740">
        <v>25.17</v>
      </c>
      <c r="G3740">
        <v>18.59</v>
      </c>
      <c r="H3740">
        <v>7.13</v>
      </c>
      <c r="I3740">
        <v>8.22</v>
      </c>
      <c r="J3740">
        <v>21.18</v>
      </c>
      <c r="K3740">
        <v>23.2</v>
      </c>
      <c r="L3740">
        <v>19.73</v>
      </c>
      <c r="M3740">
        <v>11.53</v>
      </c>
      <c r="N3740">
        <v>12.657</v>
      </c>
      <c r="O3740">
        <v>21.37</v>
      </c>
      <c r="P3740">
        <v>23.93</v>
      </c>
      <c r="Q3740">
        <v>19.74</v>
      </c>
      <c r="R3740">
        <v>14.71</v>
      </c>
    </row>
    <row r="3741">
      <c r="A3741" s="9">
        <v>42272</v>
      </c>
      <c r="B3741" s="2" t="inlineStr">
        <is>
          <t xml:space="preserve">2015-09</t>
        </is>
      </c>
      <c r="C3741" s="2" t="inlineStr">
        <is>
          <t xml:space="preserve">2015/16</t>
        </is>
      </c>
      <c r="D3741">
        <v>12.29</v>
      </c>
      <c r="E3741">
        <v>21.83</v>
      </c>
      <c r="F3741">
        <v>26.42</v>
      </c>
      <c r="G3741">
        <v>18.46</v>
      </c>
      <c r="H3741">
        <v>9.06</v>
      </c>
      <c r="I3741">
        <v>8.45</v>
      </c>
      <c r="J3741">
        <v>21.92</v>
      </c>
      <c r="K3741">
        <v>26.01</v>
      </c>
      <c r="L3741">
        <v>19.07</v>
      </c>
      <c r="M3741">
        <v>4.72</v>
      </c>
      <c r="N3741">
        <v>6.146</v>
      </c>
      <c r="O3741">
        <v>22.79</v>
      </c>
      <c r="P3741">
        <v>26.96</v>
      </c>
      <c r="Q3741">
        <v>19.87</v>
      </c>
      <c r="R3741">
        <v>4.72</v>
      </c>
    </row>
    <row r="3742">
      <c r="A3742" s="9">
        <v>42273</v>
      </c>
      <c r="B3742" s="2" t="inlineStr">
        <is>
          <t xml:space="preserve">2015-09</t>
        </is>
      </c>
      <c r="C3742" s="2" t="inlineStr">
        <is>
          <t xml:space="preserve">2015/16</t>
        </is>
      </c>
      <c r="D3742">
        <v>14.849</v>
      </c>
      <c r="E3742">
        <v>22.31</v>
      </c>
      <c r="F3742">
        <v>27.96</v>
      </c>
      <c r="G3742">
        <v>17.69</v>
      </c>
      <c r="H3742">
        <v>16.37</v>
      </c>
      <c r="I3742">
        <v>2.198</v>
      </c>
      <c r="J3742">
        <v>22.0</v>
      </c>
      <c r="K3742">
        <v>26.96</v>
      </c>
      <c r="L3742">
        <v>18.0</v>
      </c>
      <c r="M3742">
        <v>12.26</v>
      </c>
      <c r="N3742">
        <v>1.661</v>
      </c>
      <c r="O3742">
        <v>23.17</v>
      </c>
      <c r="P3742">
        <v>28.33</v>
      </c>
      <c r="Q3742">
        <v>18.84</v>
      </c>
      <c r="R3742">
        <v>10.59</v>
      </c>
    </row>
    <row r="3743">
      <c r="A3743" s="9">
        <v>42274</v>
      </c>
      <c r="B3743" s="2" t="inlineStr">
        <is>
          <t xml:space="preserve">2015-09</t>
        </is>
      </c>
      <c r="C3743" s="2" t="inlineStr">
        <is>
          <t xml:space="preserve">2015/16</t>
        </is>
      </c>
      <c r="D3743">
        <v>19.335</v>
      </c>
      <c r="E3743">
        <v>22.61</v>
      </c>
      <c r="F3743">
        <v>27.53</v>
      </c>
      <c r="G3743">
        <v>19.05</v>
      </c>
      <c r="H3743">
        <v>19.16</v>
      </c>
      <c r="I3743">
        <v>40.285</v>
      </c>
      <c r="J3743">
        <v>22.99</v>
      </c>
      <c r="K3743">
        <v>28.04</v>
      </c>
      <c r="L3743">
        <v>18.89</v>
      </c>
      <c r="M3743">
        <v>31.02</v>
      </c>
      <c r="N3743">
        <v>55.252</v>
      </c>
      <c r="O3743">
        <v>23.38</v>
      </c>
      <c r="P3743">
        <v>27.75</v>
      </c>
      <c r="Q3743">
        <v>19.68</v>
      </c>
      <c r="R3743">
        <v>21.0</v>
      </c>
    </row>
    <row r="3744">
      <c r="A3744" s="9">
        <v>42275</v>
      </c>
      <c r="B3744" s="2" t="inlineStr">
        <is>
          <t xml:space="preserve">2015-09</t>
        </is>
      </c>
      <c r="C3744" s="2" t="inlineStr">
        <is>
          <t xml:space="preserve">2015/16</t>
        </is>
      </c>
      <c r="D3744">
        <v>9.928</v>
      </c>
      <c r="E3744">
        <v>22.27</v>
      </c>
      <c r="F3744">
        <v>26.26</v>
      </c>
      <c r="G3744">
        <v>19.18</v>
      </c>
      <c r="H3744">
        <v>17.2</v>
      </c>
      <c r="I3744">
        <v>28.283</v>
      </c>
      <c r="J3744">
        <v>22.57</v>
      </c>
      <c r="K3744">
        <v>26.11</v>
      </c>
      <c r="L3744">
        <v>19.76</v>
      </c>
      <c r="M3744">
        <v>32.91</v>
      </c>
      <c r="N3744">
        <v>40.016</v>
      </c>
      <c r="O3744">
        <v>22.34</v>
      </c>
      <c r="P3744">
        <v>25.75</v>
      </c>
      <c r="Q3744">
        <v>20.52</v>
      </c>
      <c r="R3744">
        <v>25.79</v>
      </c>
    </row>
    <row r="3745">
      <c r="A3745" s="9">
        <v>42276</v>
      </c>
      <c r="B3745" s="2" t="inlineStr">
        <is>
          <t xml:space="preserve">2015-09</t>
        </is>
      </c>
      <c r="C3745" s="2" t="inlineStr">
        <is>
          <t xml:space="preserve">2015/16</t>
        </is>
      </c>
      <c r="D3745">
        <v>23.365</v>
      </c>
      <c r="E3745">
        <v>22.6</v>
      </c>
      <c r="F3745">
        <v>26.56</v>
      </c>
      <c r="G3745">
        <v>19.12</v>
      </c>
      <c r="H3745">
        <v>7.52</v>
      </c>
      <c r="I3745">
        <v>16.647</v>
      </c>
      <c r="J3745">
        <v>22.75</v>
      </c>
      <c r="K3745">
        <v>25.56</v>
      </c>
      <c r="L3745">
        <v>20.54</v>
      </c>
      <c r="M3745">
        <v>5.12</v>
      </c>
      <c r="N3745">
        <v>9.589</v>
      </c>
      <c r="O3745">
        <v>22.92</v>
      </c>
      <c r="P3745">
        <v>25.76</v>
      </c>
      <c r="Q3745">
        <v>20.77</v>
      </c>
      <c r="R3745">
        <v>4.3</v>
      </c>
    </row>
    <row r="3746">
      <c r="A3746" s="9">
        <v>42277</v>
      </c>
      <c r="B3746" s="2" t="inlineStr">
        <is>
          <t xml:space="preserve">2015-09</t>
        </is>
      </c>
      <c r="C3746" s="2" t="inlineStr">
        <is>
          <t xml:space="preserve">2015/16</t>
        </is>
      </c>
      <c r="D3746">
        <v>0.78</v>
      </c>
      <c r="E3746">
        <v>23.3</v>
      </c>
      <c r="F3746">
        <v>28.32</v>
      </c>
      <c r="G3746">
        <v>19.51</v>
      </c>
      <c r="H3746">
        <v>0.62</v>
      </c>
      <c r="I3746">
        <v>5.676</v>
      </c>
      <c r="J3746">
        <v>22.54</v>
      </c>
      <c r="K3746">
        <v>25.74</v>
      </c>
      <c r="L3746">
        <v>20.35</v>
      </c>
      <c r="M3746">
        <v>2.76</v>
      </c>
      <c r="N3746">
        <v>8.536</v>
      </c>
      <c r="O3746">
        <v>23.29</v>
      </c>
      <c r="P3746">
        <v>27.08</v>
      </c>
      <c r="Q3746">
        <v>21.24</v>
      </c>
      <c r="R3746">
        <v>1.84</v>
      </c>
    </row>
    <row r="3747">
      <c r="A3747" s="9">
        <v>42278</v>
      </c>
      <c r="B3747" s="2" t="inlineStr">
        <is>
          <t xml:space="preserve">2015-10</t>
        </is>
      </c>
      <c r="C3747" s="2" t="inlineStr">
        <is>
          <t xml:space="preserve">2015/16</t>
        </is>
      </c>
      <c r="D3747">
        <v>0.226</v>
      </c>
      <c r="E3747">
        <v>22.52</v>
      </c>
      <c r="F3747">
        <v>27.73</v>
      </c>
      <c r="G3747">
        <v>18.03</v>
      </c>
      <c r="H3747">
        <v>4.81</v>
      </c>
      <c r="I3747">
        <v>0.032</v>
      </c>
      <c r="J3747">
        <v>22.66</v>
      </c>
      <c r="K3747">
        <v>26.8</v>
      </c>
      <c r="L3747">
        <v>19.68</v>
      </c>
      <c r="M3747">
        <v>1.21</v>
      </c>
      <c r="N3747">
        <v>0.0</v>
      </c>
      <c r="O3747">
        <v>23.11</v>
      </c>
      <c r="P3747">
        <v>27.46</v>
      </c>
      <c r="Q3747">
        <v>19.98</v>
      </c>
      <c r="R3747">
        <v>1.08</v>
      </c>
    </row>
    <row r="3748">
      <c r="A3748" s="9">
        <v>42279</v>
      </c>
      <c r="B3748" s="2" t="inlineStr">
        <is>
          <t xml:space="preserve">2015-10</t>
        </is>
      </c>
      <c r="C3748" s="2" t="inlineStr">
        <is>
          <t xml:space="preserve">2015/16</t>
        </is>
      </c>
      <c r="D3748">
        <v>22.859</v>
      </c>
      <c r="E3748">
        <v>22.17</v>
      </c>
      <c r="F3748">
        <v>26.56</v>
      </c>
      <c r="G3748">
        <v>18.97</v>
      </c>
      <c r="H3748">
        <v>14.26</v>
      </c>
      <c r="I3748">
        <v>2.609</v>
      </c>
      <c r="J3748">
        <v>22.27</v>
      </c>
      <c r="K3748">
        <v>26.85</v>
      </c>
      <c r="L3748">
        <v>18.92</v>
      </c>
      <c r="M3748">
        <v>2.17</v>
      </c>
      <c r="N3748">
        <v>1.185</v>
      </c>
      <c r="O3748">
        <v>22.55</v>
      </c>
      <c r="P3748">
        <v>26.9</v>
      </c>
      <c r="Q3748">
        <v>19.16</v>
      </c>
      <c r="R3748">
        <v>2.98</v>
      </c>
    </row>
    <row r="3749">
      <c r="A3749" s="9">
        <v>42280</v>
      </c>
      <c r="B3749" s="2" t="inlineStr">
        <is>
          <t xml:space="preserve">2015-10</t>
        </is>
      </c>
      <c r="C3749" s="2" t="inlineStr">
        <is>
          <t xml:space="preserve">2015/16</t>
        </is>
      </c>
      <c r="D3749">
        <v>3.375</v>
      </c>
      <c r="E3749">
        <v>21.83</v>
      </c>
      <c r="F3749">
        <v>25.45</v>
      </c>
      <c r="G3749">
        <v>18.81</v>
      </c>
      <c r="H3749">
        <v>5.54</v>
      </c>
      <c r="I3749">
        <v>2.292</v>
      </c>
      <c r="J3749">
        <v>21.96</v>
      </c>
      <c r="K3749">
        <v>25.71</v>
      </c>
      <c r="L3749">
        <v>18.46</v>
      </c>
      <c r="M3749">
        <v>2.77</v>
      </c>
      <c r="N3749">
        <v>3.357</v>
      </c>
      <c r="O3749">
        <v>22.31</v>
      </c>
      <c r="P3749">
        <v>26.65</v>
      </c>
      <c r="Q3749">
        <v>18.64</v>
      </c>
      <c r="R3749">
        <v>2.64</v>
      </c>
    </row>
    <row r="3750">
      <c r="A3750" s="9">
        <v>42281</v>
      </c>
      <c r="B3750" s="2" t="inlineStr">
        <is>
          <t xml:space="preserve">2015-10</t>
        </is>
      </c>
      <c r="C3750" s="2" t="inlineStr">
        <is>
          <t xml:space="preserve">2015/16</t>
        </is>
      </c>
      <c r="D3750">
        <v>3.874</v>
      </c>
      <c r="E3750">
        <v>22.59</v>
      </c>
      <c r="F3750">
        <v>27.15</v>
      </c>
      <c r="G3750">
        <v>18.93</v>
      </c>
      <c r="H3750">
        <v>1.42</v>
      </c>
      <c r="I3750">
        <v>1.667</v>
      </c>
      <c r="J3750">
        <v>23.19</v>
      </c>
      <c r="K3750">
        <v>28.02</v>
      </c>
      <c r="L3750">
        <v>19.3</v>
      </c>
      <c r="M3750">
        <v>0.84</v>
      </c>
      <c r="N3750">
        <v>0.0</v>
      </c>
      <c r="O3750">
        <v>23.53</v>
      </c>
      <c r="P3750">
        <v>27.36</v>
      </c>
      <c r="Q3750">
        <v>20.57</v>
      </c>
      <c r="R3750">
        <v>0.18</v>
      </c>
    </row>
    <row r="3751">
      <c r="A3751" s="9">
        <v>42282</v>
      </c>
      <c r="B3751" s="2" t="inlineStr">
        <is>
          <t xml:space="preserve">2015-10</t>
        </is>
      </c>
      <c r="C3751" s="2" t="inlineStr">
        <is>
          <t xml:space="preserve">2015/16</t>
        </is>
      </c>
      <c r="D3751">
        <v>0.314</v>
      </c>
      <c r="E3751">
        <v>22.49</v>
      </c>
      <c r="F3751">
        <v>27.18</v>
      </c>
      <c r="G3751">
        <v>19.48</v>
      </c>
      <c r="H3751">
        <v>0.55</v>
      </c>
      <c r="I3751">
        <v>1.819</v>
      </c>
      <c r="J3751">
        <v>23.37</v>
      </c>
      <c r="K3751">
        <v>27.72</v>
      </c>
      <c r="L3751">
        <v>19.39</v>
      </c>
      <c r="M3751">
        <v>1.47</v>
      </c>
      <c r="N3751">
        <v>0.0</v>
      </c>
      <c r="O3751">
        <v>23.72</v>
      </c>
      <c r="P3751">
        <v>28.29</v>
      </c>
      <c r="Q3751">
        <v>20.38</v>
      </c>
      <c r="R3751">
        <v>0.13</v>
      </c>
    </row>
    <row r="3752">
      <c r="A3752" s="9">
        <v>42283</v>
      </c>
      <c r="B3752" s="2" t="inlineStr">
        <is>
          <t xml:space="preserve">2015-10</t>
        </is>
      </c>
      <c r="C3752" s="2" t="inlineStr">
        <is>
          <t xml:space="preserve">2015/16</t>
        </is>
      </c>
      <c r="D3752">
        <v>0.262</v>
      </c>
      <c r="E3752">
        <v>22.3</v>
      </c>
      <c r="F3752">
        <v>26.48</v>
      </c>
      <c r="G3752">
        <v>19.5</v>
      </c>
      <c r="H3752">
        <v>3.18</v>
      </c>
      <c r="I3752">
        <v>0.0</v>
      </c>
      <c r="J3752">
        <v>22.67</v>
      </c>
      <c r="K3752">
        <v>26.91</v>
      </c>
      <c r="L3752">
        <v>19.51</v>
      </c>
      <c r="M3752">
        <v>0.26</v>
      </c>
      <c r="N3752">
        <v>0.0</v>
      </c>
      <c r="O3752">
        <v>22.7</v>
      </c>
      <c r="P3752">
        <v>27.09</v>
      </c>
      <c r="Q3752">
        <v>19.75</v>
      </c>
      <c r="R3752">
        <v>1.08</v>
      </c>
    </row>
    <row r="3753">
      <c r="A3753" s="9">
        <v>42284</v>
      </c>
      <c r="B3753" s="2" t="inlineStr">
        <is>
          <t xml:space="preserve">2015-10</t>
        </is>
      </c>
      <c r="C3753" s="2" t="inlineStr">
        <is>
          <t xml:space="preserve">2015/16</t>
        </is>
      </c>
      <c r="D3753">
        <v>0.703</v>
      </c>
      <c r="E3753">
        <v>22.16</v>
      </c>
      <c r="F3753">
        <v>27.3</v>
      </c>
      <c r="G3753">
        <v>18.59</v>
      </c>
      <c r="H3753">
        <v>0.68</v>
      </c>
      <c r="I3753">
        <v>0.773</v>
      </c>
      <c r="J3753">
        <v>21.67</v>
      </c>
      <c r="K3753">
        <v>26.43</v>
      </c>
      <c r="L3753">
        <v>18.41</v>
      </c>
      <c r="M3753">
        <v>0.4</v>
      </c>
      <c r="N3753">
        <v>1.187</v>
      </c>
      <c r="O3753">
        <v>22.01</v>
      </c>
      <c r="P3753">
        <v>26.97</v>
      </c>
      <c r="Q3753">
        <v>18.86</v>
      </c>
      <c r="R3753">
        <v>0.44</v>
      </c>
    </row>
    <row r="3754">
      <c r="A3754" s="9">
        <v>42285</v>
      </c>
      <c r="B3754" s="2" t="inlineStr">
        <is>
          <t xml:space="preserve">2015-10</t>
        </is>
      </c>
      <c r="C3754" s="2" t="inlineStr">
        <is>
          <t xml:space="preserve">2015/16</t>
        </is>
      </c>
      <c r="D3754">
        <v>0.0</v>
      </c>
      <c r="E3754">
        <v>21.9</v>
      </c>
      <c r="F3754">
        <v>26.84</v>
      </c>
      <c r="G3754">
        <v>17.89</v>
      </c>
      <c r="H3754">
        <v>0.44</v>
      </c>
      <c r="I3754">
        <v>0.0</v>
      </c>
      <c r="J3754">
        <v>22.1</v>
      </c>
      <c r="K3754">
        <v>27.05</v>
      </c>
      <c r="L3754">
        <v>17.38</v>
      </c>
      <c r="M3754">
        <v>0.12</v>
      </c>
      <c r="N3754">
        <v>0.0</v>
      </c>
      <c r="O3754">
        <v>22.36</v>
      </c>
      <c r="P3754">
        <v>27.35</v>
      </c>
      <c r="Q3754">
        <v>18.49</v>
      </c>
      <c r="R3754">
        <v>0.09</v>
      </c>
    </row>
    <row r="3755">
      <c r="A3755" s="9">
        <v>42286</v>
      </c>
      <c r="B3755" s="2" t="inlineStr">
        <is>
          <t xml:space="preserve">2015-10</t>
        </is>
      </c>
      <c r="C3755" s="2" t="inlineStr">
        <is>
          <t xml:space="preserve">2015/16</t>
        </is>
      </c>
      <c r="D3755">
        <v>3.374</v>
      </c>
      <c r="E3755">
        <v>22.3</v>
      </c>
      <c r="F3755">
        <v>27.61</v>
      </c>
      <c r="G3755">
        <v>18.17</v>
      </c>
      <c r="H3755">
        <v>3.8</v>
      </c>
      <c r="I3755">
        <v>0.721</v>
      </c>
      <c r="J3755">
        <v>22.78</v>
      </c>
      <c r="K3755">
        <v>27.25</v>
      </c>
      <c r="L3755">
        <v>18.92</v>
      </c>
      <c r="M3755">
        <v>7.16</v>
      </c>
      <c r="N3755">
        <v>0.465</v>
      </c>
      <c r="O3755">
        <v>23.03</v>
      </c>
      <c r="P3755">
        <v>27.86</v>
      </c>
      <c r="Q3755">
        <v>19.56</v>
      </c>
      <c r="R3755">
        <v>4.37</v>
      </c>
    </row>
    <row r="3756">
      <c r="A3756" s="9">
        <v>42287</v>
      </c>
      <c r="B3756" s="2" t="inlineStr">
        <is>
          <t xml:space="preserve">2015-10</t>
        </is>
      </c>
      <c r="C3756" s="2" t="inlineStr">
        <is>
          <t xml:space="preserve">2015/16</t>
        </is>
      </c>
      <c r="D3756">
        <v>1.895</v>
      </c>
      <c r="E3756">
        <v>22.09</v>
      </c>
      <c r="F3756">
        <v>27.37</v>
      </c>
      <c r="G3756">
        <v>18.51</v>
      </c>
      <c r="H3756">
        <v>3.6</v>
      </c>
      <c r="I3756">
        <v>14.339</v>
      </c>
      <c r="J3756">
        <v>22.51</v>
      </c>
      <c r="K3756">
        <v>26.73</v>
      </c>
      <c r="L3756">
        <v>19.35</v>
      </c>
      <c r="M3756">
        <v>10.97</v>
      </c>
      <c r="N3756">
        <v>21.698</v>
      </c>
      <c r="O3756">
        <v>22.6</v>
      </c>
      <c r="P3756">
        <v>26.6</v>
      </c>
      <c r="Q3756">
        <v>20.34</v>
      </c>
      <c r="R3756">
        <v>10.07</v>
      </c>
    </row>
    <row r="3757">
      <c r="A3757" s="9">
        <v>42288</v>
      </c>
      <c r="B3757" s="2" t="inlineStr">
        <is>
          <t xml:space="preserve">2015-10</t>
        </is>
      </c>
      <c r="C3757" s="2" t="inlineStr">
        <is>
          <t xml:space="preserve">2015/16</t>
        </is>
      </c>
      <c r="D3757">
        <v>0.549</v>
      </c>
      <c r="E3757">
        <v>22.23</v>
      </c>
      <c r="F3757">
        <v>27.26</v>
      </c>
      <c r="G3757">
        <v>18.75</v>
      </c>
      <c r="H3757">
        <v>2.76</v>
      </c>
      <c r="I3757">
        <v>15.01</v>
      </c>
      <c r="J3757">
        <v>22.04</v>
      </c>
      <c r="K3757">
        <v>26.09</v>
      </c>
      <c r="L3757">
        <v>19.13</v>
      </c>
      <c r="M3757">
        <v>9.15</v>
      </c>
      <c r="N3757">
        <v>23.191</v>
      </c>
      <c r="O3757">
        <v>22.41</v>
      </c>
      <c r="P3757">
        <v>26.37</v>
      </c>
      <c r="Q3757">
        <v>20.21</v>
      </c>
      <c r="R3757">
        <v>9.09</v>
      </c>
    </row>
    <row r="3758">
      <c r="A3758" s="9">
        <v>42289</v>
      </c>
      <c r="B3758" s="2" t="inlineStr">
        <is>
          <t xml:space="preserve">2015-10</t>
        </is>
      </c>
      <c r="C3758" s="2" t="inlineStr">
        <is>
          <t xml:space="preserve">2015/16</t>
        </is>
      </c>
      <c r="D3758">
        <v>3.472</v>
      </c>
      <c r="E3758">
        <v>22.39</v>
      </c>
      <c r="F3758">
        <v>27.21</v>
      </c>
      <c r="G3758">
        <v>19.07</v>
      </c>
      <c r="H3758">
        <v>3.39</v>
      </c>
      <c r="I3758">
        <v>0.0</v>
      </c>
      <c r="J3758">
        <v>22.03</v>
      </c>
      <c r="K3758">
        <v>26.11</v>
      </c>
      <c r="L3758">
        <v>18.65</v>
      </c>
      <c r="M3758">
        <v>0.13</v>
      </c>
      <c r="N3758">
        <v>0.0</v>
      </c>
      <c r="O3758">
        <v>22.88</v>
      </c>
      <c r="P3758">
        <v>27.21</v>
      </c>
      <c r="Q3758">
        <v>20.01</v>
      </c>
      <c r="R3758">
        <v>0.11</v>
      </c>
    </row>
    <row r="3759">
      <c r="A3759" s="9">
        <v>42290</v>
      </c>
      <c r="B3759" s="2" t="inlineStr">
        <is>
          <t xml:space="preserve">2015-10</t>
        </is>
      </c>
      <c r="C3759" s="2" t="inlineStr">
        <is>
          <t xml:space="preserve">2015/16</t>
        </is>
      </c>
      <c r="D3759">
        <v>1.359</v>
      </c>
      <c r="E3759">
        <v>22.35</v>
      </c>
      <c r="F3759">
        <v>26.63</v>
      </c>
      <c r="G3759">
        <v>19.59</v>
      </c>
      <c r="H3759">
        <v>8.77</v>
      </c>
      <c r="I3759">
        <v>0.067</v>
      </c>
      <c r="J3759">
        <v>22.76</v>
      </c>
      <c r="K3759">
        <v>27.44</v>
      </c>
      <c r="L3759">
        <v>19.46</v>
      </c>
      <c r="M3759">
        <v>4.97</v>
      </c>
      <c r="N3759">
        <v>0.0</v>
      </c>
      <c r="O3759">
        <v>23.19</v>
      </c>
      <c r="P3759">
        <v>27.74</v>
      </c>
      <c r="Q3759">
        <v>20.31</v>
      </c>
      <c r="R3759">
        <v>4.31</v>
      </c>
    </row>
    <row r="3760">
      <c r="A3760" s="9">
        <v>42291</v>
      </c>
      <c r="B3760" s="2" t="inlineStr">
        <is>
          <t xml:space="preserve">2015-10</t>
        </is>
      </c>
      <c r="C3760" s="2" t="inlineStr">
        <is>
          <t xml:space="preserve">2015/16</t>
        </is>
      </c>
      <c r="D3760">
        <v>17.85</v>
      </c>
      <c r="E3760">
        <v>21.03</v>
      </c>
      <c r="F3760">
        <v>23.46</v>
      </c>
      <c r="G3760">
        <v>19.33</v>
      </c>
      <c r="H3760">
        <v>19.31</v>
      </c>
      <c r="I3760">
        <v>11.193</v>
      </c>
      <c r="J3760">
        <v>21.79</v>
      </c>
      <c r="K3760">
        <v>25.39</v>
      </c>
      <c r="L3760">
        <v>19.02</v>
      </c>
      <c r="M3760">
        <v>8.87</v>
      </c>
      <c r="N3760">
        <v>17.099</v>
      </c>
      <c r="O3760">
        <v>22.32</v>
      </c>
      <c r="P3760">
        <v>26.13</v>
      </c>
      <c r="Q3760">
        <v>19.69</v>
      </c>
      <c r="R3760">
        <v>14.55</v>
      </c>
    </row>
    <row r="3761">
      <c r="A3761" s="9">
        <v>42292</v>
      </c>
      <c r="B3761" s="2" t="inlineStr">
        <is>
          <t xml:space="preserve">2015-10</t>
        </is>
      </c>
      <c r="C3761" s="2" t="inlineStr">
        <is>
          <t xml:space="preserve">2015/16</t>
        </is>
      </c>
      <c r="D3761">
        <v>21.144</v>
      </c>
      <c r="E3761">
        <v>20.77</v>
      </c>
      <c r="F3761">
        <v>24.05</v>
      </c>
      <c r="G3761">
        <v>19.0</v>
      </c>
      <c r="H3761">
        <v>21.82</v>
      </c>
      <c r="I3761">
        <v>9.524</v>
      </c>
      <c r="J3761">
        <v>21.88</v>
      </c>
      <c r="K3761">
        <v>25.25</v>
      </c>
      <c r="L3761">
        <v>19.56</v>
      </c>
      <c r="M3761">
        <v>12.98</v>
      </c>
      <c r="N3761">
        <v>5.727</v>
      </c>
      <c r="O3761">
        <v>21.99</v>
      </c>
      <c r="P3761">
        <v>24.81</v>
      </c>
      <c r="Q3761">
        <v>20.29</v>
      </c>
      <c r="R3761">
        <v>14.56</v>
      </c>
    </row>
    <row r="3762">
      <c r="A3762" s="9">
        <v>42293</v>
      </c>
      <c r="B3762" s="2" t="inlineStr">
        <is>
          <t xml:space="preserve">2015-10</t>
        </is>
      </c>
      <c r="C3762" s="2" t="inlineStr">
        <is>
          <t xml:space="preserve">2015/16</t>
        </is>
      </c>
      <c r="D3762">
        <v>8.61</v>
      </c>
      <c r="E3762">
        <v>21.13</v>
      </c>
      <c r="F3762">
        <v>24.45</v>
      </c>
      <c r="G3762">
        <v>19.07</v>
      </c>
      <c r="H3762">
        <v>30.65</v>
      </c>
      <c r="I3762">
        <v>4.278</v>
      </c>
      <c r="J3762">
        <v>21.23</v>
      </c>
      <c r="K3762">
        <v>24.14</v>
      </c>
      <c r="L3762">
        <v>18.98</v>
      </c>
      <c r="M3762">
        <v>16.12</v>
      </c>
      <c r="N3762">
        <v>6.245</v>
      </c>
      <c r="O3762">
        <v>21.5</v>
      </c>
      <c r="P3762">
        <v>24.12</v>
      </c>
      <c r="Q3762">
        <v>19.92</v>
      </c>
      <c r="R3762">
        <v>26.98</v>
      </c>
    </row>
    <row r="3763">
      <c r="A3763" s="9">
        <v>42294</v>
      </c>
      <c r="B3763" s="2" t="inlineStr">
        <is>
          <t xml:space="preserve">2015-10</t>
        </is>
      </c>
      <c r="C3763" s="2" t="inlineStr">
        <is>
          <t xml:space="preserve">2015/16</t>
        </is>
      </c>
      <c r="D3763">
        <v>44.111</v>
      </c>
      <c r="E3763">
        <v>20.34</v>
      </c>
      <c r="F3763">
        <v>23.99</v>
      </c>
      <c r="G3763">
        <v>17.11</v>
      </c>
      <c r="H3763">
        <v>11.18</v>
      </c>
      <c r="I3763">
        <v>22.859</v>
      </c>
      <c r="J3763">
        <v>20.7</v>
      </c>
      <c r="K3763">
        <v>23.91</v>
      </c>
      <c r="L3763">
        <v>18.74</v>
      </c>
      <c r="M3763">
        <v>13.85</v>
      </c>
      <c r="N3763">
        <v>16.304</v>
      </c>
      <c r="O3763">
        <v>21.19</v>
      </c>
      <c r="P3763">
        <v>23.92</v>
      </c>
      <c r="Q3763">
        <v>18.84</v>
      </c>
      <c r="R3763">
        <v>9.06</v>
      </c>
    </row>
    <row r="3764">
      <c r="A3764" s="9">
        <v>42295</v>
      </c>
      <c r="B3764" s="2" t="inlineStr">
        <is>
          <t xml:space="preserve">2015-10</t>
        </is>
      </c>
      <c r="C3764" s="2" t="inlineStr">
        <is>
          <t xml:space="preserve">2015/16</t>
        </is>
      </c>
      <c r="D3764">
        <v>4.971</v>
      </c>
      <c r="E3764">
        <v>20.76</v>
      </c>
      <c r="F3764">
        <v>25.69</v>
      </c>
      <c r="G3764">
        <v>16.82</v>
      </c>
      <c r="H3764">
        <v>3.03</v>
      </c>
      <c r="I3764">
        <v>5.441</v>
      </c>
      <c r="J3764">
        <v>20.66</v>
      </c>
      <c r="K3764">
        <v>23.92</v>
      </c>
      <c r="L3764">
        <v>18.17</v>
      </c>
      <c r="M3764">
        <v>3.73</v>
      </c>
      <c r="N3764">
        <v>0.951</v>
      </c>
      <c r="O3764">
        <v>21.54</v>
      </c>
      <c r="P3764">
        <v>25.69</v>
      </c>
      <c r="Q3764">
        <v>17.81</v>
      </c>
      <c r="R3764">
        <v>1.04</v>
      </c>
    </row>
    <row r="3765">
      <c r="A3765" s="9">
        <v>42296</v>
      </c>
      <c r="B3765" s="2" t="inlineStr">
        <is>
          <t xml:space="preserve">2015-10</t>
        </is>
      </c>
      <c r="C3765" s="2" t="inlineStr">
        <is>
          <t xml:space="preserve">2015/16</t>
        </is>
      </c>
      <c r="D3765">
        <v>5.241</v>
      </c>
      <c r="E3765">
        <v>21.23</v>
      </c>
      <c r="F3765">
        <v>24.65</v>
      </c>
      <c r="G3765">
        <v>17.71</v>
      </c>
      <c r="H3765">
        <v>5.16</v>
      </c>
      <c r="I3765">
        <v>21.208</v>
      </c>
      <c r="J3765">
        <v>22.01</v>
      </c>
      <c r="K3765">
        <v>25.54</v>
      </c>
      <c r="L3765">
        <v>19.35</v>
      </c>
      <c r="M3765">
        <v>21.38</v>
      </c>
      <c r="N3765">
        <v>5.856</v>
      </c>
      <c r="O3765">
        <v>22.38</v>
      </c>
      <c r="P3765">
        <v>25.71</v>
      </c>
      <c r="Q3765">
        <v>19.41</v>
      </c>
      <c r="R3765">
        <v>4.37</v>
      </c>
    </row>
    <row r="3766">
      <c r="A3766" s="9">
        <v>42297</v>
      </c>
      <c r="B3766" s="2" t="inlineStr">
        <is>
          <t xml:space="preserve">2015-10</t>
        </is>
      </c>
      <c r="C3766" s="2" t="inlineStr">
        <is>
          <t xml:space="preserve">2015/16</t>
        </is>
      </c>
      <c r="D3766">
        <v>19.829</v>
      </c>
      <c r="E3766">
        <v>20.88</v>
      </c>
      <c r="F3766">
        <v>23.16</v>
      </c>
      <c r="G3766">
        <v>18.85</v>
      </c>
      <c r="H3766">
        <v>18.41</v>
      </c>
      <c r="I3766">
        <v>10.107</v>
      </c>
      <c r="J3766">
        <v>22.65</v>
      </c>
      <c r="K3766">
        <v>27.72</v>
      </c>
      <c r="L3766">
        <v>18.24</v>
      </c>
      <c r="M3766">
        <v>23.46</v>
      </c>
      <c r="N3766">
        <v>3.968</v>
      </c>
      <c r="O3766">
        <v>22.6</v>
      </c>
      <c r="P3766">
        <v>26.11</v>
      </c>
      <c r="Q3766">
        <v>20.22</v>
      </c>
      <c r="R3766">
        <v>20.13</v>
      </c>
    </row>
    <row r="3767">
      <c r="A3767" s="9">
        <v>42298</v>
      </c>
      <c r="B3767" s="2" t="inlineStr">
        <is>
          <t xml:space="preserve">2015-10</t>
        </is>
      </c>
      <c r="C3767" s="2" t="inlineStr">
        <is>
          <t xml:space="preserve">2015/16</t>
        </is>
      </c>
      <c r="D3767">
        <v>31.738</v>
      </c>
      <c r="E3767">
        <v>21.51</v>
      </c>
      <c r="F3767">
        <v>26.15</v>
      </c>
      <c r="G3767">
        <v>17.99</v>
      </c>
      <c r="H3767">
        <v>10.72</v>
      </c>
      <c r="I3767">
        <v>26.007</v>
      </c>
      <c r="J3767">
        <v>22.36</v>
      </c>
      <c r="K3767">
        <v>25.33</v>
      </c>
      <c r="L3767">
        <v>20.45</v>
      </c>
      <c r="M3767">
        <v>9.79</v>
      </c>
      <c r="N3767">
        <v>23.351</v>
      </c>
      <c r="O3767">
        <v>22.83</v>
      </c>
      <c r="P3767">
        <v>26.67</v>
      </c>
      <c r="Q3767">
        <v>20.51</v>
      </c>
      <c r="R3767">
        <v>10.72</v>
      </c>
    </row>
    <row r="3768">
      <c r="A3768" s="9">
        <v>42299</v>
      </c>
      <c r="B3768" s="2" t="inlineStr">
        <is>
          <t xml:space="preserve">2015-10</t>
        </is>
      </c>
      <c r="C3768" s="2" t="inlineStr">
        <is>
          <t xml:space="preserve">2015/16</t>
        </is>
      </c>
      <c r="D3768">
        <v>0.1</v>
      </c>
      <c r="E3768">
        <v>21.58</v>
      </c>
      <c r="F3768">
        <v>26.86</v>
      </c>
      <c r="G3768">
        <v>17.58</v>
      </c>
      <c r="H3768">
        <v>0.16</v>
      </c>
      <c r="I3768">
        <v>5.543</v>
      </c>
      <c r="J3768">
        <v>22.51</v>
      </c>
      <c r="K3768">
        <v>27.39</v>
      </c>
      <c r="L3768">
        <v>19.31</v>
      </c>
      <c r="M3768">
        <v>2.69</v>
      </c>
      <c r="N3768">
        <v>7.121</v>
      </c>
      <c r="O3768">
        <v>22.67</v>
      </c>
      <c r="P3768">
        <v>27.36</v>
      </c>
      <c r="Q3768">
        <v>20.08</v>
      </c>
      <c r="R3768">
        <v>1.3</v>
      </c>
    </row>
    <row r="3769">
      <c r="A3769" s="9">
        <v>42300</v>
      </c>
      <c r="B3769" s="2" t="inlineStr">
        <is>
          <t xml:space="preserve">2015-10</t>
        </is>
      </c>
      <c r="C3769" s="2" t="inlineStr">
        <is>
          <t xml:space="preserve">2015/16</t>
        </is>
      </c>
      <c r="D3769">
        <v>0.0</v>
      </c>
      <c r="E3769">
        <v>21.93</v>
      </c>
      <c r="F3769">
        <v>27.3</v>
      </c>
      <c r="G3769">
        <v>17.39</v>
      </c>
      <c r="H3769">
        <v>0.01</v>
      </c>
      <c r="I3769">
        <v>0.0</v>
      </c>
      <c r="J3769">
        <v>22.83</v>
      </c>
      <c r="K3769">
        <v>28.55</v>
      </c>
      <c r="L3769">
        <v>17.77</v>
      </c>
      <c r="M3769">
        <v>0.06</v>
      </c>
      <c r="N3769">
        <v>0.0</v>
      </c>
      <c r="O3769">
        <v>23.14</v>
      </c>
      <c r="P3769">
        <v>28.35</v>
      </c>
      <c r="Q3769">
        <v>19.49</v>
      </c>
      <c r="R3769">
        <v>0.03</v>
      </c>
    </row>
    <row r="3770">
      <c r="A3770" s="9">
        <v>42301</v>
      </c>
      <c r="B3770" s="2" t="inlineStr">
        <is>
          <t xml:space="preserve">2015-10</t>
        </is>
      </c>
      <c r="C3770" s="2" t="inlineStr">
        <is>
          <t xml:space="preserve">2015/16</t>
        </is>
      </c>
      <c r="D3770">
        <v>0.079</v>
      </c>
      <c r="E3770">
        <v>22.5</v>
      </c>
      <c r="F3770">
        <v>27.32</v>
      </c>
      <c r="G3770">
        <v>18.36</v>
      </c>
      <c r="H3770">
        <v>0.34</v>
      </c>
      <c r="I3770">
        <v>0.0</v>
      </c>
      <c r="J3770">
        <v>23.48</v>
      </c>
      <c r="K3770">
        <v>28.07</v>
      </c>
      <c r="L3770">
        <v>19.91</v>
      </c>
      <c r="M3770">
        <v>2.82</v>
      </c>
      <c r="N3770">
        <v>0.0</v>
      </c>
      <c r="O3770">
        <v>24.05</v>
      </c>
      <c r="P3770">
        <v>29.2</v>
      </c>
      <c r="Q3770">
        <v>20.36</v>
      </c>
      <c r="R3770">
        <v>1.53</v>
      </c>
    </row>
    <row r="3771">
      <c r="A3771" s="9">
        <v>42302</v>
      </c>
      <c r="B3771" s="2" t="inlineStr">
        <is>
          <t xml:space="preserve">2015-10</t>
        </is>
      </c>
      <c r="C3771" s="2" t="inlineStr">
        <is>
          <t xml:space="preserve">2015/16</t>
        </is>
      </c>
      <c r="D3771">
        <v>0.764</v>
      </c>
      <c r="E3771">
        <v>22.85</v>
      </c>
      <c r="F3771">
        <v>28.08</v>
      </c>
      <c r="G3771">
        <v>19.27</v>
      </c>
      <c r="H3771">
        <v>2.56</v>
      </c>
      <c r="I3771">
        <v>13.556</v>
      </c>
      <c r="J3771">
        <v>22.75</v>
      </c>
      <c r="K3771">
        <v>26.7</v>
      </c>
      <c r="L3771">
        <v>20.22</v>
      </c>
      <c r="M3771">
        <v>14.76</v>
      </c>
      <c r="N3771">
        <v>35.486</v>
      </c>
      <c r="O3771">
        <v>23.34</v>
      </c>
      <c r="P3771">
        <v>26.85</v>
      </c>
      <c r="Q3771">
        <v>21.32</v>
      </c>
      <c r="R3771">
        <v>11.91</v>
      </c>
    </row>
    <row r="3772">
      <c r="A3772" s="9">
        <v>42303</v>
      </c>
      <c r="B3772" s="2" t="inlineStr">
        <is>
          <t xml:space="preserve">2015-10</t>
        </is>
      </c>
      <c r="C3772" s="2" t="inlineStr">
        <is>
          <t xml:space="preserve">2015/16</t>
        </is>
      </c>
      <c r="D3772">
        <v>0.715</v>
      </c>
      <c r="E3772">
        <v>22.69</v>
      </c>
      <c r="F3772">
        <v>27.83</v>
      </c>
      <c r="G3772">
        <v>18.07</v>
      </c>
      <c r="H3772">
        <v>0.65</v>
      </c>
      <c r="I3772">
        <v>1.367</v>
      </c>
      <c r="J3772">
        <v>23.75</v>
      </c>
      <c r="K3772">
        <v>28.25</v>
      </c>
      <c r="L3772">
        <v>20.56</v>
      </c>
      <c r="M3772">
        <v>1.03</v>
      </c>
      <c r="N3772">
        <v>3.561</v>
      </c>
      <c r="O3772">
        <v>23.78</v>
      </c>
      <c r="P3772">
        <v>28.37</v>
      </c>
      <c r="Q3772">
        <v>20.94</v>
      </c>
      <c r="R3772">
        <v>0.67</v>
      </c>
    </row>
    <row r="3773">
      <c r="A3773" s="9">
        <v>42304</v>
      </c>
      <c r="B3773" s="2" t="inlineStr">
        <is>
          <t xml:space="preserve">2015-10</t>
        </is>
      </c>
      <c r="C3773" s="2" t="inlineStr">
        <is>
          <t xml:space="preserve">2015/16</t>
        </is>
      </c>
      <c r="D3773">
        <v>4.957</v>
      </c>
      <c r="E3773">
        <v>21.7</v>
      </c>
      <c r="F3773">
        <v>24.92</v>
      </c>
      <c r="G3773">
        <v>18.99</v>
      </c>
      <c r="H3773">
        <v>4.4</v>
      </c>
      <c r="I3773">
        <v>0.0</v>
      </c>
      <c r="J3773">
        <v>22.88</v>
      </c>
      <c r="K3773">
        <v>27.49</v>
      </c>
      <c r="L3773">
        <v>18.63</v>
      </c>
      <c r="M3773">
        <v>0.27</v>
      </c>
      <c r="N3773">
        <v>0.0</v>
      </c>
      <c r="O3773">
        <v>22.75</v>
      </c>
      <c r="P3773">
        <v>27.27</v>
      </c>
      <c r="Q3773">
        <v>19.57</v>
      </c>
      <c r="R3773">
        <v>0.33</v>
      </c>
    </row>
    <row r="3774">
      <c r="A3774" s="9">
        <v>42305</v>
      </c>
      <c r="B3774" s="2" t="inlineStr">
        <is>
          <t xml:space="preserve">2015-10</t>
        </is>
      </c>
      <c r="C3774" s="2" t="inlineStr">
        <is>
          <t xml:space="preserve">2015/16</t>
        </is>
      </c>
      <c r="D3774">
        <v>3.999</v>
      </c>
      <c r="E3774">
        <v>22.66</v>
      </c>
      <c r="F3774">
        <v>27.26</v>
      </c>
      <c r="G3774">
        <v>18.97</v>
      </c>
      <c r="H3774">
        <v>4.15</v>
      </c>
      <c r="I3774">
        <v>2.848</v>
      </c>
      <c r="J3774">
        <v>21.93</v>
      </c>
      <c r="K3774">
        <v>25.44</v>
      </c>
      <c r="L3774">
        <v>19.87</v>
      </c>
      <c r="M3774">
        <v>11.96</v>
      </c>
      <c r="N3774">
        <v>0.503</v>
      </c>
      <c r="O3774">
        <v>21.92</v>
      </c>
      <c r="P3774">
        <v>24.58</v>
      </c>
      <c r="Q3774">
        <v>20.11</v>
      </c>
      <c r="R3774">
        <v>9.06</v>
      </c>
    </row>
    <row r="3775">
      <c r="A3775" s="9">
        <v>42306</v>
      </c>
      <c r="B3775" s="2" t="inlineStr">
        <is>
          <t xml:space="preserve">2015-10</t>
        </is>
      </c>
      <c r="C3775" s="2" t="inlineStr">
        <is>
          <t xml:space="preserve">2015/16</t>
        </is>
      </c>
      <c r="D3775">
        <v>6.997</v>
      </c>
      <c r="E3775">
        <v>22.25</v>
      </c>
      <c r="F3775">
        <v>26.01</v>
      </c>
      <c r="G3775">
        <v>20.28</v>
      </c>
      <c r="H3775">
        <v>7.21</v>
      </c>
      <c r="I3775">
        <v>10.428</v>
      </c>
      <c r="J3775">
        <v>22.34</v>
      </c>
      <c r="K3775">
        <v>27.12</v>
      </c>
      <c r="L3775">
        <v>19.43</v>
      </c>
      <c r="M3775">
        <v>10.5</v>
      </c>
      <c r="N3775">
        <v>38.452</v>
      </c>
      <c r="O3775">
        <v>21.99</v>
      </c>
      <c r="P3775">
        <v>25.42</v>
      </c>
      <c r="Q3775">
        <v>19.31</v>
      </c>
      <c r="R3775">
        <v>10.52</v>
      </c>
    </row>
    <row r="3776">
      <c r="A3776" s="9">
        <v>42307</v>
      </c>
      <c r="B3776" s="2" t="inlineStr">
        <is>
          <t xml:space="preserve">2015-10</t>
        </is>
      </c>
      <c r="C3776" s="2" t="inlineStr">
        <is>
          <t xml:space="preserve">2015/16</t>
        </is>
      </c>
      <c r="D3776">
        <v>3.376</v>
      </c>
      <c r="E3776">
        <v>22.76</v>
      </c>
      <c r="F3776">
        <v>27.45</v>
      </c>
      <c r="G3776">
        <v>19.46</v>
      </c>
      <c r="H3776">
        <v>2.69</v>
      </c>
      <c r="I3776">
        <v>10.039</v>
      </c>
      <c r="J3776">
        <v>22.54</v>
      </c>
      <c r="K3776">
        <v>27.28</v>
      </c>
      <c r="L3776">
        <v>19.65</v>
      </c>
      <c r="M3776">
        <v>12.43</v>
      </c>
      <c r="N3776">
        <v>37.158</v>
      </c>
      <c r="O3776">
        <v>23.25</v>
      </c>
      <c r="P3776">
        <v>28.0</v>
      </c>
      <c r="Q3776">
        <v>19.82</v>
      </c>
      <c r="R3776">
        <v>9.41</v>
      </c>
    </row>
    <row r="3777">
      <c r="A3777" s="9">
        <v>42308</v>
      </c>
      <c r="B3777" s="2" t="inlineStr">
        <is>
          <t xml:space="preserve">2015-10</t>
        </is>
      </c>
      <c r="C3777" s="2" t="inlineStr">
        <is>
          <t xml:space="preserve">2015/16</t>
        </is>
      </c>
      <c r="D3777">
        <v>0.336</v>
      </c>
      <c r="E3777">
        <v>22.9</v>
      </c>
      <c r="F3777">
        <v>28.02</v>
      </c>
      <c r="G3777">
        <v>19.04</v>
      </c>
      <c r="H3777">
        <v>0.34</v>
      </c>
      <c r="I3777">
        <v>0.189</v>
      </c>
      <c r="J3777">
        <v>22.67</v>
      </c>
      <c r="K3777">
        <v>27.82</v>
      </c>
      <c r="L3777">
        <v>18.95</v>
      </c>
      <c r="M3777">
        <v>0.28</v>
      </c>
      <c r="N3777">
        <v>0.0</v>
      </c>
      <c r="O3777">
        <v>23.9</v>
      </c>
      <c r="P3777">
        <v>29.21</v>
      </c>
      <c r="Q3777">
        <v>19.52</v>
      </c>
      <c r="R3777">
        <v>0.21</v>
      </c>
    </row>
    <row r="3778">
      <c r="A3778" s="9">
        <v>42309</v>
      </c>
      <c r="B3778" s="2" t="inlineStr">
        <is>
          <t xml:space="preserve">2015-11</t>
        </is>
      </c>
      <c r="C3778" s="2" t="inlineStr">
        <is>
          <t xml:space="preserve">2015/16</t>
        </is>
      </c>
      <c r="D3778">
        <v>1.387</v>
      </c>
      <c r="E3778">
        <v>22.96</v>
      </c>
      <c r="F3778">
        <v>27.63</v>
      </c>
      <c r="G3778">
        <v>18.65</v>
      </c>
      <c r="H3778">
        <v>4.72</v>
      </c>
      <c r="I3778">
        <v>0.225</v>
      </c>
      <c r="J3778">
        <v>23.3</v>
      </c>
      <c r="K3778">
        <v>27.87</v>
      </c>
      <c r="L3778">
        <v>19.07</v>
      </c>
      <c r="M3778">
        <v>2.55</v>
      </c>
      <c r="N3778">
        <v>0.245</v>
      </c>
      <c r="O3778">
        <v>24.3</v>
      </c>
      <c r="P3778">
        <v>29.25</v>
      </c>
      <c r="Q3778">
        <v>20.02</v>
      </c>
      <c r="R3778">
        <v>3.5</v>
      </c>
    </row>
    <row r="3779">
      <c r="A3779" s="9">
        <v>42310</v>
      </c>
      <c r="B3779" s="2" t="inlineStr">
        <is>
          <t xml:space="preserve">2015-11</t>
        </is>
      </c>
      <c r="C3779" s="2" t="inlineStr">
        <is>
          <t xml:space="preserve">2015/16</t>
        </is>
      </c>
      <c r="D3779">
        <v>26.417</v>
      </c>
      <c r="E3779">
        <v>22.24</v>
      </c>
      <c r="F3779">
        <v>26.68</v>
      </c>
      <c r="G3779">
        <v>18.75</v>
      </c>
      <c r="H3779">
        <v>9.17</v>
      </c>
      <c r="I3779">
        <v>1.164</v>
      </c>
      <c r="J3779">
        <v>22.67</v>
      </c>
      <c r="K3779">
        <v>26.88</v>
      </c>
      <c r="L3779">
        <v>19.34</v>
      </c>
      <c r="M3779">
        <v>6.4</v>
      </c>
      <c r="N3779">
        <v>4.544</v>
      </c>
      <c r="O3779">
        <v>23.19</v>
      </c>
      <c r="P3779">
        <v>26.82</v>
      </c>
      <c r="Q3779">
        <v>20.75</v>
      </c>
      <c r="R3779">
        <v>6.04</v>
      </c>
    </row>
    <row r="3780">
      <c r="A3780" s="9">
        <v>42311</v>
      </c>
      <c r="B3780" s="2" t="inlineStr">
        <is>
          <t xml:space="preserve">2015-11</t>
        </is>
      </c>
      <c r="C3780" s="2" t="inlineStr">
        <is>
          <t xml:space="preserve">2015/16</t>
        </is>
      </c>
      <c r="D3780">
        <v>3.705</v>
      </c>
      <c r="E3780">
        <v>21.21</v>
      </c>
      <c r="F3780">
        <v>25.43</v>
      </c>
      <c r="G3780">
        <v>18.61</v>
      </c>
      <c r="H3780">
        <v>3.1</v>
      </c>
      <c r="I3780">
        <v>11.438</v>
      </c>
      <c r="J3780">
        <v>21.69</v>
      </c>
      <c r="K3780">
        <v>26.15</v>
      </c>
      <c r="L3780">
        <v>18.85</v>
      </c>
      <c r="M3780">
        <v>3.57</v>
      </c>
      <c r="N3780">
        <v>0.579</v>
      </c>
      <c r="O3780">
        <v>22.12</v>
      </c>
      <c r="P3780">
        <v>26.02</v>
      </c>
      <c r="Q3780">
        <v>19.65</v>
      </c>
      <c r="R3780">
        <v>1.31</v>
      </c>
    </row>
    <row r="3781">
      <c r="A3781" s="9">
        <v>42312</v>
      </c>
      <c r="B3781" s="2" t="inlineStr">
        <is>
          <t xml:space="preserve">2015-11</t>
        </is>
      </c>
      <c r="C3781" s="2" t="inlineStr">
        <is>
          <t xml:space="preserve">2015/16</t>
        </is>
      </c>
      <c r="D3781">
        <v>1.636</v>
      </c>
      <c r="E3781">
        <v>20.46</v>
      </c>
      <c r="F3781">
        <v>25.09</v>
      </c>
      <c r="G3781">
        <v>17.39</v>
      </c>
      <c r="H3781">
        <v>3.2</v>
      </c>
      <c r="I3781">
        <v>0.087</v>
      </c>
      <c r="J3781">
        <v>20.53</v>
      </c>
      <c r="K3781">
        <v>24.64</v>
      </c>
      <c r="L3781">
        <v>17.96</v>
      </c>
      <c r="M3781">
        <v>3.04</v>
      </c>
      <c r="N3781">
        <v>1.49</v>
      </c>
      <c r="O3781">
        <v>21.17</v>
      </c>
      <c r="P3781">
        <v>24.83</v>
      </c>
      <c r="Q3781">
        <v>18.52</v>
      </c>
      <c r="R3781">
        <v>7.95</v>
      </c>
    </row>
    <row r="3782">
      <c r="A3782" s="9">
        <v>42313</v>
      </c>
      <c r="B3782" s="2" t="inlineStr">
        <is>
          <t xml:space="preserve">2015-11</t>
        </is>
      </c>
      <c r="C3782" s="2" t="inlineStr">
        <is>
          <t xml:space="preserve">2015/16</t>
        </is>
      </c>
      <c r="D3782">
        <v>3.381</v>
      </c>
      <c r="E3782">
        <v>20.69</v>
      </c>
      <c r="F3782">
        <v>25.71</v>
      </c>
      <c r="G3782">
        <v>16.22</v>
      </c>
      <c r="H3782">
        <v>2.4</v>
      </c>
      <c r="I3782">
        <v>0.186</v>
      </c>
      <c r="J3782">
        <v>20.97</v>
      </c>
      <c r="K3782">
        <v>25.78</v>
      </c>
      <c r="L3782">
        <v>16.93</v>
      </c>
      <c r="M3782">
        <v>1.93</v>
      </c>
      <c r="N3782">
        <v>2.007</v>
      </c>
      <c r="O3782">
        <v>20.99</v>
      </c>
      <c r="P3782">
        <v>25.58</v>
      </c>
      <c r="Q3782">
        <v>17.52</v>
      </c>
      <c r="R3782">
        <v>6.92</v>
      </c>
    </row>
    <row r="3783">
      <c r="A3783" s="9">
        <v>42314</v>
      </c>
      <c r="B3783" s="2" t="inlineStr">
        <is>
          <t xml:space="preserve">2015-11</t>
        </is>
      </c>
      <c r="C3783" s="2" t="inlineStr">
        <is>
          <t xml:space="preserve">2015/16</t>
        </is>
      </c>
      <c r="D3783">
        <v>1.85</v>
      </c>
      <c r="E3783">
        <v>21.7</v>
      </c>
      <c r="F3783">
        <v>26.29</v>
      </c>
      <c r="G3783">
        <v>18.43</v>
      </c>
      <c r="H3783">
        <v>3.96</v>
      </c>
      <c r="I3783">
        <v>0.165</v>
      </c>
      <c r="J3783">
        <v>21.87</v>
      </c>
      <c r="K3783">
        <v>26.24</v>
      </c>
      <c r="L3783">
        <v>18.42</v>
      </c>
      <c r="M3783">
        <v>1.15</v>
      </c>
      <c r="N3783">
        <v>0.0</v>
      </c>
      <c r="O3783">
        <v>22.05</v>
      </c>
      <c r="P3783">
        <v>25.76</v>
      </c>
      <c r="Q3783">
        <v>19.52</v>
      </c>
      <c r="R3783">
        <v>0.75</v>
      </c>
    </row>
    <row r="3784">
      <c r="A3784" s="9">
        <v>42315</v>
      </c>
      <c r="B3784" s="2" t="inlineStr">
        <is>
          <t xml:space="preserve">2015-11</t>
        </is>
      </c>
      <c r="C3784" s="2" t="inlineStr">
        <is>
          <t xml:space="preserve">2015/16</t>
        </is>
      </c>
      <c r="D3784">
        <v>2.502</v>
      </c>
      <c r="E3784">
        <v>21.17</v>
      </c>
      <c r="F3784">
        <v>26.61</v>
      </c>
      <c r="G3784">
        <v>16.83</v>
      </c>
      <c r="H3784">
        <v>1.19</v>
      </c>
      <c r="I3784">
        <v>0.478</v>
      </c>
      <c r="J3784">
        <v>21.89</v>
      </c>
      <c r="K3784">
        <v>25.27</v>
      </c>
      <c r="L3784">
        <v>20.05</v>
      </c>
      <c r="M3784">
        <v>0.36</v>
      </c>
      <c r="N3784">
        <v>0.213</v>
      </c>
      <c r="O3784">
        <v>22.89</v>
      </c>
      <c r="P3784">
        <v>27.21</v>
      </c>
      <c r="Q3784">
        <v>20.7</v>
      </c>
      <c r="R3784">
        <v>0.39</v>
      </c>
    </row>
    <row r="3785">
      <c r="A3785" s="9">
        <v>42316</v>
      </c>
      <c r="B3785" s="2" t="inlineStr">
        <is>
          <t xml:space="preserve">2015-11</t>
        </is>
      </c>
      <c r="C3785" s="2" t="inlineStr">
        <is>
          <t xml:space="preserve">2015/16</t>
        </is>
      </c>
      <c r="D3785">
        <v>1.023</v>
      </c>
      <c r="E3785">
        <v>21.36</v>
      </c>
      <c r="F3785">
        <v>26.66</v>
      </c>
      <c r="G3785">
        <v>17.5</v>
      </c>
      <c r="H3785">
        <v>0.49</v>
      </c>
      <c r="I3785">
        <v>0.075</v>
      </c>
      <c r="J3785">
        <v>22.2</v>
      </c>
      <c r="K3785">
        <v>26.21</v>
      </c>
      <c r="L3785">
        <v>19.29</v>
      </c>
      <c r="M3785">
        <v>0.64</v>
      </c>
      <c r="N3785">
        <v>0.0</v>
      </c>
      <c r="O3785">
        <v>22.61</v>
      </c>
      <c r="P3785">
        <v>26.24</v>
      </c>
      <c r="Q3785">
        <v>20.44</v>
      </c>
      <c r="R3785">
        <v>0.39</v>
      </c>
    </row>
    <row r="3786">
      <c r="A3786" s="9">
        <v>42317</v>
      </c>
      <c r="B3786" s="2" t="inlineStr">
        <is>
          <t xml:space="preserve">2015-11</t>
        </is>
      </c>
      <c r="C3786" s="2" t="inlineStr">
        <is>
          <t xml:space="preserve">2015/16</t>
        </is>
      </c>
      <c r="D3786">
        <v>0.0</v>
      </c>
      <c r="E3786">
        <v>21.38</v>
      </c>
      <c r="F3786">
        <v>26.13</v>
      </c>
      <c r="G3786">
        <v>17.59</v>
      </c>
      <c r="H3786">
        <v>1.19</v>
      </c>
      <c r="I3786">
        <v>1.808</v>
      </c>
      <c r="J3786">
        <v>21.83</v>
      </c>
      <c r="K3786">
        <v>26.24</v>
      </c>
      <c r="L3786">
        <v>18.53</v>
      </c>
      <c r="M3786">
        <v>1.83</v>
      </c>
      <c r="N3786">
        <v>0.315</v>
      </c>
      <c r="O3786">
        <v>22.34</v>
      </c>
      <c r="P3786">
        <v>26.02</v>
      </c>
      <c r="Q3786">
        <v>19.63</v>
      </c>
      <c r="R3786">
        <v>4.5</v>
      </c>
    </row>
    <row r="3787">
      <c r="A3787" s="9">
        <v>42318</v>
      </c>
      <c r="B3787" s="2" t="inlineStr">
        <is>
          <t xml:space="preserve">2015-11</t>
        </is>
      </c>
      <c r="C3787" s="2" t="inlineStr">
        <is>
          <t xml:space="preserve">2015/16</t>
        </is>
      </c>
      <c r="D3787">
        <v>0.397</v>
      </c>
      <c r="E3787">
        <v>21.47</v>
      </c>
      <c r="F3787">
        <v>25.68</v>
      </c>
      <c r="G3787">
        <v>18.57</v>
      </c>
      <c r="H3787">
        <v>3.56</v>
      </c>
      <c r="I3787">
        <v>0.105</v>
      </c>
      <c r="J3787">
        <v>22.11</v>
      </c>
      <c r="K3787">
        <v>26.4</v>
      </c>
      <c r="L3787">
        <v>19.41</v>
      </c>
      <c r="M3787">
        <v>5.93</v>
      </c>
      <c r="N3787">
        <v>3.019</v>
      </c>
      <c r="O3787">
        <v>22.58</v>
      </c>
      <c r="P3787">
        <v>25.9</v>
      </c>
      <c r="Q3787">
        <v>20.71</v>
      </c>
      <c r="R3787">
        <v>14.14</v>
      </c>
    </row>
    <row r="3788">
      <c r="A3788" s="9">
        <v>42319</v>
      </c>
      <c r="B3788" s="2" t="inlineStr">
        <is>
          <t xml:space="preserve">2015-11</t>
        </is>
      </c>
      <c r="C3788" s="2" t="inlineStr">
        <is>
          <t xml:space="preserve">2015/16</t>
        </is>
      </c>
      <c r="D3788">
        <v>1.221</v>
      </c>
      <c r="E3788">
        <v>20.14</v>
      </c>
      <c r="F3788">
        <v>23.97</v>
      </c>
      <c r="G3788">
        <v>17.7</v>
      </c>
      <c r="H3788">
        <v>2.78</v>
      </c>
      <c r="I3788">
        <v>0.403</v>
      </c>
      <c r="J3788">
        <v>21.47</v>
      </c>
      <c r="K3788">
        <v>24.7</v>
      </c>
      <c r="L3788">
        <v>18.85</v>
      </c>
      <c r="M3788">
        <v>2.81</v>
      </c>
      <c r="N3788">
        <v>2.788</v>
      </c>
      <c r="O3788">
        <v>21.96</v>
      </c>
      <c r="P3788">
        <v>25.19</v>
      </c>
      <c r="Q3788">
        <v>20.16</v>
      </c>
      <c r="R3788">
        <v>7.27</v>
      </c>
    </row>
    <row r="3789">
      <c r="A3789" s="9">
        <v>42320</v>
      </c>
      <c r="B3789" s="2" t="inlineStr">
        <is>
          <t xml:space="preserve">2015-11</t>
        </is>
      </c>
      <c r="C3789" s="2" t="inlineStr">
        <is>
          <t xml:space="preserve">2015/16</t>
        </is>
      </c>
      <c r="D3789">
        <v>1.373</v>
      </c>
      <c r="E3789">
        <v>20.23</v>
      </c>
      <c r="F3789">
        <v>24.62</v>
      </c>
      <c r="G3789">
        <v>16.87</v>
      </c>
      <c r="H3789">
        <v>2.0</v>
      </c>
      <c r="I3789">
        <v>1.616</v>
      </c>
      <c r="J3789">
        <v>21.44</v>
      </c>
      <c r="K3789">
        <v>24.64</v>
      </c>
      <c r="L3789">
        <v>19.19</v>
      </c>
      <c r="M3789">
        <v>2.31</v>
      </c>
      <c r="N3789">
        <v>1.539</v>
      </c>
      <c r="O3789">
        <v>21.74</v>
      </c>
      <c r="P3789">
        <v>25.11</v>
      </c>
      <c r="Q3789">
        <v>19.68</v>
      </c>
      <c r="R3789">
        <v>4.36</v>
      </c>
    </row>
    <row r="3790">
      <c r="A3790" s="9">
        <v>42321</v>
      </c>
      <c r="B3790" s="2" t="inlineStr">
        <is>
          <t xml:space="preserve">2015-11</t>
        </is>
      </c>
      <c r="C3790" s="2" t="inlineStr">
        <is>
          <t xml:space="preserve">2015/16</t>
        </is>
      </c>
      <c r="D3790">
        <v>1.515</v>
      </c>
      <c r="E3790">
        <v>21.19</v>
      </c>
      <c r="F3790">
        <v>25.59</v>
      </c>
      <c r="G3790">
        <v>18.07</v>
      </c>
      <c r="H3790">
        <v>3.77</v>
      </c>
      <c r="I3790">
        <v>0.314</v>
      </c>
      <c r="J3790">
        <v>21.58</v>
      </c>
      <c r="K3790">
        <v>24.7</v>
      </c>
      <c r="L3790">
        <v>19.46</v>
      </c>
      <c r="M3790">
        <v>3.98</v>
      </c>
      <c r="N3790">
        <v>2.233</v>
      </c>
      <c r="O3790">
        <v>21.48</v>
      </c>
      <c r="P3790">
        <v>23.8</v>
      </c>
      <c r="Q3790">
        <v>20.27</v>
      </c>
      <c r="R3790">
        <v>10.96</v>
      </c>
    </row>
    <row r="3791">
      <c r="A3791" s="9">
        <v>42322</v>
      </c>
      <c r="B3791" s="2" t="inlineStr">
        <is>
          <t xml:space="preserve">2015-11</t>
        </is>
      </c>
      <c r="C3791" s="2" t="inlineStr">
        <is>
          <t xml:space="preserve">2015/16</t>
        </is>
      </c>
      <c r="D3791">
        <v>0.657</v>
      </c>
      <c r="E3791">
        <v>20.01</v>
      </c>
      <c r="F3791">
        <v>23.29</v>
      </c>
      <c r="G3791">
        <v>17.87</v>
      </c>
      <c r="H3791">
        <v>3.26</v>
      </c>
      <c r="I3791">
        <v>2.512</v>
      </c>
      <c r="J3791">
        <v>20.76</v>
      </c>
      <c r="K3791">
        <v>22.78</v>
      </c>
      <c r="L3791">
        <v>19.41</v>
      </c>
      <c r="M3791">
        <v>3.75</v>
      </c>
      <c r="N3791">
        <v>1.079</v>
      </c>
      <c r="O3791">
        <v>21.06</v>
      </c>
      <c r="P3791">
        <v>23.67</v>
      </c>
      <c r="Q3791">
        <v>19.83</v>
      </c>
      <c r="R3791">
        <v>7.41</v>
      </c>
    </row>
    <row r="3792">
      <c r="A3792" s="9">
        <v>42323</v>
      </c>
      <c r="B3792" s="2" t="inlineStr">
        <is>
          <t xml:space="preserve">2015-11</t>
        </is>
      </c>
      <c r="C3792" s="2" t="inlineStr">
        <is>
          <t xml:space="preserve">2015/16</t>
        </is>
      </c>
      <c r="D3792">
        <v>1.224</v>
      </c>
      <c r="E3792">
        <v>20.62</v>
      </c>
      <c r="F3792">
        <v>25.36</v>
      </c>
      <c r="G3792">
        <v>17.41</v>
      </c>
      <c r="H3792">
        <v>5.59</v>
      </c>
      <c r="I3792">
        <v>2.178</v>
      </c>
      <c r="J3792">
        <v>21.14</v>
      </c>
      <c r="K3792">
        <v>25.39</v>
      </c>
      <c r="L3792">
        <v>18.39</v>
      </c>
      <c r="M3792">
        <v>3.42</v>
      </c>
      <c r="N3792">
        <v>2.667</v>
      </c>
      <c r="O3792">
        <v>21.34</v>
      </c>
      <c r="P3792">
        <v>25.2</v>
      </c>
      <c r="Q3792">
        <v>18.81</v>
      </c>
      <c r="R3792">
        <v>7.58</v>
      </c>
    </row>
    <row r="3793">
      <c r="A3793" s="9">
        <v>42324</v>
      </c>
      <c r="B3793" s="2" t="inlineStr">
        <is>
          <t xml:space="preserve">2015-11</t>
        </is>
      </c>
      <c r="C3793" s="2" t="inlineStr">
        <is>
          <t xml:space="preserve">2015/16</t>
        </is>
      </c>
      <c r="D3793">
        <v>0.33</v>
      </c>
      <c r="E3793">
        <v>20.65</v>
      </c>
      <c r="F3793">
        <v>25.46</v>
      </c>
      <c r="G3793">
        <v>17.19</v>
      </c>
      <c r="H3793">
        <v>0.99</v>
      </c>
      <c r="I3793">
        <v>0.047</v>
      </c>
      <c r="J3793">
        <v>21.15</v>
      </c>
      <c r="K3793">
        <v>25.4</v>
      </c>
      <c r="L3793">
        <v>18.32</v>
      </c>
      <c r="M3793">
        <v>1.12</v>
      </c>
      <c r="N3793">
        <v>1.376</v>
      </c>
      <c r="O3793">
        <v>21.26</v>
      </c>
      <c r="P3793">
        <v>25.13</v>
      </c>
      <c r="Q3793">
        <v>18.96</v>
      </c>
      <c r="R3793">
        <v>2.79</v>
      </c>
    </row>
    <row r="3794">
      <c r="A3794" s="9">
        <v>42325</v>
      </c>
      <c r="B3794" s="2" t="inlineStr">
        <is>
          <t xml:space="preserve">2015-11</t>
        </is>
      </c>
      <c r="C3794" s="2" t="inlineStr">
        <is>
          <t xml:space="preserve">2015/16</t>
        </is>
      </c>
      <c r="D3794">
        <v>0.241</v>
      </c>
      <c r="E3794">
        <v>21.35</v>
      </c>
      <c r="F3794">
        <v>26.61</v>
      </c>
      <c r="G3794">
        <v>17.68</v>
      </c>
      <c r="H3794">
        <v>2.18</v>
      </c>
      <c r="I3794">
        <v>0.0</v>
      </c>
      <c r="J3794">
        <v>22.18</v>
      </c>
      <c r="K3794">
        <v>27.26</v>
      </c>
      <c r="L3794">
        <v>17.68</v>
      </c>
      <c r="M3794">
        <v>0.0</v>
      </c>
      <c r="N3794">
        <v>0.0</v>
      </c>
      <c r="O3794">
        <v>22.31</v>
      </c>
      <c r="P3794">
        <v>27.47</v>
      </c>
      <c r="Q3794">
        <v>18.45</v>
      </c>
      <c r="R3794">
        <v>0.39</v>
      </c>
    </row>
    <row r="3795">
      <c r="A3795" s="9">
        <v>42326</v>
      </c>
      <c r="B3795" s="2" t="inlineStr">
        <is>
          <t xml:space="preserve">2015-11</t>
        </is>
      </c>
      <c r="C3795" s="2" t="inlineStr">
        <is>
          <t xml:space="preserve">2015/16</t>
        </is>
      </c>
      <c r="D3795">
        <v>0.13</v>
      </c>
      <c r="E3795">
        <v>22.03</v>
      </c>
      <c r="F3795">
        <v>27.6</v>
      </c>
      <c r="G3795">
        <v>17.49</v>
      </c>
      <c r="H3795">
        <v>2.66</v>
      </c>
      <c r="I3795">
        <v>0.0</v>
      </c>
      <c r="J3795">
        <v>23.22</v>
      </c>
      <c r="K3795">
        <v>28.45</v>
      </c>
      <c r="L3795">
        <v>19.52</v>
      </c>
      <c r="M3795">
        <v>0.27</v>
      </c>
      <c r="N3795">
        <v>0.0</v>
      </c>
      <c r="O3795">
        <v>23.35</v>
      </c>
      <c r="P3795">
        <v>28.22</v>
      </c>
      <c r="Q3795">
        <v>19.81</v>
      </c>
      <c r="R3795">
        <v>0.89</v>
      </c>
    </row>
    <row r="3796">
      <c r="A3796" s="9">
        <v>42327</v>
      </c>
      <c r="B3796" s="2" t="inlineStr">
        <is>
          <t xml:space="preserve">2015-11</t>
        </is>
      </c>
      <c r="C3796" s="2" t="inlineStr">
        <is>
          <t xml:space="preserve">2015/16</t>
        </is>
      </c>
      <c r="D3796">
        <v>2.79</v>
      </c>
      <c r="E3796">
        <v>22.38</v>
      </c>
      <c r="F3796">
        <v>26.63</v>
      </c>
      <c r="G3796">
        <v>19.44</v>
      </c>
      <c r="H3796">
        <v>12.61</v>
      </c>
      <c r="I3796">
        <v>0.198</v>
      </c>
      <c r="J3796">
        <v>21.95</v>
      </c>
      <c r="K3796">
        <v>24.57</v>
      </c>
      <c r="L3796">
        <v>19.36</v>
      </c>
      <c r="M3796">
        <v>3.23</v>
      </c>
      <c r="N3796">
        <v>0.647</v>
      </c>
      <c r="O3796">
        <v>22.67</v>
      </c>
      <c r="P3796">
        <v>25.9</v>
      </c>
      <c r="Q3796">
        <v>20.45</v>
      </c>
      <c r="R3796">
        <v>7.42</v>
      </c>
    </row>
    <row r="3797">
      <c r="A3797" s="9">
        <v>42328</v>
      </c>
      <c r="B3797" s="2" t="inlineStr">
        <is>
          <t xml:space="preserve">2015-11</t>
        </is>
      </c>
      <c r="C3797" s="2" t="inlineStr">
        <is>
          <t xml:space="preserve">2015/16</t>
        </is>
      </c>
      <c r="D3797">
        <v>11.674</v>
      </c>
      <c r="E3797">
        <v>21.86</v>
      </c>
      <c r="F3797">
        <v>26.25</v>
      </c>
      <c r="G3797">
        <v>18.82</v>
      </c>
      <c r="H3797">
        <v>7.39</v>
      </c>
      <c r="I3797">
        <v>4.853</v>
      </c>
      <c r="J3797">
        <v>22.8</v>
      </c>
      <c r="K3797">
        <v>27.02</v>
      </c>
      <c r="L3797">
        <v>20.47</v>
      </c>
      <c r="M3797">
        <v>15.31</v>
      </c>
      <c r="N3797">
        <v>8.522</v>
      </c>
      <c r="O3797">
        <v>23.11</v>
      </c>
      <c r="P3797">
        <v>27.15</v>
      </c>
      <c r="Q3797">
        <v>21.03</v>
      </c>
      <c r="R3797">
        <v>8.14</v>
      </c>
    </row>
    <row r="3798">
      <c r="A3798" s="9">
        <v>42329</v>
      </c>
      <c r="B3798" s="2" t="inlineStr">
        <is>
          <t xml:space="preserve">2015-11</t>
        </is>
      </c>
      <c r="C3798" s="2" t="inlineStr">
        <is>
          <t xml:space="preserve">2015/16</t>
        </is>
      </c>
      <c r="D3798">
        <v>1.954</v>
      </c>
      <c r="E3798">
        <v>21.46</v>
      </c>
      <c r="F3798">
        <v>25.82</v>
      </c>
      <c r="G3798">
        <v>18.15</v>
      </c>
      <c r="H3798">
        <v>4.66</v>
      </c>
      <c r="I3798">
        <v>22.579</v>
      </c>
      <c r="J3798">
        <v>22.33</v>
      </c>
      <c r="K3798">
        <v>25.34</v>
      </c>
      <c r="L3798">
        <v>20.76</v>
      </c>
      <c r="M3798">
        <v>11.74</v>
      </c>
      <c r="N3798">
        <v>25.386</v>
      </c>
      <c r="O3798">
        <v>22.48</v>
      </c>
      <c r="P3798">
        <v>25.83</v>
      </c>
      <c r="Q3798">
        <v>20.62</v>
      </c>
      <c r="R3798">
        <v>8.67</v>
      </c>
    </row>
    <row r="3799">
      <c r="A3799" s="9">
        <v>42330</v>
      </c>
      <c r="B3799" s="2" t="inlineStr">
        <is>
          <t xml:space="preserve">2015-11</t>
        </is>
      </c>
      <c r="C3799" s="2" t="inlineStr">
        <is>
          <t xml:space="preserve">2015/16</t>
        </is>
      </c>
      <c r="D3799">
        <v>3.056</v>
      </c>
      <c r="E3799">
        <v>21.2</v>
      </c>
      <c r="F3799">
        <v>25.92</v>
      </c>
      <c r="G3799">
        <v>17.75</v>
      </c>
      <c r="H3799">
        <v>1.99</v>
      </c>
      <c r="I3799">
        <v>17.73</v>
      </c>
      <c r="J3799">
        <v>21.65</v>
      </c>
      <c r="K3799">
        <v>23.9</v>
      </c>
      <c r="L3799">
        <v>20.13</v>
      </c>
      <c r="M3799">
        <v>17.29</v>
      </c>
      <c r="N3799">
        <v>23.231</v>
      </c>
      <c r="O3799">
        <v>22.2</v>
      </c>
      <c r="P3799">
        <v>25.03</v>
      </c>
      <c r="Q3799">
        <v>20.35</v>
      </c>
      <c r="R3799">
        <v>8.15</v>
      </c>
    </row>
    <row r="3800">
      <c r="A3800" s="9">
        <v>42331</v>
      </c>
      <c r="B3800" s="2" t="inlineStr">
        <is>
          <t xml:space="preserve">2015-11</t>
        </is>
      </c>
      <c r="C3800" s="2" t="inlineStr">
        <is>
          <t xml:space="preserve">2015/16</t>
        </is>
      </c>
      <c r="D3800">
        <v>0.0</v>
      </c>
      <c r="E3800">
        <v>20.95</v>
      </c>
      <c r="F3800">
        <v>25.35</v>
      </c>
      <c r="G3800">
        <v>17.68</v>
      </c>
      <c r="H3800">
        <v>0.41</v>
      </c>
      <c r="I3800">
        <v>5.987</v>
      </c>
      <c r="J3800">
        <v>21.55</v>
      </c>
      <c r="K3800">
        <v>26.01</v>
      </c>
      <c r="L3800">
        <v>18.4</v>
      </c>
      <c r="M3800">
        <v>2.07</v>
      </c>
      <c r="N3800">
        <v>0.854</v>
      </c>
      <c r="O3800">
        <v>21.89</v>
      </c>
      <c r="P3800">
        <v>25.81</v>
      </c>
      <c r="Q3800">
        <v>19.85</v>
      </c>
      <c r="R3800">
        <v>2.42</v>
      </c>
    </row>
    <row r="3801">
      <c r="A3801" s="9">
        <v>42332</v>
      </c>
      <c r="B3801" s="2" t="inlineStr">
        <is>
          <t xml:space="preserve">2015-11</t>
        </is>
      </c>
      <c r="C3801" s="2" t="inlineStr">
        <is>
          <t xml:space="preserve">2015/16</t>
        </is>
      </c>
      <c r="D3801">
        <v>0.126</v>
      </c>
      <c r="E3801">
        <v>20.88</v>
      </c>
      <c r="F3801">
        <v>25.59</v>
      </c>
      <c r="G3801">
        <v>17.65</v>
      </c>
      <c r="H3801">
        <v>0.48</v>
      </c>
      <c r="I3801">
        <v>0.0</v>
      </c>
      <c r="J3801">
        <v>21.62</v>
      </c>
      <c r="K3801">
        <v>25.99</v>
      </c>
      <c r="L3801">
        <v>18.96</v>
      </c>
      <c r="M3801">
        <v>0.08</v>
      </c>
      <c r="N3801">
        <v>0.0</v>
      </c>
      <c r="O3801">
        <v>21.78</v>
      </c>
      <c r="P3801">
        <v>25.88</v>
      </c>
      <c r="Q3801">
        <v>19.11</v>
      </c>
      <c r="R3801">
        <v>0.87</v>
      </c>
    </row>
    <row r="3802">
      <c r="A3802" s="9">
        <v>42333</v>
      </c>
      <c r="B3802" s="2" t="inlineStr">
        <is>
          <t xml:space="preserve">2015-11</t>
        </is>
      </c>
      <c r="C3802" s="2" t="inlineStr">
        <is>
          <t xml:space="preserve">2015/16</t>
        </is>
      </c>
      <c r="D3802">
        <v>0.0</v>
      </c>
      <c r="E3802">
        <v>20.56</v>
      </c>
      <c r="F3802">
        <v>25.4</v>
      </c>
      <c r="G3802">
        <v>17.26</v>
      </c>
      <c r="H3802">
        <v>0.62</v>
      </c>
      <c r="I3802">
        <v>0.0</v>
      </c>
      <c r="J3802">
        <v>20.88</v>
      </c>
      <c r="K3802">
        <v>25.81</v>
      </c>
      <c r="L3802">
        <v>17.33</v>
      </c>
      <c r="M3802">
        <v>0.16</v>
      </c>
      <c r="N3802">
        <v>0.224</v>
      </c>
      <c r="O3802">
        <v>20.87</v>
      </c>
      <c r="P3802">
        <v>25.18</v>
      </c>
      <c r="Q3802">
        <v>17.89</v>
      </c>
      <c r="R3802">
        <v>1.85</v>
      </c>
    </row>
    <row r="3803">
      <c r="A3803" s="9">
        <v>42334</v>
      </c>
      <c r="B3803" s="2" t="inlineStr">
        <is>
          <t xml:space="preserve">2015-11</t>
        </is>
      </c>
      <c r="C3803" s="2" t="inlineStr">
        <is>
          <t xml:space="preserve">2015/16</t>
        </is>
      </c>
      <c r="D3803">
        <v>0.32</v>
      </c>
      <c r="E3803">
        <v>20.63</v>
      </c>
      <c r="F3803">
        <v>25.13</v>
      </c>
      <c r="G3803">
        <v>17.32</v>
      </c>
      <c r="H3803">
        <v>0.47</v>
      </c>
      <c r="I3803">
        <v>0.0</v>
      </c>
      <c r="J3803">
        <v>21.26</v>
      </c>
      <c r="K3803">
        <v>26.0</v>
      </c>
      <c r="L3803">
        <v>17.86</v>
      </c>
      <c r="M3803">
        <v>0.24</v>
      </c>
      <c r="N3803">
        <v>0.0</v>
      </c>
      <c r="O3803">
        <v>21.28</v>
      </c>
      <c r="P3803">
        <v>25.13</v>
      </c>
      <c r="Q3803">
        <v>18.27</v>
      </c>
      <c r="R3803">
        <v>1.29</v>
      </c>
    </row>
    <row r="3804">
      <c r="A3804" s="9">
        <v>42335</v>
      </c>
      <c r="B3804" s="2" t="inlineStr">
        <is>
          <t xml:space="preserve">2015-11</t>
        </is>
      </c>
      <c r="C3804" s="2" t="inlineStr">
        <is>
          <t xml:space="preserve">2015/16</t>
        </is>
      </c>
      <c r="D3804">
        <v>0.136</v>
      </c>
      <c r="E3804">
        <v>20.13</v>
      </c>
      <c r="F3804">
        <v>24.83</v>
      </c>
      <c r="G3804">
        <v>17.15</v>
      </c>
      <c r="H3804">
        <v>0.82</v>
      </c>
      <c r="I3804">
        <v>0.068</v>
      </c>
      <c r="J3804">
        <v>20.9</v>
      </c>
      <c r="K3804">
        <v>25.55</v>
      </c>
      <c r="L3804">
        <v>17.31</v>
      </c>
      <c r="M3804">
        <v>1.08</v>
      </c>
      <c r="N3804">
        <v>0.966</v>
      </c>
      <c r="O3804">
        <v>20.9</v>
      </c>
      <c r="P3804">
        <v>24.89</v>
      </c>
      <c r="Q3804">
        <v>18.13</v>
      </c>
      <c r="R3804">
        <v>2.61</v>
      </c>
    </row>
    <row r="3805">
      <c r="A3805" s="9">
        <v>42336</v>
      </c>
      <c r="B3805" s="2" t="inlineStr">
        <is>
          <t xml:space="preserve">2015-11</t>
        </is>
      </c>
      <c r="C3805" s="2" t="inlineStr">
        <is>
          <t xml:space="preserve">2015/16</t>
        </is>
      </c>
      <c r="D3805">
        <v>0.0</v>
      </c>
      <c r="E3805">
        <v>19.2</v>
      </c>
      <c r="F3805">
        <v>24.34</v>
      </c>
      <c r="G3805">
        <v>16.01</v>
      </c>
      <c r="H3805">
        <v>0.98</v>
      </c>
      <c r="I3805">
        <v>0.453</v>
      </c>
      <c r="J3805">
        <v>19.7</v>
      </c>
      <c r="K3805">
        <v>24.72</v>
      </c>
      <c r="L3805">
        <v>16.52</v>
      </c>
      <c r="M3805">
        <v>2.22</v>
      </c>
      <c r="N3805">
        <v>2.196</v>
      </c>
      <c r="O3805">
        <v>19.96</v>
      </c>
      <c r="P3805">
        <v>24.18</v>
      </c>
      <c r="Q3805">
        <v>17.3</v>
      </c>
      <c r="R3805">
        <v>5.43</v>
      </c>
    </row>
    <row r="3806">
      <c r="A3806" s="9">
        <v>42337</v>
      </c>
      <c r="B3806" s="2" t="inlineStr">
        <is>
          <t xml:space="preserve">2015-11</t>
        </is>
      </c>
      <c r="C3806" s="2" t="inlineStr">
        <is>
          <t xml:space="preserve">2015/16</t>
        </is>
      </c>
      <c r="D3806">
        <v>0.05</v>
      </c>
      <c r="E3806">
        <v>17.8</v>
      </c>
      <c r="F3806">
        <v>23.22</v>
      </c>
      <c r="G3806">
        <v>14.53</v>
      </c>
      <c r="H3806">
        <v>0.72</v>
      </c>
      <c r="I3806">
        <v>1.395</v>
      </c>
      <c r="J3806">
        <v>18.38</v>
      </c>
      <c r="K3806">
        <v>22.66</v>
      </c>
      <c r="L3806">
        <v>15.18</v>
      </c>
      <c r="M3806">
        <v>2.32</v>
      </c>
      <c r="N3806">
        <v>2.219</v>
      </c>
      <c r="O3806">
        <v>18.75</v>
      </c>
      <c r="P3806">
        <v>22.39</v>
      </c>
      <c r="Q3806">
        <v>16.38</v>
      </c>
      <c r="R3806">
        <v>3.87</v>
      </c>
    </row>
    <row r="3807">
      <c r="A3807" s="9">
        <v>42338</v>
      </c>
      <c r="B3807" s="2" t="inlineStr">
        <is>
          <t xml:space="preserve">2015-11</t>
        </is>
      </c>
      <c r="C3807" s="2" t="inlineStr">
        <is>
          <t xml:space="preserve">2015/16</t>
        </is>
      </c>
      <c r="D3807">
        <v>0.0</v>
      </c>
      <c r="E3807">
        <v>18.22</v>
      </c>
      <c r="F3807">
        <v>23.82</v>
      </c>
      <c r="G3807">
        <v>13.93</v>
      </c>
      <c r="H3807">
        <v>0.57</v>
      </c>
      <c r="I3807">
        <v>0.534</v>
      </c>
      <c r="J3807">
        <v>18.29</v>
      </c>
      <c r="K3807">
        <v>23.42</v>
      </c>
      <c r="L3807">
        <v>14.96</v>
      </c>
      <c r="M3807">
        <v>1.84</v>
      </c>
      <c r="N3807">
        <v>2.534</v>
      </c>
      <c r="O3807">
        <v>18.5</v>
      </c>
      <c r="P3807">
        <v>22.94</v>
      </c>
      <c r="Q3807">
        <v>15.52</v>
      </c>
      <c r="R3807">
        <v>3.77</v>
      </c>
    </row>
    <row r="3808">
      <c r="A3808" s="9">
        <v>42339</v>
      </c>
      <c r="B3808" s="2" t="inlineStr">
        <is>
          <t xml:space="preserve">2015-12</t>
        </is>
      </c>
      <c r="C3808" s="2" t="inlineStr">
        <is>
          <t xml:space="preserve">2015/16</t>
        </is>
      </c>
      <c r="D3808">
        <v>0.0</v>
      </c>
      <c r="E3808">
        <v>19.19</v>
      </c>
      <c r="F3808">
        <v>24.59</v>
      </c>
      <c r="G3808">
        <v>15.11</v>
      </c>
      <c r="H3808">
        <v>0.06</v>
      </c>
      <c r="I3808">
        <v>0.445</v>
      </c>
      <c r="J3808">
        <v>19.43</v>
      </c>
      <c r="K3808">
        <v>24.96</v>
      </c>
      <c r="L3808">
        <v>15.45</v>
      </c>
      <c r="M3808">
        <v>0.57</v>
      </c>
      <c r="N3808">
        <v>1.65</v>
      </c>
      <c r="O3808">
        <v>19.8</v>
      </c>
      <c r="P3808">
        <v>24.6</v>
      </c>
      <c r="Q3808">
        <v>16.55</v>
      </c>
      <c r="R3808">
        <v>0.45</v>
      </c>
    </row>
    <row r="3809">
      <c r="A3809" s="9">
        <v>42340</v>
      </c>
      <c r="B3809" s="2" t="inlineStr">
        <is>
          <t xml:space="preserve">2015-12</t>
        </is>
      </c>
      <c r="C3809" s="2" t="inlineStr">
        <is>
          <t xml:space="preserve">2015/16</t>
        </is>
      </c>
      <c r="D3809">
        <v>0.0</v>
      </c>
      <c r="E3809">
        <v>20.36</v>
      </c>
      <c r="F3809">
        <v>25.94</v>
      </c>
      <c r="G3809">
        <v>16.01</v>
      </c>
      <c r="H3809">
        <v>0.21</v>
      </c>
      <c r="I3809">
        <v>0.0</v>
      </c>
      <c r="J3809">
        <v>20.59</v>
      </c>
      <c r="K3809">
        <v>26.09</v>
      </c>
      <c r="L3809">
        <v>16.15</v>
      </c>
      <c r="M3809">
        <v>0.15</v>
      </c>
      <c r="N3809">
        <v>0.0</v>
      </c>
      <c r="O3809">
        <v>20.78</v>
      </c>
      <c r="P3809">
        <v>25.77</v>
      </c>
      <c r="Q3809">
        <v>17.13</v>
      </c>
      <c r="R3809">
        <v>0.31</v>
      </c>
    </row>
    <row r="3810">
      <c r="A3810" s="9">
        <v>42341</v>
      </c>
      <c r="B3810" s="2" t="inlineStr">
        <is>
          <t xml:space="preserve">2015-12</t>
        </is>
      </c>
      <c r="C3810" s="2" t="inlineStr">
        <is>
          <t xml:space="preserve">2015/16</t>
        </is>
      </c>
      <c r="D3810">
        <v>0.092</v>
      </c>
      <c r="E3810">
        <v>20.77</v>
      </c>
      <c r="F3810">
        <v>25.89</v>
      </c>
      <c r="G3810">
        <v>17.16</v>
      </c>
      <c r="H3810">
        <v>0.75</v>
      </c>
      <c r="I3810">
        <v>0.061</v>
      </c>
      <c r="J3810">
        <v>20.58</v>
      </c>
      <c r="K3810">
        <v>25.47</v>
      </c>
      <c r="L3810">
        <v>17.23</v>
      </c>
      <c r="M3810">
        <v>0.52</v>
      </c>
      <c r="N3810">
        <v>0.809</v>
      </c>
      <c r="O3810">
        <v>20.7</v>
      </c>
      <c r="P3810">
        <v>25.1</v>
      </c>
      <c r="Q3810">
        <v>18.01</v>
      </c>
      <c r="R3810">
        <v>2.2</v>
      </c>
    </row>
    <row r="3811">
      <c r="A3811" s="9">
        <v>42342</v>
      </c>
      <c r="B3811" s="2" t="inlineStr">
        <is>
          <t xml:space="preserve">2015-12</t>
        </is>
      </c>
      <c r="C3811" s="2" t="inlineStr">
        <is>
          <t xml:space="preserve">2015/16</t>
        </is>
      </c>
      <c r="D3811">
        <v>0.0</v>
      </c>
      <c r="E3811">
        <v>20.39</v>
      </c>
      <c r="F3811">
        <v>25.35</v>
      </c>
      <c r="G3811">
        <v>16.7</v>
      </c>
      <c r="H3811">
        <v>0.98</v>
      </c>
      <c r="I3811">
        <v>0.0</v>
      </c>
      <c r="J3811">
        <v>19.94</v>
      </c>
      <c r="K3811">
        <v>23.82</v>
      </c>
      <c r="L3811">
        <v>17.24</v>
      </c>
      <c r="M3811">
        <v>0.94</v>
      </c>
      <c r="N3811">
        <v>0.0</v>
      </c>
      <c r="O3811">
        <v>20.36</v>
      </c>
      <c r="P3811">
        <v>24.12</v>
      </c>
      <c r="Q3811">
        <v>17.4</v>
      </c>
      <c r="R3811">
        <v>2.55</v>
      </c>
    </row>
    <row r="3812">
      <c r="A3812" s="9">
        <v>42343</v>
      </c>
      <c r="B3812" s="2" t="inlineStr">
        <is>
          <t xml:space="preserve">2015-12</t>
        </is>
      </c>
      <c r="C3812" s="2" t="inlineStr">
        <is>
          <t xml:space="preserve">2015/16</t>
        </is>
      </c>
      <c r="D3812">
        <v>0.929</v>
      </c>
      <c r="E3812">
        <v>20.54</v>
      </c>
      <c r="F3812">
        <v>24.83</v>
      </c>
      <c r="G3812">
        <v>17.9</v>
      </c>
      <c r="H3812">
        <v>11.33</v>
      </c>
      <c r="I3812">
        <v>1.809</v>
      </c>
      <c r="J3812">
        <v>19.98</v>
      </c>
      <c r="K3812">
        <v>23.65</v>
      </c>
      <c r="L3812">
        <v>17.61</v>
      </c>
      <c r="M3812">
        <v>5.21</v>
      </c>
      <c r="N3812">
        <v>8.348</v>
      </c>
      <c r="O3812">
        <v>20.28</v>
      </c>
      <c r="P3812">
        <v>23.31</v>
      </c>
      <c r="Q3812">
        <v>18.29</v>
      </c>
      <c r="R3812">
        <v>22.4</v>
      </c>
    </row>
    <row r="3813">
      <c r="A3813" s="9">
        <v>42344</v>
      </c>
      <c r="B3813" s="2" t="inlineStr">
        <is>
          <t xml:space="preserve">2015-12</t>
        </is>
      </c>
      <c r="C3813" s="2" t="inlineStr">
        <is>
          <t xml:space="preserve">2015/16</t>
        </is>
      </c>
      <c r="D3813">
        <v>0.558</v>
      </c>
      <c r="E3813">
        <v>20.11</v>
      </c>
      <c r="F3813">
        <v>24.25</v>
      </c>
      <c r="G3813">
        <v>17.49</v>
      </c>
      <c r="H3813">
        <v>3.12</v>
      </c>
      <c r="I3813">
        <v>1.352</v>
      </c>
      <c r="J3813">
        <v>20.15</v>
      </c>
      <c r="K3813">
        <v>24.23</v>
      </c>
      <c r="L3813">
        <v>17.66</v>
      </c>
      <c r="M3813">
        <v>1.44</v>
      </c>
      <c r="N3813">
        <v>2.137</v>
      </c>
      <c r="O3813">
        <v>20.35</v>
      </c>
      <c r="P3813">
        <v>24.13</v>
      </c>
      <c r="Q3813">
        <v>18.02</v>
      </c>
      <c r="R3813">
        <v>2.97</v>
      </c>
    </row>
    <row r="3814">
      <c r="A3814" s="9">
        <v>42345</v>
      </c>
      <c r="B3814" s="2" t="inlineStr">
        <is>
          <t xml:space="preserve">2015-12</t>
        </is>
      </c>
      <c r="C3814" s="2" t="inlineStr">
        <is>
          <t xml:space="preserve">2015/16</t>
        </is>
      </c>
      <c r="D3814">
        <v>1.619</v>
      </c>
      <c r="E3814">
        <v>20.17</v>
      </c>
      <c r="F3814">
        <v>24.45</v>
      </c>
      <c r="G3814">
        <v>17.59</v>
      </c>
      <c r="H3814">
        <v>4.99</v>
      </c>
      <c r="I3814">
        <v>1.368</v>
      </c>
      <c r="J3814">
        <v>19.54</v>
      </c>
      <c r="K3814">
        <v>23.1</v>
      </c>
      <c r="L3814">
        <v>17.22</v>
      </c>
      <c r="M3814">
        <v>4.26</v>
      </c>
      <c r="N3814">
        <v>5.619</v>
      </c>
      <c r="O3814">
        <v>19.65</v>
      </c>
      <c r="P3814">
        <v>22.96</v>
      </c>
      <c r="Q3814">
        <v>17.74</v>
      </c>
      <c r="R3814">
        <v>9.81</v>
      </c>
    </row>
    <row r="3815">
      <c r="A3815" s="9">
        <v>42346</v>
      </c>
      <c r="B3815" s="2" t="inlineStr">
        <is>
          <t xml:space="preserve">2015-12</t>
        </is>
      </c>
      <c r="C3815" s="2" t="inlineStr">
        <is>
          <t xml:space="preserve">2015/16</t>
        </is>
      </c>
      <c r="D3815">
        <v>1.46</v>
      </c>
      <c r="E3815">
        <v>19.94</v>
      </c>
      <c r="F3815">
        <v>24.81</v>
      </c>
      <c r="G3815">
        <v>16.86</v>
      </c>
      <c r="H3815">
        <v>3.04</v>
      </c>
      <c r="I3815">
        <v>1.247</v>
      </c>
      <c r="J3815">
        <v>19.95</v>
      </c>
      <c r="K3815">
        <v>24.76</v>
      </c>
      <c r="L3815">
        <v>16.74</v>
      </c>
      <c r="M3815">
        <v>2.04</v>
      </c>
      <c r="N3815">
        <v>5.303</v>
      </c>
      <c r="O3815">
        <v>19.97</v>
      </c>
      <c r="P3815">
        <v>24.19</v>
      </c>
      <c r="Q3815">
        <v>17.28</v>
      </c>
      <c r="R3815">
        <v>7.1</v>
      </c>
    </row>
    <row r="3816">
      <c r="A3816" s="9">
        <v>42347</v>
      </c>
      <c r="B3816" s="2" t="inlineStr">
        <is>
          <t xml:space="preserve">2015-12</t>
        </is>
      </c>
      <c r="C3816" s="2" t="inlineStr">
        <is>
          <t xml:space="preserve">2015/16</t>
        </is>
      </c>
      <c r="D3816">
        <v>0.0</v>
      </c>
      <c r="E3816">
        <v>20.33</v>
      </c>
      <c r="F3816">
        <v>25.46</v>
      </c>
      <c r="G3816">
        <v>16.53</v>
      </c>
      <c r="H3816">
        <v>0.04</v>
      </c>
      <c r="I3816">
        <v>0.0</v>
      </c>
      <c r="J3816">
        <v>20.35</v>
      </c>
      <c r="K3816">
        <v>25.31</v>
      </c>
      <c r="L3816">
        <v>16.92</v>
      </c>
      <c r="M3816">
        <v>0.28</v>
      </c>
      <c r="N3816">
        <v>0.163</v>
      </c>
      <c r="O3816">
        <v>20.42</v>
      </c>
      <c r="P3816">
        <v>24.98</v>
      </c>
      <c r="Q3816">
        <v>17.13</v>
      </c>
      <c r="R3816">
        <v>0.04</v>
      </c>
    </row>
    <row r="3817">
      <c r="A3817" s="9">
        <v>42348</v>
      </c>
      <c r="B3817" s="2" t="inlineStr">
        <is>
          <t xml:space="preserve">2015-12</t>
        </is>
      </c>
      <c r="C3817" s="2" t="inlineStr">
        <is>
          <t xml:space="preserve">2015/16</t>
        </is>
      </c>
      <c r="D3817">
        <v>0.0</v>
      </c>
      <c r="E3817">
        <v>20.54</v>
      </c>
      <c r="F3817">
        <v>25.52</v>
      </c>
      <c r="G3817">
        <v>17.13</v>
      </c>
      <c r="H3817">
        <v>0.0</v>
      </c>
      <c r="I3817">
        <v>0.0</v>
      </c>
      <c r="J3817">
        <v>20.62</v>
      </c>
      <c r="K3817">
        <v>25.56</v>
      </c>
      <c r="L3817">
        <v>16.99</v>
      </c>
      <c r="M3817">
        <v>0.01</v>
      </c>
      <c r="N3817">
        <v>0.0</v>
      </c>
      <c r="O3817">
        <v>20.67</v>
      </c>
      <c r="P3817">
        <v>25.31</v>
      </c>
      <c r="Q3817">
        <v>17.67</v>
      </c>
      <c r="R3817">
        <v>0.01</v>
      </c>
    </row>
    <row r="3818">
      <c r="A3818" s="9">
        <v>42349</v>
      </c>
      <c r="B3818" s="2" t="inlineStr">
        <is>
          <t xml:space="preserve">2015-12</t>
        </is>
      </c>
      <c r="C3818" s="2" t="inlineStr">
        <is>
          <t xml:space="preserve">2015/16</t>
        </is>
      </c>
      <c r="D3818">
        <v>0.0</v>
      </c>
      <c r="E3818">
        <v>20.29</v>
      </c>
      <c r="F3818">
        <v>25.61</v>
      </c>
      <c r="G3818">
        <v>16.2</v>
      </c>
      <c r="H3818">
        <v>0.0</v>
      </c>
      <c r="I3818">
        <v>0.0</v>
      </c>
      <c r="J3818">
        <v>20.43</v>
      </c>
      <c r="K3818">
        <v>25.39</v>
      </c>
      <c r="L3818">
        <v>17.19</v>
      </c>
      <c r="M3818">
        <v>0.01</v>
      </c>
      <c r="N3818">
        <v>0.0</v>
      </c>
      <c r="O3818">
        <v>20.51</v>
      </c>
      <c r="P3818">
        <v>24.75</v>
      </c>
      <c r="Q3818">
        <v>17.48</v>
      </c>
      <c r="R3818">
        <v>0.05</v>
      </c>
    </row>
    <row r="3819">
      <c r="A3819" s="9">
        <v>42350</v>
      </c>
      <c r="B3819" s="2" t="inlineStr">
        <is>
          <t xml:space="preserve">2015-12</t>
        </is>
      </c>
      <c r="C3819" s="2" t="inlineStr">
        <is>
          <t xml:space="preserve">2015/16</t>
        </is>
      </c>
      <c r="D3819">
        <v>0.0</v>
      </c>
      <c r="E3819">
        <v>21.29</v>
      </c>
      <c r="F3819">
        <v>26.71</v>
      </c>
      <c r="G3819">
        <v>17.34</v>
      </c>
      <c r="H3819">
        <v>0.03</v>
      </c>
      <c r="I3819">
        <v>0.0</v>
      </c>
      <c r="J3819">
        <v>21.45</v>
      </c>
      <c r="K3819">
        <v>26.71</v>
      </c>
      <c r="L3819">
        <v>17.03</v>
      </c>
      <c r="M3819">
        <v>0.0</v>
      </c>
      <c r="N3819">
        <v>0.0</v>
      </c>
      <c r="O3819">
        <v>21.62</v>
      </c>
      <c r="P3819">
        <v>26.35</v>
      </c>
      <c r="Q3819">
        <v>18.13</v>
      </c>
      <c r="R3819">
        <v>0.0</v>
      </c>
    </row>
    <row r="3820">
      <c r="A3820" s="9">
        <v>42351</v>
      </c>
      <c r="B3820" s="2" t="inlineStr">
        <is>
          <t xml:space="preserve">2015-12</t>
        </is>
      </c>
      <c r="C3820" s="2" t="inlineStr">
        <is>
          <t xml:space="preserve">2015/16</t>
        </is>
      </c>
      <c r="D3820">
        <v>0.079</v>
      </c>
      <c r="E3820">
        <v>21.86</v>
      </c>
      <c r="F3820">
        <v>27.34</v>
      </c>
      <c r="G3820">
        <v>17.35</v>
      </c>
      <c r="H3820">
        <v>0.86</v>
      </c>
      <c r="I3820">
        <v>0.0</v>
      </c>
      <c r="J3820">
        <v>22.74</v>
      </c>
      <c r="K3820">
        <v>27.6</v>
      </c>
      <c r="L3820">
        <v>19.15</v>
      </c>
      <c r="M3820">
        <v>0.5</v>
      </c>
      <c r="N3820">
        <v>0.0</v>
      </c>
      <c r="O3820">
        <v>23.25</v>
      </c>
      <c r="P3820">
        <v>27.88</v>
      </c>
      <c r="Q3820">
        <v>20.11</v>
      </c>
      <c r="R3820">
        <v>0.86</v>
      </c>
    </row>
    <row r="3821">
      <c r="A3821" s="9">
        <v>42352</v>
      </c>
      <c r="B3821" s="2" t="inlineStr">
        <is>
          <t xml:space="preserve">2015-12</t>
        </is>
      </c>
      <c r="C3821" s="2" t="inlineStr">
        <is>
          <t xml:space="preserve">2015/16</t>
        </is>
      </c>
      <c r="D3821">
        <v>3.954</v>
      </c>
      <c r="E3821">
        <v>22.49</v>
      </c>
      <c r="F3821">
        <v>27.82</v>
      </c>
      <c r="G3821">
        <v>18.09</v>
      </c>
      <c r="H3821">
        <v>11.5</v>
      </c>
      <c r="I3821">
        <v>0.231</v>
      </c>
      <c r="J3821">
        <v>22.49</v>
      </c>
      <c r="K3821">
        <v>27.53</v>
      </c>
      <c r="L3821">
        <v>18.7</v>
      </c>
      <c r="M3821">
        <v>0.36</v>
      </c>
      <c r="N3821">
        <v>0.75</v>
      </c>
      <c r="O3821">
        <v>23.43</v>
      </c>
      <c r="P3821">
        <v>28.31</v>
      </c>
      <c r="Q3821">
        <v>18.69</v>
      </c>
      <c r="R3821">
        <v>0.87</v>
      </c>
    </row>
    <row r="3822">
      <c r="A3822" s="9">
        <v>42353</v>
      </c>
      <c r="B3822" s="2" t="inlineStr">
        <is>
          <t xml:space="preserve">2015-12</t>
        </is>
      </c>
      <c r="C3822" s="2" t="inlineStr">
        <is>
          <t xml:space="preserve">2015/16</t>
        </is>
      </c>
      <c r="D3822">
        <v>23.241</v>
      </c>
      <c r="E3822">
        <v>22.38</v>
      </c>
      <c r="F3822">
        <v>27.27</v>
      </c>
      <c r="G3822">
        <v>18.9</v>
      </c>
      <c r="H3822">
        <v>11.75</v>
      </c>
      <c r="I3822">
        <v>0.0</v>
      </c>
      <c r="J3822">
        <v>22.62</v>
      </c>
      <c r="K3822">
        <v>27.53</v>
      </c>
      <c r="L3822">
        <v>18.78</v>
      </c>
      <c r="M3822">
        <v>0.09</v>
      </c>
      <c r="N3822">
        <v>0.0</v>
      </c>
      <c r="O3822">
        <v>23.57</v>
      </c>
      <c r="P3822">
        <v>29.28</v>
      </c>
      <c r="Q3822">
        <v>19.09</v>
      </c>
      <c r="R3822">
        <v>0.25</v>
      </c>
    </row>
    <row r="3823">
      <c r="A3823" s="9">
        <v>42354</v>
      </c>
      <c r="B3823" s="2" t="inlineStr">
        <is>
          <t xml:space="preserve">2015-12</t>
        </is>
      </c>
      <c r="C3823" s="2" t="inlineStr">
        <is>
          <t xml:space="preserve">2015/16</t>
        </is>
      </c>
      <c r="D3823">
        <v>0.446</v>
      </c>
      <c r="E3823">
        <v>22.26</v>
      </c>
      <c r="F3823">
        <v>27.18</v>
      </c>
      <c r="G3823">
        <v>18.33</v>
      </c>
      <c r="H3823">
        <v>0.77</v>
      </c>
      <c r="I3823">
        <v>0.0</v>
      </c>
      <c r="J3823">
        <v>22.71</v>
      </c>
      <c r="K3823">
        <v>27.53</v>
      </c>
      <c r="L3823">
        <v>19.02</v>
      </c>
      <c r="M3823">
        <v>0.02</v>
      </c>
      <c r="N3823">
        <v>0.0</v>
      </c>
      <c r="O3823">
        <v>23.32</v>
      </c>
      <c r="P3823">
        <v>28.13</v>
      </c>
      <c r="Q3823">
        <v>19.18</v>
      </c>
      <c r="R3823">
        <v>0.02</v>
      </c>
    </row>
    <row r="3824">
      <c r="A3824" s="9">
        <v>42355</v>
      </c>
      <c r="B3824" s="2" t="inlineStr">
        <is>
          <t xml:space="preserve">2015-12</t>
        </is>
      </c>
      <c r="C3824" s="2" t="inlineStr">
        <is>
          <t xml:space="preserve">2015/16</t>
        </is>
      </c>
      <c r="D3824">
        <v>0.0</v>
      </c>
      <c r="E3824">
        <v>22.17</v>
      </c>
      <c r="F3824">
        <v>27.37</v>
      </c>
      <c r="G3824">
        <v>18.57</v>
      </c>
      <c r="H3824">
        <v>0.1</v>
      </c>
      <c r="I3824">
        <v>0.0</v>
      </c>
      <c r="J3824">
        <v>22.82</v>
      </c>
      <c r="K3824">
        <v>27.68</v>
      </c>
      <c r="L3824">
        <v>19.48</v>
      </c>
      <c r="M3824">
        <v>0.5</v>
      </c>
      <c r="N3824">
        <v>0.164</v>
      </c>
      <c r="O3824">
        <v>22.72</v>
      </c>
      <c r="P3824">
        <v>27.13</v>
      </c>
      <c r="Q3824">
        <v>19.79</v>
      </c>
      <c r="R3824">
        <v>0.43</v>
      </c>
    </row>
    <row r="3825">
      <c r="A3825" s="9">
        <v>42356</v>
      </c>
      <c r="B3825" s="2" t="inlineStr">
        <is>
          <t xml:space="preserve">2015-12</t>
        </is>
      </c>
      <c r="C3825" s="2" t="inlineStr">
        <is>
          <t xml:space="preserve">2015/16</t>
        </is>
      </c>
      <c r="D3825">
        <v>0.041</v>
      </c>
      <c r="E3825">
        <v>20.99</v>
      </c>
      <c r="F3825">
        <v>25.68</v>
      </c>
      <c r="G3825">
        <v>17.59</v>
      </c>
      <c r="H3825">
        <v>1.41</v>
      </c>
      <c r="I3825">
        <v>1.209</v>
      </c>
      <c r="J3825">
        <v>21.18</v>
      </c>
      <c r="K3825">
        <v>25.02</v>
      </c>
      <c r="L3825">
        <v>18.13</v>
      </c>
      <c r="M3825">
        <v>3.16</v>
      </c>
      <c r="N3825">
        <v>4.549</v>
      </c>
      <c r="O3825">
        <v>21.46</v>
      </c>
      <c r="P3825">
        <v>25.0</v>
      </c>
      <c r="Q3825">
        <v>18.93</v>
      </c>
      <c r="R3825">
        <v>5.8</v>
      </c>
    </row>
    <row r="3826">
      <c r="A3826" s="9">
        <v>42357</v>
      </c>
      <c r="B3826" s="2" t="inlineStr">
        <is>
          <t xml:space="preserve">2015-12</t>
        </is>
      </c>
      <c r="C3826" s="2" t="inlineStr">
        <is>
          <t xml:space="preserve">2015/16</t>
        </is>
      </c>
      <c r="D3826">
        <v>0.408</v>
      </c>
      <c r="E3826">
        <v>20.62</v>
      </c>
      <c r="F3826">
        <v>25.54</v>
      </c>
      <c r="G3826">
        <v>17.21</v>
      </c>
      <c r="H3826">
        <v>4.13</v>
      </c>
      <c r="I3826">
        <v>5.452</v>
      </c>
      <c r="J3826">
        <v>21.07</v>
      </c>
      <c r="K3826">
        <v>24.93</v>
      </c>
      <c r="L3826">
        <v>18.98</v>
      </c>
      <c r="M3826">
        <v>12.17</v>
      </c>
      <c r="N3826">
        <v>9.162</v>
      </c>
      <c r="O3826">
        <v>21.16</v>
      </c>
      <c r="P3826">
        <v>24.59</v>
      </c>
      <c r="Q3826">
        <v>19.16</v>
      </c>
      <c r="R3826">
        <v>23.78</v>
      </c>
    </row>
    <row r="3827">
      <c r="A3827" s="9">
        <v>42358</v>
      </c>
      <c r="B3827" s="2" t="inlineStr">
        <is>
          <t xml:space="preserve">2015-12</t>
        </is>
      </c>
      <c r="C3827" s="2" t="inlineStr">
        <is>
          <t xml:space="preserve">2015/16</t>
        </is>
      </c>
      <c r="D3827">
        <v>0.45</v>
      </c>
      <c r="E3827">
        <v>20.46</v>
      </c>
      <c r="F3827">
        <v>25.64</v>
      </c>
      <c r="G3827">
        <v>16.98</v>
      </c>
      <c r="H3827">
        <v>0.37</v>
      </c>
      <c r="I3827">
        <v>0.404</v>
      </c>
      <c r="J3827">
        <v>21.01</v>
      </c>
      <c r="K3827">
        <v>25.39</v>
      </c>
      <c r="L3827">
        <v>18.17</v>
      </c>
      <c r="M3827">
        <v>0.51</v>
      </c>
      <c r="N3827">
        <v>0.479</v>
      </c>
      <c r="O3827">
        <v>21.3</v>
      </c>
      <c r="P3827">
        <v>25.17</v>
      </c>
      <c r="Q3827">
        <v>18.6</v>
      </c>
      <c r="R3827">
        <v>0.89</v>
      </c>
    </row>
    <row r="3828">
      <c r="A3828" s="9">
        <v>42359</v>
      </c>
      <c r="B3828" s="2" t="inlineStr">
        <is>
          <t xml:space="preserve">2015-12</t>
        </is>
      </c>
      <c r="C3828" s="2" t="inlineStr">
        <is>
          <t xml:space="preserve">2015/16</t>
        </is>
      </c>
      <c r="D3828">
        <v>0.0</v>
      </c>
      <c r="E3828">
        <v>20.27</v>
      </c>
      <c r="F3828">
        <v>25.51</v>
      </c>
      <c r="G3828">
        <v>16.66</v>
      </c>
      <c r="H3828">
        <v>0.36</v>
      </c>
      <c r="I3828">
        <v>0.0</v>
      </c>
      <c r="J3828">
        <v>20.53</v>
      </c>
      <c r="K3828">
        <v>25.14</v>
      </c>
      <c r="L3828">
        <v>17.45</v>
      </c>
      <c r="M3828">
        <v>1.16</v>
      </c>
      <c r="N3828">
        <v>0.515</v>
      </c>
      <c r="O3828">
        <v>20.72</v>
      </c>
      <c r="P3828">
        <v>24.73</v>
      </c>
      <c r="Q3828">
        <v>18.19</v>
      </c>
      <c r="R3828">
        <v>2.85</v>
      </c>
    </row>
    <row r="3829">
      <c r="A3829" s="9">
        <v>42360</v>
      </c>
      <c r="B3829" s="2" t="inlineStr">
        <is>
          <t xml:space="preserve">2015-12</t>
        </is>
      </c>
      <c r="C3829" s="2" t="inlineStr">
        <is>
          <t xml:space="preserve">2015/16</t>
        </is>
      </c>
      <c r="D3829">
        <v>0.0</v>
      </c>
      <c r="E3829">
        <v>20.76</v>
      </c>
      <c r="F3829">
        <v>26.43</v>
      </c>
      <c r="G3829">
        <v>16.83</v>
      </c>
      <c r="H3829">
        <v>0.37</v>
      </c>
      <c r="I3829">
        <v>0.024</v>
      </c>
      <c r="J3829">
        <v>21.1</v>
      </c>
      <c r="K3829">
        <v>26.63</v>
      </c>
      <c r="L3829">
        <v>16.83</v>
      </c>
      <c r="M3829">
        <v>0.75</v>
      </c>
      <c r="N3829">
        <v>0.65</v>
      </c>
      <c r="O3829">
        <v>21.06</v>
      </c>
      <c r="P3829">
        <v>25.96</v>
      </c>
      <c r="Q3829">
        <v>18.06</v>
      </c>
      <c r="R3829">
        <v>2.05</v>
      </c>
    </row>
    <row r="3830">
      <c r="A3830" s="9">
        <v>42361</v>
      </c>
      <c r="B3830" s="2" t="inlineStr">
        <is>
          <t xml:space="preserve">2015-12</t>
        </is>
      </c>
      <c r="C3830" s="2" t="inlineStr">
        <is>
          <t xml:space="preserve">2015/16</t>
        </is>
      </c>
      <c r="D3830">
        <v>0.0</v>
      </c>
      <c r="E3830">
        <v>21.09</v>
      </c>
      <c r="F3830">
        <v>27.04</v>
      </c>
      <c r="G3830">
        <v>16.27</v>
      </c>
      <c r="H3830">
        <v>0.04</v>
      </c>
      <c r="I3830">
        <v>0.0</v>
      </c>
      <c r="J3830">
        <v>22.28</v>
      </c>
      <c r="K3830">
        <v>27.43</v>
      </c>
      <c r="L3830">
        <v>17.87</v>
      </c>
      <c r="M3830">
        <v>0.0</v>
      </c>
      <c r="N3830">
        <v>0.0</v>
      </c>
      <c r="O3830">
        <v>22.22</v>
      </c>
      <c r="P3830">
        <v>27.04</v>
      </c>
      <c r="Q3830">
        <v>18.88</v>
      </c>
      <c r="R3830">
        <v>0.0</v>
      </c>
    </row>
    <row r="3831">
      <c r="A3831" s="9">
        <v>42362</v>
      </c>
      <c r="B3831" s="2" t="inlineStr">
        <is>
          <t xml:space="preserve">2015-12</t>
        </is>
      </c>
      <c r="C3831" s="2" t="inlineStr">
        <is>
          <t xml:space="preserve">2015/16</t>
        </is>
      </c>
      <c r="D3831">
        <v>0.0</v>
      </c>
      <c r="E3831">
        <v>21.6</v>
      </c>
      <c r="F3831">
        <v>28.03</v>
      </c>
      <c r="G3831">
        <v>16.63</v>
      </c>
      <c r="H3831">
        <v>0.05</v>
      </c>
      <c r="I3831">
        <v>0.0</v>
      </c>
      <c r="J3831">
        <v>22.75</v>
      </c>
      <c r="K3831">
        <v>28.16</v>
      </c>
      <c r="L3831">
        <v>18.66</v>
      </c>
      <c r="M3831">
        <v>0.0</v>
      </c>
      <c r="N3831">
        <v>0.0</v>
      </c>
      <c r="O3831">
        <v>22.35</v>
      </c>
      <c r="P3831">
        <v>27.49</v>
      </c>
      <c r="Q3831">
        <v>18.23</v>
      </c>
      <c r="R3831">
        <v>0.0</v>
      </c>
    </row>
    <row r="3832">
      <c r="A3832" s="9">
        <v>42363</v>
      </c>
      <c r="B3832" s="2" t="inlineStr">
        <is>
          <t xml:space="preserve">2015-12</t>
        </is>
      </c>
      <c r="C3832" s="2" t="inlineStr">
        <is>
          <t xml:space="preserve">2015/16</t>
        </is>
      </c>
      <c r="D3832">
        <v>0.0</v>
      </c>
      <c r="E3832">
        <v>20.79</v>
      </c>
      <c r="F3832">
        <v>26.57</v>
      </c>
      <c r="G3832">
        <v>16.39</v>
      </c>
      <c r="H3832">
        <v>0.01</v>
      </c>
      <c r="I3832">
        <v>0.0</v>
      </c>
      <c r="J3832">
        <v>21.6</v>
      </c>
      <c r="K3832">
        <v>26.86</v>
      </c>
      <c r="L3832">
        <v>18.32</v>
      </c>
      <c r="M3832">
        <v>0.0</v>
      </c>
      <c r="N3832">
        <v>0.0</v>
      </c>
      <c r="O3832">
        <v>21.57</v>
      </c>
      <c r="P3832">
        <v>25.62</v>
      </c>
      <c r="Q3832">
        <v>18.98</v>
      </c>
      <c r="R3832">
        <v>0.0</v>
      </c>
    </row>
    <row r="3833">
      <c r="A3833" s="9">
        <v>42364</v>
      </c>
      <c r="B3833" s="2" t="inlineStr">
        <is>
          <t xml:space="preserve">2015-12</t>
        </is>
      </c>
      <c r="C3833" s="2" t="inlineStr">
        <is>
          <t xml:space="preserve">2015/16</t>
        </is>
      </c>
      <c r="D3833">
        <v>0.0</v>
      </c>
      <c r="E3833">
        <v>20.51</v>
      </c>
      <c r="F3833">
        <v>26.81</v>
      </c>
      <c r="G3833">
        <v>16.15</v>
      </c>
      <c r="H3833">
        <v>0.03</v>
      </c>
      <c r="I3833">
        <v>0.0</v>
      </c>
      <c r="J3833">
        <v>21.41</v>
      </c>
      <c r="K3833">
        <v>26.97</v>
      </c>
      <c r="L3833">
        <v>17.31</v>
      </c>
      <c r="M3833">
        <v>0.0</v>
      </c>
      <c r="N3833">
        <v>0.0</v>
      </c>
      <c r="O3833">
        <v>21.42</v>
      </c>
      <c r="P3833">
        <v>26.06</v>
      </c>
      <c r="Q3833">
        <v>18.39</v>
      </c>
      <c r="R3833">
        <v>0.0</v>
      </c>
    </row>
    <row r="3834">
      <c r="A3834" s="9">
        <v>42365</v>
      </c>
      <c r="B3834" s="2" t="inlineStr">
        <is>
          <t xml:space="preserve">2015-12</t>
        </is>
      </c>
      <c r="C3834" s="2" t="inlineStr">
        <is>
          <t xml:space="preserve">2015/16</t>
        </is>
      </c>
      <c r="D3834">
        <v>0.0</v>
      </c>
      <c r="E3834">
        <v>20.49</v>
      </c>
      <c r="F3834">
        <v>27.32</v>
      </c>
      <c r="G3834">
        <v>15.6</v>
      </c>
      <c r="H3834">
        <v>0.01</v>
      </c>
      <c r="I3834">
        <v>0.0</v>
      </c>
      <c r="J3834">
        <v>21.79</v>
      </c>
      <c r="K3834">
        <v>27.39</v>
      </c>
      <c r="L3834">
        <v>17.25</v>
      </c>
      <c r="M3834">
        <v>0.0</v>
      </c>
      <c r="N3834">
        <v>0.0</v>
      </c>
      <c r="O3834">
        <v>21.39</v>
      </c>
      <c r="P3834">
        <v>26.84</v>
      </c>
      <c r="Q3834">
        <v>16.9</v>
      </c>
      <c r="R3834">
        <v>0.0</v>
      </c>
    </row>
    <row r="3835">
      <c r="A3835" s="9">
        <v>42366</v>
      </c>
      <c r="B3835" s="2" t="inlineStr">
        <is>
          <t xml:space="preserve">2015-12</t>
        </is>
      </c>
      <c r="C3835" s="2" t="inlineStr">
        <is>
          <t xml:space="preserve">2015/16</t>
        </is>
      </c>
      <c r="D3835">
        <v>0.0</v>
      </c>
      <c r="E3835">
        <v>20.85</v>
      </c>
      <c r="F3835">
        <v>28.19</v>
      </c>
      <c r="G3835">
        <v>14.36</v>
      </c>
      <c r="H3835">
        <v>0.02</v>
      </c>
      <c r="I3835">
        <v>0.0</v>
      </c>
      <c r="J3835">
        <v>21.52</v>
      </c>
      <c r="K3835">
        <v>27.76</v>
      </c>
      <c r="L3835">
        <v>16.73</v>
      </c>
      <c r="M3835">
        <v>0.0</v>
      </c>
      <c r="N3835">
        <v>0.0</v>
      </c>
      <c r="O3835">
        <v>21.04</v>
      </c>
      <c r="P3835">
        <v>27.19</v>
      </c>
      <c r="Q3835">
        <v>16.19</v>
      </c>
      <c r="R3835">
        <v>0.0</v>
      </c>
    </row>
    <row r="3836">
      <c r="A3836" s="9">
        <v>42367</v>
      </c>
      <c r="B3836" s="2" t="inlineStr">
        <is>
          <t xml:space="preserve">2015-12</t>
        </is>
      </c>
      <c r="C3836" s="2" t="inlineStr">
        <is>
          <t xml:space="preserve">2015/16</t>
        </is>
      </c>
      <c r="D3836">
        <v>0.0</v>
      </c>
      <c r="E3836">
        <v>21.18</v>
      </c>
      <c r="F3836">
        <v>27.39</v>
      </c>
      <c r="G3836">
        <v>16.18</v>
      </c>
      <c r="H3836">
        <v>0.0</v>
      </c>
      <c r="I3836">
        <v>0.0</v>
      </c>
      <c r="J3836">
        <v>21.34</v>
      </c>
      <c r="K3836">
        <v>26.76</v>
      </c>
      <c r="L3836">
        <v>16.39</v>
      </c>
      <c r="M3836">
        <v>0.0</v>
      </c>
      <c r="N3836">
        <v>0.0</v>
      </c>
      <c r="O3836">
        <v>21.68</v>
      </c>
      <c r="P3836">
        <v>26.28</v>
      </c>
      <c r="Q3836">
        <v>18.26</v>
      </c>
      <c r="R3836">
        <v>0.0</v>
      </c>
    </row>
    <row r="3837">
      <c r="A3837" s="9">
        <v>42368</v>
      </c>
      <c r="B3837" s="2" t="inlineStr">
        <is>
          <t xml:space="preserve">2015-12</t>
        </is>
      </c>
      <c r="C3837" s="2" t="inlineStr">
        <is>
          <t xml:space="preserve">2015/16</t>
        </is>
      </c>
      <c r="D3837">
        <v>0.0</v>
      </c>
      <c r="E3837">
        <v>21.61</v>
      </c>
      <c r="F3837">
        <v>28.59</v>
      </c>
      <c r="G3837">
        <v>15.7</v>
      </c>
      <c r="H3837">
        <v>0.06</v>
      </c>
      <c r="I3837">
        <v>0.0</v>
      </c>
      <c r="J3837">
        <v>21.86</v>
      </c>
      <c r="K3837">
        <v>27.14</v>
      </c>
      <c r="L3837">
        <v>17.72</v>
      </c>
      <c r="M3837">
        <v>0.0</v>
      </c>
      <c r="N3837">
        <v>0.0</v>
      </c>
      <c r="O3837">
        <v>22.09</v>
      </c>
      <c r="P3837">
        <v>26.62</v>
      </c>
      <c r="Q3837">
        <v>18.95</v>
      </c>
      <c r="R3837">
        <v>0.01</v>
      </c>
    </row>
    <row r="3838">
      <c r="A3838" s="9">
        <v>42369</v>
      </c>
      <c r="B3838" s="2" t="inlineStr">
        <is>
          <t xml:space="preserve">2015-12</t>
        </is>
      </c>
      <c r="C3838" s="2" t="inlineStr">
        <is>
          <t xml:space="preserve">2015/16</t>
        </is>
      </c>
      <c r="D3838">
        <v>0.0</v>
      </c>
      <c r="E3838">
        <v>21.57</v>
      </c>
      <c r="F3838">
        <v>27.49</v>
      </c>
      <c r="G3838">
        <v>17.28</v>
      </c>
      <c r="H3838">
        <v>0.38</v>
      </c>
      <c r="I3838">
        <v>0.0</v>
      </c>
      <c r="J3838">
        <v>22.05</v>
      </c>
      <c r="K3838">
        <v>27.09</v>
      </c>
      <c r="L3838">
        <v>18.44</v>
      </c>
      <c r="M3838">
        <v>1.48</v>
      </c>
      <c r="N3838">
        <v>0.0</v>
      </c>
      <c r="O3838">
        <v>22.17</v>
      </c>
      <c r="P3838">
        <v>26.47</v>
      </c>
      <c r="Q3838">
        <v>19.11</v>
      </c>
      <c r="R3838">
        <v>1.21</v>
      </c>
    </row>
    <row r="3839">
      <c r="A3839" s="9">
        <v>42370</v>
      </c>
      <c r="B3839" s="2" t="inlineStr">
        <is>
          <t xml:space="preserve">2016-01</t>
        </is>
      </c>
      <c r="C3839" s="2" t="inlineStr">
        <is>
          <t xml:space="preserve">2015/16</t>
        </is>
      </c>
      <c r="D3839">
        <v>0.218</v>
      </c>
      <c r="E3839">
        <v>21.06</v>
      </c>
      <c r="F3839">
        <v>27.31</v>
      </c>
      <c r="G3839">
        <v>16.46</v>
      </c>
      <c r="H3839">
        <v>0.43</v>
      </c>
      <c r="I3839">
        <v>5.193</v>
      </c>
      <c r="J3839">
        <v>20.83</v>
      </c>
      <c r="K3839">
        <v>25.15</v>
      </c>
      <c r="L3839">
        <v>18.32</v>
      </c>
      <c r="M3839">
        <v>3.82</v>
      </c>
      <c r="N3839">
        <v>6.775</v>
      </c>
      <c r="O3839">
        <v>21.0</v>
      </c>
      <c r="P3839">
        <v>24.73</v>
      </c>
      <c r="Q3839">
        <v>18.92</v>
      </c>
      <c r="R3839">
        <v>2.3</v>
      </c>
    </row>
    <row r="3840">
      <c r="A3840" s="9">
        <v>42371</v>
      </c>
      <c r="B3840" s="2" t="inlineStr">
        <is>
          <t xml:space="preserve">2016-01</t>
        </is>
      </c>
      <c r="C3840" s="2" t="inlineStr">
        <is>
          <t xml:space="preserve">2015/16</t>
        </is>
      </c>
      <c r="D3840">
        <v>0.0</v>
      </c>
      <c r="E3840">
        <v>20.68</v>
      </c>
      <c r="F3840">
        <v>26.97</v>
      </c>
      <c r="G3840">
        <v>16.53</v>
      </c>
      <c r="H3840">
        <v>0.29</v>
      </c>
      <c r="I3840">
        <v>0.0</v>
      </c>
      <c r="J3840">
        <v>20.71</v>
      </c>
      <c r="K3840">
        <v>25.51</v>
      </c>
      <c r="L3840">
        <v>17.63</v>
      </c>
      <c r="M3840">
        <v>0.87</v>
      </c>
      <c r="N3840">
        <v>0.314</v>
      </c>
      <c r="O3840">
        <v>20.95</v>
      </c>
      <c r="P3840">
        <v>24.97</v>
      </c>
      <c r="Q3840">
        <v>18.21</v>
      </c>
      <c r="R3840">
        <v>2.15</v>
      </c>
    </row>
    <row r="3841">
      <c r="A3841" s="9">
        <v>42372</v>
      </c>
      <c r="B3841" s="2" t="inlineStr">
        <is>
          <t xml:space="preserve">2016-01</t>
        </is>
      </c>
      <c r="C3841" s="2" t="inlineStr">
        <is>
          <t xml:space="preserve">2015/16</t>
        </is>
      </c>
      <c r="D3841">
        <v>0.0</v>
      </c>
      <c r="E3841">
        <v>20.44</v>
      </c>
      <c r="F3841">
        <v>27.18</v>
      </c>
      <c r="G3841">
        <v>15.99</v>
      </c>
      <c r="H3841">
        <v>0.15</v>
      </c>
      <c r="I3841">
        <v>0.143</v>
      </c>
      <c r="J3841">
        <v>19.71</v>
      </c>
      <c r="K3841">
        <v>24.93</v>
      </c>
      <c r="L3841">
        <v>16.34</v>
      </c>
      <c r="M3841">
        <v>0.58</v>
      </c>
      <c r="N3841">
        <v>0.544</v>
      </c>
      <c r="O3841">
        <v>19.72</v>
      </c>
      <c r="P3841">
        <v>24.35</v>
      </c>
      <c r="Q3841">
        <v>16.97</v>
      </c>
      <c r="R3841">
        <v>1.0</v>
      </c>
    </row>
    <row r="3842">
      <c r="A3842" s="9">
        <v>42373</v>
      </c>
      <c r="B3842" s="2" t="inlineStr">
        <is>
          <t xml:space="preserve">2016-01</t>
        </is>
      </c>
      <c r="C3842" s="2" t="inlineStr">
        <is>
          <t xml:space="preserve">2015/16</t>
        </is>
      </c>
      <c r="D3842">
        <v>0.038</v>
      </c>
      <c r="E3842">
        <v>19.85</v>
      </c>
      <c r="F3842">
        <v>25.32</v>
      </c>
      <c r="G3842">
        <v>15.84</v>
      </c>
      <c r="H3842">
        <v>0.76</v>
      </c>
      <c r="I3842">
        <v>0.0</v>
      </c>
      <c r="J3842">
        <v>19.97</v>
      </c>
      <c r="K3842">
        <v>24.91</v>
      </c>
      <c r="L3842">
        <v>16.38</v>
      </c>
      <c r="M3842">
        <v>0.19</v>
      </c>
      <c r="N3842">
        <v>0.0</v>
      </c>
      <c r="O3842">
        <v>19.88</v>
      </c>
      <c r="P3842">
        <v>24.51</v>
      </c>
      <c r="Q3842">
        <v>16.68</v>
      </c>
      <c r="R3842">
        <v>1.66</v>
      </c>
    </row>
    <row r="3843">
      <c r="A3843" s="9">
        <v>42374</v>
      </c>
      <c r="B3843" s="2" t="inlineStr">
        <is>
          <t xml:space="preserve">2016-01</t>
        </is>
      </c>
      <c r="C3843" s="2" t="inlineStr">
        <is>
          <t xml:space="preserve">2015/16</t>
        </is>
      </c>
      <c r="D3843">
        <v>0.399</v>
      </c>
      <c r="E3843">
        <v>20.16</v>
      </c>
      <c r="F3843">
        <v>25.99</v>
      </c>
      <c r="G3843">
        <v>16.01</v>
      </c>
      <c r="H3843">
        <v>9.99</v>
      </c>
      <c r="I3843">
        <v>0.037</v>
      </c>
      <c r="J3843">
        <v>19.79</v>
      </c>
      <c r="K3843">
        <v>25.13</v>
      </c>
      <c r="L3843">
        <v>17.03</v>
      </c>
      <c r="M3843">
        <v>1.63</v>
      </c>
      <c r="N3843">
        <v>1.029</v>
      </c>
      <c r="O3843">
        <v>18.98</v>
      </c>
      <c r="P3843">
        <v>22.14</v>
      </c>
      <c r="Q3843">
        <v>16.97</v>
      </c>
      <c r="R3843">
        <v>15.36</v>
      </c>
    </row>
    <row r="3844">
      <c r="A3844" s="9">
        <v>42375</v>
      </c>
      <c r="B3844" s="2" t="inlineStr">
        <is>
          <t xml:space="preserve">2016-01</t>
        </is>
      </c>
      <c r="C3844" s="2" t="inlineStr">
        <is>
          <t xml:space="preserve">2015/16</t>
        </is>
      </c>
      <c r="D3844">
        <v>0.116</v>
      </c>
      <c r="E3844">
        <v>20.47</v>
      </c>
      <c r="F3844">
        <v>26.51</v>
      </c>
      <c r="G3844">
        <v>16.26</v>
      </c>
      <c r="H3844">
        <v>0.94</v>
      </c>
      <c r="I3844">
        <v>0.025</v>
      </c>
      <c r="J3844">
        <v>20.16</v>
      </c>
      <c r="K3844">
        <v>25.84</v>
      </c>
      <c r="L3844">
        <v>15.75</v>
      </c>
      <c r="M3844">
        <v>0.1</v>
      </c>
      <c r="N3844">
        <v>0.273</v>
      </c>
      <c r="O3844">
        <v>19.52</v>
      </c>
      <c r="P3844">
        <v>24.67</v>
      </c>
      <c r="Q3844">
        <v>15.89</v>
      </c>
      <c r="R3844">
        <v>1.31</v>
      </c>
    </row>
    <row r="3845">
      <c r="A3845" s="9">
        <v>42376</v>
      </c>
      <c r="B3845" s="2" t="inlineStr">
        <is>
          <t xml:space="preserve">2016-01</t>
        </is>
      </c>
      <c r="C3845" s="2" t="inlineStr">
        <is>
          <t xml:space="preserve">2015/16</t>
        </is>
      </c>
      <c r="D3845">
        <v>0.0</v>
      </c>
      <c r="E3845">
        <v>22.02</v>
      </c>
      <c r="F3845">
        <v>28.71</v>
      </c>
      <c r="G3845">
        <v>16.24</v>
      </c>
      <c r="H3845">
        <v>0.0</v>
      </c>
      <c r="I3845">
        <v>0.0</v>
      </c>
      <c r="J3845">
        <v>21.45</v>
      </c>
      <c r="K3845">
        <v>27.43</v>
      </c>
      <c r="L3845">
        <v>16.87</v>
      </c>
      <c r="M3845">
        <v>0.0</v>
      </c>
      <c r="N3845">
        <v>0.0</v>
      </c>
      <c r="O3845">
        <v>22.0</v>
      </c>
      <c r="P3845">
        <v>27.35</v>
      </c>
      <c r="Q3845">
        <v>17.65</v>
      </c>
      <c r="R3845">
        <v>0.0</v>
      </c>
    </row>
    <row r="3846">
      <c r="A3846" s="9">
        <v>42377</v>
      </c>
      <c r="B3846" s="2" t="inlineStr">
        <is>
          <t xml:space="preserve">2016-01</t>
        </is>
      </c>
      <c r="C3846" s="2" t="inlineStr">
        <is>
          <t xml:space="preserve">2015/16</t>
        </is>
      </c>
      <c r="D3846">
        <v>0.0</v>
      </c>
      <c r="E3846">
        <v>22.39</v>
      </c>
      <c r="F3846">
        <v>29.7</v>
      </c>
      <c r="G3846">
        <v>16.48</v>
      </c>
      <c r="H3846">
        <v>0.0</v>
      </c>
      <c r="I3846">
        <v>0.0</v>
      </c>
      <c r="J3846">
        <v>22.0</v>
      </c>
      <c r="K3846">
        <v>28.09</v>
      </c>
      <c r="L3846">
        <v>16.97</v>
      </c>
      <c r="M3846">
        <v>0.0</v>
      </c>
      <c r="N3846">
        <v>0.0</v>
      </c>
      <c r="O3846">
        <v>21.69</v>
      </c>
      <c r="P3846">
        <v>27.18</v>
      </c>
      <c r="Q3846">
        <v>17.29</v>
      </c>
      <c r="R3846">
        <v>0.0</v>
      </c>
    </row>
    <row r="3847">
      <c r="A3847" s="9">
        <v>42378</v>
      </c>
      <c r="B3847" s="2" t="inlineStr">
        <is>
          <t xml:space="preserve">2016-01</t>
        </is>
      </c>
      <c r="C3847" s="2" t="inlineStr">
        <is>
          <t xml:space="preserve">2015/16</t>
        </is>
      </c>
      <c r="D3847">
        <v>0.0</v>
      </c>
      <c r="E3847">
        <v>22.5</v>
      </c>
      <c r="F3847">
        <v>30.0</v>
      </c>
      <c r="G3847">
        <v>15.95</v>
      </c>
      <c r="H3847">
        <v>0.0</v>
      </c>
      <c r="I3847">
        <v>0.0</v>
      </c>
      <c r="J3847">
        <v>20.83</v>
      </c>
      <c r="K3847">
        <v>27.17</v>
      </c>
      <c r="L3847">
        <v>16.29</v>
      </c>
      <c r="M3847">
        <v>0.0</v>
      </c>
      <c r="N3847">
        <v>0.0</v>
      </c>
      <c r="O3847">
        <v>21.81</v>
      </c>
      <c r="P3847">
        <v>27.79</v>
      </c>
      <c r="Q3847">
        <v>16.52</v>
      </c>
      <c r="R3847">
        <v>0.0</v>
      </c>
    </row>
    <row r="3848">
      <c r="A3848" s="9">
        <v>42379</v>
      </c>
      <c r="B3848" s="2" t="inlineStr">
        <is>
          <t xml:space="preserve">2016-01</t>
        </is>
      </c>
      <c r="C3848" s="2" t="inlineStr">
        <is>
          <t xml:space="preserve">2015/16</t>
        </is>
      </c>
      <c r="D3848">
        <v>0.0</v>
      </c>
      <c r="E3848">
        <v>21.61</v>
      </c>
      <c r="F3848">
        <v>27.59</v>
      </c>
      <c r="G3848">
        <v>17.53</v>
      </c>
      <c r="H3848">
        <v>0.48</v>
      </c>
      <c r="I3848">
        <v>0.0</v>
      </c>
      <c r="J3848">
        <v>20.6</v>
      </c>
      <c r="K3848">
        <v>25.81</v>
      </c>
      <c r="L3848">
        <v>16.61</v>
      </c>
      <c r="M3848">
        <v>0.14</v>
      </c>
      <c r="N3848">
        <v>0.0</v>
      </c>
      <c r="O3848">
        <v>20.79</v>
      </c>
      <c r="P3848">
        <v>25.2</v>
      </c>
      <c r="Q3848">
        <v>17.47</v>
      </c>
      <c r="R3848">
        <v>0.82</v>
      </c>
    </row>
    <row r="3849">
      <c r="A3849" s="9">
        <v>42380</v>
      </c>
      <c r="B3849" s="2" t="inlineStr">
        <is>
          <t xml:space="preserve">2016-01</t>
        </is>
      </c>
      <c r="C3849" s="2" t="inlineStr">
        <is>
          <t xml:space="preserve">2015/16</t>
        </is>
      </c>
      <c r="D3849">
        <v>0.232</v>
      </c>
      <c r="E3849">
        <v>20.52</v>
      </c>
      <c r="F3849">
        <v>27.08</v>
      </c>
      <c r="G3849">
        <v>16.41</v>
      </c>
      <c r="H3849">
        <v>0.53</v>
      </c>
      <c r="I3849">
        <v>0.332</v>
      </c>
      <c r="J3849">
        <v>20.2</v>
      </c>
      <c r="K3849">
        <v>25.56</v>
      </c>
      <c r="L3849">
        <v>16.55</v>
      </c>
      <c r="M3849">
        <v>0.68</v>
      </c>
      <c r="N3849">
        <v>1.325</v>
      </c>
      <c r="O3849">
        <v>19.47</v>
      </c>
      <c r="P3849">
        <v>23.93</v>
      </c>
      <c r="Q3849">
        <v>16.62</v>
      </c>
      <c r="R3849">
        <v>2.06</v>
      </c>
    </row>
    <row r="3850">
      <c r="A3850" s="9">
        <v>42381</v>
      </c>
      <c r="B3850" s="2" t="inlineStr">
        <is>
          <t xml:space="preserve">2016-01</t>
        </is>
      </c>
      <c r="C3850" s="2" t="inlineStr">
        <is>
          <t xml:space="preserve">2015/16</t>
        </is>
      </c>
      <c r="D3850">
        <v>0.0</v>
      </c>
      <c r="E3850">
        <v>20.85</v>
      </c>
      <c r="F3850">
        <v>28.13</v>
      </c>
      <c r="G3850">
        <v>15.24</v>
      </c>
      <c r="H3850">
        <v>0.13</v>
      </c>
      <c r="I3850">
        <v>0.0</v>
      </c>
      <c r="J3850">
        <v>20.67</v>
      </c>
      <c r="K3850">
        <v>26.64</v>
      </c>
      <c r="L3850">
        <v>16.01</v>
      </c>
      <c r="M3850">
        <v>0.1</v>
      </c>
      <c r="N3850">
        <v>0.0</v>
      </c>
      <c r="O3850">
        <v>20.17</v>
      </c>
      <c r="P3850">
        <v>24.99</v>
      </c>
      <c r="Q3850">
        <v>16.45</v>
      </c>
      <c r="R3850">
        <v>0.32</v>
      </c>
    </row>
    <row r="3851">
      <c r="A3851" s="9">
        <v>42382</v>
      </c>
      <c r="B3851" s="2" t="inlineStr">
        <is>
          <t xml:space="preserve">2016-01</t>
        </is>
      </c>
      <c r="C3851" s="2" t="inlineStr">
        <is>
          <t xml:space="preserve">2015/16</t>
        </is>
      </c>
      <c r="D3851">
        <v>0.0</v>
      </c>
      <c r="E3851">
        <v>20.8</v>
      </c>
      <c r="F3851">
        <v>27.28</v>
      </c>
      <c r="G3851">
        <v>16.73</v>
      </c>
      <c r="H3851">
        <v>0.48</v>
      </c>
      <c r="I3851">
        <v>0.271</v>
      </c>
      <c r="J3851">
        <v>20.66</v>
      </c>
      <c r="K3851">
        <v>26.39</v>
      </c>
      <c r="L3851">
        <v>16.67</v>
      </c>
      <c r="M3851">
        <v>0.58</v>
      </c>
      <c r="N3851">
        <v>1.103</v>
      </c>
      <c r="O3851">
        <v>20.25</v>
      </c>
      <c r="P3851">
        <v>25.0</v>
      </c>
      <c r="Q3851">
        <v>17.33</v>
      </c>
      <c r="R3851">
        <v>1.52</v>
      </c>
    </row>
    <row r="3852">
      <c r="A3852" s="9">
        <v>42383</v>
      </c>
      <c r="B3852" s="2" t="inlineStr">
        <is>
          <t xml:space="preserve">2016-01</t>
        </is>
      </c>
      <c r="C3852" s="2" t="inlineStr">
        <is>
          <t xml:space="preserve">2015/16</t>
        </is>
      </c>
      <c r="D3852">
        <v>0.0</v>
      </c>
      <c r="E3852">
        <v>21.77</v>
      </c>
      <c r="F3852">
        <v>28.64</v>
      </c>
      <c r="G3852">
        <v>16.53</v>
      </c>
      <c r="H3852">
        <v>0.55</v>
      </c>
      <c r="I3852">
        <v>0.0</v>
      </c>
      <c r="J3852">
        <v>21.61</v>
      </c>
      <c r="K3852">
        <v>27.84</v>
      </c>
      <c r="L3852">
        <v>16.68</v>
      </c>
      <c r="M3852">
        <v>0.01</v>
      </c>
      <c r="N3852">
        <v>0.0</v>
      </c>
      <c r="O3852">
        <v>21.07</v>
      </c>
      <c r="P3852">
        <v>26.44</v>
      </c>
      <c r="Q3852">
        <v>17.43</v>
      </c>
      <c r="R3852">
        <v>1.09</v>
      </c>
    </row>
    <row r="3853">
      <c r="A3853" s="9">
        <v>42384</v>
      </c>
      <c r="B3853" s="2" t="inlineStr">
        <is>
          <t xml:space="preserve">2016-01</t>
        </is>
      </c>
      <c r="C3853" s="2" t="inlineStr">
        <is>
          <t xml:space="preserve">2015/16</t>
        </is>
      </c>
      <c r="D3853">
        <v>0.0</v>
      </c>
      <c r="E3853">
        <v>22.68</v>
      </c>
      <c r="F3853">
        <v>30.72</v>
      </c>
      <c r="G3853">
        <v>15.88</v>
      </c>
      <c r="H3853">
        <v>0.0</v>
      </c>
      <c r="I3853">
        <v>0.0</v>
      </c>
      <c r="J3853">
        <v>22.42</v>
      </c>
      <c r="K3853">
        <v>28.7</v>
      </c>
      <c r="L3853">
        <v>17.47</v>
      </c>
      <c r="M3853">
        <v>0.0</v>
      </c>
      <c r="N3853">
        <v>0.0</v>
      </c>
      <c r="O3853">
        <v>22.0</v>
      </c>
      <c r="P3853">
        <v>28.31</v>
      </c>
      <c r="Q3853">
        <v>17.12</v>
      </c>
      <c r="R3853">
        <v>0.0</v>
      </c>
    </row>
    <row r="3854">
      <c r="A3854" s="9">
        <v>42385</v>
      </c>
      <c r="B3854" s="2" t="inlineStr">
        <is>
          <t xml:space="preserve">2016-01</t>
        </is>
      </c>
      <c r="C3854" s="2" t="inlineStr">
        <is>
          <t xml:space="preserve">2015/16</t>
        </is>
      </c>
      <c r="D3854">
        <v>0.0</v>
      </c>
      <c r="E3854">
        <v>23.52</v>
      </c>
      <c r="F3854">
        <v>31.37</v>
      </c>
      <c r="G3854">
        <v>17.34</v>
      </c>
      <c r="H3854">
        <v>0.0</v>
      </c>
      <c r="I3854">
        <v>0.0</v>
      </c>
      <c r="J3854">
        <v>22.6</v>
      </c>
      <c r="K3854">
        <v>29.09</v>
      </c>
      <c r="L3854">
        <v>17.55</v>
      </c>
      <c r="M3854">
        <v>0.0</v>
      </c>
      <c r="N3854">
        <v>0.0</v>
      </c>
      <c r="O3854">
        <v>22.78</v>
      </c>
      <c r="P3854">
        <v>28.76</v>
      </c>
      <c r="Q3854">
        <v>17.43</v>
      </c>
      <c r="R3854">
        <v>0.0</v>
      </c>
    </row>
    <row r="3855">
      <c r="A3855" s="9">
        <v>42386</v>
      </c>
      <c r="B3855" s="2" t="inlineStr">
        <is>
          <t xml:space="preserve">2016-01</t>
        </is>
      </c>
      <c r="C3855" s="2" t="inlineStr">
        <is>
          <t xml:space="preserve">2015/16</t>
        </is>
      </c>
      <c r="D3855">
        <v>0.0</v>
      </c>
      <c r="E3855">
        <v>21.98</v>
      </c>
      <c r="F3855">
        <v>28.51</v>
      </c>
      <c r="G3855">
        <v>17.46</v>
      </c>
      <c r="H3855">
        <v>0.06</v>
      </c>
      <c r="I3855">
        <v>0.0</v>
      </c>
      <c r="J3855">
        <v>21.24</v>
      </c>
      <c r="K3855">
        <v>26.13</v>
      </c>
      <c r="L3855">
        <v>17.9</v>
      </c>
      <c r="M3855">
        <v>0.08</v>
      </c>
      <c r="N3855">
        <v>0.0</v>
      </c>
      <c r="O3855">
        <v>21.08</v>
      </c>
      <c r="P3855">
        <v>25.6</v>
      </c>
      <c r="Q3855">
        <v>17.86</v>
      </c>
      <c r="R3855">
        <v>0.09</v>
      </c>
    </row>
    <row r="3856">
      <c r="A3856" s="9">
        <v>42387</v>
      </c>
      <c r="B3856" s="2" t="inlineStr">
        <is>
          <t xml:space="preserve">2016-01</t>
        </is>
      </c>
      <c r="C3856" s="2" t="inlineStr">
        <is>
          <t xml:space="preserve">2015/16</t>
        </is>
      </c>
      <c r="D3856">
        <v>0.0</v>
      </c>
      <c r="E3856">
        <v>18.79</v>
      </c>
      <c r="F3856">
        <v>25.11</v>
      </c>
      <c r="G3856">
        <v>14.58</v>
      </c>
      <c r="H3856">
        <v>0.08</v>
      </c>
      <c r="I3856">
        <v>0.057</v>
      </c>
      <c r="J3856">
        <v>18.03</v>
      </c>
      <c r="K3856">
        <v>23.11</v>
      </c>
      <c r="L3856">
        <v>14.89</v>
      </c>
      <c r="M3856">
        <v>0.12</v>
      </c>
      <c r="N3856">
        <v>0.573</v>
      </c>
      <c r="O3856">
        <v>18.01</v>
      </c>
      <c r="P3856">
        <v>22.03</v>
      </c>
      <c r="Q3856">
        <v>15.09</v>
      </c>
      <c r="R3856">
        <v>0.15</v>
      </c>
    </row>
    <row r="3857">
      <c r="A3857" s="9">
        <v>42388</v>
      </c>
      <c r="B3857" s="2" t="inlineStr">
        <is>
          <t xml:space="preserve">2016-01</t>
        </is>
      </c>
      <c r="C3857" s="2" t="inlineStr">
        <is>
          <t xml:space="preserve">2015/16</t>
        </is>
      </c>
      <c r="D3857">
        <v>0.0</v>
      </c>
      <c r="E3857">
        <v>18.67</v>
      </c>
      <c r="F3857">
        <v>25.41</v>
      </c>
      <c r="G3857">
        <v>14.32</v>
      </c>
      <c r="H3857">
        <v>0.25</v>
      </c>
      <c r="I3857">
        <v>0.0</v>
      </c>
      <c r="J3857">
        <v>17.49</v>
      </c>
      <c r="K3857">
        <v>22.84</v>
      </c>
      <c r="L3857">
        <v>13.49</v>
      </c>
      <c r="M3857">
        <v>0.14</v>
      </c>
      <c r="N3857">
        <v>0.172</v>
      </c>
      <c r="O3857">
        <v>17.28</v>
      </c>
      <c r="P3857">
        <v>21.62</v>
      </c>
      <c r="Q3857">
        <v>14.02</v>
      </c>
      <c r="R3857">
        <v>0.84</v>
      </c>
    </row>
    <row r="3858">
      <c r="A3858" s="9">
        <v>42389</v>
      </c>
      <c r="B3858" s="2" t="inlineStr">
        <is>
          <t xml:space="preserve">2016-01</t>
        </is>
      </c>
      <c r="C3858" s="2" t="inlineStr">
        <is>
          <t xml:space="preserve">2015/16</t>
        </is>
      </c>
      <c r="D3858">
        <v>0.0</v>
      </c>
      <c r="E3858">
        <v>19.84</v>
      </c>
      <c r="F3858">
        <v>26.81</v>
      </c>
      <c r="G3858">
        <v>14.78</v>
      </c>
      <c r="H3858">
        <v>0.24</v>
      </c>
      <c r="I3858">
        <v>0.041</v>
      </c>
      <c r="J3858">
        <v>19.26</v>
      </c>
      <c r="K3858">
        <v>25.21</v>
      </c>
      <c r="L3858">
        <v>15.88</v>
      </c>
      <c r="M3858">
        <v>0.1</v>
      </c>
      <c r="N3858">
        <v>0.409</v>
      </c>
      <c r="O3858">
        <v>18.98</v>
      </c>
      <c r="P3858">
        <v>23.56</v>
      </c>
      <c r="Q3858">
        <v>16.18</v>
      </c>
      <c r="R3858">
        <v>0.17</v>
      </c>
    </row>
    <row r="3859">
      <c r="A3859" s="9">
        <v>42390</v>
      </c>
      <c r="B3859" s="2" t="inlineStr">
        <is>
          <t xml:space="preserve">2016-01</t>
        </is>
      </c>
      <c r="C3859" s="2" t="inlineStr">
        <is>
          <t xml:space="preserve">2015/16</t>
        </is>
      </c>
      <c r="D3859">
        <v>0.033</v>
      </c>
      <c r="E3859">
        <v>21.61</v>
      </c>
      <c r="F3859">
        <v>29.44</v>
      </c>
      <c r="G3859">
        <v>16.43</v>
      </c>
      <c r="H3859">
        <v>0.08</v>
      </c>
      <c r="I3859">
        <v>0.0</v>
      </c>
      <c r="J3859">
        <v>20.94</v>
      </c>
      <c r="K3859">
        <v>27.29</v>
      </c>
      <c r="L3859">
        <v>15.84</v>
      </c>
      <c r="M3859">
        <v>0.0</v>
      </c>
      <c r="N3859">
        <v>0.0</v>
      </c>
      <c r="O3859">
        <v>20.78</v>
      </c>
      <c r="P3859">
        <v>26.01</v>
      </c>
      <c r="Q3859">
        <v>16.78</v>
      </c>
      <c r="R3859">
        <v>0.02</v>
      </c>
    </row>
    <row r="3860">
      <c r="A3860" s="9">
        <v>42391</v>
      </c>
      <c r="B3860" s="2" t="inlineStr">
        <is>
          <t xml:space="preserve">2016-01</t>
        </is>
      </c>
      <c r="C3860" s="2" t="inlineStr">
        <is>
          <t xml:space="preserve">2015/16</t>
        </is>
      </c>
      <c r="D3860">
        <v>0.0</v>
      </c>
      <c r="E3860">
        <v>21.05</v>
      </c>
      <c r="F3860">
        <v>28.6</v>
      </c>
      <c r="G3860">
        <v>15.69</v>
      </c>
      <c r="H3860">
        <v>0.69</v>
      </c>
      <c r="I3860">
        <v>0.0</v>
      </c>
      <c r="J3860">
        <v>20.96</v>
      </c>
      <c r="K3860">
        <v>26.28</v>
      </c>
      <c r="L3860">
        <v>16.67</v>
      </c>
      <c r="M3860">
        <v>1.2</v>
      </c>
      <c r="N3860">
        <v>0.0</v>
      </c>
      <c r="O3860">
        <v>21.13</v>
      </c>
      <c r="P3860">
        <v>25.02</v>
      </c>
      <c r="Q3860">
        <v>18.01</v>
      </c>
      <c r="R3860">
        <v>2.34</v>
      </c>
    </row>
    <row r="3861">
      <c r="A3861" s="9">
        <v>42392</v>
      </c>
      <c r="B3861" s="2" t="inlineStr">
        <is>
          <t xml:space="preserve">2016-01</t>
        </is>
      </c>
      <c r="C3861" s="2" t="inlineStr">
        <is>
          <t xml:space="preserve">2015/16</t>
        </is>
      </c>
      <c r="D3861">
        <v>0.059</v>
      </c>
      <c r="E3861">
        <v>15.29</v>
      </c>
      <c r="F3861">
        <v>19.05</v>
      </c>
      <c r="G3861">
        <v>11.22</v>
      </c>
      <c r="H3861">
        <v>1.41</v>
      </c>
      <c r="I3861">
        <v>1.628</v>
      </c>
      <c r="J3861">
        <v>14.65</v>
      </c>
      <c r="K3861">
        <v>18.41</v>
      </c>
      <c r="L3861">
        <v>12.1</v>
      </c>
      <c r="M3861">
        <v>1.27</v>
      </c>
      <c r="N3861">
        <v>4.488</v>
      </c>
      <c r="O3861">
        <v>14.82</v>
      </c>
      <c r="P3861">
        <v>18.12</v>
      </c>
      <c r="Q3861">
        <v>12.43</v>
      </c>
      <c r="R3861">
        <v>2.29</v>
      </c>
    </row>
    <row r="3862">
      <c r="A3862" s="9">
        <v>42393</v>
      </c>
      <c r="B3862" s="2" t="inlineStr">
        <is>
          <t xml:space="preserve">2016-01</t>
        </is>
      </c>
      <c r="C3862" s="2" t="inlineStr">
        <is>
          <t xml:space="preserve">2015/16</t>
        </is>
      </c>
      <c r="D3862">
        <v>0.0</v>
      </c>
      <c r="E3862">
        <v>16.06</v>
      </c>
      <c r="F3862">
        <v>23.82</v>
      </c>
      <c r="G3862">
        <v>10.52</v>
      </c>
      <c r="H3862">
        <v>0.0</v>
      </c>
      <c r="I3862">
        <v>0.0</v>
      </c>
      <c r="J3862">
        <v>14.67</v>
      </c>
      <c r="K3862">
        <v>20.69</v>
      </c>
      <c r="L3862">
        <v>10.8</v>
      </c>
      <c r="M3862">
        <v>0.0</v>
      </c>
      <c r="N3862">
        <v>0.0</v>
      </c>
      <c r="O3862">
        <v>14.68</v>
      </c>
      <c r="P3862">
        <v>19.51</v>
      </c>
      <c r="Q3862">
        <v>11.46</v>
      </c>
      <c r="R3862">
        <v>0.0</v>
      </c>
    </row>
    <row r="3863">
      <c r="A3863" s="9">
        <v>42394</v>
      </c>
      <c r="B3863" s="2" t="inlineStr">
        <is>
          <t xml:space="preserve">2016-01</t>
        </is>
      </c>
      <c r="C3863" s="2" t="inlineStr">
        <is>
          <t xml:space="preserve">2015/16</t>
        </is>
      </c>
      <c r="D3863">
        <v>0.0</v>
      </c>
      <c r="E3863">
        <v>19.41</v>
      </c>
      <c r="F3863">
        <v>28.86</v>
      </c>
      <c r="G3863">
        <v>12.11</v>
      </c>
      <c r="H3863">
        <v>0.0</v>
      </c>
      <c r="I3863">
        <v>0.0</v>
      </c>
      <c r="J3863">
        <v>18.92</v>
      </c>
      <c r="K3863">
        <v>27.64</v>
      </c>
      <c r="L3863">
        <v>11.54</v>
      </c>
      <c r="M3863">
        <v>0.0</v>
      </c>
      <c r="N3863">
        <v>0.0</v>
      </c>
      <c r="O3863">
        <v>17.88</v>
      </c>
      <c r="P3863">
        <v>25.39</v>
      </c>
      <c r="Q3863">
        <v>12.05</v>
      </c>
      <c r="R3863">
        <v>0.01</v>
      </c>
    </row>
    <row r="3864">
      <c r="A3864" s="9">
        <v>42395</v>
      </c>
      <c r="B3864" s="2" t="inlineStr">
        <is>
          <t xml:space="preserve">2016-01</t>
        </is>
      </c>
      <c r="C3864" s="2" t="inlineStr">
        <is>
          <t xml:space="preserve">2015/16</t>
        </is>
      </c>
      <c r="D3864">
        <v>0.0</v>
      </c>
      <c r="E3864">
        <v>21.77</v>
      </c>
      <c r="F3864">
        <v>30.47</v>
      </c>
      <c r="G3864">
        <v>14.65</v>
      </c>
      <c r="H3864">
        <v>0.0</v>
      </c>
      <c r="I3864">
        <v>0.0</v>
      </c>
      <c r="J3864">
        <v>21.35</v>
      </c>
      <c r="K3864">
        <v>28.92</v>
      </c>
      <c r="L3864">
        <v>15.01</v>
      </c>
      <c r="M3864">
        <v>0.0</v>
      </c>
      <c r="N3864">
        <v>0.0</v>
      </c>
      <c r="O3864">
        <v>20.84</v>
      </c>
      <c r="P3864">
        <v>28.14</v>
      </c>
      <c r="Q3864">
        <v>14.34</v>
      </c>
      <c r="R3864">
        <v>0.0</v>
      </c>
    </row>
    <row r="3865">
      <c r="A3865" s="9">
        <v>42396</v>
      </c>
      <c r="B3865" s="2" t="inlineStr">
        <is>
          <t xml:space="preserve">2016-01</t>
        </is>
      </c>
      <c r="C3865" s="2" t="inlineStr">
        <is>
          <t xml:space="preserve">2015/16</t>
        </is>
      </c>
      <c r="D3865">
        <v>0.0</v>
      </c>
      <c r="E3865">
        <v>23.13</v>
      </c>
      <c r="F3865">
        <v>31.82</v>
      </c>
      <c r="G3865">
        <v>16.04</v>
      </c>
      <c r="H3865">
        <v>0.0</v>
      </c>
      <c r="I3865">
        <v>0.0</v>
      </c>
      <c r="J3865">
        <v>22.38</v>
      </c>
      <c r="K3865">
        <v>29.77</v>
      </c>
      <c r="L3865">
        <v>16.36</v>
      </c>
      <c r="M3865">
        <v>0.0</v>
      </c>
      <c r="N3865">
        <v>0.0</v>
      </c>
      <c r="O3865">
        <v>22.1</v>
      </c>
      <c r="P3865">
        <v>29.26</v>
      </c>
      <c r="Q3865">
        <v>15.65</v>
      </c>
      <c r="R3865">
        <v>0.0</v>
      </c>
    </row>
    <row r="3866">
      <c r="A3866" s="9">
        <v>42397</v>
      </c>
      <c r="B3866" s="2" t="inlineStr">
        <is>
          <t xml:space="preserve">2016-01</t>
        </is>
      </c>
      <c r="C3866" s="2" t="inlineStr">
        <is>
          <t xml:space="preserve">2015/16</t>
        </is>
      </c>
      <c r="D3866">
        <v>0.0</v>
      </c>
      <c r="E3866">
        <v>20.85</v>
      </c>
      <c r="F3866">
        <v>28.29</v>
      </c>
      <c r="G3866">
        <v>16.32</v>
      </c>
      <c r="H3866">
        <v>1.15</v>
      </c>
      <c r="I3866">
        <v>0.0</v>
      </c>
      <c r="J3866">
        <v>20.42</v>
      </c>
      <c r="K3866">
        <v>25.98</v>
      </c>
      <c r="L3866">
        <v>15.24</v>
      </c>
      <c r="M3866">
        <v>0.13</v>
      </c>
      <c r="N3866">
        <v>0.0</v>
      </c>
      <c r="O3866">
        <v>19.84</v>
      </c>
      <c r="P3866">
        <v>23.49</v>
      </c>
      <c r="Q3866">
        <v>15.64</v>
      </c>
      <c r="R3866">
        <v>1.34</v>
      </c>
    </row>
    <row r="3867">
      <c r="A3867" s="9">
        <v>42398</v>
      </c>
      <c r="B3867" s="2" t="inlineStr">
        <is>
          <t xml:space="preserve">2016-01</t>
        </is>
      </c>
      <c r="C3867" s="2" t="inlineStr">
        <is>
          <t xml:space="preserve">2015/16</t>
        </is>
      </c>
      <c r="D3867">
        <v>0.17</v>
      </c>
      <c r="E3867">
        <v>17.4</v>
      </c>
      <c r="F3867">
        <v>23.61</v>
      </c>
      <c r="G3867">
        <v>13.98</v>
      </c>
      <c r="H3867">
        <v>1.57</v>
      </c>
      <c r="I3867">
        <v>0.074</v>
      </c>
      <c r="J3867">
        <v>16.21</v>
      </c>
      <c r="K3867">
        <v>21.24</v>
      </c>
      <c r="L3867">
        <v>13.24</v>
      </c>
      <c r="M3867">
        <v>0.9</v>
      </c>
      <c r="N3867">
        <v>0.799</v>
      </c>
      <c r="O3867">
        <v>16.01</v>
      </c>
      <c r="P3867">
        <v>20.48</v>
      </c>
      <c r="Q3867">
        <v>13.39</v>
      </c>
      <c r="R3867">
        <v>1.77</v>
      </c>
    </row>
    <row r="3868">
      <c r="A3868" s="9">
        <v>42399</v>
      </c>
      <c r="B3868" s="2" t="inlineStr">
        <is>
          <t xml:space="preserve">2016-01</t>
        </is>
      </c>
      <c r="C3868" s="2" t="inlineStr">
        <is>
          <t xml:space="preserve">2015/16</t>
        </is>
      </c>
      <c r="D3868">
        <v>0.0</v>
      </c>
      <c r="E3868">
        <v>19.7</v>
      </c>
      <c r="F3868">
        <v>27.79</v>
      </c>
      <c r="G3868">
        <v>13.82</v>
      </c>
      <c r="H3868">
        <v>0.14</v>
      </c>
      <c r="I3868">
        <v>1.221</v>
      </c>
      <c r="J3868">
        <v>18.5</v>
      </c>
      <c r="K3868">
        <v>26.27</v>
      </c>
      <c r="L3868">
        <v>12.71</v>
      </c>
      <c r="M3868">
        <v>0.91</v>
      </c>
      <c r="N3868">
        <v>3.318</v>
      </c>
      <c r="O3868">
        <v>17.59</v>
      </c>
      <c r="P3868">
        <v>24.13</v>
      </c>
      <c r="Q3868">
        <v>13.08</v>
      </c>
      <c r="R3868">
        <v>0.84</v>
      </c>
    </row>
    <row r="3869">
      <c r="A3869" s="9">
        <v>42400</v>
      </c>
      <c r="B3869" s="2" t="inlineStr">
        <is>
          <t xml:space="preserve">2016-01</t>
        </is>
      </c>
      <c r="C3869" s="2" t="inlineStr">
        <is>
          <t xml:space="preserve">2015/16</t>
        </is>
      </c>
      <c r="D3869">
        <v>0.0</v>
      </c>
      <c r="E3869">
        <v>22.31</v>
      </c>
      <c r="F3869">
        <v>31.18</v>
      </c>
      <c r="G3869">
        <v>15.64</v>
      </c>
      <c r="H3869">
        <v>0.0</v>
      </c>
      <c r="I3869">
        <v>0.0</v>
      </c>
      <c r="J3869">
        <v>21.86</v>
      </c>
      <c r="K3869">
        <v>29.97</v>
      </c>
      <c r="L3869">
        <v>15.19</v>
      </c>
      <c r="M3869">
        <v>0.0</v>
      </c>
      <c r="N3869">
        <v>0.0</v>
      </c>
      <c r="O3869">
        <v>21.46</v>
      </c>
      <c r="P3869">
        <v>29.01</v>
      </c>
      <c r="Q3869">
        <v>15.65</v>
      </c>
      <c r="R3869">
        <v>0.0</v>
      </c>
    </row>
    <row r="3870">
      <c r="A3870" s="9">
        <v>42401</v>
      </c>
      <c r="B3870" s="2" t="inlineStr">
        <is>
          <t xml:space="preserve">2016-02</t>
        </is>
      </c>
      <c r="C3870" s="2" t="inlineStr">
        <is>
          <t xml:space="preserve">2015/16</t>
        </is>
      </c>
      <c r="D3870">
        <v>0.0</v>
      </c>
      <c r="E3870">
        <v>22.4</v>
      </c>
      <c r="F3870">
        <v>31.18</v>
      </c>
      <c r="G3870">
        <v>15.62</v>
      </c>
      <c r="H3870">
        <v>0.02</v>
      </c>
      <c r="I3870">
        <v>0.0</v>
      </c>
      <c r="J3870">
        <v>22.76</v>
      </c>
      <c r="K3870">
        <v>29.56</v>
      </c>
      <c r="L3870">
        <v>17.16</v>
      </c>
      <c r="M3870">
        <v>0.0</v>
      </c>
      <c r="N3870">
        <v>0.0</v>
      </c>
      <c r="O3870">
        <v>22.3</v>
      </c>
      <c r="P3870">
        <v>28.67</v>
      </c>
      <c r="Q3870">
        <v>18.42</v>
      </c>
      <c r="R3870">
        <v>0.0</v>
      </c>
    </row>
    <row r="3871">
      <c r="A3871" s="9">
        <v>42402</v>
      </c>
      <c r="B3871" s="2" t="inlineStr">
        <is>
          <t xml:space="preserve">2016-02</t>
        </is>
      </c>
      <c r="C3871" s="2" t="inlineStr">
        <is>
          <t xml:space="preserve">2015/16</t>
        </is>
      </c>
      <c r="D3871">
        <v>0.0</v>
      </c>
      <c r="E3871">
        <v>22.52</v>
      </c>
      <c r="F3871">
        <v>31.2</v>
      </c>
      <c r="G3871">
        <v>15.56</v>
      </c>
      <c r="H3871">
        <v>0.0</v>
      </c>
      <c r="I3871">
        <v>0.0</v>
      </c>
      <c r="J3871">
        <v>22.57</v>
      </c>
      <c r="K3871">
        <v>29.04</v>
      </c>
      <c r="L3871">
        <v>17.45</v>
      </c>
      <c r="M3871">
        <v>0.0</v>
      </c>
      <c r="N3871">
        <v>0.0</v>
      </c>
      <c r="O3871">
        <v>22.66</v>
      </c>
      <c r="P3871">
        <v>29.54</v>
      </c>
      <c r="Q3871">
        <v>16.66</v>
      </c>
      <c r="R3871">
        <v>0.0</v>
      </c>
    </row>
    <row r="3872">
      <c r="A3872" s="9">
        <v>42403</v>
      </c>
      <c r="B3872" s="2" t="inlineStr">
        <is>
          <t xml:space="preserve">2016-02</t>
        </is>
      </c>
      <c r="C3872" s="2" t="inlineStr">
        <is>
          <t xml:space="preserve">2015/16</t>
        </is>
      </c>
      <c r="D3872">
        <v>0.0</v>
      </c>
      <c r="E3872">
        <v>22.73</v>
      </c>
      <c r="F3872">
        <v>31.78</v>
      </c>
      <c r="G3872">
        <v>15.24</v>
      </c>
      <c r="H3872">
        <v>0.0</v>
      </c>
      <c r="I3872">
        <v>0.0</v>
      </c>
      <c r="J3872">
        <v>22.39</v>
      </c>
      <c r="K3872">
        <v>29.71</v>
      </c>
      <c r="L3872">
        <v>16.53</v>
      </c>
      <c r="M3872">
        <v>0.0</v>
      </c>
      <c r="N3872">
        <v>0.0</v>
      </c>
      <c r="O3872">
        <v>22.67</v>
      </c>
      <c r="P3872">
        <v>30.27</v>
      </c>
      <c r="Q3872">
        <v>16.14</v>
      </c>
      <c r="R3872">
        <v>0.0</v>
      </c>
    </row>
    <row r="3873">
      <c r="A3873" s="9">
        <v>42404</v>
      </c>
      <c r="B3873" s="2" t="inlineStr">
        <is>
          <t xml:space="preserve">2016-02</t>
        </is>
      </c>
      <c r="C3873" s="2" t="inlineStr">
        <is>
          <t xml:space="preserve">2015/16</t>
        </is>
      </c>
      <c r="D3873">
        <v>0.0</v>
      </c>
      <c r="E3873">
        <v>21.5</v>
      </c>
      <c r="F3873">
        <v>28.99</v>
      </c>
      <c r="G3873">
        <v>16.17</v>
      </c>
      <c r="H3873">
        <v>0.27</v>
      </c>
      <c r="I3873">
        <v>0.0</v>
      </c>
      <c r="J3873">
        <v>21.72</v>
      </c>
      <c r="K3873">
        <v>28.48</v>
      </c>
      <c r="L3873">
        <v>17.03</v>
      </c>
      <c r="M3873">
        <v>0.36</v>
      </c>
      <c r="N3873">
        <v>0.0</v>
      </c>
      <c r="O3873">
        <v>21.44</v>
      </c>
      <c r="P3873">
        <v>26.56</v>
      </c>
      <c r="Q3873">
        <v>17.97</v>
      </c>
      <c r="R3873">
        <v>0.67</v>
      </c>
    </row>
    <row r="3874">
      <c r="A3874" s="9">
        <v>42405</v>
      </c>
      <c r="B3874" s="2" t="inlineStr">
        <is>
          <t xml:space="preserve">2016-02</t>
        </is>
      </c>
      <c r="C3874" s="2" t="inlineStr">
        <is>
          <t xml:space="preserve">2015/16</t>
        </is>
      </c>
      <c r="D3874">
        <v>0.424</v>
      </c>
      <c r="E3874">
        <v>20.09</v>
      </c>
      <c r="F3874">
        <v>26.97</v>
      </c>
      <c r="G3874">
        <v>15.67</v>
      </c>
      <c r="H3874">
        <v>3.13</v>
      </c>
      <c r="I3874">
        <v>1.025</v>
      </c>
      <c r="J3874">
        <v>19.84</v>
      </c>
      <c r="K3874">
        <v>25.0</v>
      </c>
      <c r="L3874">
        <v>17.18</v>
      </c>
      <c r="M3874">
        <v>1.28</v>
      </c>
      <c r="N3874">
        <v>2.802</v>
      </c>
      <c r="O3874">
        <v>19.69</v>
      </c>
      <c r="P3874">
        <v>24.38</v>
      </c>
      <c r="Q3874">
        <v>17.28</v>
      </c>
      <c r="R3874">
        <v>3.92</v>
      </c>
    </row>
    <row r="3875">
      <c r="A3875" s="9">
        <v>42406</v>
      </c>
      <c r="B3875" s="2" t="inlineStr">
        <is>
          <t xml:space="preserve">2016-02</t>
        </is>
      </c>
      <c r="C3875" s="2" t="inlineStr">
        <is>
          <t xml:space="preserve">2015/16</t>
        </is>
      </c>
      <c r="D3875">
        <v>0.652</v>
      </c>
      <c r="E3875">
        <v>20.42</v>
      </c>
      <c r="F3875">
        <v>27.79</v>
      </c>
      <c r="G3875">
        <v>15.75</v>
      </c>
      <c r="H3875">
        <v>1.62</v>
      </c>
      <c r="I3875">
        <v>0.686</v>
      </c>
      <c r="J3875">
        <v>19.42</v>
      </c>
      <c r="K3875">
        <v>25.45</v>
      </c>
      <c r="L3875">
        <v>16.22</v>
      </c>
      <c r="M3875">
        <v>1.2</v>
      </c>
      <c r="N3875">
        <v>1.755</v>
      </c>
      <c r="O3875">
        <v>19.96</v>
      </c>
      <c r="P3875">
        <v>24.95</v>
      </c>
      <c r="Q3875">
        <v>17.22</v>
      </c>
      <c r="R3875">
        <v>2.97</v>
      </c>
    </row>
    <row r="3876">
      <c r="A3876" s="9">
        <v>42407</v>
      </c>
      <c r="B3876" s="2" t="inlineStr">
        <is>
          <t xml:space="preserve">2016-02</t>
        </is>
      </c>
      <c r="C3876" s="2" t="inlineStr">
        <is>
          <t xml:space="preserve">2015/16</t>
        </is>
      </c>
      <c r="D3876">
        <v>1.738</v>
      </c>
      <c r="E3876">
        <v>18.28</v>
      </c>
      <c r="F3876">
        <v>24.29</v>
      </c>
      <c r="G3876">
        <v>13.15</v>
      </c>
      <c r="H3876">
        <v>5.19</v>
      </c>
      <c r="I3876">
        <v>0.986</v>
      </c>
      <c r="J3876">
        <v>17.33</v>
      </c>
      <c r="K3876">
        <v>21.64</v>
      </c>
      <c r="L3876">
        <v>14.01</v>
      </c>
      <c r="M3876">
        <v>1.34</v>
      </c>
      <c r="N3876">
        <v>1.642</v>
      </c>
      <c r="O3876">
        <v>16.8</v>
      </c>
      <c r="P3876">
        <v>20.24</v>
      </c>
      <c r="Q3876">
        <v>14.3</v>
      </c>
      <c r="R3876">
        <v>5.58</v>
      </c>
    </row>
    <row r="3877">
      <c r="A3877" s="9">
        <v>42408</v>
      </c>
      <c r="B3877" s="2" t="inlineStr">
        <is>
          <t xml:space="preserve">2016-02</t>
        </is>
      </c>
      <c r="C3877" s="2" t="inlineStr">
        <is>
          <t xml:space="preserve">2015/16</t>
        </is>
      </c>
      <c r="D3877">
        <v>0.0</v>
      </c>
      <c r="E3877">
        <v>16.8</v>
      </c>
      <c r="F3877">
        <v>23.65</v>
      </c>
      <c r="G3877">
        <v>12.45</v>
      </c>
      <c r="H3877">
        <v>0.1</v>
      </c>
      <c r="I3877">
        <v>0.557</v>
      </c>
      <c r="J3877">
        <v>15.26</v>
      </c>
      <c r="K3877">
        <v>19.46</v>
      </c>
      <c r="L3877">
        <v>12.85</v>
      </c>
      <c r="M3877">
        <v>0.61</v>
      </c>
      <c r="N3877">
        <v>2.063</v>
      </c>
      <c r="O3877">
        <v>15.14</v>
      </c>
      <c r="P3877">
        <v>18.55</v>
      </c>
      <c r="Q3877">
        <v>13.43</v>
      </c>
      <c r="R3877">
        <v>0.57</v>
      </c>
    </row>
    <row r="3878">
      <c r="A3878" s="9">
        <v>42409</v>
      </c>
      <c r="B3878" s="2" t="inlineStr">
        <is>
          <t xml:space="preserve">2016-02</t>
        </is>
      </c>
      <c r="C3878" s="2" t="inlineStr">
        <is>
          <t xml:space="preserve">2015/16</t>
        </is>
      </c>
      <c r="D3878">
        <v>0.0</v>
      </c>
      <c r="E3878">
        <v>15.85</v>
      </c>
      <c r="F3878">
        <v>20.6</v>
      </c>
      <c r="G3878">
        <v>13.04</v>
      </c>
      <c r="H3878">
        <v>0.11</v>
      </c>
      <c r="I3878">
        <v>0.0</v>
      </c>
      <c r="J3878">
        <v>14.34</v>
      </c>
      <c r="K3878">
        <v>18.05</v>
      </c>
      <c r="L3878">
        <v>11.81</v>
      </c>
      <c r="M3878">
        <v>0.02</v>
      </c>
      <c r="N3878">
        <v>0.082</v>
      </c>
      <c r="O3878">
        <v>14.18</v>
      </c>
      <c r="P3878">
        <v>16.96</v>
      </c>
      <c r="Q3878">
        <v>12.53</v>
      </c>
      <c r="R3878">
        <v>0.11</v>
      </c>
    </row>
    <row r="3879">
      <c r="A3879" s="9">
        <v>42410</v>
      </c>
      <c r="B3879" s="2" t="inlineStr">
        <is>
          <t xml:space="preserve">2016-02</t>
        </is>
      </c>
      <c r="C3879" s="2" t="inlineStr">
        <is>
          <t xml:space="preserve">2015/16</t>
        </is>
      </c>
      <c r="D3879">
        <v>0.0</v>
      </c>
      <c r="E3879">
        <v>15.67</v>
      </c>
      <c r="F3879">
        <v>20.51</v>
      </c>
      <c r="G3879">
        <v>12.62</v>
      </c>
      <c r="H3879">
        <v>0.33</v>
      </c>
      <c r="I3879">
        <v>0.0</v>
      </c>
      <c r="J3879">
        <v>14.4</v>
      </c>
      <c r="K3879">
        <v>18.74</v>
      </c>
      <c r="L3879">
        <v>11.65</v>
      </c>
      <c r="M3879">
        <v>0.13</v>
      </c>
      <c r="N3879">
        <v>0.0</v>
      </c>
      <c r="O3879">
        <v>14.29</v>
      </c>
      <c r="P3879">
        <v>17.94</v>
      </c>
      <c r="Q3879">
        <v>11.98</v>
      </c>
      <c r="R3879">
        <v>0.61</v>
      </c>
    </row>
    <row r="3880">
      <c r="A3880" s="9">
        <v>42411</v>
      </c>
      <c r="B3880" s="2" t="inlineStr">
        <is>
          <t xml:space="preserve">2016-02</t>
        </is>
      </c>
      <c r="C3880" s="2" t="inlineStr">
        <is>
          <t xml:space="preserve">2015/16</t>
        </is>
      </c>
      <c r="D3880">
        <v>0.032</v>
      </c>
      <c r="E3880">
        <v>17.01</v>
      </c>
      <c r="F3880">
        <v>23.44</v>
      </c>
      <c r="G3880">
        <v>12.87</v>
      </c>
      <c r="H3880">
        <v>0.3</v>
      </c>
      <c r="I3880">
        <v>0.706</v>
      </c>
      <c r="J3880">
        <v>15.49</v>
      </c>
      <c r="K3880">
        <v>20.68</v>
      </c>
      <c r="L3880">
        <v>11.68</v>
      </c>
      <c r="M3880">
        <v>0.68</v>
      </c>
      <c r="N3880">
        <v>1.11</v>
      </c>
      <c r="O3880">
        <v>15.04</v>
      </c>
      <c r="P3880">
        <v>19.77</v>
      </c>
      <c r="Q3880">
        <v>11.7</v>
      </c>
      <c r="R3880">
        <v>1.04</v>
      </c>
    </row>
    <row r="3881">
      <c r="A3881" s="9">
        <v>42412</v>
      </c>
      <c r="B3881" s="2" t="inlineStr">
        <is>
          <t xml:space="preserve">2016-02</t>
        </is>
      </c>
      <c r="C3881" s="2" t="inlineStr">
        <is>
          <t xml:space="preserve">2015/16</t>
        </is>
      </c>
      <c r="D3881">
        <v>0.027</v>
      </c>
      <c r="E3881">
        <v>19.38</v>
      </c>
      <c r="F3881">
        <v>27.22</v>
      </c>
      <c r="G3881">
        <v>14.31</v>
      </c>
      <c r="H3881">
        <v>0.97</v>
      </c>
      <c r="I3881">
        <v>1.048</v>
      </c>
      <c r="J3881">
        <v>18.38</v>
      </c>
      <c r="K3881">
        <v>25.4</v>
      </c>
      <c r="L3881">
        <v>14.19</v>
      </c>
      <c r="M3881">
        <v>1.63</v>
      </c>
      <c r="N3881">
        <v>1.616</v>
      </c>
      <c r="O3881">
        <v>18.26</v>
      </c>
      <c r="P3881">
        <v>24.08</v>
      </c>
      <c r="Q3881">
        <v>14.56</v>
      </c>
      <c r="R3881">
        <v>1.96</v>
      </c>
    </row>
    <row r="3882">
      <c r="A3882" s="9">
        <v>42413</v>
      </c>
      <c r="B3882" s="2" t="inlineStr">
        <is>
          <t xml:space="preserve">2016-02</t>
        </is>
      </c>
      <c r="C3882" s="2" t="inlineStr">
        <is>
          <t xml:space="preserve">2015/16</t>
        </is>
      </c>
      <c r="D3882">
        <v>1.616</v>
      </c>
      <c r="E3882">
        <v>19.58</v>
      </c>
      <c r="F3882">
        <v>26.67</v>
      </c>
      <c r="G3882">
        <v>15.94</v>
      </c>
      <c r="H3882">
        <v>3.06</v>
      </c>
      <c r="I3882">
        <v>4.394</v>
      </c>
      <c r="J3882">
        <v>17.9</v>
      </c>
      <c r="K3882">
        <v>23.08</v>
      </c>
      <c r="L3882">
        <v>14.72</v>
      </c>
      <c r="M3882">
        <v>4.65</v>
      </c>
      <c r="N3882">
        <v>6.412</v>
      </c>
      <c r="O3882">
        <v>17.85</v>
      </c>
      <c r="P3882">
        <v>22.25</v>
      </c>
      <c r="Q3882">
        <v>15.45</v>
      </c>
      <c r="R3882">
        <v>6.71</v>
      </c>
    </row>
    <row r="3883">
      <c r="A3883" s="9">
        <v>42414</v>
      </c>
      <c r="B3883" s="2" t="inlineStr">
        <is>
          <t xml:space="preserve">2016-02</t>
        </is>
      </c>
      <c r="C3883" s="2" t="inlineStr">
        <is>
          <t xml:space="preserve">2015/16</t>
        </is>
      </c>
      <c r="D3883">
        <v>0.773</v>
      </c>
      <c r="E3883">
        <v>20.68</v>
      </c>
      <c r="F3883">
        <v>27.62</v>
      </c>
      <c r="G3883">
        <v>16.23</v>
      </c>
      <c r="H3883">
        <v>2.7</v>
      </c>
      <c r="I3883">
        <v>3.591</v>
      </c>
      <c r="J3883">
        <v>19.6</v>
      </c>
      <c r="K3883">
        <v>25.99</v>
      </c>
      <c r="L3883">
        <v>15.25</v>
      </c>
      <c r="M3883">
        <v>2.53</v>
      </c>
      <c r="N3883">
        <v>5.657</v>
      </c>
      <c r="O3883">
        <v>19.52</v>
      </c>
      <c r="P3883">
        <v>24.83</v>
      </c>
      <c r="Q3883">
        <v>16.27</v>
      </c>
      <c r="R3883">
        <v>5.36</v>
      </c>
    </row>
    <row r="3884">
      <c r="A3884" s="9">
        <v>42415</v>
      </c>
      <c r="B3884" s="2" t="inlineStr">
        <is>
          <t xml:space="preserve">2016-02</t>
        </is>
      </c>
      <c r="C3884" s="2" t="inlineStr">
        <is>
          <t xml:space="preserve">2015/16</t>
        </is>
      </c>
      <c r="D3884">
        <v>0.0</v>
      </c>
      <c r="E3884">
        <v>22.46</v>
      </c>
      <c r="F3884">
        <v>31.09</v>
      </c>
      <c r="G3884">
        <v>15.9</v>
      </c>
      <c r="H3884">
        <v>0.03</v>
      </c>
      <c r="I3884">
        <v>0.054</v>
      </c>
      <c r="J3884">
        <v>22.37</v>
      </c>
      <c r="K3884">
        <v>30.21</v>
      </c>
      <c r="L3884">
        <v>15.93</v>
      </c>
      <c r="M3884">
        <v>0.02</v>
      </c>
      <c r="N3884">
        <v>0.082</v>
      </c>
      <c r="O3884">
        <v>21.58</v>
      </c>
      <c r="P3884">
        <v>28.76</v>
      </c>
      <c r="Q3884">
        <v>16.68</v>
      </c>
      <c r="R3884">
        <v>0.01</v>
      </c>
    </row>
    <row r="3885">
      <c r="A3885" s="9">
        <v>42416</v>
      </c>
      <c r="B3885" s="2" t="inlineStr">
        <is>
          <t xml:space="preserve">2016-02</t>
        </is>
      </c>
      <c r="C3885" s="2" t="inlineStr">
        <is>
          <t xml:space="preserve">2015/16</t>
        </is>
      </c>
      <c r="D3885">
        <v>0.0</v>
      </c>
      <c r="E3885">
        <v>22.46</v>
      </c>
      <c r="F3885">
        <v>30.03</v>
      </c>
      <c r="G3885">
        <v>16.22</v>
      </c>
      <c r="H3885">
        <v>0.21</v>
      </c>
      <c r="I3885">
        <v>0.0</v>
      </c>
      <c r="J3885">
        <v>21.95</v>
      </c>
      <c r="K3885">
        <v>28.43</v>
      </c>
      <c r="L3885">
        <v>16.91</v>
      </c>
      <c r="M3885">
        <v>0.17</v>
      </c>
      <c r="N3885">
        <v>0.0</v>
      </c>
      <c r="O3885">
        <v>21.56</v>
      </c>
      <c r="P3885">
        <v>26.77</v>
      </c>
      <c r="Q3885">
        <v>17.55</v>
      </c>
      <c r="R3885">
        <v>0.58</v>
      </c>
    </row>
    <row r="3886">
      <c r="A3886" s="9">
        <v>42417</v>
      </c>
      <c r="B3886" s="2" t="inlineStr">
        <is>
          <t xml:space="preserve">2016-02</t>
        </is>
      </c>
      <c r="C3886" s="2" t="inlineStr">
        <is>
          <t xml:space="preserve">2015/16</t>
        </is>
      </c>
      <c r="D3886">
        <v>0.039</v>
      </c>
      <c r="E3886">
        <v>21.94</v>
      </c>
      <c r="F3886">
        <v>29.71</v>
      </c>
      <c r="G3886">
        <v>17.0</v>
      </c>
      <c r="H3886">
        <v>0.73</v>
      </c>
      <c r="I3886">
        <v>0.181</v>
      </c>
      <c r="J3886">
        <v>20.75</v>
      </c>
      <c r="K3886">
        <v>27.01</v>
      </c>
      <c r="L3886">
        <v>17.3</v>
      </c>
      <c r="M3886">
        <v>1.61</v>
      </c>
      <c r="N3886">
        <v>0.692</v>
      </c>
      <c r="O3886">
        <v>20.32</v>
      </c>
      <c r="P3886">
        <v>25.51</v>
      </c>
      <c r="Q3886">
        <v>17.3</v>
      </c>
      <c r="R3886">
        <v>3.58</v>
      </c>
    </row>
    <row r="3887">
      <c r="A3887" s="9">
        <v>42418</v>
      </c>
      <c r="B3887" s="2" t="inlineStr">
        <is>
          <t xml:space="preserve">2016-02</t>
        </is>
      </c>
      <c r="C3887" s="2" t="inlineStr">
        <is>
          <t xml:space="preserve">2015/16</t>
        </is>
      </c>
      <c r="D3887">
        <v>0.194</v>
      </c>
      <c r="E3887">
        <v>20.92</v>
      </c>
      <c r="F3887">
        <v>27.78</v>
      </c>
      <c r="G3887">
        <v>16.37</v>
      </c>
      <c r="H3887">
        <v>1.8</v>
      </c>
      <c r="I3887">
        <v>1.082</v>
      </c>
      <c r="J3887">
        <v>20.63</v>
      </c>
      <c r="K3887">
        <v>26.59</v>
      </c>
      <c r="L3887">
        <v>16.93</v>
      </c>
      <c r="M3887">
        <v>2.68</v>
      </c>
      <c r="N3887">
        <v>2.031</v>
      </c>
      <c r="O3887">
        <v>20.27</v>
      </c>
      <c r="P3887">
        <v>24.91</v>
      </c>
      <c r="Q3887">
        <v>17.28</v>
      </c>
      <c r="R3887">
        <v>7.18</v>
      </c>
    </row>
    <row r="3888">
      <c r="A3888" s="9">
        <v>42419</v>
      </c>
      <c r="B3888" s="2" t="inlineStr">
        <is>
          <t xml:space="preserve">2016-02</t>
        </is>
      </c>
      <c r="C3888" s="2" t="inlineStr">
        <is>
          <t xml:space="preserve">2015/16</t>
        </is>
      </c>
      <c r="D3888">
        <v>0.0</v>
      </c>
      <c r="E3888">
        <v>20.96</v>
      </c>
      <c r="F3888">
        <v>28.66</v>
      </c>
      <c r="G3888">
        <v>16.01</v>
      </c>
      <c r="H3888">
        <v>0.69</v>
      </c>
      <c r="I3888">
        <v>0.265</v>
      </c>
      <c r="J3888">
        <v>20.75</v>
      </c>
      <c r="K3888">
        <v>26.8</v>
      </c>
      <c r="L3888">
        <v>17.15</v>
      </c>
      <c r="M3888">
        <v>1.53</v>
      </c>
      <c r="N3888">
        <v>1.018</v>
      </c>
      <c r="O3888">
        <v>20.27</v>
      </c>
      <c r="P3888">
        <v>25.11</v>
      </c>
      <c r="Q3888">
        <v>17.55</v>
      </c>
      <c r="R3888">
        <v>3.7</v>
      </c>
    </row>
    <row r="3889">
      <c r="A3889" s="9">
        <v>42420</v>
      </c>
      <c r="B3889" s="2" t="inlineStr">
        <is>
          <t xml:space="preserve">2016-02</t>
        </is>
      </c>
      <c r="C3889" s="2" t="inlineStr">
        <is>
          <t xml:space="preserve">2015/16</t>
        </is>
      </c>
      <c r="D3889">
        <v>0.046</v>
      </c>
      <c r="E3889">
        <v>20.68</v>
      </c>
      <c r="F3889">
        <v>27.8</v>
      </c>
      <c r="G3889">
        <v>15.96</v>
      </c>
      <c r="H3889">
        <v>0.56</v>
      </c>
      <c r="I3889">
        <v>0.638</v>
      </c>
      <c r="J3889">
        <v>20.51</v>
      </c>
      <c r="K3889">
        <v>26.63</v>
      </c>
      <c r="L3889">
        <v>17.04</v>
      </c>
      <c r="M3889">
        <v>0.69</v>
      </c>
      <c r="N3889">
        <v>1.043</v>
      </c>
      <c r="O3889">
        <v>20.15</v>
      </c>
      <c r="P3889">
        <v>25.16</v>
      </c>
      <c r="Q3889">
        <v>17.46</v>
      </c>
      <c r="R3889">
        <v>1.47</v>
      </c>
    </row>
    <row r="3890">
      <c r="A3890" s="9">
        <v>42421</v>
      </c>
      <c r="B3890" s="2" t="inlineStr">
        <is>
          <t xml:space="preserve">2016-02</t>
        </is>
      </c>
      <c r="C3890" s="2" t="inlineStr">
        <is>
          <t xml:space="preserve">2015/16</t>
        </is>
      </c>
      <c r="D3890">
        <v>0.0</v>
      </c>
      <c r="E3890">
        <v>21.68</v>
      </c>
      <c r="F3890">
        <v>29.29</v>
      </c>
      <c r="G3890">
        <v>15.95</v>
      </c>
      <c r="H3890">
        <v>0.11</v>
      </c>
      <c r="I3890">
        <v>0.635</v>
      </c>
      <c r="J3890">
        <v>21.0</v>
      </c>
      <c r="K3890">
        <v>28.34</v>
      </c>
      <c r="L3890">
        <v>15.83</v>
      </c>
      <c r="M3890">
        <v>0.53</v>
      </c>
      <c r="N3890">
        <v>0.981</v>
      </c>
      <c r="O3890">
        <v>20.39</v>
      </c>
      <c r="P3890">
        <v>26.18</v>
      </c>
      <c r="Q3890">
        <v>16.37</v>
      </c>
      <c r="R3890">
        <v>0.5</v>
      </c>
    </row>
    <row r="3891">
      <c r="A3891" s="9">
        <v>42422</v>
      </c>
      <c r="B3891" s="2" t="inlineStr">
        <is>
          <t xml:space="preserve">2016-02</t>
        </is>
      </c>
      <c r="C3891" s="2" t="inlineStr">
        <is>
          <t xml:space="preserve">2015/16</t>
        </is>
      </c>
      <c r="D3891">
        <v>0.0</v>
      </c>
      <c r="E3891">
        <v>23.44</v>
      </c>
      <c r="F3891">
        <v>31.83</v>
      </c>
      <c r="G3891">
        <v>16.22</v>
      </c>
      <c r="H3891">
        <v>0.0</v>
      </c>
      <c r="I3891">
        <v>0.0</v>
      </c>
      <c r="J3891">
        <v>22.82</v>
      </c>
      <c r="K3891">
        <v>30.56</v>
      </c>
      <c r="L3891">
        <v>16.54</v>
      </c>
      <c r="M3891">
        <v>0.0</v>
      </c>
      <c r="N3891">
        <v>0.0</v>
      </c>
      <c r="O3891">
        <v>22.32</v>
      </c>
      <c r="P3891">
        <v>29.78</v>
      </c>
      <c r="Q3891">
        <v>17.16</v>
      </c>
      <c r="R3891">
        <v>0.0</v>
      </c>
    </row>
    <row r="3892">
      <c r="A3892" s="9">
        <v>42423</v>
      </c>
      <c r="B3892" s="2" t="inlineStr">
        <is>
          <t xml:space="preserve">2016-02</t>
        </is>
      </c>
      <c r="C3892" s="2" t="inlineStr">
        <is>
          <t xml:space="preserve">2015/16</t>
        </is>
      </c>
      <c r="D3892">
        <v>0.0</v>
      </c>
      <c r="E3892">
        <v>24.17</v>
      </c>
      <c r="F3892">
        <v>32.35</v>
      </c>
      <c r="G3892">
        <v>17.44</v>
      </c>
      <c r="H3892">
        <v>0.0</v>
      </c>
      <c r="I3892">
        <v>0.0</v>
      </c>
      <c r="J3892">
        <v>23.07</v>
      </c>
      <c r="K3892">
        <v>30.5</v>
      </c>
      <c r="L3892">
        <v>17.64</v>
      </c>
      <c r="M3892">
        <v>0.0</v>
      </c>
      <c r="N3892">
        <v>0.0</v>
      </c>
      <c r="O3892">
        <v>23.41</v>
      </c>
      <c r="P3892">
        <v>30.89</v>
      </c>
      <c r="Q3892">
        <v>16.87</v>
      </c>
      <c r="R3892">
        <v>0.0</v>
      </c>
    </row>
    <row r="3893">
      <c r="A3893" s="9">
        <v>42424</v>
      </c>
      <c r="B3893" s="2" t="inlineStr">
        <is>
          <t xml:space="preserve">2016-02</t>
        </is>
      </c>
      <c r="C3893" s="2" t="inlineStr">
        <is>
          <t xml:space="preserve">2015/16</t>
        </is>
      </c>
      <c r="D3893">
        <v>0.0</v>
      </c>
      <c r="E3893">
        <v>24.06</v>
      </c>
      <c r="F3893">
        <v>32.91</v>
      </c>
      <c r="G3893">
        <v>17.05</v>
      </c>
      <c r="H3893">
        <v>0.21</v>
      </c>
      <c r="I3893">
        <v>0.0</v>
      </c>
      <c r="J3893">
        <v>24.02</v>
      </c>
      <c r="K3893">
        <v>31.67</v>
      </c>
      <c r="L3893">
        <v>17.87</v>
      </c>
      <c r="M3893">
        <v>0.2</v>
      </c>
      <c r="N3893">
        <v>0.0</v>
      </c>
      <c r="O3893">
        <v>23.36</v>
      </c>
      <c r="P3893">
        <v>30.85</v>
      </c>
      <c r="Q3893">
        <v>17.47</v>
      </c>
      <c r="R3893">
        <v>0.33</v>
      </c>
    </row>
    <row r="3894">
      <c r="A3894" s="9">
        <v>42425</v>
      </c>
      <c r="B3894" s="2" t="inlineStr">
        <is>
          <t xml:space="preserve">2016-02</t>
        </is>
      </c>
      <c r="C3894" s="2" t="inlineStr">
        <is>
          <t xml:space="preserve">2015/16</t>
        </is>
      </c>
      <c r="D3894">
        <v>1.013</v>
      </c>
      <c r="E3894">
        <v>19.3</v>
      </c>
      <c r="F3894">
        <v>23.78</v>
      </c>
      <c r="G3894">
        <v>15.03</v>
      </c>
      <c r="H3894">
        <v>6.57</v>
      </c>
      <c r="I3894">
        <v>4.094</v>
      </c>
      <c r="J3894">
        <v>18.75</v>
      </c>
      <c r="K3894">
        <v>22.7</v>
      </c>
      <c r="L3894">
        <v>15.08</v>
      </c>
      <c r="M3894">
        <v>7.15</v>
      </c>
      <c r="N3894">
        <v>6.755</v>
      </c>
      <c r="O3894">
        <v>18.65</v>
      </c>
      <c r="P3894">
        <v>21.71</v>
      </c>
      <c r="Q3894">
        <v>15.56</v>
      </c>
      <c r="R3894">
        <v>15.27</v>
      </c>
    </row>
    <row r="3895">
      <c r="A3895" s="9">
        <v>42426</v>
      </c>
      <c r="B3895" s="2" t="inlineStr">
        <is>
          <t xml:space="preserve">2016-02</t>
        </is>
      </c>
      <c r="C3895" s="2" t="inlineStr">
        <is>
          <t xml:space="preserve">2015/16</t>
        </is>
      </c>
      <c r="D3895">
        <v>0.323</v>
      </c>
      <c r="E3895">
        <v>19.41</v>
      </c>
      <c r="F3895">
        <v>27.19</v>
      </c>
      <c r="G3895">
        <v>15.02</v>
      </c>
      <c r="H3895">
        <v>4.27</v>
      </c>
      <c r="I3895">
        <v>0.191</v>
      </c>
      <c r="J3895">
        <v>17.59</v>
      </c>
      <c r="K3895">
        <v>22.58</v>
      </c>
      <c r="L3895">
        <v>13.84</v>
      </c>
      <c r="M3895">
        <v>0.96</v>
      </c>
      <c r="N3895">
        <v>0.53</v>
      </c>
      <c r="O3895">
        <v>16.93</v>
      </c>
      <c r="P3895">
        <v>20.79</v>
      </c>
      <c r="Q3895">
        <v>14.08</v>
      </c>
      <c r="R3895">
        <v>7.43</v>
      </c>
    </row>
    <row r="3896">
      <c r="A3896" s="9">
        <v>42427</v>
      </c>
      <c r="B3896" s="2" t="inlineStr">
        <is>
          <t xml:space="preserve">2016-02</t>
        </is>
      </c>
      <c r="C3896" s="2" t="inlineStr">
        <is>
          <t xml:space="preserve">2015/16</t>
        </is>
      </c>
      <c r="D3896">
        <v>0.534</v>
      </c>
      <c r="E3896">
        <v>18.3</v>
      </c>
      <c r="F3896">
        <v>24.46</v>
      </c>
      <c r="G3896">
        <v>15.1</v>
      </c>
      <c r="H3896">
        <v>3.54</v>
      </c>
      <c r="I3896">
        <v>1.519</v>
      </c>
      <c r="J3896">
        <v>18.07</v>
      </c>
      <c r="K3896">
        <v>24.02</v>
      </c>
      <c r="L3896">
        <v>14.49</v>
      </c>
      <c r="M3896">
        <v>1.74</v>
      </c>
      <c r="N3896">
        <v>2.621</v>
      </c>
      <c r="O3896">
        <v>17.52</v>
      </c>
      <c r="P3896">
        <v>22.65</v>
      </c>
      <c r="Q3896">
        <v>15.03</v>
      </c>
      <c r="R3896">
        <v>5.31</v>
      </c>
    </row>
    <row r="3897">
      <c r="A3897" s="9">
        <v>42428</v>
      </c>
      <c r="B3897" s="2" t="inlineStr">
        <is>
          <t xml:space="preserve">2016-02</t>
        </is>
      </c>
      <c r="C3897" s="2" t="inlineStr">
        <is>
          <t xml:space="preserve">2015/16</t>
        </is>
      </c>
      <c r="D3897">
        <v>0.159</v>
      </c>
      <c r="E3897">
        <v>19.35</v>
      </c>
      <c r="F3897">
        <v>26.7</v>
      </c>
      <c r="G3897">
        <v>14.39</v>
      </c>
      <c r="H3897">
        <v>0.41</v>
      </c>
      <c r="I3897">
        <v>0.424</v>
      </c>
      <c r="J3897">
        <v>19.22</v>
      </c>
      <c r="K3897">
        <v>26.34</v>
      </c>
      <c r="L3897">
        <v>14.41</v>
      </c>
      <c r="M3897">
        <v>0.35</v>
      </c>
      <c r="N3897">
        <v>0.561</v>
      </c>
      <c r="O3897">
        <v>18.47</v>
      </c>
      <c r="P3897">
        <v>24.29</v>
      </c>
      <c r="Q3897">
        <v>14.73</v>
      </c>
      <c r="R3897">
        <v>0.53</v>
      </c>
    </row>
    <row r="3898">
      <c r="A3898" s="9">
        <v>42429</v>
      </c>
      <c r="B3898" s="2" t="inlineStr">
        <is>
          <t xml:space="preserve">2016-02</t>
        </is>
      </c>
      <c r="C3898" s="2" t="inlineStr">
        <is>
          <t xml:space="preserve">2015/16</t>
        </is>
      </c>
      <c r="D3898">
        <v>0.0</v>
      </c>
      <c r="E3898">
        <v>20.97</v>
      </c>
      <c r="F3898">
        <v>30.04</v>
      </c>
      <c r="G3898">
        <v>13.8</v>
      </c>
      <c r="H3898">
        <v>0.0</v>
      </c>
      <c r="I3898">
        <v>0.0</v>
      </c>
      <c r="J3898">
        <v>20.67</v>
      </c>
      <c r="K3898">
        <v>28.43</v>
      </c>
      <c r="L3898">
        <v>15.52</v>
      </c>
      <c r="M3898">
        <v>0.02</v>
      </c>
      <c r="N3898">
        <v>0.0</v>
      </c>
      <c r="O3898">
        <v>19.64</v>
      </c>
      <c r="P3898">
        <v>26.12</v>
      </c>
      <c r="Q3898">
        <v>15.47</v>
      </c>
      <c r="R3898">
        <v>0.06</v>
      </c>
    </row>
    <row r="3899">
      <c r="A3899" s="9">
        <v>42430</v>
      </c>
      <c r="B3899" s="2" t="inlineStr">
        <is>
          <t xml:space="preserve">2016-03</t>
        </is>
      </c>
      <c r="C3899" s="2" t="inlineStr">
        <is>
          <t xml:space="preserve">2015/16</t>
        </is>
      </c>
      <c r="D3899">
        <v>0.0</v>
      </c>
      <c r="E3899">
        <v>21.97</v>
      </c>
      <c r="F3899">
        <v>30.93</v>
      </c>
      <c r="G3899">
        <v>15.64</v>
      </c>
      <c r="H3899">
        <v>0.0</v>
      </c>
      <c r="I3899">
        <v>0.0</v>
      </c>
      <c r="J3899">
        <v>21.57</v>
      </c>
      <c r="K3899">
        <v>29.7</v>
      </c>
      <c r="L3899">
        <v>15.47</v>
      </c>
      <c r="M3899">
        <v>0.0</v>
      </c>
      <c r="N3899">
        <v>0.0</v>
      </c>
      <c r="O3899">
        <v>20.49</v>
      </c>
      <c r="P3899">
        <v>27.31</v>
      </c>
      <c r="Q3899">
        <v>15.56</v>
      </c>
      <c r="R3899">
        <v>0.0</v>
      </c>
    </row>
    <row r="3900">
      <c r="A3900" s="9">
        <v>42431</v>
      </c>
      <c r="B3900" s="2" t="inlineStr">
        <is>
          <t xml:space="preserve">2016-03</t>
        </is>
      </c>
      <c r="C3900" s="2" t="inlineStr">
        <is>
          <t xml:space="preserve">2015/16</t>
        </is>
      </c>
      <c r="D3900">
        <v>0.0</v>
      </c>
      <c r="E3900">
        <v>22.39</v>
      </c>
      <c r="F3900">
        <v>30.15</v>
      </c>
      <c r="G3900">
        <v>16.85</v>
      </c>
      <c r="H3900">
        <v>0.12</v>
      </c>
      <c r="I3900">
        <v>0.0</v>
      </c>
      <c r="J3900">
        <v>21.72</v>
      </c>
      <c r="K3900">
        <v>28.83</v>
      </c>
      <c r="L3900">
        <v>16.8</v>
      </c>
      <c r="M3900">
        <v>0.23</v>
      </c>
      <c r="N3900">
        <v>0.0</v>
      </c>
      <c r="O3900">
        <v>20.97</v>
      </c>
      <c r="P3900">
        <v>26.72</v>
      </c>
      <c r="Q3900">
        <v>16.99</v>
      </c>
      <c r="R3900">
        <v>0.82</v>
      </c>
    </row>
    <row r="3901">
      <c r="A3901" s="9">
        <v>42432</v>
      </c>
      <c r="B3901" s="2" t="inlineStr">
        <is>
          <t xml:space="preserve">2016-03</t>
        </is>
      </c>
      <c r="C3901" s="2" t="inlineStr">
        <is>
          <t xml:space="preserve">2015/16</t>
        </is>
      </c>
      <c r="D3901">
        <v>0.0</v>
      </c>
      <c r="E3901">
        <v>22.29</v>
      </c>
      <c r="F3901">
        <v>29.64</v>
      </c>
      <c r="G3901">
        <v>17.67</v>
      </c>
      <c r="H3901">
        <v>0.28</v>
      </c>
      <c r="I3901">
        <v>0.251</v>
      </c>
      <c r="J3901">
        <v>22.23</v>
      </c>
      <c r="K3901">
        <v>29.04</v>
      </c>
      <c r="L3901">
        <v>17.43</v>
      </c>
      <c r="M3901">
        <v>1.45</v>
      </c>
      <c r="N3901">
        <v>0.955</v>
      </c>
      <c r="O3901">
        <v>20.96</v>
      </c>
      <c r="P3901">
        <v>26.48</v>
      </c>
      <c r="Q3901">
        <v>17.59</v>
      </c>
      <c r="R3901">
        <v>2.79</v>
      </c>
    </row>
    <row r="3902">
      <c r="A3902" s="9">
        <v>42433</v>
      </c>
      <c r="B3902" s="2" t="inlineStr">
        <is>
          <t xml:space="preserve">2016-03</t>
        </is>
      </c>
      <c r="C3902" s="2" t="inlineStr">
        <is>
          <t xml:space="preserve">2015/16</t>
        </is>
      </c>
      <c r="D3902">
        <v>0.0</v>
      </c>
      <c r="E3902">
        <v>22.57</v>
      </c>
      <c r="F3902">
        <v>29.68</v>
      </c>
      <c r="G3902">
        <v>17.88</v>
      </c>
      <c r="H3902">
        <v>1.05</v>
      </c>
      <c r="I3902">
        <v>0.0</v>
      </c>
      <c r="J3902">
        <v>22.81</v>
      </c>
      <c r="K3902">
        <v>29.38</v>
      </c>
      <c r="L3902">
        <v>18.52</v>
      </c>
      <c r="M3902">
        <v>0.42</v>
      </c>
      <c r="N3902">
        <v>0.0</v>
      </c>
      <c r="O3902">
        <v>21.96</v>
      </c>
      <c r="P3902">
        <v>27.57</v>
      </c>
      <c r="Q3902">
        <v>18.45</v>
      </c>
      <c r="R3902">
        <v>1.36</v>
      </c>
    </row>
    <row r="3903">
      <c r="A3903" s="9">
        <v>42434</v>
      </c>
      <c r="B3903" s="2" t="inlineStr">
        <is>
          <t xml:space="preserve">2016-03</t>
        </is>
      </c>
      <c r="C3903" s="2" t="inlineStr">
        <is>
          <t xml:space="preserve">2015/16</t>
        </is>
      </c>
      <c r="D3903">
        <v>0.927</v>
      </c>
      <c r="E3903">
        <v>23.22</v>
      </c>
      <c r="F3903">
        <v>31.43</v>
      </c>
      <c r="G3903">
        <v>17.85</v>
      </c>
      <c r="H3903">
        <v>2.51</v>
      </c>
      <c r="I3903">
        <v>2.494</v>
      </c>
      <c r="J3903">
        <v>23.18</v>
      </c>
      <c r="K3903">
        <v>29.61</v>
      </c>
      <c r="L3903">
        <v>18.24</v>
      </c>
      <c r="M3903">
        <v>3.17</v>
      </c>
      <c r="N3903">
        <v>1.601</v>
      </c>
      <c r="O3903">
        <v>22.16</v>
      </c>
      <c r="P3903">
        <v>28.09</v>
      </c>
      <c r="Q3903">
        <v>18.62</v>
      </c>
      <c r="R3903">
        <v>6.8</v>
      </c>
    </row>
    <row r="3904">
      <c r="A3904" s="9">
        <v>42435</v>
      </c>
      <c r="B3904" s="2" t="inlineStr">
        <is>
          <t xml:space="preserve">2016-03</t>
        </is>
      </c>
      <c r="C3904" s="2" t="inlineStr">
        <is>
          <t xml:space="preserve">2015/16</t>
        </is>
      </c>
      <c r="D3904">
        <v>1.131</v>
      </c>
      <c r="E3904">
        <v>22.47</v>
      </c>
      <c r="F3904">
        <v>29.42</v>
      </c>
      <c r="G3904">
        <v>18.24</v>
      </c>
      <c r="H3904">
        <v>5.81</v>
      </c>
      <c r="I3904">
        <v>0.528</v>
      </c>
      <c r="J3904">
        <v>23.28</v>
      </c>
      <c r="K3904">
        <v>28.02</v>
      </c>
      <c r="L3904">
        <v>19.85</v>
      </c>
      <c r="M3904">
        <v>1.99</v>
      </c>
      <c r="N3904">
        <v>1.064</v>
      </c>
      <c r="O3904">
        <v>21.57</v>
      </c>
      <c r="P3904">
        <v>26.34</v>
      </c>
      <c r="Q3904">
        <v>19.17</v>
      </c>
      <c r="R3904">
        <v>7.74</v>
      </c>
    </row>
    <row r="3905">
      <c r="A3905" s="9">
        <v>42436</v>
      </c>
      <c r="B3905" s="2" t="inlineStr">
        <is>
          <t xml:space="preserve">2016-03</t>
        </is>
      </c>
      <c r="C3905" s="2" t="inlineStr">
        <is>
          <t xml:space="preserve">2015/16</t>
        </is>
      </c>
      <c r="D3905">
        <v>6.878</v>
      </c>
      <c r="E3905">
        <v>22.45</v>
      </c>
      <c r="F3905">
        <v>29.83</v>
      </c>
      <c r="G3905">
        <v>17.67</v>
      </c>
      <c r="H3905">
        <v>6.45</v>
      </c>
      <c r="I3905">
        <v>0.921</v>
      </c>
      <c r="J3905">
        <v>24.1</v>
      </c>
      <c r="K3905">
        <v>30.64</v>
      </c>
      <c r="L3905">
        <v>19.63</v>
      </c>
      <c r="M3905">
        <v>1.48</v>
      </c>
      <c r="N3905">
        <v>1.179</v>
      </c>
      <c r="O3905">
        <v>22.62</v>
      </c>
      <c r="P3905">
        <v>29.08</v>
      </c>
      <c r="Q3905">
        <v>18.18</v>
      </c>
      <c r="R3905">
        <v>4.16</v>
      </c>
    </row>
    <row r="3906">
      <c r="A3906" s="9">
        <v>42437</v>
      </c>
      <c r="B3906" s="2" t="inlineStr">
        <is>
          <t xml:space="preserve">2016-03</t>
        </is>
      </c>
      <c r="C3906" s="2" t="inlineStr">
        <is>
          <t xml:space="preserve">2015/16</t>
        </is>
      </c>
      <c r="D3906">
        <v>2.861</v>
      </c>
      <c r="E3906">
        <v>23.92</v>
      </c>
      <c r="F3906">
        <v>31.42</v>
      </c>
      <c r="G3906">
        <v>17.87</v>
      </c>
      <c r="H3906">
        <v>2.37</v>
      </c>
      <c r="I3906">
        <v>0.079</v>
      </c>
      <c r="J3906">
        <v>24.26</v>
      </c>
      <c r="K3906">
        <v>31.09</v>
      </c>
      <c r="L3906">
        <v>19.14</v>
      </c>
      <c r="M3906">
        <v>0.04</v>
      </c>
      <c r="N3906">
        <v>0.111</v>
      </c>
      <c r="O3906">
        <v>24.39</v>
      </c>
      <c r="P3906">
        <v>30.97</v>
      </c>
      <c r="Q3906">
        <v>18.85</v>
      </c>
      <c r="R3906">
        <v>0.23</v>
      </c>
    </row>
    <row r="3907">
      <c r="A3907" s="9">
        <v>42438</v>
      </c>
      <c r="B3907" s="2" t="inlineStr">
        <is>
          <t xml:space="preserve">2016-03</t>
        </is>
      </c>
      <c r="C3907" s="2" t="inlineStr">
        <is>
          <t xml:space="preserve">2015/16</t>
        </is>
      </c>
      <c r="D3907">
        <v>2.508</v>
      </c>
      <c r="E3907">
        <v>24.21</v>
      </c>
      <c r="F3907">
        <v>31.02</v>
      </c>
      <c r="G3907">
        <v>18.36</v>
      </c>
      <c r="H3907">
        <v>1.14</v>
      </c>
      <c r="I3907">
        <v>0.0</v>
      </c>
      <c r="J3907">
        <v>23.91</v>
      </c>
      <c r="K3907">
        <v>29.84</v>
      </c>
      <c r="L3907">
        <v>18.39</v>
      </c>
      <c r="M3907">
        <v>0.02</v>
      </c>
      <c r="N3907">
        <v>0.0</v>
      </c>
      <c r="O3907">
        <v>24.54</v>
      </c>
      <c r="P3907">
        <v>31.06</v>
      </c>
      <c r="Q3907">
        <v>19.14</v>
      </c>
      <c r="R3907">
        <v>0.06</v>
      </c>
    </row>
    <row r="3908">
      <c r="A3908" s="9">
        <v>42439</v>
      </c>
      <c r="B3908" s="2" t="inlineStr">
        <is>
          <t xml:space="preserve">2016-03</t>
        </is>
      </c>
      <c r="C3908" s="2" t="inlineStr">
        <is>
          <t xml:space="preserve">2015/16</t>
        </is>
      </c>
      <c r="D3908">
        <v>0.0</v>
      </c>
      <c r="E3908">
        <v>25.4</v>
      </c>
      <c r="F3908">
        <v>33.25</v>
      </c>
      <c r="G3908">
        <v>18.64</v>
      </c>
      <c r="H3908">
        <v>0.04</v>
      </c>
      <c r="I3908">
        <v>0.0</v>
      </c>
      <c r="J3908">
        <v>24.49</v>
      </c>
      <c r="K3908">
        <v>31.55</v>
      </c>
      <c r="L3908">
        <v>19.53</v>
      </c>
      <c r="M3908">
        <v>0.13</v>
      </c>
      <c r="N3908">
        <v>0.0</v>
      </c>
      <c r="O3908">
        <v>24.9</v>
      </c>
      <c r="P3908">
        <v>31.52</v>
      </c>
      <c r="Q3908">
        <v>19.79</v>
      </c>
      <c r="R3908">
        <v>0.11</v>
      </c>
    </row>
    <row r="3909">
      <c r="A3909" s="9">
        <v>42440</v>
      </c>
      <c r="B3909" s="2" t="inlineStr">
        <is>
          <t xml:space="preserve">2016-03</t>
        </is>
      </c>
      <c r="C3909" s="2" t="inlineStr">
        <is>
          <t xml:space="preserve">2015/16</t>
        </is>
      </c>
      <c r="D3909">
        <v>0.0</v>
      </c>
      <c r="E3909">
        <v>25.97</v>
      </c>
      <c r="F3909">
        <v>33.97</v>
      </c>
      <c r="G3909">
        <v>19.21</v>
      </c>
      <c r="H3909">
        <v>0.06</v>
      </c>
      <c r="I3909">
        <v>0.757</v>
      </c>
      <c r="J3909">
        <v>25.21</v>
      </c>
      <c r="K3909">
        <v>32.31</v>
      </c>
      <c r="L3909">
        <v>19.59</v>
      </c>
      <c r="M3909">
        <v>0.58</v>
      </c>
      <c r="N3909">
        <v>1.157</v>
      </c>
      <c r="O3909">
        <v>25.53</v>
      </c>
      <c r="P3909">
        <v>31.96</v>
      </c>
      <c r="Q3909">
        <v>20.45</v>
      </c>
      <c r="R3909">
        <v>0.36</v>
      </c>
    </row>
    <row r="3910">
      <c r="A3910" s="9">
        <v>42441</v>
      </c>
      <c r="B3910" s="2" t="inlineStr">
        <is>
          <t xml:space="preserve">2016-03</t>
        </is>
      </c>
      <c r="C3910" s="2" t="inlineStr">
        <is>
          <t xml:space="preserve">2015/16</t>
        </is>
      </c>
      <c r="D3910">
        <v>0.0</v>
      </c>
      <c r="E3910">
        <v>25.77</v>
      </c>
      <c r="F3910">
        <v>33.56</v>
      </c>
      <c r="G3910">
        <v>19.48</v>
      </c>
      <c r="H3910">
        <v>0.05</v>
      </c>
      <c r="I3910">
        <v>0.432</v>
      </c>
      <c r="J3910">
        <v>25.77</v>
      </c>
      <c r="K3910">
        <v>32.76</v>
      </c>
      <c r="L3910">
        <v>20.12</v>
      </c>
      <c r="M3910">
        <v>0.43</v>
      </c>
      <c r="N3910">
        <v>0.661</v>
      </c>
      <c r="O3910">
        <v>25.08</v>
      </c>
      <c r="P3910">
        <v>31.19</v>
      </c>
      <c r="Q3910">
        <v>20.32</v>
      </c>
      <c r="R3910">
        <v>0.28</v>
      </c>
    </row>
    <row r="3911">
      <c r="A3911" s="9">
        <v>42442</v>
      </c>
      <c r="B3911" s="2" t="inlineStr">
        <is>
          <t xml:space="preserve">2016-03</t>
        </is>
      </c>
      <c r="C3911" s="2" t="inlineStr">
        <is>
          <t xml:space="preserve">2015/16</t>
        </is>
      </c>
      <c r="D3911">
        <v>0.0</v>
      </c>
      <c r="E3911">
        <v>24.69</v>
      </c>
      <c r="F3911">
        <v>32.86</v>
      </c>
      <c r="G3911">
        <v>17.72</v>
      </c>
      <c r="H3911">
        <v>0.02</v>
      </c>
      <c r="I3911">
        <v>0.431</v>
      </c>
      <c r="J3911">
        <v>23.8</v>
      </c>
      <c r="K3911">
        <v>27.49</v>
      </c>
      <c r="L3911">
        <v>21.35</v>
      </c>
      <c r="M3911">
        <v>0.31</v>
      </c>
      <c r="N3911">
        <v>0.661</v>
      </c>
      <c r="O3911">
        <v>24.34</v>
      </c>
      <c r="P3911">
        <v>30.74</v>
      </c>
      <c r="Q3911">
        <v>20.17</v>
      </c>
      <c r="R3911">
        <v>0.17</v>
      </c>
    </row>
    <row r="3912">
      <c r="A3912" s="9">
        <v>42443</v>
      </c>
      <c r="B3912" s="2" t="inlineStr">
        <is>
          <t xml:space="preserve">2016-03</t>
        </is>
      </c>
      <c r="C3912" s="2" t="inlineStr">
        <is>
          <t xml:space="preserve">2015/16</t>
        </is>
      </c>
      <c r="D3912">
        <v>0.0</v>
      </c>
      <c r="E3912">
        <v>24.91</v>
      </c>
      <c r="F3912">
        <v>33.78</v>
      </c>
      <c r="G3912">
        <v>17.63</v>
      </c>
      <c r="H3912">
        <v>0.0</v>
      </c>
      <c r="I3912">
        <v>0.0</v>
      </c>
      <c r="J3912">
        <v>25.55</v>
      </c>
      <c r="K3912">
        <v>33.09</v>
      </c>
      <c r="L3912">
        <v>20.16</v>
      </c>
      <c r="M3912">
        <v>0.0</v>
      </c>
      <c r="N3912">
        <v>0.0</v>
      </c>
      <c r="O3912">
        <v>24.18</v>
      </c>
      <c r="P3912">
        <v>31.67</v>
      </c>
      <c r="Q3912">
        <v>19.63</v>
      </c>
      <c r="R3912">
        <v>0.0</v>
      </c>
    </row>
    <row r="3913">
      <c r="A3913" s="9">
        <v>42444</v>
      </c>
      <c r="B3913" s="2" t="inlineStr">
        <is>
          <t xml:space="preserve">2016-03</t>
        </is>
      </c>
      <c r="C3913" s="2" t="inlineStr">
        <is>
          <t xml:space="preserve">2015/16</t>
        </is>
      </c>
      <c r="D3913">
        <v>0.0</v>
      </c>
      <c r="E3913">
        <v>24.31</v>
      </c>
      <c r="F3913">
        <v>33.41</v>
      </c>
      <c r="G3913">
        <v>17.03</v>
      </c>
      <c r="H3913">
        <v>0.0</v>
      </c>
      <c r="I3913">
        <v>0.0</v>
      </c>
      <c r="J3913">
        <v>25.44</v>
      </c>
      <c r="K3913">
        <v>33.41</v>
      </c>
      <c r="L3913">
        <v>19.07</v>
      </c>
      <c r="M3913">
        <v>0.0</v>
      </c>
      <c r="N3913">
        <v>0.0</v>
      </c>
      <c r="O3913">
        <v>24.16</v>
      </c>
      <c r="P3913">
        <v>32.0</v>
      </c>
      <c r="Q3913">
        <v>18.99</v>
      </c>
      <c r="R3913">
        <v>0.0</v>
      </c>
    </row>
    <row r="3914">
      <c r="A3914" s="9">
        <v>42445</v>
      </c>
      <c r="B3914" s="2" t="inlineStr">
        <is>
          <t xml:space="preserve">2016-03</t>
        </is>
      </c>
      <c r="C3914" s="2" t="inlineStr">
        <is>
          <t xml:space="preserve">2015/16</t>
        </is>
      </c>
      <c r="D3914">
        <v>0.0</v>
      </c>
      <c r="E3914">
        <v>24.5</v>
      </c>
      <c r="F3914">
        <v>33.73</v>
      </c>
      <c r="G3914">
        <v>16.81</v>
      </c>
      <c r="H3914">
        <v>0.0</v>
      </c>
      <c r="I3914">
        <v>0.0</v>
      </c>
      <c r="J3914">
        <v>25.82</v>
      </c>
      <c r="K3914">
        <v>33.75</v>
      </c>
      <c r="L3914">
        <v>19.45</v>
      </c>
      <c r="M3914">
        <v>0.0</v>
      </c>
      <c r="N3914">
        <v>0.0</v>
      </c>
      <c r="O3914">
        <v>24.67</v>
      </c>
      <c r="P3914">
        <v>32.91</v>
      </c>
      <c r="Q3914">
        <v>19.29</v>
      </c>
      <c r="R3914">
        <v>0.0</v>
      </c>
    </row>
    <row r="3915">
      <c r="A3915" s="9">
        <v>42446</v>
      </c>
      <c r="B3915" s="2" t="inlineStr">
        <is>
          <t xml:space="preserve">2016-03</t>
        </is>
      </c>
      <c r="C3915" s="2" t="inlineStr">
        <is>
          <t xml:space="preserve">2015/16</t>
        </is>
      </c>
      <c r="D3915">
        <v>0.0</v>
      </c>
      <c r="E3915">
        <v>24.94</v>
      </c>
      <c r="F3915">
        <v>33.71</v>
      </c>
      <c r="G3915">
        <v>17.45</v>
      </c>
      <c r="H3915">
        <v>0.0</v>
      </c>
      <c r="I3915">
        <v>0.0</v>
      </c>
      <c r="J3915">
        <v>25.97</v>
      </c>
      <c r="K3915">
        <v>33.85</v>
      </c>
      <c r="L3915">
        <v>19.68</v>
      </c>
      <c r="M3915">
        <v>0.01</v>
      </c>
      <c r="N3915">
        <v>0.0</v>
      </c>
      <c r="O3915">
        <v>24.78</v>
      </c>
      <c r="P3915">
        <v>32.39</v>
      </c>
      <c r="Q3915">
        <v>19.38</v>
      </c>
      <c r="R3915">
        <v>0.0</v>
      </c>
    </row>
    <row r="3916">
      <c r="A3916" s="9">
        <v>42447</v>
      </c>
      <c r="B3916" s="2" t="inlineStr">
        <is>
          <t xml:space="preserve">2016-03</t>
        </is>
      </c>
      <c r="C3916" s="2" t="inlineStr">
        <is>
          <t xml:space="preserve">2015/16</t>
        </is>
      </c>
      <c r="D3916">
        <v>0.0</v>
      </c>
      <c r="E3916">
        <v>25.39</v>
      </c>
      <c r="F3916">
        <v>33.24</v>
      </c>
      <c r="G3916">
        <v>18.14</v>
      </c>
      <c r="H3916">
        <v>0.0</v>
      </c>
      <c r="I3916">
        <v>0.0</v>
      </c>
      <c r="J3916">
        <v>24.83</v>
      </c>
      <c r="K3916">
        <v>31.6</v>
      </c>
      <c r="L3916">
        <v>20.55</v>
      </c>
      <c r="M3916">
        <v>0.0</v>
      </c>
      <c r="N3916">
        <v>0.0</v>
      </c>
      <c r="O3916">
        <v>25.51</v>
      </c>
      <c r="P3916">
        <v>33.35</v>
      </c>
      <c r="Q3916">
        <v>19.24</v>
      </c>
      <c r="R3916">
        <v>0.0</v>
      </c>
    </row>
    <row r="3917">
      <c r="A3917" s="9">
        <v>42448</v>
      </c>
      <c r="B3917" s="2" t="inlineStr">
        <is>
          <t xml:space="preserve">2016-03</t>
        </is>
      </c>
      <c r="C3917" s="2" t="inlineStr">
        <is>
          <t xml:space="preserve">2015/16</t>
        </is>
      </c>
      <c r="D3917">
        <v>0.0</v>
      </c>
      <c r="E3917">
        <v>26.66</v>
      </c>
      <c r="F3917">
        <v>35.04</v>
      </c>
      <c r="G3917">
        <v>18.6</v>
      </c>
      <c r="H3917">
        <v>0.01</v>
      </c>
      <c r="I3917">
        <v>0.0</v>
      </c>
      <c r="J3917">
        <v>24.88</v>
      </c>
      <c r="K3917">
        <v>33.38</v>
      </c>
      <c r="L3917">
        <v>18.36</v>
      </c>
      <c r="M3917">
        <v>0.0</v>
      </c>
      <c r="N3917">
        <v>0.0</v>
      </c>
      <c r="O3917">
        <v>26.6</v>
      </c>
      <c r="P3917">
        <v>35.52</v>
      </c>
      <c r="Q3917">
        <v>19.25</v>
      </c>
      <c r="R3917">
        <v>0.0</v>
      </c>
    </row>
    <row r="3918">
      <c r="A3918" s="9">
        <v>42449</v>
      </c>
      <c r="B3918" s="2" t="inlineStr">
        <is>
          <t xml:space="preserve">2016-03</t>
        </is>
      </c>
      <c r="C3918" s="2" t="inlineStr">
        <is>
          <t xml:space="preserve">2015/16</t>
        </is>
      </c>
      <c r="D3918">
        <v>0.0</v>
      </c>
      <c r="E3918">
        <v>26.07</v>
      </c>
      <c r="F3918">
        <v>33.96</v>
      </c>
      <c r="G3918">
        <v>20.41</v>
      </c>
      <c r="H3918">
        <v>2.08</v>
      </c>
      <c r="I3918">
        <v>0.0</v>
      </c>
      <c r="J3918">
        <v>25.41</v>
      </c>
      <c r="K3918">
        <v>32.88</v>
      </c>
      <c r="L3918">
        <v>18.57</v>
      </c>
      <c r="M3918">
        <v>0.7</v>
      </c>
      <c r="N3918">
        <v>0.0</v>
      </c>
      <c r="O3918">
        <v>24.79</v>
      </c>
      <c r="P3918">
        <v>31.65</v>
      </c>
      <c r="Q3918">
        <v>19.76</v>
      </c>
      <c r="R3918">
        <v>0.52</v>
      </c>
    </row>
    <row r="3919">
      <c r="A3919" s="9">
        <v>42450</v>
      </c>
      <c r="B3919" s="2" t="inlineStr">
        <is>
          <t xml:space="preserve">2016-03</t>
        </is>
      </c>
      <c r="C3919" s="2" t="inlineStr">
        <is>
          <t xml:space="preserve">2015/16</t>
        </is>
      </c>
      <c r="D3919">
        <v>9.0</v>
      </c>
      <c r="E3919">
        <v>22.09</v>
      </c>
      <c r="F3919">
        <v>29.35</v>
      </c>
      <c r="G3919">
        <v>18.34</v>
      </c>
      <c r="H3919">
        <v>22.04</v>
      </c>
      <c r="I3919">
        <v>5.093</v>
      </c>
      <c r="J3919">
        <v>20.81</v>
      </c>
      <c r="K3919">
        <v>24.81</v>
      </c>
      <c r="L3919">
        <v>17.5</v>
      </c>
      <c r="M3919">
        <v>5.63</v>
      </c>
      <c r="N3919">
        <v>5.231</v>
      </c>
      <c r="O3919">
        <v>19.74</v>
      </c>
      <c r="P3919">
        <v>21.96</v>
      </c>
      <c r="Q3919">
        <v>17.56</v>
      </c>
      <c r="R3919">
        <v>17.39</v>
      </c>
    </row>
    <row r="3920">
      <c r="A3920" s="9">
        <v>42451</v>
      </c>
      <c r="B3920" s="2" t="inlineStr">
        <is>
          <t xml:space="preserve">2016-03</t>
        </is>
      </c>
      <c r="C3920" s="2" t="inlineStr">
        <is>
          <t xml:space="preserve">2015/16</t>
        </is>
      </c>
      <c r="D3920">
        <v>5.621</v>
      </c>
      <c r="E3920">
        <v>20.85</v>
      </c>
      <c r="F3920">
        <v>27.45</v>
      </c>
      <c r="G3920">
        <v>16.85</v>
      </c>
      <c r="H3920">
        <v>13.08</v>
      </c>
      <c r="I3920">
        <v>1.93</v>
      </c>
      <c r="J3920">
        <v>20.52</v>
      </c>
      <c r="K3920">
        <v>26.96</v>
      </c>
      <c r="L3920">
        <v>16.71</v>
      </c>
      <c r="M3920">
        <v>3.1</v>
      </c>
      <c r="N3920">
        <v>3.249</v>
      </c>
      <c r="O3920">
        <v>19.64</v>
      </c>
      <c r="P3920">
        <v>24.85</v>
      </c>
      <c r="Q3920">
        <v>16.56</v>
      </c>
      <c r="R3920">
        <v>11.82</v>
      </c>
    </row>
    <row r="3921">
      <c r="A3921" s="9">
        <v>42452</v>
      </c>
      <c r="B3921" s="2" t="inlineStr">
        <is>
          <t xml:space="preserve">2016-03</t>
        </is>
      </c>
      <c r="C3921" s="2" t="inlineStr">
        <is>
          <t xml:space="preserve">2015/16</t>
        </is>
      </c>
      <c r="D3921">
        <v>1.011</v>
      </c>
      <c r="E3921">
        <v>22.03</v>
      </c>
      <c r="F3921">
        <v>30.21</v>
      </c>
      <c r="G3921">
        <v>15.86</v>
      </c>
      <c r="H3921">
        <v>1.45</v>
      </c>
      <c r="I3921">
        <v>1.481</v>
      </c>
      <c r="J3921">
        <v>23.03</v>
      </c>
      <c r="K3921">
        <v>31.88</v>
      </c>
      <c r="L3921">
        <v>15.57</v>
      </c>
      <c r="M3921">
        <v>0.86</v>
      </c>
      <c r="N3921">
        <v>2.326</v>
      </c>
      <c r="O3921">
        <v>21.33</v>
      </c>
      <c r="P3921">
        <v>28.6</v>
      </c>
      <c r="Q3921">
        <v>15.98</v>
      </c>
      <c r="R3921">
        <v>2.15</v>
      </c>
    </row>
    <row r="3922">
      <c r="A3922" s="9">
        <v>42453</v>
      </c>
      <c r="B3922" s="2" t="inlineStr">
        <is>
          <t xml:space="preserve">2016-03</t>
        </is>
      </c>
      <c r="C3922" s="2" t="inlineStr">
        <is>
          <t xml:space="preserve">2015/16</t>
        </is>
      </c>
      <c r="D3922">
        <v>0.0</v>
      </c>
      <c r="E3922">
        <v>23.82</v>
      </c>
      <c r="F3922">
        <v>32.86</v>
      </c>
      <c r="G3922">
        <v>16.64</v>
      </c>
      <c r="H3922">
        <v>0.0</v>
      </c>
      <c r="I3922">
        <v>0.0</v>
      </c>
      <c r="J3922">
        <v>25.95</v>
      </c>
      <c r="K3922">
        <v>34.36</v>
      </c>
      <c r="L3922">
        <v>18.91</v>
      </c>
      <c r="M3922">
        <v>0.0</v>
      </c>
      <c r="N3922">
        <v>0.0</v>
      </c>
      <c r="O3922">
        <v>24.37</v>
      </c>
      <c r="P3922">
        <v>31.87</v>
      </c>
      <c r="Q3922">
        <v>19.61</v>
      </c>
      <c r="R3922">
        <v>0.0</v>
      </c>
    </row>
    <row r="3923">
      <c r="A3923" s="9">
        <v>42454</v>
      </c>
      <c r="B3923" s="2" t="inlineStr">
        <is>
          <t xml:space="preserve">2016-03</t>
        </is>
      </c>
      <c r="C3923" s="2" t="inlineStr">
        <is>
          <t xml:space="preserve">2015/16</t>
        </is>
      </c>
      <c r="D3923">
        <v>0.0</v>
      </c>
      <c r="E3923">
        <v>24.36</v>
      </c>
      <c r="F3923">
        <v>33.58</v>
      </c>
      <c r="G3923">
        <v>17.04</v>
      </c>
      <c r="H3923">
        <v>0.0</v>
      </c>
      <c r="I3923">
        <v>0.0</v>
      </c>
      <c r="J3923">
        <v>26.24</v>
      </c>
      <c r="K3923">
        <v>34.43</v>
      </c>
      <c r="L3923">
        <v>18.96</v>
      </c>
      <c r="M3923">
        <v>0.0</v>
      </c>
      <c r="N3923">
        <v>0.0</v>
      </c>
      <c r="O3923">
        <v>24.46</v>
      </c>
      <c r="P3923">
        <v>31.72</v>
      </c>
      <c r="Q3923">
        <v>19.34</v>
      </c>
      <c r="R3923">
        <v>0.0</v>
      </c>
    </row>
    <row r="3924">
      <c r="A3924" s="9">
        <v>42455</v>
      </c>
      <c r="B3924" s="2" t="inlineStr">
        <is>
          <t xml:space="preserve">2016-03</t>
        </is>
      </c>
      <c r="C3924" s="2" t="inlineStr">
        <is>
          <t xml:space="preserve">2015/16</t>
        </is>
      </c>
      <c r="D3924">
        <v>0.0</v>
      </c>
      <c r="E3924">
        <v>24.86</v>
      </c>
      <c r="F3924">
        <v>33.96</v>
      </c>
      <c r="G3924">
        <v>17.3</v>
      </c>
      <c r="H3924">
        <v>0.0</v>
      </c>
      <c r="I3924">
        <v>0.0</v>
      </c>
      <c r="J3924">
        <v>26.8</v>
      </c>
      <c r="K3924">
        <v>34.88</v>
      </c>
      <c r="L3924">
        <v>20.43</v>
      </c>
      <c r="M3924">
        <v>0.0</v>
      </c>
      <c r="N3924">
        <v>0.0</v>
      </c>
      <c r="O3924">
        <v>25.57</v>
      </c>
      <c r="P3924">
        <v>33.6</v>
      </c>
      <c r="Q3924">
        <v>19.9</v>
      </c>
      <c r="R3924">
        <v>0.0</v>
      </c>
    </row>
    <row r="3925">
      <c r="A3925" s="9">
        <v>42456</v>
      </c>
      <c r="B3925" s="2" t="inlineStr">
        <is>
          <t xml:space="preserve">2016-03</t>
        </is>
      </c>
      <c r="C3925" s="2" t="inlineStr">
        <is>
          <t xml:space="preserve">2015/16</t>
        </is>
      </c>
      <c r="D3925">
        <v>0.0</v>
      </c>
      <c r="E3925">
        <v>24.85</v>
      </c>
      <c r="F3925">
        <v>33.64</v>
      </c>
      <c r="G3925">
        <v>17.71</v>
      </c>
      <c r="H3925">
        <v>0.0</v>
      </c>
      <c r="I3925">
        <v>0.0</v>
      </c>
      <c r="J3925">
        <v>27.31</v>
      </c>
      <c r="K3925">
        <v>35.36</v>
      </c>
      <c r="L3925">
        <v>20.52</v>
      </c>
      <c r="M3925">
        <v>0.0</v>
      </c>
      <c r="N3925">
        <v>0.0</v>
      </c>
      <c r="O3925">
        <v>25.54</v>
      </c>
      <c r="P3925">
        <v>33.75</v>
      </c>
      <c r="Q3925">
        <v>19.66</v>
      </c>
      <c r="R3925">
        <v>0.0</v>
      </c>
    </row>
    <row r="3926">
      <c r="A3926" s="9">
        <v>42457</v>
      </c>
      <c r="B3926" s="2" t="inlineStr">
        <is>
          <t xml:space="preserve">2016-03</t>
        </is>
      </c>
      <c r="C3926" s="2" t="inlineStr">
        <is>
          <t xml:space="preserve">2015/16</t>
        </is>
      </c>
      <c r="D3926">
        <v>0.0</v>
      </c>
      <c r="E3926">
        <v>25.08</v>
      </c>
      <c r="F3926">
        <v>33.1</v>
      </c>
      <c r="G3926">
        <v>18.55</v>
      </c>
      <c r="H3926">
        <v>0.0</v>
      </c>
      <c r="I3926">
        <v>0.0</v>
      </c>
      <c r="J3926">
        <v>26.54</v>
      </c>
      <c r="K3926">
        <v>33.74</v>
      </c>
      <c r="L3926">
        <v>20.43</v>
      </c>
      <c r="M3926">
        <v>0.0</v>
      </c>
      <c r="N3926">
        <v>0.0</v>
      </c>
      <c r="O3926">
        <v>24.88</v>
      </c>
      <c r="P3926">
        <v>31.68</v>
      </c>
      <c r="Q3926">
        <v>20.06</v>
      </c>
      <c r="R3926">
        <v>0.0</v>
      </c>
    </row>
    <row r="3927">
      <c r="A3927" s="9">
        <v>42458</v>
      </c>
      <c r="B3927" s="2" t="inlineStr">
        <is>
          <t xml:space="preserve">2016-03</t>
        </is>
      </c>
      <c r="C3927" s="2" t="inlineStr">
        <is>
          <t xml:space="preserve">2015/16</t>
        </is>
      </c>
      <c r="D3927">
        <v>0.0</v>
      </c>
      <c r="E3927">
        <v>25.26</v>
      </c>
      <c r="F3927">
        <v>33.56</v>
      </c>
      <c r="G3927">
        <v>18.29</v>
      </c>
      <c r="H3927">
        <v>0.0</v>
      </c>
      <c r="I3927">
        <v>0.0</v>
      </c>
      <c r="J3927">
        <v>26.27</v>
      </c>
      <c r="K3927">
        <v>33.46</v>
      </c>
      <c r="L3927">
        <v>20.38</v>
      </c>
      <c r="M3927">
        <v>0.0</v>
      </c>
      <c r="N3927">
        <v>0.0</v>
      </c>
      <c r="O3927">
        <v>25.02</v>
      </c>
      <c r="P3927">
        <v>32.41</v>
      </c>
      <c r="Q3927">
        <v>20.3</v>
      </c>
      <c r="R3927">
        <v>0.0</v>
      </c>
    </row>
    <row r="3928">
      <c r="A3928" s="9">
        <v>42459</v>
      </c>
      <c r="B3928" s="2" t="inlineStr">
        <is>
          <t xml:space="preserve">2016-03</t>
        </is>
      </c>
      <c r="C3928" s="2" t="inlineStr">
        <is>
          <t xml:space="preserve">2015/16</t>
        </is>
      </c>
      <c r="D3928">
        <v>0.0</v>
      </c>
      <c r="E3928">
        <v>25.33</v>
      </c>
      <c r="F3928">
        <v>33.36</v>
      </c>
      <c r="G3928">
        <v>18.43</v>
      </c>
      <c r="H3928">
        <v>0.0</v>
      </c>
      <c r="I3928">
        <v>0.0</v>
      </c>
      <c r="J3928">
        <v>26.41</v>
      </c>
      <c r="K3928">
        <v>34.11</v>
      </c>
      <c r="L3928">
        <v>20.79</v>
      </c>
      <c r="M3928">
        <v>0.01</v>
      </c>
      <c r="N3928">
        <v>0.0</v>
      </c>
      <c r="O3928">
        <v>25.83</v>
      </c>
      <c r="P3928">
        <v>33.72</v>
      </c>
      <c r="Q3928">
        <v>19.86</v>
      </c>
      <c r="R3928">
        <v>0.0</v>
      </c>
    </row>
    <row r="3929">
      <c r="A3929" s="9">
        <v>42460</v>
      </c>
      <c r="B3929" s="2" t="inlineStr">
        <is>
          <t xml:space="preserve">2016-03</t>
        </is>
      </c>
      <c r="C3929" s="2" t="inlineStr">
        <is>
          <t xml:space="preserve">2015/16</t>
        </is>
      </c>
      <c r="D3929">
        <v>0.0</v>
      </c>
      <c r="E3929">
        <v>26.57</v>
      </c>
      <c r="F3929">
        <v>34.86</v>
      </c>
      <c r="G3929">
        <v>19.71</v>
      </c>
      <c r="H3929">
        <v>0.0</v>
      </c>
      <c r="I3929">
        <v>0.0</v>
      </c>
      <c r="J3929">
        <v>26.14</v>
      </c>
      <c r="K3929">
        <v>34.16</v>
      </c>
      <c r="L3929">
        <v>20.15</v>
      </c>
      <c r="M3929">
        <v>0.01</v>
      </c>
      <c r="N3929">
        <v>0.0</v>
      </c>
      <c r="O3929">
        <v>27.0</v>
      </c>
      <c r="P3929">
        <v>35.63</v>
      </c>
      <c r="Q3929">
        <v>19.74</v>
      </c>
      <c r="R3929">
        <v>0.0</v>
      </c>
    </row>
    <row r="3930">
      <c r="A3930" s="9">
        <v>42461</v>
      </c>
      <c r="B3930" s="2" t="inlineStr">
        <is>
          <t xml:space="preserve">2016-04</t>
        </is>
      </c>
      <c r="C3930" s="2" t="inlineStr">
        <is>
          <t xml:space="preserve">2015/16</t>
        </is>
      </c>
      <c r="D3930">
        <v>0.0</v>
      </c>
      <c r="E3930">
        <v>26.02</v>
      </c>
      <c r="F3930">
        <v>34.46</v>
      </c>
      <c r="G3930">
        <v>19.57</v>
      </c>
      <c r="H3930">
        <v>0.0</v>
      </c>
      <c r="I3930">
        <v>0.0</v>
      </c>
      <c r="J3930">
        <v>25.37</v>
      </c>
      <c r="K3930">
        <v>33.67</v>
      </c>
      <c r="L3930">
        <v>19.87</v>
      </c>
      <c r="M3930">
        <v>0.0</v>
      </c>
      <c r="N3930">
        <v>0.0</v>
      </c>
      <c r="O3930">
        <v>27.02</v>
      </c>
      <c r="P3930">
        <v>35.52</v>
      </c>
      <c r="Q3930">
        <v>20.58</v>
      </c>
      <c r="R3930">
        <v>0.0</v>
      </c>
    </row>
    <row r="3931">
      <c r="A3931" s="9">
        <v>42462</v>
      </c>
      <c r="B3931" s="2" t="inlineStr">
        <is>
          <t xml:space="preserve">2016-04</t>
        </is>
      </c>
      <c r="C3931" s="2" t="inlineStr">
        <is>
          <t xml:space="preserve">2015/16</t>
        </is>
      </c>
      <c r="D3931">
        <v>0.0</v>
      </c>
      <c r="E3931">
        <v>26.7</v>
      </c>
      <c r="F3931">
        <v>36.18</v>
      </c>
      <c r="G3931">
        <v>18.51</v>
      </c>
      <c r="H3931">
        <v>0.04</v>
      </c>
      <c r="I3931">
        <v>0.0</v>
      </c>
      <c r="J3931">
        <v>27.04</v>
      </c>
      <c r="K3931">
        <v>35.49</v>
      </c>
      <c r="L3931">
        <v>19.36</v>
      </c>
      <c r="M3931">
        <v>0.0</v>
      </c>
      <c r="N3931">
        <v>0.0</v>
      </c>
      <c r="O3931">
        <v>26.88</v>
      </c>
      <c r="P3931">
        <v>35.29</v>
      </c>
      <c r="Q3931">
        <v>19.78</v>
      </c>
      <c r="R3931">
        <v>0.0</v>
      </c>
    </row>
    <row r="3932">
      <c r="A3932" s="9">
        <v>42463</v>
      </c>
      <c r="B3932" s="2" t="inlineStr">
        <is>
          <t xml:space="preserve">2016-04</t>
        </is>
      </c>
      <c r="C3932" s="2" t="inlineStr">
        <is>
          <t xml:space="preserve">2015/16</t>
        </is>
      </c>
      <c r="D3932">
        <v>0.039</v>
      </c>
      <c r="E3932">
        <v>24.68</v>
      </c>
      <c r="F3932">
        <v>31.78</v>
      </c>
      <c r="G3932">
        <v>19.54</v>
      </c>
      <c r="H3932">
        <v>0.38</v>
      </c>
      <c r="I3932">
        <v>0.0</v>
      </c>
      <c r="J3932">
        <v>25.76</v>
      </c>
      <c r="K3932">
        <v>32.12</v>
      </c>
      <c r="L3932">
        <v>20.35</v>
      </c>
      <c r="M3932">
        <v>0.11</v>
      </c>
      <c r="N3932">
        <v>0.0</v>
      </c>
      <c r="O3932">
        <v>24.79</v>
      </c>
      <c r="P3932">
        <v>30.91</v>
      </c>
      <c r="Q3932">
        <v>20.36</v>
      </c>
      <c r="R3932">
        <v>0.32</v>
      </c>
    </row>
    <row r="3933">
      <c r="A3933" s="9">
        <v>42464</v>
      </c>
      <c r="B3933" s="2" t="inlineStr">
        <is>
          <t xml:space="preserve">2016-04</t>
        </is>
      </c>
      <c r="C3933" s="2" t="inlineStr">
        <is>
          <t xml:space="preserve">2015/16</t>
        </is>
      </c>
      <c r="D3933">
        <v>0.24</v>
      </c>
      <c r="E3933">
        <v>23.77</v>
      </c>
      <c r="F3933">
        <v>31.24</v>
      </c>
      <c r="G3933">
        <v>18.83</v>
      </c>
      <c r="H3933">
        <v>1.8</v>
      </c>
      <c r="I3933">
        <v>0.827</v>
      </c>
      <c r="J3933">
        <v>24.07</v>
      </c>
      <c r="K3933">
        <v>31.69</v>
      </c>
      <c r="L3933">
        <v>19.01</v>
      </c>
      <c r="M3933">
        <v>1.36</v>
      </c>
      <c r="N3933">
        <v>1.347</v>
      </c>
      <c r="O3933">
        <v>23.0</v>
      </c>
      <c r="P3933">
        <v>29.33</v>
      </c>
      <c r="Q3933">
        <v>19.23</v>
      </c>
      <c r="R3933">
        <v>4.64</v>
      </c>
    </row>
    <row r="3934">
      <c r="A3934" s="9">
        <v>42465</v>
      </c>
      <c r="B3934" s="2" t="inlineStr">
        <is>
          <t xml:space="preserve">2016-04</t>
        </is>
      </c>
      <c r="C3934" s="2" t="inlineStr">
        <is>
          <t xml:space="preserve">2015/16</t>
        </is>
      </c>
      <c r="D3934">
        <v>0.028</v>
      </c>
      <c r="E3934">
        <v>23.14</v>
      </c>
      <c r="F3934">
        <v>30.95</v>
      </c>
      <c r="G3934">
        <v>17.7</v>
      </c>
      <c r="H3934">
        <v>0.46</v>
      </c>
      <c r="I3934">
        <v>0.648</v>
      </c>
      <c r="J3934">
        <v>23.4</v>
      </c>
      <c r="K3934">
        <v>31.18</v>
      </c>
      <c r="L3934">
        <v>17.87</v>
      </c>
      <c r="M3934">
        <v>0.45</v>
      </c>
      <c r="N3934">
        <v>1.014</v>
      </c>
      <c r="O3934">
        <v>22.53</v>
      </c>
      <c r="P3934">
        <v>28.78</v>
      </c>
      <c r="Q3934">
        <v>18.23</v>
      </c>
      <c r="R3934">
        <v>0.93</v>
      </c>
    </row>
    <row r="3935">
      <c r="A3935" s="9">
        <v>42466</v>
      </c>
      <c r="B3935" s="2" t="inlineStr">
        <is>
          <t xml:space="preserve">2016-04</t>
        </is>
      </c>
      <c r="C3935" s="2" t="inlineStr">
        <is>
          <t xml:space="preserve">2015/16</t>
        </is>
      </c>
      <c r="D3935">
        <v>0.048</v>
      </c>
      <c r="E3935">
        <v>23.4</v>
      </c>
      <c r="F3935">
        <v>31.18</v>
      </c>
      <c r="G3935">
        <v>17.8</v>
      </c>
      <c r="H3935">
        <v>0.93</v>
      </c>
      <c r="I3935">
        <v>0.377</v>
      </c>
      <c r="J3935">
        <v>23.68</v>
      </c>
      <c r="K3935">
        <v>31.58</v>
      </c>
      <c r="L3935">
        <v>17.74</v>
      </c>
      <c r="M3935">
        <v>1.01</v>
      </c>
      <c r="N3935">
        <v>0.701</v>
      </c>
      <c r="O3935">
        <v>22.53</v>
      </c>
      <c r="P3935">
        <v>28.83</v>
      </c>
      <c r="Q3935">
        <v>18.37</v>
      </c>
      <c r="R3935">
        <v>2.88</v>
      </c>
    </row>
    <row r="3936">
      <c r="A3936" s="9">
        <v>42467</v>
      </c>
      <c r="B3936" s="2" t="inlineStr">
        <is>
          <t xml:space="preserve">2016-04</t>
        </is>
      </c>
      <c r="C3936" s="2" t="inlineStr">
        <is>
          <t xml:space="preserve">2015/16</t>
        </is>
      </c>
      <c r="D3936">
        <v>0.0</v>
      </c>
      <c r="E3936">
        <v>24.33</v>
      </c>
      <c r="F3936">
        <v>32.54</v>
      </c>
      <c r="G3936">
        <v>18.2</v>
      </c>
      <c r="H3936">
        <v>0.1</v>
      </c>
      <c r="I3936">
        <v>0.038</v>
      </c>
      <c r="J3936">
        <v>24.65</v>
      </c>
      <c r="K3936">
        <v>32.5</v>
      </c>
      <c r="L3936">
        <v>18.41</v>
      </c>
      <c r="M3936">
        <v>0.18</v>
      </c>
      <c r="N3936">
        <v>0.154</v>
      </c>
      <c r="O3936">
        <v>23.37</v>
      </c>
      <c r="P3936">
        <v>30.42</v>
      </c>
      <c r="Q3936">
        <v>18.42</v>
      </c>
      <c r="R3936">
        <v>0.5</v>
      </c>
    </row>
    <row r="3937">
      <c r="A3937" s="9">
        <v>42468</v>
      </c>
      <c r="B3937" s="2" t="inlineStr">
        <is>
          <t xml:space="preserve">2016-04</t>
        </is>
      </c>
      <c r="C3937" s="2" t="inlineStr">
        <is>
          <t xml:space="preserve">2015/16</t>
        </is>
      </c>
      <c r="D3937">
        <v>0.0</v>
      </c>
      <c r="E3937">
        <v>22.95</v>
      </c>
      <c r="F3937">
        <v>31.23</v>
      </c>
      <c r="G3937">
        <v>15.99</v>
      </c>
      <c r="H3937">
        <v>0.0</v>
      </c>
      <c r="I3937">
        <v>0.0</v>
      </c>
      <c r="J3937">
        <v>23.94</v>
      </c>
      <c r="K3937">
        <v>31.84</v>
      </c>
      <c r="L3937">
        <v>17.78</v>
      </c>
      <c r="M3937">
        <v>0.0</v>
      </c>
      <c r="N3937">
        <v>0.0</v>
      </c>
      <c r="O3937">
        <v>22.55</v>
      </c>
      <c r="P3937">
        <v>29.27</v>
      </c>
      <c r="Q3937">
        <v>16.75</v>
      </c>
      <c r="R3937">
        <v>0.0</v>
      </c>
    </row>
    <row r="3938">
      <c r="A3938" s="9">
        <v>42469</v>
      </c>
      <c r="B3938" s="2" t="inlineStr">
        <is>
          <t xml:space="preserve">2016-04</t>
        </is>
      </c>
      <c r="C3938" s="2" t="inlineStr">
        <is>
          <t xml:space="preserve">2015/16</t>
        </is>
      </c>
      <c r="D3938">
        <v>0.0</v>
      </c>
      <c r="E3938">
        <v>21.29</v>
      </c>
      <c r="F3938">
        <v>30.68</v>
      </c>
      <c r="G3938">
        <v>13.78</v>
      </c>
      <c r="H3938">
        <v>0.0</v>
      </c>
      <c r="I3938">
        <v>0.0</v>
      </c>
      <c r="J3938">
        <v>21.87</v>
      </c>
      <c r="K3938">
        <v>30.99</v>
      </c>
      <c r="L3938">
        <v>13.51</v>
      </c>
      <c r="M3938">
        <v>0.0</v>
      </c>
      <c r="N3938">
        <v>0.0</v>
      </c>
      <c r="O3938">
        <v>20.74</v>
      </c>
      <c r="P3938">
        <v>28.5</v>
      </c>
      <c r="Q3938">
        <v>13.75</v>
      </c>
      <c r="R3938">
        <v>0.0</v>
      </c>
    </row>
    <row r="3939">
      <c r="A3939" s="9">
        <v>42470</v>
      </c>
      <c r="B3939" s="2" t="inlineStr">
        <is>
          <t xml:space="preserve">2016-04</t>
        </is>
      </c>
      <c r="C3939" s="2" t="inlineStr">
        <is>
          <t xml:space="preserve">2015/16</t>
        </is>
      </c>
      <c r="D3939">
        <v>0.0</v>
      </c>
      <c r="E3939">
        <v>22.93</v>
      </c>
      <c r="F3939">
        <v>31.79</v>
      </c>
      <c r="G3939">
        <v>16.28</v>
      </c>
      <c r="H3939">
        <v>0.0</v>
      </c>
      <c r="I3939">
        <v>0.0</v>
      </c>
      <c r="J3939">
        <v>22.66</v>
      </c>
      <c r="K3939">
        <v>31.9</v>
      </c>
      <c r="L3939">
        <v>14.85</v>
      </c>
      <c r="M3939">
        <v>0.01</v>
      </c>
      <c r="N3939">
        <v>0.0</v>
      </c>
      <c r="O3939">
        <v>21.79</v>
      </c>
      <c r="P3939">
        <v>29.38</v>
      </c>
      <c r="Q3939">
        <v>15.96</v>
      </c>
      <c r="R3939">
        <v>0.02</v>
      </c>
    </row>
    <row r="3940">
      <c r="A3940" s="9">
        <v>42471</v>
      </c>
      <c r="B3940" s="2" t="inlineStr">
        <is>
          <t xml:space="preserve">2016-04</t>
        </is>
      </c>
      <c r="C3940" s="2" t="inlineStr">
        <is>
          <t xml:space="preserve">2015/16</t>
        </is>
      </c>
      <c r="D3940">
        <v>0.0</v>
      </c>
      <c r="E3940">
        <v>24.55</v>
      </c>
      <c r="F3940">
        <v>33.5</v>
      </c>
      <c r="G3940">
        <v>17.24</v>
      </c>
      <c r="H3940">
        <v>0.03</v>
      </c>
      <c r="I3940">
        <v>0.0</v>
      </c>
      <c r="J3940">
        <v>25.28</v>
      </c>
      <c r="K3940">
        <v>35.13</v>
      </c>
      <c r="L3940">
        <v>17.52</v>
      </c>
      <c r="M3940">
        <v>0.15</v>
      </c>
      <c r="N3940">
        <v>0.036</v>
      </c>
      <c r="O3940">
        <v>23.75</v>
      </c>
      <c r="P3940">
        <v>32.33</v>
      </c>
      <c r="Q3940">
        <v>17.61</v>
      </c>
      <c r="R3940">
        <v>0.26</v>
      </c>
    </row>
    <row r="3941">
      <c r="A3941" s="9">
        <v>42472</v>
      </c>
      <c r="B3941" s="2" t="inlineStr">
        <is>
          <t xml:space="preserve">2016-04</t>
        </is>
      </c>
      <c r="C3941" s="2" t="inlineStr">
        <is>
          <t xml:space="preserve">2015/16</t>
        </is>
      </c>
      <c r="D3941">
        <v>0.0</v>
      </c>
      <c r="E3941">
        <v>25.22</v>
      </c>
      <c r="F3941">
        <v>32.81</v>
      </c>
      <c r="G3941">
        <v>19.04</v>
      </c>
      <c r="H3941">
        <v>0.07</v>
      </c>
      <c r="I3941">
        <v>0.048</v>
      </c>
      <c r="J3941">
        <v>26.26</v>
      </c>
      <c r="K3941">
        <v>34.0</v>
      </c>
      <c r="L3941">
        <v>19.55</v>
      </c>
      <c r="M3941">
        <v>0.27</v>
      </c>
      <c r="N3941">
        <v>0.181</v>
      </c>
      <c r="O3941">
        <v>24.41</v>
      </c>
      <c r="P3941">
        <v>32.05</v>
      </c>
      <c r="Q3941">
        <v>19.32</v>
      </c>
      <c r="R3941">
        <v>0.64</v>
      </c>
    </row>
    <row r="3942">
      <c r="A3942" s="9">
        <v>42473</v>
      </c>
      <c r="B3942" s="2" t="inlineStr">
        <is>
          <t xml:space="preserve">2016-04</t>
        </is>
      </c>
      <c r="C3942" s="2" t="inlineStr">
        <is>
          <t xml:space="preserve">2015/16</t>
        </is>
      </c>
      <c r="D3942">
        <v>0.0</v>
      </c>
      <c r="E3942">
        <v>26.42</v>
      </c>
      <c r="F3942">
        <v>34.33</v>
      </c>
      <c r="G3942">
        <v>19.49</v>
      </c>
      <c r="H3942">
        <v>0.02</v>
      </c>
      <c r="I3942">
        <v>0.0</v>
      </c>
      <c r="J3942">
        <v>26.41</v>
      </c>
      <c r="K3942">
        <v>33.63</v>
      </c>
      <c r="L3942">
        <v>20.01</v>
      </c>
      <c r="M3942">
        <v>0.06</v>
      </c>
      <c r="N3942">
        <v>0.072</v>
      </c>
      <c r="O3942">
        <v>25.84</v>
      </c>
      <c r="P3942">
        <v>33.96</v>
      </c>
      <c r="Q3942">
        <v>19.46</v>
      </c>
      <c r="R3942">
        <v>0.15</v>
      </c>
    </row>
    <row r="3943">
      <c r="A3943" s="9">
        <v>42474</v>
      </c>
      <c r="B3943" s="2" t="inlineStr">
        <is>
          <t xml:space="preserve">2016-04</t>
        </is>
      </c>
      <c r="C3943" s="2" t="inlineStr">
        <is>
          <t xml:space="preserve">2015/16</t>
        </is>
      </c>
      <c r="D3943">
        <v>0.0</v>
      </c>
      <c r="E3943">
        <v>26.69</v>
      </c>
      <c r="F3943">
        <v>34.82</v>
      </c>
      <c r="G3943">
        <v>19.72</v>
      </c>
      <c r="H3943">
        <v>0.0</v>
      </c>
      <c r="I3943">
        <v>0.0</v>
      </c>
      <c r="J3943">
        <v>27.06</v>
      </c>
      <c r="K3943">
        <v>34.16</v>
      </c>
      <c r="L3943">
        <v>21.44</v>
      </c>
      <c r="M3943">
        <v>0.0</v>
      </c>
      <c r="N3943">
        <v>0.0</v>
      </c>
      <c r="O3943">
        <v>26.13</v>
      </c>
      <c r="P3943">
        <v>33.46</v>
      </c>
      <c r="Q3943">
        <v>20.99</v>
      </c>
      <c r="R3943">
        <v>0.0</v>
      </c>
    </row>
    <row r="3944">
      <c r="A3944" s="9">
        <v>42475</v>
      </c>
      <c r="B3944" s="2" t="inlineStr">
        <is>
          <t xml:space="preserve">2016-04</t>
        </is>
      </c>
      <c r="C3944" s="2" t="inlineStr">
        <is>
          <t xml:space="preserve">2015/16</t>
        </is>
      </c>
      <c r="D3944">
        <v>0.0</v>
      </c>
      <c r="E3944">
        <v>26.46</v>
      </c>
      <c r="F3944">
        <v>34.22</v>
      </c>
      <c r="G3944">
        <v>20.02</v>
      </c>
      <c r="H3944">
        <v>0.0</v>
      </c>
      <c r="I3944">
        <v>0.0</v>
      </c>
      <c r="J3944">
        <v>26.74</v>
      </c>
      <c r="K3944">
        <v>33.36</v>
      </c>
      <c r="L3944">
        <v>21.61</v>
      </c>
      <c r="M3944">
        <v>0.0</v>
      </c>
      <c r="N3944">
        <v>0.0</v>
      </c>
      <c r="O3944">
        <v>25.71</v>
      </c>
      <c r="P3944">
        <v>32.85</v>
      </c>
      <c r="Q3944">
        <v>20.83</v>
      </c>
      <c r="R3944">
        <v>0.0</v>
      </c>
    </row>
    <row r="3945">
      <c r="A3945" s="9">
        <v>42476</v>
      </c>
      <c r="B3945" s="2" t="inlineStr">
        <is>
          <t xml:space="preserve">2016-04</t>
        </is>
      </c>
      <c r="C3945" s="2" t="inlineStr">
        <is>
          <t xml:space="preserve">2015/16</t>
        </is>
      </c>
      <c r="D3945">
        <v>0.0</v>
      </c>
      <c r="E3945">
        <v>26.36</v>
      </c>
      <c r="F3945">
        <v>34.13</v>
      </c>
      <c r="G3945">
        <v>19.06</v>
      </c>
      <c r="H3945">
        <v>0.0</v>
      </c>
      <c r="I3945">
        <v>0.0</v>
      </c>
      <c r="J3945">
        <v>26.78</v>
      </c>
      <c r="K3945">
        <v>33.79</v>
      </c>
      <c r="L3945">
        <v>21.99</v>
      </c>
      <c r="M3945">
        <v>0.0</v>
      </c>
      <c r="N3945">
        <v>0.0</v>
      </c>
      <c r="O3945">
        <v>26.65</v>
      </c>
      <c r="P3945">
        <v>34.82</v>
      </c>
      <c r="Q3945">
        <v>20.43</v>
      </c>
      <c r="R3945">
        <v>0.0</v>
      </c>
    </row>
    <row r="3946">
      <c r="A3946" s="9">
        <v>42477</v>
      </c>
      <c r="B3946" s="2" t="inlineStr">
        <is>
          <t xml:space="preserve">2016-04</t>
        </is>
      </c>
      <c r="C3946" s="2" t="inlineStr">
        <is>
          <t xml:space="preserve">2015/16</t>
        </is>
      </c>
      <c r="D3946">
        <v>0.0</v>
      </c>
      <c r="E3946">
        <v>26.8</v>
      </c>
      <c r="F3946">
        <v>34.87</v>
      </c>
      <c r="G3946">
        <v>19.59</v>
      </c>
      <c r="H3946">
        <v>0.0</v>
      </c>
      <c r="I3946">
        <v>0.0</v>
      </c>
      <c r="J3946">
        <v>26.9</v>
      </c>
      <c r="K3946">
        <v>33.79</v>
      </c>
      <c r="L3946">
        <v>21.87</v>
      </c>
      <c r="M3946">
        <v>0.63</v>
      </c>
      <c r="N3946">
        <v>0.0</v>
      </c>
      <c r="O3946">
        <v>26.42</v>
      </c>
      <c r="P3946">
        <v>34.06</v>
      </c>
      <c r="Q3946">
        <v>21.05</v>
      </c>
      <c r="R3946">
        <v>0.01</v>
      </c>
    </row>
    <row r="3947">
      <c r="A3947" s="9">
        <v>42478</v>
      </c>
      <c r="B3947" s="2" t="inlineStr">
        <is>
          <t xml:space="preserve">2016-04</t>
        </is>
      </c>
      <c r="C3947" s="2" t="inlineStr">
        <is>
          <t xml:space="preserve">2015/16</t>
        </is>
      </c>
      <c r="D3947">
        <v>0.0</v>
      </c>
      <c r="E3947">
        <v>25.95</v>
      </c>
      <c r="F3947">
        <v>32.58</v>
      </c>
      <c r="G3947">
        <v>20.57</v>
      </c>
      <c r="H3947">
        <v>0.0</v>
      </c>
      <c r="I3947">
        <v>3.644</v>
      </c>
      <c r="J3947">
        <v>25.34</v>
      </c>
      <c r="K3947">
        <v>30.24</v>
      </c>
      <c r="L3947">
        <v>22.1</v>
      </c>
      <c r="M3947">
        <v>3.78</v>
      </c>
      <c r="N3947">
        <v>0.0</v>
      </c>
      <c r="O3947">
        <v>24.62</v>
      </c>
      <c r="P3947">
        <v>29.69</v>
      </c>
      <c r="Q3947">
        <v>21.53</v>
      </c>
      <c r="R3947">
        <v>0.04</v>
      </c>
    </row>
    <row r="3948">
      <c r="A3948" s="9">
        <v>42479</v>
      </c>
      <c r="B3948" s="2" t="inlineStr">
        <is>
          <t xml:space="preserve">2016-04</t>
        </is>
      </c>
      <c r="C3948" s="2" t="inlineStr">
        <is>
          <t xml:space="preserve">2015/16</t>
        </is>
      </c>
      <c r="D3948">
        <v>0.0</v>
      </c>
      <c r="E3948">
        <v>23.87</v>
      </c>
      <c r="F3948">
        <v>28.66</v>
      </c>
      <c r="G3948">
        <v>19.47</v>
      </c>
      <c r="H3948">
        <v>0.01</v>
      </c>
      <c r="I3948">
        <v>0.0</v>
      </c>
      <c r="J3948">
        <v>24.16</v>
      </c>
      <c r="K3948">
        <v>29.03</v>
      </c>
      <c r="L3948">
        <v>20.68</v>
      </c>
      <c r="M3948">
        <v>0.21</v>
      </c>
      <c r="N3948">
        <v>0.0</v>
      </c>
      <c r="O3948">
        <v>23.49</v>
      </c>
      <c r="P3948">
        <v>28.41</v>
      </c>
      <c r="Q3948">
        <v>20.73</v>
      </c>
      <c r="R3948">
        <v>0.04</v>
      </c>
    </row>
    <row r="3949">
      <c r="A3949" s="9">
        <v>42480</v>
      </c>
      <c r="B3949" s="2" t="inlineStr">
        <is>
          <t xml:space="preserve">2016-04</t>
        </is>
      </c>
      <c r="C3949" s="2" t="inlineStr">
        <is>
          <t xml:space="preserve">2015/16</t>
        </is>
      </c>
      <c r="D3949">
        <v>0.0</v>
      </c>
      <c r="E3949">
        <v>23.93</v>
      </c>
      <c r="F3949">
        <v>30.72</v>
      </c>
      <c r="G3949">
        <v>19.63</v>
      </c>
      <c r="H3949">
        <v>0.02</v>
      </c>
      <c r="I3949">
        <v>0.657</v>
      </c>
      <c r="J3949">
        <v>24.53</v>
      </c>
      <c r="K3949">
        <v>29.97</v>
      </c>
      <c r="L3949">
        <v>19.51</v>
      </c>
      <c r="M3949">
        <v>0.5</v>
      </c>
      <c r="N3949">
        <v>0.081</v>
      </c>
      <c r="O3949">
        <v>23.8</v>
      </c>
      <c r="P3949">
        <v>30.18</v>
      </c>
      <c r="Q3949">
        <v>19.49</v>
      </c>
      <c r="R3949">
        <v>0.25</v>
      </c>
    </row>
    <row r="3950">
      <c r="A3950" s="9">
        <v>42481</v>
      </c>
      <c r="B3950" s="2" t="inlineStr">
        <is>
          <t xml:space="preserve">2016-04</t>
        </is>
      </c>
      <c r="C3950" s="2" t="inlineStr">
        <is>
          <t xml:space="preserve">2015/16</t>
        </is>
      </c>
      <c r="D3950">
        <v>0.0</v>
      </c>
      <c r="E3950">
        <v>23.99</v>
      </c>
      <c r="F3950">
        <v>32.0</v>
      </c>
      <c r="G3950">
        <v>18.6</v>
      </c>
      <c r="H3950">
        <v>0.02</v>
      </c>
      <c r="I3950">
        <v>0.0</v>
      </c>
      <c r="J3950">
        <v>24.49</v>
      </c>
      <c r="K3950">
        <v>31.63</v>
      </c>
      <c r="L3950">
        <v>19.42</v>
      </c>
      <c r="M3950">
        <v>0.02</v>
      </c>
      <c r="N3950">
        <v>0.0</v>
      </c>
      <c r="O3950">
        <v>23.43</v>
      </c>
      <c r="P3950">
        <v>30.66</v>
      </c>
      <c r="Q3950">
        <v>19.48</v>
      </c>
      <c r="R3950">
        <v>0.01</v>
      </c>
    </row>
    <row r="3951">
      <c r="A3951" s="9">
        <v>42482</v>
      </c>
      <c r="B3951" s="2" t="inlineStr">
        <is>
          <t xml:space="preserve">2016-04</t>
        </is>
      </c>
      <c r="C3951" s="2" t="inlineStr">
        <is>
          <t xml:space="preserve">2015/16</t>
        </is>
      </c>
      <c r="D3951">
        <v>0.27</v>
      </c>
      <c r="E3951">
        <v>24.82</v>
      </c>
      <c r="F3951">
        <v>34.09</v>
      </c>
      <c r="G3951">
        <v>18.25</v>
      </c>
      <c r="H3951">
        <v>0.17</v>
      </c>
      <c r="I3951">
        <v>0.0</v>
      </c>
      <c r="J3951">
        <v>25.32</v>
      </c>
      <c r="K3951">
        <v>34.07</v>
      </c>
      <c r="L3951">
        <v>18.59</v>
      </c>
      <c r="M3951">
        <v>0.08</v>
      </c>
      <c r="N3951">
        <v>0.0</v>
      </c>
      <c r="O3951">
        <v>24.0</v>
      </c>
      <c r="P3951">
        <v>32.1</v>
      </c>
      <c r="Q3951">
        <v>18.29</v>
      </c>
      <c r="R3951">
        <v>0.04</v>
      </c>
    </row>
    <row r="3952">
      <c r="A3952" s="9">
        <v>42483</v>
      </c>
      <c r="B3952" s="2" t="inlineStr">
        <is>
          <t xml:space="preserve">2016-04</t>
        </is>
      </c>
      <c r="C3952" s="2" t="inlineStr">
        <is>
          <t xml:space="preserve">2015/16</t>
        </is>
      </c>
      <c r="D3952">
        <v>0.0</v>
      </c>
      <c r="E3952">
        <v>25.27</v>
      </c>
      <c r="F3952">
        <v>33.73</v>
      </c>
      <c r="G3952">
        <v>19.06</v>
      </c>
      <c r="H3952">
        <v>0.4</v>
      </c>
      <c r="I3952">
        <v>0.254</v>
      </c>
      <c r="J3952">
        <v>24.87</v>
      </c>
      <c r="K3952">
        <v>32.05</v>
      </c>
      <c r="L3952">
        <v>18.73</v>
      </c>
      <c r="M3952">
        <v>0.42</v>
      </c>
      <c r="N3952">
        <v>0.144</v>
      </c>
      <c r="O3952">
        <v>23.69</v>
      </c>
      <c r="P3952">
        <v>30.03</v>
      </c>
      <c r="Q3952">
        <v>19.04</v>
      </c>
      <c r="R3952">
        <v>0.52</v>
      </c>
    </row>
    <row r="3953">
      <c r="A3953" s="9">
        <v>42484</v>
      </c>
      <c r="B3953" s="2" t="inlineStr">
        <is>
          <t xml:space="preserve">2016-04</t>
        </is>
      </c>
      <c r="C3953" s="2" t="inlineStr">
        <is>
          <t xml:space="preserve">2015/16</t>
        </is>
      </c>
      <c r="D3953">
        <v>0.928</v>
      </c>
      <c r="E3953">
        <v>25.38</v>
      </c>
      <c r="F3953">
        <v>32.54</v>
      </c>
      <c r="G3953">
        <v>20.07</v>
      </c>
      <c r="H3953">
        <v>0.52</v>
      </c>
      <c r="I3953">
        <v>0.0</v>
      </c>
      <c r="J3953">
        <v>26.22</v>
      </c>
      <c r="K3953">
        <v>33.51</v>
      </c>
      <c r="L3953">
        <v>20.9</v>
      </c>
      <c r="M3953">
        <v>0.03</v>
      </c>
      <c r="N3953">
        <v>0.0</v>
      </c>
      <c r="O3953">
        <v>25.31</v>
      </c>
      <c r="P3953">
        <v>33.33</v>
      </c>
      <c r="Q3953">
        <v>20.04</v>
      </c>
      <c r="R3953">
        <v>0.03</v>
      </c>
    </row>
    <row r="3954">
      <c r="A3954" s="9">
        <v>42485</v>
      </c>
      <c r="B3954" s="2" t="inlineStr">
        <is>
          <t xml:space="preserve">2016-04</t>
        </is>
      </c>
      <c r="C3954" s="2" t="inlineStr">
        <is>
          <t xml:space="preserve">2015/16</t>
        </is>
      </c>
      <c r="D3954">
        <v>0.394</v>
      </c>
      <c r="E3954">
        <v>25.57</v>
      </c>
      <c r="F3954">
        <v>30.95</v>
      </c>
      <c r="G3954">
        <v>20.87</v>
      </c>
      <c r="H3954">
        <v>4.08</v>
      </c>
      <c r="I3954">
        <v>0.0</v>
      </c>
      <c r="J3954">
        <v>27.28</v>
      </c>
      <c r="K3954">
        <v>36.01</v>
      </c>
      <c r="L3954">
        <v>20.68</v>
      </c>
      <c r="M3954">
        <v>1.99</v>
      </c>
      <c r="N3954">
        <v>0.0</v>
      </c>
      <c r="O3954">
        <v>26.45</v>
      </c>
      <c r="P3954">
        <v>33.7</v>
      </c>
      <c r="Q3954">
        <v>20.96</v>
      </c>
      <c r="R3954">
        <v>1.38</v>
      </c>
    </row>
    <row r="3955">
      <c r="A3955" s="9">
        <v>42486</v>
      </c>
      <c r="B3955" s="2" t="inlineStr">
        <is>
          <t xml:space="preserve">2016-04</t>
        </is>
      </c>
      <c r="C3955" s="2" t="inlineStr">
        <is>
          <t xml:space="preserve">2015/16</t>
        </is>
      </c>
      <c r="D3955">
        <v>24.871</v>
      </c>
      <c r="E3955">
        <v>24.71</v>
      </c>
      <c r="F3955">
        <v>30.68</v>
      </c>
      <c r="G3955">
        <v>21.13</v>
      </c>
      <c r="H3955">
        <v>11.49</v>
      </c>
      <c r="I3955">
        <v>11.41</v>
      </c>
      <c r="J3955">
        <v>25.55</v>
      </c>
      <c r="K3955">
        <v>31.0</v>
      </c>
      <c r="L3955">
        <v>21.84</v>
      </c>
      <c r="M3955">
        <v>8.82</v>
      </c>
      <c r="N3955">
        <v>6.561</v>
      </c>
      <c r="O3955">
        <v>25.74</v>
      </c>
      <c r="P3955">
        <v>32.03</v>
      </c>
      <c r="Q3955">
        <v>20.91</v>
      </c>
      <c r="R3955">
        <v>8.35</v>
      </c>
    </row>
    <row r="3956">
      <c r="A3956" s="9">
        <v>42487</v>
      </c>
      <c r="B3956" s="2" t="inlineStr">
        <is>
          <t xml:space="preserve">2016-04</t>
        </is>
      </c>
      <c r="C3956" s="2" t="inlineStr">
        <is>
          <t xml:space="preserve">2015/16</t>
        </is>
      </c>
      <c r="D3956">
        <v>3.698</v>
      </c>
      <c r="E3956">
        <v>24.96</v>
      </c>
      <c r="F3956">
        <v>30.74</v>
      </c>
      <c r="G3956">
        <v>21.43</v>
      </c>
      <c r="H3956">
        <v>2.37</v>
      </c>
      <c r="I3956">
        <v>0.834</v>
      </c>
      <c r="J3956">
        <v>26.36</v>
      </c>
      <c r="K3956">
        <v>33.88</v>
      </c>
      <c r="L3956">
        <v>20.76</v>
      </c>
      <c r="M3956">
        <v>1.66</v>
      </c>
      <c r="N3956">
        <v>0.901</v>
      </c>
      <c r="O3956">
        <v>27.03</v>
      </c>
      <c r="P3956">
        <v>33.92</v>
      </c>
      <c r="Q3956">
        <v>21.36</v>
      </c>
      <c r="R3956">
        <v>1.28</v>
      </c>
    </row>
    <row r="3957">
      <c r="A3957" s="9">
        <v>42488</v>
      </c>
      <c r="B3957" s="2" t="inlineStr">
        <is>
          <t xml:space="preserve">2016-04</t>
        </is>
      </c>
      <c r="C3957" s="2" t="inlineStr">
        <is>
          <t xml:space="preserve">2015/16</t>
        </is>
      </c>
      <c r="D3957">
        <v>5.642</v>
      </c>
      <c r="E3957">
        <v>25.53</v>
      </c>
      <c r="F3957">
        <v>32.62</v>
      </c>
      <c r="G3957">
        <v>20.06</v>
      </c>
      <c r="H3957">
        <v>4.07</v>
      </c>
      <c r="I3957">
        <v>3.281</v>
      </c>
      <c r="J3957">
        <v>25.95</v>
      </c>
      <c r="K3957">
        <v>32.75</v>
      </c>
      <c r="L3957">
        <v>21.05</v>
      </c>
      <c r="M3957">
        <v>1.67</v>
      </c>
      <c r="N3957">
        <v>4.759</v>
      </c>
      <c r="O3957">
        <v>26.65</v>
      </c>
      <c r="P3957">
        <v>33.39</v>
      </c>
      <c r="Q3957">
        <v>21.63</v>
      </c>
      <c r="R3957">
        <v>1.22</v>
      </c>
    </row>
    <row r="3958">
      <c r="A3958" s="9">
        <v>42489</v>
      </c>
      <c r="B3958" s="2" t="inlineStr">
        <is>
          <t xml:space="preserve">2016-04</t>
        </is>
      </c>
      <c r="C3958" s="2" t="inlineStr">
        <is>
          <t xml:space="preserve">2015/16</t>
        </is>
      </c>
      <c r="D3958">
        <v>0.343</v>
      </c>
      <c r="E3958">
        <v>23.63</v>
      </c>
      <c r="F3958">
        <v>27.83</v>
      </c>
      <c r="G3958">
        <v>21.13</v>
      </c>
      <c r="H3958">
        <v>1.11</v>
      </c>
      <c r="I3958">
        <v>0.0</v>
      </c>
      <c r="J3958">
        <v>25.94</v>
      </c>
      <c r="K3958">
        <v>32.11</v>
      </c>
      <c r="L3958">
        <v>21.74</v>
      </c>
      <c r="M3958">
        <v>0.14</v>
      </c>
      <c r="N3958">
        <v>0.0</v>
      </c>
      <c r="O3958">
        <v>26.69</v>
      </c>
      <c r="P3958">
        <v>32.8</v>
      </c>
      <c r="Q3958">
        <v>22.46</v>
      </c>
      <c r="R3958">
        <v>0.05</v>
      </c>
    </row>
    <row r="3959">
      <c r="A3959" s="9">
        <v>42490</v>
      </c>
      <c r="B3959" s="2" t="inlineStr">
        <is>
          <t xml:space="preserve">2016-04</t>
        </is>
      </c>
      <c r="C3959" s="2" t="inlineStr">
        <is>
          <t xml:space="preserve">2015/16</t>
        </is>
      </c>
      <c r="D3959">
        <v>1.826</v>
      </c>
      <c r="E3959">
        <v>25.11</v>
      </c>
      <c r="F3959">
        <v>31.79</v>
      </c>
      <c r="G3959">
        <v>19.61</v>
      </c>
      <c r="H3959">
        <v>0.59</v>
      </c>
      <c r="I3959">
        <v>0.127</v>
      </c>
      <c r="J3959">
        <v>25.41</v>
      </c>
      <c r="K3959">
        <v>32.13</v>
      </c>
      <c r="L3959">
        <v>21.3</v>
      </c>
      <c r="M3959">
        <v>0.29</v>
      </c>
      <c r="N3959">
        <v>0.0</v>
      </c>
      <c r="O3959">
        <v>26.94</v>
      </c>
      <c r="P3959">
        <v>34.26</v>
      </c>
      <c r="Q3959">
        <v>21.63</v>
      </c>
      <c r="R3959">
        <v>0.07</v>
      </c>
    </row>
    <row r="3960">
      <c r="A3960" s="9">
        <v>42491</v>
      </c>
      <c r="B3960" s="2" t="inlineStr">
        <is>
          <t xml:space="preserve">2016-05</t>
        </is>
      </c>
      <c r="C3960" s="2" t="inlineStr">
        <is>
          <t xml:space="preserve">2015/16</t>
        </is>
      </c>
      <c r="D3960">
        <v>0.0</v>
      </c>
      <c r="E3960">
        <v>26.42</v>
      </c>
      <c r="F3960">
        <v>35.02</v>
      </c>
      <c r="G3960">
        <v>18.5</v>
      </c>
      <c r="H3960">
        <v>0.2</v>
      </c>
      <c r="I3960">
        <v>0.0</v>
      </c>
      <c r="J3960">
        <v>27.0</v>
      </c>
      <c r="K3960">
        <v>35.17</v>
      </c>
      <c r="L3960">
        <v>20.64</v>
      </c>
      <c r="M3960">
        <v>2.09</v>
      </c>
      <c r="N3960">
        <v>0.0</v>
      </c>
      <c r="O3960">
        <v>27.77</v>
      </c>
      <c r="P3960">
        <v>36.53</v>
      </c>
      <c r="Q3960">
        <v>20.34</v>
      </c>
      <c r="R3960">
        <v>0.76</v>
      </c>
    </row>
    <row r="3961">
      <c r="A3961" s="9">
        <v>42492</v>
      </c>
      <c r="B3961" s="2" t="inlineStr">
        <is>
          <t xml:space="preserve">2016-05</t>
        </is>
      </c>
      <c r="C3961" s="2" t="inlineStr">
        <is>
          <t xml:space="preserve">2015/16</t>
        </is>
      </c>
      <c r="D3961">
        <v>6.251</v>
      </c>
      <c r="E3961">
        <v>23.93</v>
      </c>
      <c r="F3961">
        <v>27.45</v>
      </c>
      <c r="G3961">
        <v>21.69</v>
      </c>
      <c r="H3961">
        <v>4.38</v>
      </c>
      <c r="I3961">
        <v>8.211</v>
      </c>
      <c r="J3961">
        <v>26.38</v>
      </c>
      <c r="K3961">
        <v>32.65</v>
      </c>
      <c r="L3961">
        <v>22.04</v>
      </c>
      <c r="M3961">
        <v>5.32</v>
      </c>
      <c r="N3961">
        <v>9.681</v>
      </c>
      <c r="O3961">
        <v>25.84</v>
      </c>
      <c r="P3961">
        <v>32.03</v>
      </c>
      <c r="Q3961">
        <v>22.32</v>
      </c>
      <c r="R3961">
        <v>5.02</v>
      </c>
    </row>
    <row r="3962">
      <c r="A3962" s="9">
        <v>42493</v>
      </c>
      <c r="B3962" s="2" t="inlineStr">
        <is>
          <t xml:space="preserve">2016-05</t>
        </is>
      </c>
      <c r="C3962" s="2" t="inlineStr">
        <is>
          <t xml:space="preserve">2015/16</t>
        </is>
      </c>
      <c r="D3962">
        <v>7.41</v>
      </c>
      <c r="E3962">
        <v>24.56</v>
      </c>
      <c r="F3962">
        <v>29.47</v>
      </c>
      <c r="G3962">
        <v>20.98</v>
      </c>
      <c r="H3962">
        <v>4.26</v>
      </c>
      <c r="I3962">
        <v>3.229</v>
      </c>
      <c r="J3962">
        <v>24.46</v>
      </c>
      <c r="K3962">
        <v>29.25</v>
      </c>
      <c r="L3962">
        <v>21.96</v>
      </c>
      <c r="M3962">
        <v>3.52</v>
      </c>
      <c r="N3962">
        <v>1.479</v>
      </c>
      <c r="O3962">
        <v>25.4</v>
      </c>
      <c r="P3962">
        <v>31.44</v>
      </c>
      <c r="Q3962">
        <v>22.13</v>
      </c>
      <c r="R3962">
        <v>3.26</v>
      </c>
    </row>
    <row r="3963">
      <c r="A3963" s="9">
        <v>42494</v>
      </c>
      <c r="B3963" s="2" t="inlineStr">
        <is>
          <t xml:space="preserve">2016-05</t>
        </is>
      </c>
      <c r="C3963" s="2" t="inlineStr">
        <is>
          <t xml:space="preserve">2015/16</t>
        </is>
      </c>
      <c r="D3963">
        <v>9.545</v>
      </c>
      <c r="E3963">
        <v>24.95</v>
      </c>
      <c r="F3963">
        <v>30.61</v>
      </c>
      <c r="G3963">
        <v>20.55</v>
      </c>
      <c r="H3963">
        <v>5.82</v>
      </c>
      <c r="I3963">
        <v>3.462</v>
      </c>
      <c r="J3963">
        <v>25.49</v>
      </c>
      <c r="K3963">
        <v>30.8</v>
      </c>
      <c r="L3963">
        <v>21.21</v>
      </c>
      <c r="M3963">
        <v>4.08</v>
      </c>
      <c r="N3963">
        <v>1.483</v>
      </c>
      <c r="O3963">
        <v>25.75</v>
      </c>
      <c r="P3963">
        <v>30.16</v>
      </c>
      <c r="Q3963">
        <v>22.26</v>
      </c>
      <c r="R3963">
        <v>3.04</v>
      </c>
    </row>
    <row r="3964">
      <c r="A3964" s="9">
        <v>42495</v>
      </c>
      <c r="B3964" s="2" t="inlineStr">
        <is>
          <t xml:space="preserve">2016-05</t>
        </is>
      </c>
      <c r="C3964" s="2" t="inlineStr">
        <is>
          <t xml:space="preserve">2015/16</t>
        </is>
      </c>
      <c r="D3964">
        <v>2.818</v>
      </c>
      <c r="E3964">
        <v>24.9</v>
      </c>
      <c r="F3964">
        <v>31.93</v>
      </c>
      <c r="G3964">
        <v>20.47</v>
      </c>
      <c r="H3964">
        <v>2.57</v>
      </c>
      <c r="I3964">
        <v>11.186</v>
      </c>
      <c r="J3964">
        <v>24.12</v>
      </c>
      <c r="K3964">
        <v>27.4</v>
      </c>
      <c r="L3964">
        <v>21.27</v>
      </c>
      <c r="M3964">
        <v>10.61</v>
      </c>
      <c r="N3964">
        <v>14.792</v>
      </c>
      <c r="O3964">
        <v>23.69</v>
      </c>
      <c r="P3964">
        <v>27.27</v>
      </c>
      <c r="Q3964">
        <v>21.19</v>
      </c>
      <c r="R3964">
        <v>10.1</v>
      </c>
    </row>
    <row r="3965">
      <c r="A3965" s="9">
        <v>42496</v>
      </c>
      <c r="B3965" s="2" t="inlineStr">
        <is>
          <t xml:space="preserve">2016-05</t>
        </is>
      </c>
      <c r="C3965" s="2" t="inlineStr">
        <is>
          <t xml:space="preserve">2015/16</t>
        </is>
      </c>
      <c r="D3965">
        <v>0.644</v>
      </c>
      <c r="E3965">
        <v>23.17</v>
      </c>
      <c r="F3965">
        <v>29.88</v>
      </c>
      <c r="G3965">
        <v>18.74</v>
      </c>
      <c r="H3965">
        <v>3.75</v>
      </c>
      <c r="I3965">
        <v>0.679</v>
      </c>
      <c r="J3965">
        <v>23.85</v>
      </c>
      <c r="K3965">
        <v>30.3</v>
      </c>
      <c r="L3965">
        <v>19.55</v>
      </c>
      <c r="M3965">
        <v>1.3</v>
      </c>
      <c r="N3965">
        <v>1.226</v>
      </c>
      <c r="O3965">
        <v>22.5</v>
      </c>
      <c r="P3965">
        <v>27.59</v>
      </c>
      <c r="Q3965">
        <v>18.95</v>
      </c>
      <c r="R3965">
        <v>4.58</v>
      </c>
    </row>
    <row r="3966">
      <c r="A3966" s="9">
        <v>42497</v>
      </c>
      <c r="B3966" s="2" t="inlineStr">
        <is>
          <t xml:space="preserve">2016-05</t>
        </is>
      </c>
      <c r="C3966" s="2" t="inlineStr">
        <is>
          <t xml:space="preserve">2015/16</t>
        </is>
      </c>
      <c r="D3966">
        <v>0.0</v>
      </c>
      <c r="E3966">
        <v>22.81</v>
      </c>
      <c r="F3966">
        <v>30.54</v>
      </c>
      <c r="G3966">
        <v>16.81</v>
      </c>
      <c r="H3966">
        <v>0.17</v>
      </c>
      <c r="I3966">
        <v>0.143</v>
      </c>
      <c r="J3966">
        <v>23.52</v>
      </c>
      <c r="K3966">
        <v>30.28</v>
      </c>
      <c r="L3966">
        <v>17.89</v>
      </c>
      <c r="M3966">
        <v>0.85</v>
      </c>
      <c r="N3966">
        <v>0.543</v>
      </c>
      <c r="O3966">
        <v>22.06</v>
      </c>
      <c r="P3966">
        <v>28.79</v>
      </c>
      <c r="Q3966">
        <v>17.22</v>
      </c>
      <c r="R3966">
        <v>1.73</v>
      </c>
    </row>
    <row r="3967">
      <c r="A3967" s="9">
        <v>42498</v>
      </c>
      <c r="B3967" s="2" t="inlineStr">
        <is>
          <t xml:space="preserve">2016-05</t>
        </is>
      </c>
      <c r="C3967" s="2" t="inlineStr">
        <is>
          <t xml:space="preserve">2015/16</t>
        </is>
      </c>
      <c r="D3967">
        <v>0.972</v>
      </c>
      <c r="E3967">
        <v>23.38</v>
      </c>
      <c r="F3967">
        <v>31.38</v>
      </c>
      <c r="G3967">
        <v>16.73</v>
      </c>
      <c r="H3967">
        <v>0.68</v>
      </c>
      <c r="I3967">
        <v>0.068</v>
      </c>
      <c r="J3967">
        <v>24.37</v>
      </c>
      <c r="K3967">
        <v>32.26</v>
      </c>
      <c r="L3967">
        <v>18.19</v>
      </c>
      <c r="M3967">
        <v>0.56</v>
      </c>
      <c r="N3967">
        <v>0.0</v>
      </c>
      <c r="O3967">
        <v>22.75</v>
      </c>
      <c r="P3967">
        <v>30.44</v>
      </c>
      <c r="Q3967">
        <v>17.02</v>
      </c>
      <c r="R3967">
        <v>0.05</v>
      </c>
    </row>
    <row r="3968">
      <c r="A3968" s="9">
        <v>42499</v>
      </c>
      <c r="B3968" s="2" t="inlineStr">
        <is>
          <t xml:space="preserve">2016-05</t>
        </is>
      </c>
      <c r="C3968" s="2" t="inlineStr">
        <is>
          <t xml:space="preserve">2015/16</t>
        </is>
      </c>
      <c r="D3968">
        <v>0.0</v>
      </c>
      <c r="E3968">
        <v>24.76</v>
      </c>
      <c r="F3968">
        <v>32.8</v>
      </c>
      <c r="G3968">
        <v>17.53</v>
      </c>
      <c r="H3968">
        <v>0.0</v>
      </c>
      <c r="I3968">
        <v>0.964</v>
      </c>
      <c r="J3968">
        <v>24.77</v>
      </c>
      <c r="K3968">
        <v>31.59</v>
      </c>
      <c r="L3968">
        <v>18.99</v>
      </c>
      <c r="M3968">
        <v>0.8</v>
      </c>
      <c r="N3968">
        <v>0.0</v>
      </c>
      <c r="O3968">
        <v>24.1</v>
      </c>
      <c r="P3968">
        <v>31.89</v>
      </c>
      <c r="Q3968">
        <v>17.41</v>
      </c>
      <c r="R3968">
        <v>0.01</v>
      </c>
    </row>
    <row r="3969">
      <c r="A3969" s="9">
        <v>42500</v>
      </c>
      <c r="B3969" s="2" t="inlineStr">
        <is>
          <t xml:space="preserve">2016-05</t>
        </is>
      </c>
      <c r="C3969" s="2" t="inlineStr">
        <is>
          <t xml:space="preserve">2015/16</t>
        </is>
      </c>
      <c r="D3969">
        <v>0.0</v>
      </c>
      <c r="E3969">
        <v>25.79</v>
      </c>
      <c r="F3969">
        <v>33.46</v>
      </c>
      <c r="G3969">
        <v>19.08</v>
      </c>
      <c r="H3969">
        <v>0.0</v>
      </c>
      <c r="I3969">
        <v>0.0</v>
      </c>
      <c r="J3969">
        <v>26.2</v>
      </c>
      <c r="K3969">
        <v>33.61</v>
      </c>
      <c r="L3969">
        <v>19.55</v>
      </c>
      <c r="M3969">
        <v>0.0</v>
      </c>
      <c r="N3969">
        <v>0.0</v>
      </c>
      <c r="O3969">
        <v>24.82</v>
      </c>
      <c r="P3969">
        <v>32.38</v>
      </c>
      <c r="Q3969">
        <v>18.3</v>
      </c>
      <c r="R3969">
        <v>0.0</v>
      </c>
    </row>
    <row r="3970">
      <c r="A3970" s="9">
        <v>42501</v>
      </c>
      <c r="B3970" s="2" t="inlineStr">
        <is>
          <t xml:space="preserve">2016-05</t>
        </is>
      </c>
      <c r="C3970" s="2" t="inlineStr">
        <is>
          <t xml:space="preserve">2015/16</t>
        </is>
      </c>
      <c r="D3970">
        <v>0.0</v>
      </c>
      <c r="E3970">
        <v>26.27</v>
      </c>
      <c r="F3970">
        <v>34.11</v>
      </c>
      <c r="G3970">
        <v>18.8</v>
      </c>
      <c r="H3970">
        <v>0.11</v>
      </c>
      <c r="I3970">
        <v>0.0</v>
      </c>
      <c r="J3970">
        <v>26.82</v>
      </c>
      <c r="K3970">
        <v>33.86</v>
      </c>
      <c r="L3970">
        <v>21.55</v>
      </c>
      <c r="M3970">
        <v>0.25</v>
      </c>
      <c r="N3970">
        <v>0.0</v>
      </c>
      <c r="O3970">
        <v>25.48</v>
      </c>
      <c r="P3970">
        <v>32.97</v>
      </c>
      <c r="Q3970">
        <v>20.16</v>
      </c>
      <c r="R3970">
        <v>0.44</v>
      </c>
    </row>
    <row r="3971">
      <c r="A3971" s="9">
        <v>42502</v>
      </c>
      <c r="B3971" s="2" t="inlineStr">
        <is>
          <t xml:space="preserve">2016-05</t>
        </is>
      </c>
      <c r="C3971" s="2" t="inlineStr">
        <is>
          <t xml:space="preserve">2015/16</t>
        </is>
      </c>
      <c r="D3971">
        <v>0.359</v>
      </c>
      <c r="E3971">
        <v>26.3</v>
      </c>
      <c r="F3971">
        <v>34.47</v>
      </c>
      <c r="G3971">
        <v>19.87</v>
      </c>
      <c r="H3971">
        <v>0.41</v>
      </c>
      <c r="I3971">
        <v>0.183</v>
      </c>
      <c r="J3971">
        <v>26.45</v>
      </c>
      <c r="K3971">
        <v>33.65</v>
      </c>
      <c r="L3971">
        <v>20.84</v>
      </c>
      <c r="M3971">
        <v>0.76</v>
      </c>
      <c r="N3971">
        <v>0.502</v>
      </c>
      <c r="O3971">
        <v>25.25</v>
      </c>
      <c r="P3971">
        <v>31.99</v>
      </c>
      <c r="Q3971">
        <v>20.89</v>
      </c>
      <c r="R3971">
        <v>1.63</v>
      </c>
    </row>
    <row r="3972">
      <c r="A3972" s="9">
        <v>42503</v>
      </c>
      <c r="B3972" s="2" t="inlineStr">
        <is>
          <t xml:space="preserve">2016-05</t>
        </is>
      </c>
      <c r="C3972" s="2" t="inlineStr">
        <is>
          <t xml:space="preserve">2015/16</t>
        </is>
      </c>
      <c r="D3972">
        <v>0.0</v>
      </c>
      <c r="E3972">
        <v>26.05</v>
      </c>
      <c r="F3972">
        <v>34.24</v>
      </c>
      <c r="G3972">
        <v>20.48</v>
      </c>
      <c r="H3972">
        <v>0.35</v>
      </c>
      <c r="I3972">
        <v>0.048</v>
      </c>
      <c r="J3972">
        <v>25.18</v>
      </c>
      <c r="K3972">
        <v>31.57</v>
      </c>
      <c r="L3972">
        <v>21.41</v>
      </c>
      <c r="M3972">
        <v>0.52</v>
      </c>
      <c r="N3972">
        <v>0.183</v>
      </c>
      <c r="O3972">
        <v>24.91</v>
      </c>
      <c r="P3972">
        <v>31.96</v>
      </c>
      <c r="Q3972">
        <v>21.44</v>
      </c>
      <c r="R3972">
        <v>0.83</v>
      </c>
    </row>
    <row r="3973">
      <c r="A3973" s="9">
        <v>42504</v>
      </c>
      <c r="B3973" s="2" t="inlineStr">
        <is>
          <t xml:space="preserve">2016-05</t>
        </is>
      </c>
      <c r="C3973" s="2" t="inlineStr">
        <is>
          <t xml:space="preserve">2015/16</t>
        </is>
      </c>
      <c r="D3973">
        <v>1.618</v>
      </c>
      <c r="E3973">
        <v>25.2</v>
      </c>
      <c r="F3973">
        <v>32.64</v>
      </c>
      <c r="G3973">
        <v>20.48</v>
      </c>
      <c r="H3973">
        <v>2.08</v>
      </c>
      <c r="I3973">
        <v>0.933</v>
      </c>
      <c r="J3973">
        <v>24.79</v>
      </c>
      <c r="K3973">
        <v>30.28</v>
      </c>
      <c r="L3973">
        <v>20.73</v>
      </c>
      <c r="M3973">
        <v>0.6</v>
      </c>
      <c r="N3973">
        <v>0.347</v>
      </c>
      <c r="O3973">
        <v>24.7</v>
      </c>
      <c r="P3973">
        <v>30.89</v>
      </c>
      <c r="Q3973">
        <v>20.49</v>
      </c>
      <c r="R3973">
        <v>0.57</v>
      </c>
    </row>
    <row r="3974">
      <c r="A3974" s="9">
        <v>42505</v>
      </c>
      <c r="B3974" s="2" t="inlineStr">
        <is>
          <t xml:space="preserve">2016-05</t>
        </is>
      </c>
      <c r="C3974" s="2" t="inlineStr">
        <is>
          <t xml:space="preserve">2015/16</t>
        </is>
      </c>
      <c r="D3974">
        <v>2.255</v>
      </c>
      <c r="E3974">
        <v>25.29</v>
      </c>
      <c r="F3974">
        <v>33.6</v>
      </c>
      <c r="G3974">
        <v>19.39</v>
      </c>
      <c r="H3974">
        <v>0.49</v>
      </c>
      <c r="I3974">
        <v>0.0</v>
      </c>
      <c r="J3974">
        <v>25.98</v>
      </c>
      <c r="K3974">
        <v>33.4</v>
      </c>
      <c r="L3974">
        <v>20.2</v>
      </c>
      <c r="M3974">
        <v>0.02</v>
      </c>
      <c r="N3974">
        <v>0.0</v>
      </c>
      <c r="O3974">
        <v>24.89</v>
      </c>
      <c r="P3974">
        <v>32.04</v>
      </c>
      <c r="Q3974">
        <v>20.16</v>
      </c>
      <c r="R3974">
        <v>0.05</v>
      </c>
    </row>
    <row r="3975">
      <c r="A3975" s="9">
        <v>42506</v>
      </c>
      <c r="B3975" s="2" t="inlineStr">
        <is>
          <t xml:space="preserve">2016-05</t>
        </is>
      </c>
      <c r="C3975" s="2" t="inlineStr">
        <is>
          <t xml:space="preserve">2015/16</t>
        </is>
      </c>
      <c r="D3975">
        <v>0.591</v>
      </c>
      <c r="E3975">
        <v>24.11</v>
      </c>
      <c r="F3975">
        <v>29.75</v>
      </c>
      <c r="G3975">
        <v>19.78</v>
      </c>
      <c r="H3975">
        <v>4.48</v>
      </c>
      <c r="I3975">
        <v>0.0</v>
      </c>
      <c r="J3975">
        <v>25.43</v>
      </c>
      <c r="K3975">
        <v>31.91</v>
      </c>
      <c r="L3975">
        <v>20.4</v>
      </c>
      <c r="M3975">
        <v>0.15</v>
      </c>
      <c r="N3975">
        <v>0.0</v>
      </c>
      <c r="O3975">
        <v>24.78</v>
      </c>
      <c r="P3975">
        <v>30.65</v>
      </c>
      <c r="Q3975">
        <v>19.79</v>
      </c>
      <c r="R3975">
        <v>0.62</v>
      </c>
    </row>
    <row r="3976">
      <c r="A3976" s="9">
        <v>42507</v>
      </c>
      <c r="B3976" s="2" t="inlineStr">
        <is>
          <t xml:space="preserve">2016-05</t>
        </is>
      </c>
      <c r="C3976" s="2" t="inlineStr">
        <is>
          <t xml:space="preserve">2015/16</t>
        </is>
      </c>
      <c r="D3976">
        <v>4.082</v>
      </c>
      <c r="E3976">
        <v>25.77</v>
      </c>
      <c r="F3976">
        <v>33.03</v>
      </c>
      <c r="G3976">
        <v>20.85</v>
      </c>
      <c r="H3976">
        <v>3.17</v>
      </c>
      <c r="I3976">
        <v>1.734</v>
      </c>
      <c r="J3976">
        <v>27.24</v>
      </c>
      <c r="K3976">
        <v>34.43</v>
      </c>
      <c r="L3976">
        <v>21.77</v>
      </c>
      <c r="M3976">
        <v>3.27</v>
      </c>
      <c r="N3976">
        <v>0.605</v>
      </c>
      <c r="O3976">
        <v>26.91</v>
      </c>
      <c r="P3976">
        <v>34.14</v>
      </c>
      <c r="Q3976">
        <v>21.58</v>
      </c>
      <c r="R3976">
        <v>2.79</v>
      </c>
    </row>
    <row r="3977">
      <c r="A3977" s="9">
        <v>42508</v>
      </c>
      <c r="B3977" s="2" t="inlineStr">
        <is>
          <t xml:space="preserve">2016-05</t>
        </is>
      </c>
      <c r="C3977" s="2" t="inlineStr">
        <is>
          <t xml:space="preserve">2015/16</t>
        </is>
      </c>
      <c r="D3977">
        <v>7.499</v>
      </c>
      <c r="E3977">
        <v>26.82</v>
      </c>
      <c r="F3977">
        <v>34.61</v>
      </c>
      <c r="G3977">
        <v>20.52</v>
      </c>
      <c r="H3977">
        <v>2.5</v>
      </c>
      <c r="I3977">
        <v>4.343</v>
      </c>
      <c r="J3977">
        <v>27.05</v>
      </c>
      <c r="K3977">
        <v>33.56</v>
      </c>
      <c r="L3977">
        <v>22.01</v>
      </c>
      <c r="M3977">
        <v>4.88</v>
      </c>
      <c r="N3977">
        <v>1.527</v>
      </c>
      <c r="O3977">
        <v>27.23</v>
      </c>
      <c r="P3977">
        <v>34.75</v>
      </c>
      <c r="Q3977">
        <v>21.34</v>
      </c>
      <c r="R3977">
        <v>3.22</v>
      </c>
    </row>
    <row r="3978">
      <c r="A3978" s="9">
        <v>42509</v>
      </c>
      <c r="B3978" s="2" t="inlineStr">
        <is>
          <t xml:space="preserve">2016-05</t>
        </is>
      </c>
      <c r="C3978" s="2" t="inlineStr">
        <is>
          <t xml:space="preserve">2015/16</t>
        </is>
      </c>
      <c r="D3978">
        <v>0.547</v>
      </c>
      <c r="E3978">
        <v>27.26</v>
      </c>
      <c r="F3978">
        <v>34.96</v>
      </c>
      <c r="G3978">
        <v>21.13</v>
      </c>
      <c r="H3978">
        <v>0.53</v>
      </c>
      <c r="I3978">
        <v>6.196</v>
      </c>
      <c r="J3978">
        <v>25.21</v>
      </c>
      <c r="K3978">
        <v>29.89</v>
      </c>
      <c r="L3978">
        <v>22.05</v>
      </c>
      <c r="M3978">
        <v>3.37</v>
      </c>
      <c r="N3978">
        <v>8.678</v>
      </c>
      <c r="O3978">
        <v>26.46</v>
      </c>
      <c r="P3978">
        <v>32.91</v>
      </c>
      <c r="Q3978">
        <v>21.95</v>
      </c>
      <c r="R3978">
        <v>2.38</v>
      </c>
    </row>
    <row r="3979">
      <c r="A3979" s="9">
        <v>42510</v>
      </c>
      <c r="B3979" s="2" t="inlineStr">
        <is>
          <t xml:space="preserve">2016-05</t>
        </is>
      </c>
      <c r="C3979" s="2" t="inlineStr">
        <is>
          <t xml:space="preserve">2015/16</t>
        </is>
      </c>
      <c r="D3979">
        <v>0.0</v>
      </c>
      <c r="E3979">
        <v>26.18</v>
      </c>
      <c r="F3979">
        <v>32.74</v>
      </c>
      <c r="G3979">
        <v>21.46</v>
      </c>
      <c r="H3979">
        <v>0.04</v>
      </c>
      <c r="I3979">
        <v>0.52</v>
      </c>
      <c r="J3979">
        <v>24.77</v>
      </c>
      <c r="K3979">
        <v>28.38</v>
      </c>
      <c r="L3979">
        <v>21.85</v>
      </c>
      <c r="M3979">
        <v>0.57</v>
      </c>
      <c r="N3979">
        <v>0.671</v>
      </c>
      <c r="O3979">
        <v>26.09</v>
      </c>
      <c r="P3979">
        <v>31.69</v>
      </c>
      <c r="Q3979">
        <v>22.0</v>
      </c>
      <c r="R3979">
        <v>0.24</v>
      </c>
    </row>
    <row r="3980">
      <c r="A3980" s="9">
        <v>42511</v>
      </c>
      <c r="B3980" s="2" t="inlineStr">
        <is>
          <t xml:space="preserve">2016-05</t>
        </is>
      </c>
      <c r="C3980" s="2" t="inlineStr">
        <is>
          <t xml:space="preserve">2015/16</t>
        </is>
      </c>
      <c r="D3980">
        <v>0.0</v>
      </c>
      <c r="E3980">
        <v>27.13</v>
      </c>
      <c r="F3980">
        <v>34.68</v>
      </c>
      <c r="G3980">
        <v>20.99</v>
      </c>
      <c r="H3980">
        <v>0.05</v>
      </c>
      <c r="I3980">
        <v>0.213</v>
      </c>
      <c r="J3980">
        <v>25.21</v>
      </c>
      <c r="K3980">
        <v>29.9</v>
      </c>
      <c r="L3980">
        <v>22.17</v>
      </c>
      <c r="M3980">
        <v>0.27</v>
      </c>
      <c r="N3980">
        <v>0.328</v>
      </c>
      <c r="O3980">
        <v>25.95</v>
      </c>
      <c r="P3980">
        <v>32.22</v>
      </c>
      <c r="Q3980">
        <v>21.96</v>
      </c>
      <c r="R3980">
        <v>0.33</v>
      </c>
    </row>
    <row r="3981">
      <c r="A3981" s="9">
        <v>42512</v>
      </c>
      <c r="B3981" s="2" t="inlineStr">
        <is>
          <t xml:space="preserve">2016-05</t>
        </is>
      </c>
      <c r="C3981" s="2" t="inlineStr">
        <is>
          <t xml:space="preserve">2015/16</t>
        </is>
      </c>
      <c r="D3981">
        <v>0.0</v>
      </c>
      <c r="E3981">
        <v>26.71</v>
      </c>
      <c r="F3981">
        <v>34.75</v>
      </c>
      <c r="G3981">
        <v>20.09</v>
      </c>
      <c r="H3981">
        <v>0.15</v>
      </c>
      <c r="I3981">
        <v>0.124</v>
      </c>
      <c r="J3981">
        <v>26.97</v>
      </c>
      <c r="K3981">
        <v>34.64</v>
      </c>
      <c r="L3981">
        <v>20.25</v>
      </c>
      <c r="M3981">
        <v>0.64</v>
      </c>
      <c r="N3981">
        <v>0.469</v>
      </c>
      <c r="O3981">
        <v>26.33</v>
      </c>
      <c r="P3981">
        <v>33.47</v>
      </c>
      <c r="Q3981">
        <v>21.26</v>
      </c>
      <c r="R3981">
        <v>1.48</v>
      </c>
    </row>
    <row r="3982">
      <c r="A3982" s="9">
        <v>42513</v>
      </c>
      <c r="B3982" s="2" t="inlineStr">
        <is>
          <t xml:space="preserve">2016-05</t>
        </is>
      </c>
      <c r="C3982" s="2" t="inlineStr">
        <is>
          <t xml:space="preserve">2015/16</t>
        </is>
      </c>
      <c r="D3982">
        <v>0.0</v>
      </c>
      <c r="E3982">
        <v>27.39</v>
      </c>
      <c r="F3982">
        <v>35.41</v>
      </c>
      <c r="G3982">
        <v>19.97</v>
      </c>
      <c r="H3982">
        <v>0.0</v>
      </c>
      <c r="I3982">
        <v>0.0</v>
      </c>
      <c r="J3982">
        <v>27.69</v>
      </c>
      <c r="K3982">
        <v>35.05</v>
      </c>
      <c r="L3982">
        <v>21.35</v>
      </c>
      <c r="M3982">
        <v>0.0</v>
      </c>
      <c r="N3982">
        <v>0.0</v>
      </c>
      <c r="O3982">
        <v>27.26</v>
      </c>
      <c r="P3982">
        <v>35.72</v>
      </c>
      <c r="Q3982">
        <v>20.85</v>
      </c>
      <c r="R3982">
        <v>0.0</v>
      </c>
    </row>
    <row r="3983">
      <c r="A3983" s="9">
        <v>42514</v>
      </c>
      <c r="B3983" s="2" t="inlineStr">
        <is>
          <t xml:space="preserve">2016-05</t>
        </is>
      </c>
      <c r="C3983" s="2" t="inlineStr">
        <is>
          <t xml:space="preserve">2015/16</t>
        </is>
      </c>
      <c r="D3983">
        <v>0.0</v>
      </c>
      <c r="E3983">
        <v>28.33</v>
      </c>
      <c r="F3983">
        <v>36.5</v>
      </c>
      <c r="G3983">
        <v>20.94</v>
      </c>
      <c r="H3983">
        <v>0.0</v>
      </c>
      <c r="I3983">
        <v>0.0</v>
      </c>
      <c r="J3983">
        <v>28.8</v>
      </c>
      <c r="K3983">
        <v>36.75</v>
      </c>
      <c r="L3983">
        <v>22.48</v>
      </c>
      <c r="M3983">
        <v>0.0</v>
      </c>
      <c r="N3983">
        <v>0.0</v>
      </c>
      <c r="O3983">
        <v>27.93</v>
      </c>
      <c r="P3983">
        <v>36.12</v>
      </c>
      <c r="Q3983">
        <v>21.97</v>
      </c>
      <c r="R3983">
        <v>0.0</v>
      </c>
    </row>
    <row r="3984">
      <c r="A3984" s="9">
        <v>42515</v>
      </c>
      <c r="B3984" s="2" t="inlineStr">
        <is>
          <t xml:space="preserve">2016-05</t>
        </is>
      </c>
      <c r="C3984" s="2" t="inlineStr">
        <is>
          <t xml:space="preserve">2015/16</t>
        </is>
      </c>
      <c r="D3984">
        <v>0.0</v>
      </c>
      <c r="E3984">
        <v>27.92</v>
      </c>
      <c r="F3984">
        <v>35.72</v>
      </c>
      <c r="G3984">
        <v>22.44</v>
      </c>
      <c r="H3984">
        <v>2.77</v>
      </c>
      <c r="I3984">
        <v>0.0</v>
      </c>
      <c r="J3984">
        <v>28.15</v>
      </c>
      <c r="K3984">
        <v>34.72</v>
      </c>
      <c r="L3984">
        <v>23.04</v>
      </c>
      <c r="M3984">
        <v>0.06</v>
      </c>
      <c r="N3984">
        <v>0.0</v>
      </c>
      <c r="O3984">
        <v>26.74</v>
      </c>
      <c r="P3984">
        <v>33.32</v>
      </c>
      <c r="Q3984">
        <v>22.5</v>
      </c>
      <c r="R3984">
        <v>0.24</v>
      </c>
    </row>
    <row r="3985">
      <c r="A3985" s="9">
        <v>42516</v>
      </c>
      <c r="B3985" s="2" t="inlineStr">
        <is>
          <t xml:space="preserve">2016-05</t>
        </is>
      </c>
      <c r="C3985" s="2" t="inlineStr">
        <is>
          <t xml:space="preserve">2015/16</t>
        </is>
      </c>
      <c r="D3985">
        <v>6.115</v>
      </c>
      <c r="E3985">
        <v>26.17</v>
      </c>
      <c r="F3985">
        <v>33.56</v>
      </c>
      <c r="G3985">
        <v>21.09</v>
      </c>
      <c r="H3985">
        <v>4.15</v>
      </c>
      <c r="I3985">
        <v>0.171</v>
      </c>
      <c r="J3985">
        <v>26.98</v>
      </c>
      <c r="K3985">
        <v>34.51</v>
      </c>
      <c r="L3985">
        <v>20.85</v>
      </c>
      <c r="M3985">
        <v>1.23</v>
      </c>
      <c r="N3985">
        <v>0.0</v>
      </c>
      <c r="O3985">
        <v>26.04</v>
      </c>
      <c r="P3985">
        <v>33.29</v>
      </c>
      <c r="Q3985">
        <v>21.25</v>
      </c>
      <c r="R3985">
        <v>0.91</v>
      </c>
    </row>
    <row r="3986">
      <c r="A3986" s="9">
        <v>42517</v>
      </c>
      <c r="B3986" s="2" t="inlineStr">
        <is>
          <t xml:space="preserve">2016-05</t>
        </is>
      </c>
      <c r="C3986" s="2" t="inlineStr">
        <is>
          <t xml:space="preserve">2015/16</t>
        </is>
      </c>
      <c r="D3986">
        <v>12.268</v>
      </c>
      <c r="E3986">
        <v>25.32</v>
      </c>
      <c r="F3986">
        <v>31.48</v>
      </c>
      <c r="G3986">
        <v>20.55</v>
      </c>
      <c r="H3986">
        <v>10.63</v>
      </c>
      <c r="I3986">
        <v>1.853</v>
      </c>
      <c r="J3986">
        <v>26.77</v>
      </c>
      <c r="K3986">
        <v>33.45</v>
      </c>
      <c r="L3986">
        <v>21.03</v>
      </c>
      <c r="M3986">
        <v>2.2</v>
      </c>
      <c r="N3986">
        <v>0.0</v>
      </c>
      <c r="O3986">
        <v>26.32</v>
      </c>
      <c r="P3986">
        <v>33.45</v>
      </c>
      <c r="Q3986">
        <v>20.81</v>
      </c>
      <c r="R3986">
        <v>0.31</v>
      </c>
    </row>
    <row r="3987">
      <c r="A3987" s="9">
        <v>42518</v>
      </c>
      <c r="B3987" s="2" t="inlineStr">
        <is>
          <t xml:space="preserve">2016-05</t>
        </is>
      </c>
      <c r="C3987" s="2" t="inlineStr">
        <is>
          <t xml:space="preserve">2015/16</t>
        </is>
      </c>
      <c r="D3987">
        <v>0.372</v>
      </c>
      <c r="E3987">
        <v>23.62</v>
      </c>
      <c r="F3987">
        <v>27.79</v>
      </c>
      <c r="G3987">
        <v>21.04</v>
      </c>
      <c r="H3987">
        <v>1.47</v>
      </c>
      <c r="I3987">
        <v>0.0</v>
      </c>
      <c r="J3987">
        <v>25.94</v>
      </c>
      <c r="K3987">
        <v>32.14</v>
      </c>
      <c r="L3987">
        <v>21.6</v>
      </c>
      <c r="M3987">
        <v>0.94</v>
      </c>
      <c r="N3987">
        <v>0.0</v>
      </c>
      <c r="O3987">
        <v>26.26</v>
      </c>
      <c r="P3987">
        <v>32.18</v>
      </c>
      <c r="Q3987">
        <v>21.26</v>
      </c>
      <c r="R3987">
        <v>0.15</v>
      </c>
    </row>
    <row r="3988">
      <c r="A3988" s="9">
        <v>42519</v>
      </c>
      <c r="B3988" s="2" t="inlineStr">
        <is>
          <t xml:space="preserve">2016-05</t>
        </is>
      </c>
      <c r="C3988" s="2" t="inlineStr">
        <is>
          <t xml:space="preserve">2015/16</t>
        </is>
      </c>
      <c r="D3988">
        <v>11.655</v>
      </c>
      <c r="E3988">
        <v>24.37</v>
      </c>
      <c r="F3988">
        <v>31.04</v>
      </c>
      <c r="G3988">
        <v>20.35</v>
      </c>
      <c r="H3988">
        <v>8.53</v>
      </c>
      <c r="I3988">
        <v>3.737</v>
      </c>
      <c r="J3988">
        <v>25.82</v>
      </c>
      <c r="K3988">
        <v>33.04</v>
      </c>
      <c r="L3988">
        <v>20.93</v>
      </c>
      <c r="M3988">
        <v>4.05</v>
      </c>
      <c r="N3988">
        <v>0.0</v>
      </c>
      <c r="O3988">
        <v>25.6</v>
      </c>
      <c r="P3988">
        <v>30.3</v>
      </c>
      <c r="Q3988">
        <v>21.47</v>
      </c>
      <c r="R3988">
        <v>0.85</v>
      </c>
    </row>
    <row r="3989">
      <c r="A3989" s="9">
        <v>42520</v>
      </c>
      <c r="B3989" s="2" t="inlineStr">
        <is>
          <t xml:space="preserve">2016-05</t>
        </is>
      </c>
      <c r="C3989" s="2" t="inlineStr">
        <is>
          <t xml:space="preserve">2015/16</t>
        </is>
      </c>
      <c r="D3989">
        <v>11.938</v>
      </c>
      <c r="E3989">
        <v>23.72</v>
      </c>
      <c r="F3989">
        <v>27.27</v>
      </c>
      <c r="G3989">
        <v>20.32</v>
      </c>
      <c r="H3989">
        <v>10.55</v>
      </c>
      <c r="I3989">
        <v>0.046</v>
      </c>
      <c r="J3989">
        <v>27.04</v>
      </c>
      <c r="K3989">
        <v>34.26</v>
      </c>
      <c r="L3989">
        <v>21.69</v>
      </c>
      <c r="M3989">
        <v>1.02</v>
      </c>
      <c r="N3989">
        <v>0.0</v>
      </c>
      <c r="O3989">
        <v>26.25</v>
      </c>
      <c r="P3989">
        <v>33.07</v>
      </c>
      <c r="Q3989">
        <v>21.36</v>
      </c>
      <c r="R3989">
        <v>0.78</v>
      </c>
    </row>
    <row r="3990">
      <c r="A3990" s="9">
        <v>42521</v>
      </c>
      <c r="B3990" s="2" t="inlineStr">
        <is>
          <t xml:space="preserve">2016-05</t>
        </is>
      </c>
      <c r="C3990" s="2" t="inlineStr">
        <is>
          <t xml:space="preserve">2015/16</t>
        </is>
      </c>
      <c r="D3990">
        <v>7.464</v>
      </c>
      <c r="E3990">
        <v>24.07</v>
      </c>
      <c r="F3990">
        <v>29.93</v>
      </c>
      <c r="G3990">
        <v>19.9</v>
      </c>
      <c r="H3990">
        <v>7.17</v>
      </c>
      <c r="I3990">
        <v>3.261</v>
      </c>
      <c r="J3990">
        <v>26.42</v>
      </c>
      <c r="K3990">
        <v>33.77</v>
      </c>
      <c r="L3990">
        <v>21.3</v>
      </c>
      <c r="M3990">
        <v>0.7</v>
      </c>
      <c r="N3990">
        <v>0.109</v>
      </c>
      <c r="O3990">
        <v>26.27</v>
      </c>
      <c r="P3990">
        <v>33.77</v>
      </c>
      <c r="Q3990">
        <v>20.74</v>
      </c>
      <c r="R3990">
        <v>0.27</v>
      </c>
    </row>
    <row r="3991">
      <c r="A3991" s="9">
        <v>42522</v>
      </c>
      <c r="B3991" s="2" t="inlineStr">
        <is>
          <t xml:space="preserve">2016-06</t>
        </is>
      </c>
      <c r="C3991" s="2" t="inlineStr">
        <is>
          <t xml:space="preserve">2015/16</t>
        </is>
      </c>
      <c r="D3991">
        <v>17.673</v>
      </c>
      <c r="E3991">
        <v>24.35</v>
      </c>
      <c r="F3991">
        <v>30.58</v>
      </c>
      <c r="G3991">
        <v>20.26</v>
      </c>
      <c r="H3991">
        <v>18.74</v>
      </c>
      <c r="I3991">
        <v>0.0</v>
      </c>
      <c r="J3991">
        <v>26.86</v>
      </c>
      <c r="K3991">
        <v>35.05</v>
      </c>
      <c r="L3991">
        <v>21.53</v>
      </c>
      <c r="M3991">
        <v>2.46</v>
      </c>
      <c r="N3991">
        <v>0.0</v>
      </c>
      <c r="O3991">
        <v>26.45</v>
      </c>
      <c r="P3991">
        <v>34.56</v>
      </c>
      <c r="Q3991">
        <v>20.81</v>
      </c>
      <c r="R3991">
        <v>3.59</v>
      </c>
    </row>
    <row r="3992">
      <c r="A3992" s="9">
        <v>42523</v>
      </c>
      <c r="B3992" s="2" t="inlineStr">
        <is>
          <t xml:space="preserve">2016-06</t>
        </is>
      </c>
      <c r="C3992" s="2" t="inlineStr">
        <is>
          <t xml:space="preserve">2015/16</t>
        </is>
      </c>
      <c r="D3992">
        <v>13.465</v>
      </c>
      <c r="E3992">
        <v>23.13</v>
      </c>
      <c r="F3992">
        <v>27.98</v>
      </c>
      <c r="G3992">
        <v>20.57</v>
      </c>
      <c r="H3992">
        <v>11.8</v>
      </c>
      <c r="I3992">
        <v>3.439</v>
      </c>
      <c r="J3992">
        <v>24.08</v>
      </c>
      <c r="K3992">
        <v>30.89</v>
      </c>
      <c r="L3992">
        <v>20.12</v>
      </c>
      <c r="M3992">
        <v>10.21</v>
      </c>
      <c r="N3992">
        <v>12.615</v>
      </c>
      <c r="O3992">
        <v>23.65</v>
      </c>
      <c r="P3992">
        <v>27.76</v>
      </c>
      <c r="Q3992">
        <v>21.29</v>
      </c>
      <c r="R3992">
        <v>8.88</v>
      </c>
    </row>
    <row r="3993">
      <c r="A3993" s="9">
        <v>42524</v>
      </c>
      <c r="B3993" s="2" t="inlineStr">
        <is>
          <t xml:space="preserve">2016-06</t>
        </is>
      </c>
      <c r="C3993" s="2" t="inlineStr">
        <is>
          <t xml:space="preserve">2015/16</t>
        </is>
      </c>
      <c r="D3993">
        <v>2.673</v>
      </c>
      <c r="E3993">
        <v>23.72</v>
      </c>
      <c r="F3993">
        <v>29.24</v>
      </c>
      <c r="G3993">
        <v>20.0</v>
      </c>
      <c r="H3993">
        <v>3.28</v>
      </c>
      <c r="I3993">
        <v>27.005</v>
      </c>
      <c r="J3993">
        <v>23.92</v>
      </c>
      <c r="K3993">
        <v>30.59</v>
      </c>
      <c r="L3993">
        <v>19.44</v>
      </c>
      <c r="M3993">
        <v>17.12</v>
      </c>
      <c r="N3993">
        <v>32.094</v>
      </c>
      <c r="O3993">
        <v>24.5</v>
      </c>
      <c r="P3993">
        <v>31.39</v>
      </c>
      <c r="Q3993">
        <v>20.08</v>
      </c>
      <c r="R3993">
        <v>8.57</v>
      </c>
    </row>
    <row r="3994">
      <c r="A3994" s="9">
        <v>42525</v>
      </c>
      <c r="B3994" s="2" t="inlineStr">
        <is>
          <t xml:space="preserve">2016-06</t>
        </is>
      </c>
      <c r="C3994" s="2" t="inlineStr">
        <is>
          <t xml:space="preserve">2015/16</t>
        </is>
      </c>
      <c r="D3994">
        <v>3.095</v>
      </c>
      <c r="E3994">
        <v>22.39</v>
      </c>
      <c r="F3994">
        <v>27.35</v>
      </c>
      <c r="G3994">
        <v>19.42</v>
      </c>
      <c r="H3994">
        <v>10.98</v>
      </c>
      <c r="I3994">
        <v>4.579</v>
      </c>
      <c r="J3994">
        <v>23.37</v>
      </c>
      <c r="K3994">
        <v>27.36</v>
      </c>
      <c r="L3994">
        <v>20.88</v>
      </c>
      <c r="M3994">
        <v>8.81</v>
      </c>
      <c r="N3994">
        <v>12.523</v>
      </c>
      <c r="O3994">
        <v>23.35</v>
      </c>
      <c r="P3994">
        <v>26.78</v>
      </c>
      <c r="Q3994">
        <v>21.31</v>
      </c>
      <c r="R3994">
        <v>23.32</v>
      </c>
    </row>
    <row r="3995">
      <c r="A3995" s="9">
        <v>42526</v>
      </c>
      <c r="B3995" s="2" t="inlineStr">
        <is>
          <t xml:space="preserve">2016-06</t>
        </is>
      </c>
      <c r="C3995" s="2" t="inlineStr">
        <is>
          <t xml:space="preserve">2015/16</t>
        </is>
      </c>
      <c r="D3995">
        <v>9.402</v>
      </c>
      <c r="E3995">
        <v>21.84</v>
      </c>
      <c r="F3995">
        <v>25.52</v>
      </c>
      <c r="G3995">
        <v>18.49</v>
      </c>
      <c r="H3995">
        <v>8.33</v>
      </c>
      <c r="I3995">
        <v>3.288</v>
      </c>
      <c r="J3995">
        <v>22.24</v>
      </c>
      <c r="K3995">
        <v>25.28</v>
      </c>
      <c r="L3995">
        <v>19.9</v>
      </c>
      <c r="M3995">
        <v>3.08</v>
      </c>
      <c r="N3995">
        <v>3.406</v>
      </c>
      <c r="O3995">
        <v>22.83</v>
      </c>
      <c r="P3995">
        <v>27.01</v>
      </c>
      <c r="Q3995">
        <v>19.96</v>
      </c>
      <c r="R3995">
        <v>13.32</v>
      </c>
    </row>
    <row r="3996">
      <c r="A3996" s="9">
        <v>42527</v>
      </c>
      <c r="B3996" s="2" t="inlineStr">
        <is>
          <t xml:space="preserve">2016-06</t>
        </is>
      </c>
      <c r="C3996" s="2" t="inlineStr">
        <is>
          <t xml:space="preserve">2015/16</t>
        </is>
      </c>
      <c r="D3996">
        <v>5.374</v>
      </c>
      <c r="E3996">
        <v>23.09</v>
      </c>
      <c r="F3996">
        <v>30.22</v>
      </c>
      <c r="G3996">
        <v>17.38</v>
      </c>
      <c r="H3996">
        <v>5.78</v>
      </c>
      <c r="I3996">
        <v>4.937</v>
      </c>
      <c r="J3996">
        <v>23.59</v>
      </c>
      <c r="K3996">
        <v>29.33</v>
      </c>
      <c r="L3996">
        <v>19.34</v>
      </c>
      <c r="M3996">
        <v>3.75</v>
      </c>
      <c r="N3996">
        <v>0.226</v>
      </c>
      <c r="O3996">
        <v>24.02</v>
      </c>
      <c r="P3996">
        <v>30.16</v>
      </c>
      <c r="Q3996">
        <v>18.97</v>
      </c>
      <c r="R3996">
        <v>4.8</v>
      </c>
    </row>
    <row r="3997">
      <c r="A3997" s="9">
        <v>42528</v>
      </c>
      <c r="B3997" s="2" t="inlineStr">
        <is>
          <t xml:space="preserve">2016-06</t>
        </is>
      </c>
      <c r="C3997" s="2" t="inlineStr">
        <is>
          <t xml:space="preserve">2015/16</t>
        </is>
      </c>
      <c r="D3997">
        <v>3.235</v>
      </c>
      <c r="E3997">
        <v>22.94</v>
      </c>
      <c r="F3997">
        <v>26.15</v>
      </c>
      <c r="G3997">
        <v>20.39</v>
      </c>
      <c r="H3997">
        <v>7.97</v>
      </c>
      <c r="I3997">
        <v>0.201</v>
      </c>
      <c r="J3997">
        <v>24.52</v>
      </c>
      <c r="K3997">
        <v>30.58</v>
      </c>
      <c r="L3997">
        <v>19.73</v>
      </c>
      <c r="M3997">
        <v>3.74</v>
      </c>
      <c r="N3997">
        <v>1.748</v>
      </c>
      <c r="O3997">
        <v>23.91</v>
      </c>
      <c r="P3997">
        <v>28.71</v>
      </c>
      <c r="Q3997">
        <v>20.11</v>
      </c>
      <c r="R3997">
        <v>13.44</v>
      </c>
    </row>
    <row r="3998">
      <c r="A3998" s="9">
        <v>42529</v>
      </c>
      <c r="B3998" s="2" t="inlineStr">
        <is>
          <t xml:space="preserve">2016-06</t>
        </is>
      </c>
      <c r="C3998" s="2" t="inlineStr">
        <is>
          <t xml:space="preserve">2015/16</t>
        </is>
      </c>
      <c r="D3998">
        <v>4.998</v>
      </c>
      <c r="E3998">
        <v>22.49</v>
      </c>
      <c r="F3998">
        <v>25.71</v>
      </c>
      <c r="G3998">
        <v>19.88</v>
      </c>
      <c r="H3998">
        <v>6.58</v>
      </c>
      <c r="I3998">
        <v>4.405</v>
      </c>
      <c r="J3998">
        <v>24.03</v>
      </c>
      <c r="K3998">
        <v>28.36</v>
      </c>
      <c r="L3998">
        <v>21.27</v>
      </c>
      <c r="M3998">
        <v>8.6</v>
      </c>
      <c r="N3998">
        <v>15.913</v>
      </c>
      <c r="O3998">
        <v>23.25</v>
      </c>
      <c r="P3998">
        <v>26.09</v>
      </c>
      <c r="Q3998">
        <v>21.61</v>
      </c>
      <c r="R3998">
        <v>11.33</v>
      </c>
    </row>
    <row r="3999">
      <c r="A3999" s="9">
        <v>42530</v>
      </c>
      <c r="B3999" s="2" t="inlineStr">
        <is>
          <t xml:space="preserve">2016-06</t>
        </is>
      </c>
      <c r="C3999" s="2" t="inlineStr">
        <is>
          <t xml:space="preserve">2015/16</t>
        </is>
      </c>
      <c r="D3999">
        <v>7.863</v>
      </c>
      <c r="E3999">
        <v>23.09</v>
      </c>
      <c r="F3999">
        <v>27.14</v>
      </c>
      <c r="G3999">
        <v>19.88</v>
      </c>
      <c r="H3999">
        <v>4.32</v>
      </c>
      <c r="I3999">
        <v>2.856</v>
      </c>
      <c r="J3999">
        <v>24.05</v>
      </c>
      <c r="K3999">
        <v>29.4</v>
      </c>
      <c r="L3999">
        <v>20.22</v>
      </c>
      <c r="M3999">
        <v>1.12</v>
      </c>
      <c r="N3999">
        <v>3.16</v>
      </c>
      <c r="O3999">
        <v>23.99</v>
      </c>
      <c r="P3999">
        <v>29.16</v>
      </c>
      <c r="Q3999">
        <v>20.43</v>
      </c>
      <c r="R3999">
        <v>5.2</v>
      </c>
    </row>
    <row r="4000">
      <c r="A4000" s="9">
        <v>42531</v>
      </c>
      <c r="B4000" s="2" t="inlineStr">
        <is>
          <t xml:space="preserve">2016-06</t>
        </is>
      </c>
      <c r="C4000" s="2" t="inlineStr">
        <is>
          <t xml:space="preserve">2015/16</t>
        </is>
      </c>
      <c r="D4000">
        <v>0.085</v>
      </c>
      <c r="E4000">
        <v>23.12</v>
      </c>
      <c r="F4000">
        <v>28.25</v>
      </c>
      <c r="G4000">
        <v>19.28</v>
      </c>
      <c r="H4000">
        <v>2.89</v>
      </c>
      <c r="I4000">
        <v>0.09</v>
      </c>
      <c r="J4000">
        <v>23.89</v>
      </c>
      <c r="K4000">
        <v>28.46</v>
      </c>
      <c r="L4000">
        <v>20.97</v>
      </c>
      <c r="M4000">
        <v>10.97</v>
      </c>
      <c r="N4000">
        <v>1.028</v>
      </c>
      <c r="O4000">
        <v>24.32</v>
      </c>
      <c r="P4000">
        <v>28.88</v>
      </c>
      <c r="Q4000">
        <v>21.38</v>
      </c>
      <c r="R4000">
        <v>6.66</v>
      </c>
    </row>
    <row r="4001">
      <c r="A4001" s="9">
        <v>42532</v>
      </c>
      <c r="B4001" s="2" t="inlineStr">
        <is>
          <t xml:space="preserve">2016-06</t>
        </is>
      </c>
      <c r="C4001" s="2" t="inlineStr">
        <is>
          <t xml:space="preserve">2015/16</t>
        </is>
      </c>
      <c r="D4001">
        <v>3.394</v>
      </c>
      <c r="E4001">
        <v>22.09</v>
      </c>
      <c r="F4001">
        <v>26.28</v>
      </c>
      <c r="G4001">
        <v>18.85</v>
      </c>
      <c r="H4001">
        <v>0.73</v>
      </c>
      <c r="I4001">
        <v>25.16</v>
      </c>
      <c r="J4001">
        <v>24.12</v>
      </c>
      <c r="K4001">
        <v>29.0</v>
      </c>
      <c r="L4001">
        <v>20.55</v>
      </c>
      <c r="M4001">
        <v>8.19</v>
      </c>
      <c r="N4001">
        <v>18.92</v>
      </c>
      <c r="O4001">
        <v>23.63</v>
      </c>
      <c r="P4001">
        <v>28.16</v>
      </c>
      <c r="Q4001">
        <v>20.69</v>
      </c>
      <c r="R4001">
        <v>2.19</v>
      </c>
    </row>
    <row r="4002">
      <c r="A4002" s="9">
        <v>42533</v>
      </c>
      <c r="B4002" s="2" t="inlineStr">
        <is>
          <t xml:space="preserve">2016-06</t>
        </is>
      </c>
      <c r="C4002" s="2" t="inlineStr">
        <is>
          <t xml:space="preserve">2015/16</t>
        </is>
      </c>
      <c r="D4002">
        <v>0.038</v>
      </c>
      <c r="E4002">
        <v>22.8</v>
      </c>
      <c r="F4002">
        <v>28.51</v>
      </c>
      <c r="G4002">
        <v>17.98</v>
      </c>
      <c r="H4002">
        <v>0.77</v>
      </c>
      <c r="I4002">
        <v>20.337</v>
      </c>
      <c r="J4002">
        <v>23.45</v>
      </c>
      <c r="K4002">
        <v>28.5</v>
      </c>
      <c r="L4002">
        <v>19.78</v>
      </c>
      <c r="M4002">
        <v>12.67</v>
      </c>
      <c r="N4002">
        <v>11.801</v>
      </c>
      <c r="O4002">
        <v>23.85</v>
      </c>
      <c r="P4002">
        <v>29.24</v>
      </c>
      <c r="Q4002">
        <v>20.51</v>
      </c>
      <c r="R4002">
        <v>4.74</v>
      </c>
    </row>
    <row r="4003">
      <c r="A4003" s="9">
        <v>42534</v>
      </c>
      <c r="B4003" s="2" t="inlineStr">
        <is>
          <t xml:space="preserve">2016-06</t>
        </is>
      </c>
      <c r="C4003" s="2" t="inlineStr">
        <is>
          <t xml:space="preserve">2015/16</t>
        </is>
      </c>
      <c r="D4003">
        <v>0.0</v>
      </c>
      <c r="E4003">
        <v>23.48</v>
      </c>
      <c r="F4003">
        <v>30.68</v>
      </c>
      <c r="G4003">
        <v>16.84</v>
      </c>
      <c r="H4003">
        <v>0.16</v>
      </c>
      <c r="I4003">
        <v>0.141</v>
      </c>
      <c r="J4003">
        <v>24.73</v>
      </c>
      <c r="K4003">
        <v>31.6</v>
      </c>
      <c r="L4003">
        <v>19.61</v>
      </c>
      <c r="M4003">
        <v>0.64</v>
      </c>
      <c r="N4003">
        <v>0.0</v>
      </c>
      <c r="O4003">
        <v>24.55</v>
      </c>
      <c r="P4003">
        <v>30.9</v>
      </c>
      <c r="Q4003">
        <v>19.98</v>
      </c>
      <c r="R4003">
        <v>1.02</v>
      </c>
    </row>
    <row r="4004">
      <c r="A4004" s="9">
        <v>42535</v>
      </c>
      <c r="B4004" s="2" t="inlineStr">
        <is>
          <t xml:space="preserve">2016-06</t>
        </is>
      </c>
      <c r="C4004" s="2" t="inlineStr">
        <is>
          <t xml:space="preserve">2015/16</t>
        </is>
      </c>
      <c r="D4004">
        <v>1.488</v>
      </c>
      <c r="E4004">
        <v>24.05</v>
      </c>
      <c r="F4004">
        <v>31.1</v>
      </c>
      <c r="G4004">
        <v>18.21</v>
      </c>
      <c r="H4004">
        <v>3.43</v>
      </c>
      <c r="I4004">
        <v>0.0</v>
      </c>
      <c r="J4004">
        <v>24.81</v>
      </c>
      <c r="K4004">
        <v>31.32</v>
      </c>
      <c r="L4004">
        <v>19.33</v>
      </c>
      <c r="M4004">
        <v>13.27</v>
      </c>
      <c r="N4004">
        <v>0.692</v>
      </c>
      <c r="O4004">
        <v>24.4</v>
      </c>
      <c r="P4004">
        <v>30.36</v>
      </c>
      <c r="Q4004">
        <v>20.41</v>
      </c>
      <c r="R4004">
        <v>15.21</v>
      </c>
    </row>
    <row r="4005">
      <c r="A4005" s="9">
        <v>42536</v>
      </c>
      <c r="B4005" s="2" t="inlineStr">
        <is>
          <t xml:space="preserve">2016-06</t>
        </is>
      </c>
      <c r="C4005" s="2" t="inlineStr">
        <is>
          <t xml:space="preserve">2015/16</t>
        </is>
      </c>
      <c r="D4005">
        <v>8.987</v>
      </c>
      <c r="E4005">
        <v>22.52</v>
      </c>
      <c r="F4005">
        <v>27.25</v>
      </c>
      <c r="G4005">
        <v>18.58</v>
      </c>
      <c r="H4005">
        <v>9.62</v>
      </c>
      <c r="I4005">
        <v>16.796</v>
      </c>
      <c r="J4005">
        <v>24.17</v>
      </c>
      <c r="K4005">
        <v>29.06</v>
      </c>
      <c r="L4005">
        <v>20.91</v>
      </c>
      <c r="M4005">
        <v>16.29</v>
      </c>
      <c r="N4005">
        <v>50.992</v>
      </c>
      <c r="O4005">
        <v>24.03</v>
      </c>
      <c r="P4005">
        <v>29.11</v>
      </c>
      <c r="Q4005">
        <v>20.69</v>
      </c>
      <c r="R4005">
        <v>12.83</v>
      </c>
    </row>
    <row r="4006">
      <c r="A4006" s="9">
        <v>42537</v>
      </c>
      <c r="B4006" s="2" t="inlineStr">
        <is>
          <t xml:space="preserve">2016-06</t>
        </is>
      </c>
      <c r="C4006" s="2" t="inlineStr">
        <is>
          <t xml:space="preserve">2015/16</t>
        </is>
      </c>
      <c r="D4006">
        <v>12.166</v>
      </c>
      <c r="E4006">
        <v>22.68</v>
      </c>
      <c r="F4006">
        <v>27.96</v>
      </c>
      <c r="G4006">
        <v>18.37</v>
      </c>
      <c r="H4006">
        <v>18.51</v>
      </c>
      <c r="I4006">
        <v>11.845</v>
      </c>
      <c r="J4006">
        <v>24.42</v>
      </c>
      <c r="K4006">
        <v>28.85</v>
      </c>
      <c r="L4006">
        <v>20.72</v>
      </c>
      <c r="M4006">
        <v>8.89</v>
      </c>
      <c r="N4006">
        <v>2.687</v>
      </c>
      <c r="O4006">
        <v>24.13</v>
      </c>
      <c r="P4006">
        <v>28.94</v>
      </c>
      <c r="Q4006">
        <v>21.19</v>
      </c>
      <c r="R4006">
        <v>8.75</v>
      </c>
    </row>
    <row r="4007">
      <c r="A4007" s="9">
        <v>42538</v>
      </c>
      <c r="B4007" s="2" t="inlineStr">
        <is>
          <t xml:space="preserve">2016-06</t>
        </is>
      </c>
      <c r="C4007" s="2" t="inlineStr">
        <is>
          <t xml:space="preserve">2015/16</t>
        </is>
      </c>
      <c r="D4007">
        <v>30.547</v>
      </c>
      <c r="E4007">
        <v>22.12</v>
      </c>
      <c r="F4007">
        <v>25.6</v>
      </c>
      <c r="G4007">
        <v>19.85</v>
      </c>
      <c r="H4007">
        <v>25.57</v>
      </c>
      <c r="I4007">
        <v>18.262</v>
      </c>
      <c r="J4007">
        <v>22.98</v>
      </c>
      <c r="K4007">
        <v>26.4</v>
      </c>
      <c r="L4007">
        <v>20.75</v>
      </c>
      <c r="M4007">
        <v>22.11</v>
      </c>
      <c r="N4007">
        <v>44.773</v>
      </c>
      <c r="O4007">
        <v>23.04</v>
      </c>
      <c r="P4007">
        <v>25.36</v>
      </c>
      <c r="Q4007">
        <v>21.49</v>
      </c>
      <c r="R4007">
        <v>21.57</v>
      </c>
    </row>
    <row r="4008">
      <c r="A4008" s="9">
        <v>42539</v>
      </c>
      <c r="B4008" s="2" t="inlineStr">
        <is>
          <t xml:space="preserve">2016-06</t>
        </is>
      </c>
      <c r="C4008" s="2" t="inlineStr">
        <is>
          <t xml:space="preserve">2015/16</t>
        </is>
      </c>
      <c r="D4008">
        <v>27.407</v>
      </c>
      <c r="E4008">
        <v>22.04</v>
      </c>
      <c r="F4008">
        <v>26.24</v>
      </c>
      <c r="G4008">
        <v>18.8</v>
      </c>
      <c r="H4008">
        <v>15.29</v>
      </c>
      <c r="I4008">
        <v>11.027</v>
      </c>
      <c r="J4008">
        <v>23.49</v>
      </c>
      <c r="K4008">
        <v>27.9</v>
      </c>
      <c r="L4008">
        <v>20.16</v>
      </c>
      <c r="M4008">
        <v>4.98</v>
      </c>
      <c r="N4008">
        <v>4.804</v>
      </c>
      <c r="O4008">
        <v>23.44</v>
      </c>
      <c r="P4008">
        <v>27.03</v>
      </c>
      <c r="Q4008">
        <v>21.08</v>
      </c>
      <c r="R4008">
        <v>3.36</v>
      </c>
    </row>
    <row r="4009">
      <c r="A4009" s="9">
        <v>42540</v>
      </c>
      <c r="B4009" s="2" t="inlineStr">
        <is>
          <t xml:space="preserve">2016-06</t>
        </is>
      </c>
      <c r="C4009" s="2" t="inlineStr">
        <is>
          <t xml:space="preserve">2015/16</t>
        </is>
      </c>
      <c r="D4009">
        <v>0.0</v>
      </c>
      <c r="E4009">
        <v>22.54</v>
      </c>
      <c r="F4009">
        <v>26.59</v>
      </c>
      <c r="G4009">
        <v>19.12</v>
      </c>
      <c r="H4009">
        <v>0.93</v>
      </c>
      <c r="I4009">
        <v>4.183</v>
      </c>
      <c r="J4009">
        <v>22.86</v>
      </c>
      <c r="K4009">
        <v>26.21</v>
      </c>
      <c r="L4009">
        <v>19.85</v>
      </c>
      <c r="M4009">
        <v>3.07</v>
      </c>
      <c r="N4009">
        <v>0.56</v>
      </c>
      <c r="O4009">
        <v>22.74</v>
      </c>
      <c r="P4009">
        <v>25.59</v>
      </c>
      <c r="Q4009">
        <v>20.96</v>
      </c>
      <c r="R4009">
        <v>1.28</v>
      </c>
    </row>
    <row r="4010">
      <c r="A4010" s="9">
        <v>42541</v>
      </c>
      <c r="B4010" s="2" t="inlineStr">
        <is>
          <t xml:space="preserve">2016-06</t>
        </is>
      </c>
      <c r="C4010" s="2" t="inlineStr">
        <is>
          <t xml:space="preserve">2015/16</t>
        </is>
      </c>
      <c r="D4010">
        <v>1.426</v>
      </c>
      <c r="E4010">
        <v>22.86</v>
      </c>
      <c r="F4010">
        <v>28.0</v>
      </c>
      <c r="G4010">
        <v>19.2</v>
      </c>
      <c r="H4010">
        <v>0.6</v>
      </c>
      <c r="I4010">
        <v>2.63</v>
      </c>
      <c r="J4010">
        <v>23.07</v>
      </c>
      <c r="K4010">
        <v>26.67</v>
      </c>
      <c r="L4010">
        <v>20.69</v>
      </c>
      <c r="M4010">
        <v>1.68</v>
      </c>
      <c r="N4010">
        <v>0.292</v>
      </c>
      <c r="O4010">
        <v>23.03</v>
      </c>
      <c r="P4010">
        <v>26.56</v>
      </c>
      <c r="Q4010">
        <v>21.02</v>
      </c>
      <c r="R4010">
        <v>1.12</v>
      </c>
    </row>
    <row r="4011">
      <c r="A4011" s="9">
        <v>42542</v>
      </c>
      <c r="B4011" s="2" t="inlineStr">
        <is>
          <t xml:space="preserve">2016-06</t>
        </is>
      </c>
      <c r="C4011" s="2" t="inlineStr">
        <is>
          <t xml:space="preserve">2015/16</t>
        </is>
      </c>
      <c r="D4011">
        <v>0.383</v>
      </c>
      <c r="E4011">
        <v>21.58</v>
      </c>
      <c r="F4011">
        <v>26.25</v>
      </c>
      <c r="G4011">
        <v>17.42</v>
      </c>
      <c r="H4011">
        <v>5.09</v>
      </c>
      <c r="I4011">
        <v>0.022</v>
      </c>
      <c r="J4011">
        <v>22.81</v>
      </c>
      <c r="K4011">
        <v>27.39</v>
      </c>
      <c r="L4011">
        <v>19.84</v>
      </c>
      <c r="M4011">
        <v>0.75</v>
      </c>
      <c r="N4011">
        <v>0.0</v>
      </c>
      <c r="O4011">
        <v>22.82</v>
      </c>
      <c r="P4011">
        <v>26.96</v>
      </c>
      <c r="Q4011">
        <v>20.34</v>
      </c>
      <c r="R4011">
        <v>1.84</v>
      </c>
    </row>
    <row r="4012">
      <c r="A4012" s="9">
        <v>42543</v>
      </c>
      <c r="B4012" s="2" t="inlineStr">
        <is>
          <t xml:space="preserve">2016-06</t>
        </is>
      </c>
      <c r="C4012" s="2" t="inlineStr">
        <is>
          <t xml:space="preserve">2015/16</t>
        </is>
      </c>
      <c r="D4012">
        <v>2.131</v>
      </c>
      <c r="E4012">
        <v>21.56</v>
      </c>
      <c r="F4012">
        <v>26.48</v>
      </c>
      <c r="G4012">
        <v>17.95</v>
      </c>
      <c r="H4012">
        <v>5.81</v>
      </c>
      <c r="I4012">
        <v>1.767</v>
      </c>
      <c r="J4012">
        <v>21.56</v>
      </c>
      <c r="K4012">
        <v>26.0</v>
      </c>
      <c r="L4012">
        <v>18.49</v>
      </c>
      <c r="M4012">
        <v>4.9</v>
      </c>
      <c r="N4012">
        <v>4.126</v>
      </c>
      <c r="O4012">
        <v>21.9</v>
      </c>
      <c r="P4012">
        <v>26.01</v>
      </c>
      <c r="Q4012">
        <v>19.53</v>
      </c>
      <c r="R4012">
        <v>6.33</v>
      </c>
    </row>
    <row r="4013">
      <c r="A4013" s="9">
        <v>42544</v>
      </c>
      <c r="B4013" s="2" t="inlineStr">
        <is>
          <t xml:space="preserve">2016-06</t>
        </is>
      </c>
      <c r="C4013" s="2" t="inlineStr">
        <is>
          <t xml:space="preserve">2015/16</t>
        </is>
      </c>
      <c r="D4013">
        <v>1.836</v>
      </c>
      <c r="E4013">
        <v>22.14</v>
      </c>
      <c r="F4013">
        <v>26.93</v>
      </c>
      <c r="G4013">
        <v>18.17</v>
      </c>
      <c r="H4013">
        <v>6.58</v>
      </c>
      <c r="I4013">
        <v>2.896</v>
      </c>
      <c r="J4013">
        <v>23.06</v>
      </c>
      <c r="K4013">
        <v>28.49</v>
      </c>
      <c r="L4013">
        <v>17.71</v>
      </c>
      <c r="M4013">
        <v>2.88</v>
      </c>
      <c r="N4013">
        <v>9.471</v>
      </c>
      <c r="O4013">
        <v>23.33</v>
      </c>
      <c r="P4013">
        <v>29.41</v>
      </c>
      <c r="Q4013">
        <v>18.67</v>
      </c>
      <c r="R4013">
        <v>5.82</v>
      </c>
    </row>
    <row r="4014">
      <c r="A4014" s="9">
        <v>42545</v>
      </c>
      <c r="B4014" s="2" t="inlineStr">
        <is>
          <t xml:space="preserve">2016-06</t>
        </is>
      </c>
      <c r="C4014" s="2" t="inlineStr">
        <is>
          <t xml:space="preserve">2015/16</t>
        </is>
      </c>
      <c r="D4014">
        <v>0.0</v>
      </c>
      <c r="E4014">
        <v>22.59</v>
      </c>
      <c r="F4014">
        <v>28.43</v>
      </c>
      <c r="G4014">
        <v>18.02</v>
      </c>
      <c r="H4014">
        <v>0.7</v>
      </c>
      <c r="I4014">
        <v>0.0</v>
      </c>
      <c r="J4014">
        <v>24.09</v>
      </c>
      <c r="K4014">
        <v>28.96</v>
      </c>
      <c r="L4014">
        <v>20.49</v>
      </c>
      <c r="M4014">
        <v>8.19</v>
      </c>
      <c r="N4014">
        <v>0.0</v>
      </c>
      <c r="O4014">
        <v>23.61</v>
      </c>
      <c r="P4014">
        <v>28.35</v>
      </c>
      <c r="Q4014">
        <v>20.82</v>
      </c>
      <c r="R4014">
        <v>2.63</v>
      </c>
    </row>
    <row r="4015">
      <c r="A4015" s="9">
        <v>42546</v>
      </c>
      <c r="B4015" s="2" t="inlineStr">
        <is>
          <t xml:space="preserve">2016-06</t>
        </is>
      </c>
      <c r="C4015" s="2" t="inlineStr">
        <is>
          <t xml:space="preserve">2015/16</t>
        </is>
      </c>
      <c r="D4015">
        <v>2.482</v>
      </c>
      <c r="E4015">
        <v>21.86</v>
      </c>
      <c r="F4015">
        <v>26.2</v>
      </c>
      <c r="G4015">
        <v>18.38</v>
      </c>
      <c r="H4015">
        <v>2.7</v>
      </c>
      <c r="I4015">
        <v>32.604</v>
      </c>
      <c r="J4015">
        <v>22.62</v>
      </c>
      <c r="K4015">
        <v>26.42</v>
      </c>
      <c r="L4015">
        <v>19.23</v>
      </c>
      <c r="M4015">
        <v>15.1</v>
      </c>
      <c r="N4015">
        <v>9.846</v>
      </c>
      <c r="O4015">
        <v>22.79</v>
      </c>
      <c r="P4015">
        <v>26.52</v>
      </c>
      <c r="Q4015">
        <v>20.12</v>
      </c>
      <c r="R4015">
        <v>6.92</v>
      </c>
    </row>
    <row r="4016">
      <c r="A4016" s="9">
        <v>42547</v>
      </c>
      <c r="B4016" s="2" t="inlineStr">
        <is>
          <t xml:space="preserve">2016-06</t>
        </is>
      </c>
      <c r="C4016" s="2" t="inlineStr">
        <is>
          <t xml:space="preserve">2015/16</t>
        </is>
      </c>
      <c r="D4016">
        <v>1.138</v>
      </c>
      <c r="E4016">
        <v>21.37</v>
      </c>
      <c r="F4016">
        <v>25.4</v>
      </c>
      <c r="G4016">
        <v>18.19</v>
      </c>
      <c r="H4016">
        <v>3.12</v>
      </c>
      <c r="I4016">
        <v>6.633</v>
      </c>
      <c r="J4016">
        <v>23.15</v>
      </c>
      <c r="K4016">
        <v>27.3</v>
      </c>
      <c r="L4016">
        <v>20.11</v>
      </c>
      <c r="M4016">
        <v>13.98</v>
      </c>
      <c r="N4016">
        <v>4.446</v>
      </c>
      <c r="O4016">
        <v>23.48</v>
      </c>
      <c r="P4016">
        <v>27.93</v>
      </c>
      <c r="Q4016">
        <v>20.71</v>
      </c>
      <c r="R4016">
        <v>7.55</v>
      </c>
    </row>
    <row r="4017">
      <c r="A4017" s="9">
        <v>42548</v>
      </c>
      <c r="B4017" s="2" t="inlineStr">
        <is>
          <t xml:space="preserve">2016-06</t>
        </is>
      </c>
      <c r="C4017" s="2" t="inlineStr">
        <is>
          <t xml:space="preserve">2015/16</t>
        </is>
      </c>
      <c r="D4017">
        <v>1.667</v>
      </c>
      <c r="E4017">
        <v>21.33</v>
      </c>
      <c r="F4017">
        <v>26.06</v>
      </c>
      <c r="G4017">
        <v>17.97</v>
      </c>
      <c r="H4017">
        <v>2.76</v>
      </c>
      <c r="I4017">
        <v>22.568</v>
      </c>
      <c r="J4017">
        <v>22.57</v>
      </c>
      <c r="K4017">
        <v>26.85</v>
      </c>
      <c r="L4017">
        <v>20.01</v>
      </c>
      <c r="M4017">
        <v>11.3</v>
      </c>
      <c r="N4017">
        <v>22.765</v>
      </c>
      <c r="O4017">
        <v>22.68</v>
      </c>
      <c r="P4017">
        <v>26.38</v>
      </c>
      <c r="Q4017">
        <v>20.63</v>
      </c>
      <c r="R4017">
        <v>6.55</v>
      </c>
    </row>
    <row r="4018">
      <c r="A4018" s="9">
        <v>42549</v>
      </c>
      <c r="B4018" s="2" t="inlineStr">
        <is>
          <t xml:space="preserve">2016-06</t>
        </is>
      </c>
      <c r="C4018" s="2" t="inlineStr">
        <is>
          <t xml:space="preserve">2015/16</t>
        </is>
      </c>
      <c r="D4018">
        <v>2.155</v>
      </c>
      <c r="E4018">
        <v>21.16</v>
      </c>
      <c r="F4018">
        <v>26.23</v>
      </c>
      <c r="G4018">
        <v>16.74</v>
      </c>
      <c r="H4018">
        <v>2.37</v>
      </c>
      <c r="I4018">
        <v>2.674</v>
      </c>
      <c r="J4018">
        <v>22.41</v>
      </c>
      <c r="K4018">
        <v>26.98</v>
      </c>
      <c r="L4018">
        <v>18.81</v>
      </c>
      <c r="M4018">
        <v>4.12</v>
      </c>
      <c r="N4018">
        <v>8.359</v>
      </c>
      <c r="O4018">
        <v>22.73</v>
      </c>
      <c r="P4018">
        <v>27.32</v>
      </c>
      <c r="Q4018">
        <v>19.46</v>
      </c>
      <c r="R4018">
        <v>6.4</v>
      </c>
    </row>
    <row r="4019">
      <c r="A4019" s="9">
        <v>42550</v>
      </c>
      <c r="B4019" s="2" t="inlineStr">
        <is>
          <t xml:space="preserve">2016-06</t>
        </is>
      </c>
      <c r="C4019" s="2" t="inlineStr">
        <is>
          <t xml:space="preserve">2015/16</t>
        </is>
      </c>
      <c r="D4019">
        <v>0.0</v>
      </c>
      <c r="E4019">
        <v>21.84</v>
      </c>
      <c r="F4019">
        <v>27.15</v>
      </c>
      <c r="G4019">
        <v>17.64</v>
      </c>
      <c r="H4019">
        <v>1.08</v>
      </c>
      <c r="I4019">
        <v>0.0</v>
      </c>
      <c r="J4019">
        <v>22.71</v>
      </c>
      <c r="K4019">
        <v>27.24</v>
      </c>
      <c r="L4019">
        <v>19.13</v>
      </c>
      <c r="M4019">
        <v>1.12</v>
      </c>
      <c r="N4019">
        <v>0.958</v>
      </c>
      <c r="O4019">
        <v>22.9</v>
      </c>
      <c r="P4019">
        <v>27.3</v>
      </c>
      <c r="Q4019">
        <v>19.96</v>
      </c>
      <c r="R4019">
        <v>4.26</v>
      </c>
    </row>
    <row r="4020">
      <c r="A4020" s="9">
        <v>42551</v>
      </c>
      <c r="B4020" s="2" t="inlineStr">
        <is>
          <t xml:space="preserve">2016-06</t>
        </is>
      </c>
      <c r="C4020" s="2" t="inlineStr">
        <is>
          <t xml:space="preserve">2015/16</t>
        </is>
      </c>
      <c r="D4020">
        <v>0.152</v>
      </c>
      <c r="E4020">
        <v>22.67</v>
      </c>
      <c r="F4020">
        <v>28.1</v>
      </c>
      <c r="G4020">
        <v>18.32</v>
      </c>
      <c r="H4020">
        <v>1.41</v>
      </c>
      <c r="I4020">
        <v>0.0</v>
      </c>
      <c r="J4020">
        <v>23.49</v>
      </c>
      <c r="K4020">
        <v>28.07</v>
      </c>
      <c r="L4020">
        <v>19.62</v>
      </c>
      <c r="M4020">
        <v>0.03</v>
      </c>
      <c r="N4020">
        <v>0.0</v>
      </c>
      <c r="O4020">
        <v>23.71</v>
      </c>
      <c r="P4020">
        <v>28.38</v>
      </c>
      <c r="Q4020">
        <v>20.55</v>
      </c>
      <c r="R4020">
        <v>0.33</v>
      </c>
    </row>
    <row r="4021">
      <c r="A4021" s="9">
        <v>42552</v>
      </c>
      <c r="B4021" s="2" t="inlineStr">
        <is>
          <t xml:space="preserve">2016-07</t>
        </is>
      </c>
      <c r="C4021" s="2" t="inlineStr">
        <is>
          <t xml:space="preserve">2016/17</t>
        </is>
      </c>
      <c r="D4021">
        <v>1.018</v>
      </c>
      <c r="E4021">
        <v>22.79</v>
      </c>
      <c r="F4021">
        <v>27.58</v>
      </c>
      <c r="G4021">
        <v>19.16</v>
      </c>
      <c r="H4021">
        <v>3.94</v>
      </c>
      <c r="I4021">
        <v>0.0</v>
      </c>
      <c r="J4021">
        <v>23.66</v>
      </c>
      <c r="K4021">
        <v>28.12</v>
      </c>
      <c r="L4021">
        <v>19.95</v>
      </c>
      <c r="M4021">
        <v>3.99</v>
      </c>
      <c r="N4021">
        <v>0.0</v>
      </c>
      <c r="O4021">
        <v>23.82</v>
      </c>
      <c r="P4021">
        <v>28.01</v>
      </c>
      <c r="Q4021">
        <v>21.14</v>
      </c>
      <c r="R4021">
        <v>2.01</v>
      </c>
    </row>
    <row r="4022">
      <c r="A4022" s="9">
        <v>42553</v>
      </c>
      <c r="B4022" s="2" t="inlineStr">
        <is>
          <t xml:space="preserve">2016-07</t>
        </is>
      </c>
      <c r="C4022" s="2" t="inlineStr">
        <is>
          <t xml:space="preserve">2016/17</t>
        </is>
      </c>
      <c r="D4022">
        <v>9.883</v>
      </c>
      <c r="E4022">
        <v>22.27</v>
      </c>
      <c r="F4022">
        <v>27.49</v>
      </c>
      <c r="G4022">
        <v>18.47</v>
      </c>
      <c r="H4022">
        <v>2.28</v>
      </c>
      <c r="I4022">
        <v>13.867</v>
      </c>
      <c r="J4022">
        <v>23.57</v>
      </c>
      <c r="K4022">
        <v>28.33</v>
      </c>
      <c r="L4022">
        <v>20.02</v>
      </c>
      <c r="M4022">
        <v>4.17</v>
      </c>
      <c r="N4022">
        <v>2.31</v>
      </c>
      <c r="O4022">
        <v>23.55</v>
      </c>
      <c r="P4022">
        <v>27.55</v>
      </c>
      <c r="Q4022">
        <v>20.97</v>
      </c>
      <c r="R4022">
        <v>2.09</v>
      </c>
    </row>
    <row r="4023">
      <c r="A4023" s="9">
        <v>42554</v>
      </c>
      <c r="B4023" s="2" t="inlineStr">
        <is>
          <t xml:space="preserve">2016-07</t>
        </is>
      </c>
      <c r="C4023" s="2" t="inlineStr">
        <is>
          <t xml:space="preserve">2016/17</t>
        </is>
      </c>
      <c r="D4023">
        <v>3.157</v>
      </c>
      <c r="E4023">
        <v>22.37</v>
      </c>
      <c r="F4023">
        <v>27.42</v>
      </c>
      <c r="G4023">
        <v>18.21</v>
      </c>
      <c r="H4023">
        <v>1.68</v>
      </c>
      <c r="I4023">
        <v>0.544</v>
      </c>
      <c r="J4023">
        <v>23.51</v>
      </c>
      <c r="K4023">
        <v>28.22</v>
      </c>
      <c r="L4023">
        <v>19.25</v>
      </c>
      <c r="M4023">
        <v>0.78</v>
      </c>
      <c r="N4023">
        <v>1.121</v>
      </c>
      <c r="O4023">
        <v>23.5</v>
      </c>
      <c r="P4023">
        <v>28.18</v>
      </c>
      <c r="Q4023">
        <v>20.18</v>
      </c>
      <c r="R4023">
        <v>1.21</v>
      </c>
    </row>
    <row r="4024">
      <c r="A4024" s="9">
        <v>42555</v>
      </c>
      <c r="B4024" s="2" t="inlineStr">
        <is>
          <t xml:space="preserve">2016-07</t>
        </is>
      </c>
      <c r="C4024" s="2" t="inlineStr">
        <is>
          <t xml:space="preserve">2016/17</t>
        </is>
      </c>
      <c r="D4024">
        <v>0.055</v>
      </c>
      <c r="E4024">
        <v>22.45</v>
      </c>
      <c r="F4024">
        <v>28.26</v>
      </c>
      <c r="G4024">
        <v>18.21</v>
      </c>
      <c r="H4024">
        <v>0.06</v>
      </c>
      <c r="I4024">
        <v>0.034</v>
      </c>
      <c r="J4024">
        <v>24.1</v>
      </c>
      <c r="K4024">
        <v>29.28</v>
      </c>
      <c r="L4024">
        <v>19.87</v>
      </c>
      <c r="M4024">
        <v>0.16</v>
      </c>
      <c r="N4024">
        <v>0.367</v>
      </c>
      <c r="O4024">
        <v>24.27</v>
      </c>
      <c r="P4024">
        <v>29.59</v>
      </c>
      <c r="Q4024">
        <v>20.46</v>
      </c>
      <c r="R4024">
        <v>0.15</v>
      </c>
    </row>
    <row r="4025">
      <c r="A4025" s="9">
        <v>42556</v>
      </c>
      <c r="B4025" s="2" t="inlineStr">
        <is>
          <t xml:space="preserve">2016-07</t>
        </is>
      </c>
      <c r="C4025" s="2" t="inlineStr">
        <is>
          <t xml:space="preserve">2016/17</t>
        </is>
      </c>
      <c r="D4025">
        <v>0.137</v>
      </c>
      <c r="E4025">
        <v>22.67</v>
      </c>
      <c r="F4025">
        <v>29.14</v>
      </c>
      <c r="G4025">
        <v>17.21</v>
      </c>
      <c r="H4025">
        <v>0.96</v>
      </c>
      <c r="I4025">
        <v>0.0</v>
      </c>
      <c r="J4025">
        <v>23.98</v>
      </c>
      <c r="K4025">
        <v>29.34</v>
      </c>
      <c r="L4025">
        <v>19.73</v>
      </c>
      <c r="M4025">
        <v>0.83</v>
      </c>
      <c r="N4025">
        <v>0.0</v>
      </c>
      <c r="O4025">
        <v>24.24</v>
      </c>
      <c r="P4025">
        <v>29.53</v>
      </c>
      <c r="Q4025">
        <v>20.67</v>
      </c>
      <c r="R4025">
        <v>2.26</v>
      </c>
    </row>
    <row r="4026">
      <c r="A4026" s="9">
        <v>42557</v>
      </c>
      <c r="B4026" s="2" t="inlineStr">
        <is>
          <t xml:space="preserve">2016-07</t>
        </is>
      </c>
      <c r="C4026" s="2" t="inlineStr">
        <is>
          <t xml:space="preserve">2016/17</t>
        </is>
      </c>
      <c r="D4026">
        <v>0.055</v>
      </c>
      <c r="E4026">
        <v>23.1</v>
      </c>
      <c r="F4026">
        <v>28.78</v>
      </c>
      <c r="G4026">
        <v>18.6</v>
      </c>
      <c r="H4026">
        <v>1.08</v>
      </c>
      <c r="I4026">
        <v>0.0</v>
      </c>
      <c r="J4026">
        <v>23.71</v>
      </c>
      <c r="K4026">
        <v>28.76</v>
      </c>
      <c r="L4026">
        <v>19.7</v>
      </c>
      <c r="M4026">
        <v>2.06</v>
      </c>
      <c r="N4026">
        <v>0.772</v>
      </c>
      <c r="O4026">
        <v>23.91</v>
      </c>
      <c r="P4026">
        <v>29.22</v>
      </c>
      <c r="Q4026">
        <v>20.7</v>
      </c>
      <c r="R4026">
        <v>4.18</v>
      </c>
    </row>
    <row r="4027">
      <c r="A4027" s="9">
        <v>42558</v>
      </c>
      <c r="B4027" s="2" t="inlineStr">
        <is>
          <t xml:space="preserve">2016-07</t>
        </is>
      </c>
      <c r="C4027" s="2" t="inlineStr">
        <is>
          <t xml:space="preserve">2016/17</t>
        </is>
      </c>
      <c r="D4027">
        <v>0.58</v>
      </c>
      <c r="E4027">
        <v>22.37</v>
      </c>
      <c r="F4027">
        <v>26.29</v>
      </c>
      <c r="G4027">
        <v>18.89</v>
      </c>
      <c r="H4027">
        <v>2.29</v>
      </c>
      <c r="I4027">
        <v>1.117</v>
      </c>
      <c r="J4027">
        <v>23.5</v>
      </c>
      <c r="K4027">
        <v>27.22</v>
      </c>
      <c r="L4027">
        <v>20.39</v>
      </c>
      <c r="M4027">
        <v>4.95</v>
      </c>
      <c r="N4027">
        <v>3.974</v>
      </c>
      <c r="O4027">
        <v>23.6</v>
      </c>
      <c r="P4027">
        <v>27.37</v>
      </c>
      <c r="Q4027">
        <v>21.16</v>
      </c>
      <c r="R4027">
        <v>9.15</v>
      </c>
    </row>
    <row r="4028">
      <c r="A4028" s="9">
        <v>42559</v>
      </c>
      <c r="B4028" s="2" t="inlineStr">
        <is>
          <t xml:space="preserve">2016-07</t>
        </is>
      </c>
      <c r="C4028" s="2" t="inlineStr">
        <is>
          <t xml:space="preserve">2016/17</t>
        </is>
      </c>
      <c r="D4028">
        <v>1.147</v>
      </c>
      <c r="E4028">
        <v>22.97</v>
      </c>
      <c r="F4028">
        <v>28.32</v>
      </c>
      <c r="G4028">
        <v>18.86</v>
      </c>
      <c r="H4028">
        <v>2.0</v>
      </c>
      <c r="I4028">
        <v>1.527</v>
      </c>
      <c r="J4028">
        <v>24.27</v>
      </c>
      <c r="K4028">
        <v>29.81</v>
      </c>
      <c r="L4028">
        <v>20.32</v>
      </c>
      <c r="M4028">
        <v>13.4</v>
      </c>
      <c r="N4028">
        <v>6.571</v>
      </c>
      <c r="O4028">
        <v>23.98</v>
      </c>
      <c r="P4028">
        <v>29.05</v>
      </c>
      <c r="Q4028">
        <v>20.83</v>
      </c>
      <c r="R4028">
        <v>10.17</v>
      </c>
    </row>
    <row r="4029">
      <c r="A4029" s="9">
        <v>42560</v>
      </c>
      <c r="B4029" s="2" t="inlineStr">
        <is>
          <t xml:space="preserve">2016-07</t>
        </is>
      </c>
      <c r="C4029" s="2" t="inlineStr">
        <is>
          <t xml:space="preserve">2016/17</t>
        </is>
      </c>
      <c r="D4029">
        <v>0.874</v>
      </c>
      <c r="E4029">
        <v>22.48</v>
      </c>
      <c r="F4029">
        <v>27.77</v>
      </c>
      <c r="G4029">
        <v>19.13</v>
      </c>
      <c r="H4029">
        <v>2.11</v>
      </c>
      <c r="I4029">
        <v>27.101</v>
      </c>
      <c r="J4029">
        <v>23.02</v>
      </c>
      <c r="K4029">
        <v>26.59</v>
      </c>
      <c r="L4029">
        <v>20.38</v>
      </c>
      <c r="M4029">
        <v>12.15</v>
      </c>
      <c r="N4029">
        <v>19.687</v>
      </c>
      <c r="O4029">
        <v>23.27</v>
      </c>
      <c r="P4029">
        <v>27.65</v>
      </c>
      <c r="Q4029">
        <v>20.99</v>
      </c>
      <c r="R4029">
        <v>8.4</v>
      </c>
    </row>
    <row r="4030">
      <c r="A4030" s="9">
        <v>42561</v>
      </c>
      <c r="B4030" s="2" t="inlineStr">
        <is>
          <t xml:space="preserve">2016-07</t>
        </is>
      </c>
      <c r="C4030" s="2" t="inlineStr">
        <is>
          <t xml:space="preserve">2016/17</t>
        </is>
      </c>
      <c r="D4030">
        <v>0.0</v>
      </c>
      <c r="E4030">
        <v>23.54</v>
      </c>
      <c r="F4030">
        <v>30.12</v>
      </c>
      <c r="G4030">
        <v>18.19</v>
      </c>
      <c r="H4030">
        <v>0.08</v>
      </c>
      <c r="I4030">
        <v>0.0</v>
      </c>
      <c r="J4030">
        <v>23.91</v>
      </c>
      <c r="K4030">
        <v>29.16</v>
      </c>
      <c r="L4030">
        <v>19.74</v>
      </c>
      <c r="M4030">
        <v>0.04</v>
      </c>
      <c r="N4030">
        <v>0.093</v>
      </c>
      <c r="O4030">
        <v>23.84</v>
      </c>
      <c r="P4030">
        <v>28.76</v>
      </c>
      <c r="Q4030">
        <v>20.74</v>
      </c>
      <c r="R4030">
        <v>0.2</v>
      </c>
    </row>
    <row r="4031">
      <c r="A4031" s="9">
        <v>42562</v>
      </c>
      <c r="B4031" s="2" t="inlineStr">
        <is>
          <t xml:space="preserve">2016-07</t>
        </is>
      </c>
      <c r="C4031" s="2" t="inlineStr">
        <is>
          <t xml:space="preserve">2016/17</t>
        </is>
      </c>
      <c r="D4031">
        <v>0.0</v>
      </c>
      <c r="E4031">
        <v>23.57</v>
      </c>
      <c r="F4031">
        <v>30.06</v>
      </c>
      <c r="G4031">
        <v>17.93</v>
      </c>
      <c r="H4031">
        <v>1.48</v>
      </c>
      <c r="I4031">
        <v>0.0</v>
      </c>
      <c r="J4031">
        <v>24.07</v>
      </c>
      <c r="K4031">
        <v>29.22</v>
      </c>
      <c r="L4031">
        <v>19.88</v>
      </c>
      <c r="M4031">
        <v>3.31</v>
      </c>
      <c r="N4031">
        <v>0.0</v>
      </c>
      <c r="O4031">
        <v>23.98</v>
      </c>
      <c r="P4031">
        <v>28.99</v>
      </c>
      <c r="Q4031">
        <v>20.65</v>
      </c>
      <c r="R4031">
        <v>1.19</v>
      </c>
    </row>
    <row r="4032">
      <c r="A4032" s="9">
        <v>42563</v>
      </c>
      <c r="B4032" s="2" t="inlineStr">
        <is>
          <t xml:space="preserve">2016-07</t>
        </is>
      </c>
      <c r="C4032" s="2" t="inlineStr">
        <is>
          <t xml:space="preserve">2016/17</t>
        </is>
      </c>
      <c r="D4032">
        <v>5.36</v>
      </c>
      <c r="E4032">
        <v>21.9</v>
      </c>
      <c r="F4032">
        <v>26.3</v>
      </c>
      <c r="G4032">
        <v>18.23</v>
      </c>
      <c r="H4032">
        <v>3.01</v>
      </c>
      <c r="I4032">
        <v>5.27</v>
      </c>
      <c r="J4032">
        <v>23.08</v>
      </c>
      <c r="K4032">
        <v>26.83</v>
      </c>
      <c r="L4032">
        <v>20.02</v>
      </c>
      <c r="M4032">
        <v>8.81</v>
      </c>
      <c r="N4032">
        <v>2.456</v>
      </c>
      <c r="O4032">
        <v>23.02</v>
      </c>
      <c r="P4032">
        <v>26.6</v>
      </c>
      <c r="Q4032">
        <v>20.56</v>
      </c>
      <c r="R4032">
        <v>3.51</v>
      </c>
    </row>
    <row r="4033">
      <c r="A4033" s="9">
        <v>42564</v>
      </c>
      <c r="B4033" s="2" t="inlineStr">
        <is>
          <t xml:space="preserve">2016-07</t>
        </is>
      </c>
      <c r="C4033" s="2" t="inlineStr">
        <is>
          <t xml:space="preserve">2016/17</t>
        </is>
      </c>
      <c r="D4033">
        <v>1.303</v>
      </c>
      <c r="E4033">
        <v>22.66</v>
      </c>
      <c r="F4033">
        <v>28.74</v>
      </c>
      <c r="G4033">
        <v>18.93</v>
      </c>
      <c r="H4033">
        <v>1.76</v>
      </c>
      <c r="I4033">
        <v>20.844</v>
      </c>
      <c r="J4033">
        <v>22.68</v>
      </c>
      <c r="K4033">
        <v>26.29</v>
      </c>
      <c r="L4033">
        <v>19.1</v>
      </c>
      <c r="M4033">
        <v>8.06</v>
      </c>
      <c r="N4033">
        <v>7.074</v>
      </c>
      <c r="O4033">
        <v>22.75</v>
      </c>
      <c r="P4033">
        <v>26.62</v>
      </c>
      <c r="Q4033">
        <v>20.11</v>
      </c>
      <c r="R4033">
        <v>3.16</v>
      </c>
    </row>
    <row r="4034">
      <c r="A4034" s="9">
        <v>42565</v>
      </c>
      <c r="B4034" s="2" t="inlineStr">
        <is>
          <t xml:space="preserve">2016-07</t>
        </is>
      </c>
      <c r="C4034" s="2" t="inlineStr">
        <is>
          <t xml:space="preserve">2016/17</t>
        </is>
      </c>
      <c r="D4034">
        <v>0.0</v>
      </c>
      <c r="E4034">
        <v>22.44</v>
      </c>
      <c r="F4034">
        <v>27.73</v>
      </c>
      <c r="G4034">
        <v>17.98</v>
      </c>
      <c r="H4034">
        <v>0.63</v>
      </c>
      <c r="I4034">
        <v>0.0</v>
      </c>
      <c r="J4034">
        <v>22.85</v>
      </c>
      <c r="K4034">
        <v>27.46</v>
      </c>
      <c r="L4034">
        <v>18.91</v>
      </c>
      <c r="M4034">
        <v>2.02</v>
      </c>
      <c r="N4034">
        <v>0.377</v>
      </c>
      <c r="O4034">
        <v>22.77</v>
      </c>
      <c r="P4034">
        <v>26.42</v>
      </c>
      <c r="Q4034">
        <v>20.08</v>
      </c>
      <c r="R4034">
        <v>2.08</v>
      </c>
    </row>
    <row r="4035">
      <c r="A4035" s="9">
        <v>42566</v>
      </c>
      <c r="B4035" s="2" t="inlineStr">
        <is>
          <t xml:space="preserve">2016-07</t>
        </is>
      </c>
      <c r="C4035" s="2" t="inlineStr">
        <is>
          <t xml:space="preserve">2016/17</t>
        </is>
      </c>
      <c r="D4035">
        <v>0.71</v>
      </c>
      <c r="E4035">
        <v>23.37</v>
      </c>
      <c r="F4035">
        <v>30.07</v>
      </c>
      <c r="G4035">
        <v>18.47</v>
      </c>
      <c r="H4035">
        <v>0.26</v>
      </c>
      <c r="I4035">
        <v>2.855</v>
      </c>
      <c r="J4035">
        <v>22.85</v>
      </c>
      <c r="K4035">
        <v>26.81</v>
      </c>
      <c r="L4035">
        <v>19.78</v>
      </c>
      <c r="M4035">
        <v>1.5</v>
      </c>
      <c r="N4035">
        <v>0.835</v>
      </c>
      <c r="O4035">
        <v>22.91</v>
      </c>
      <c r="P4035">
        <v>27.15</v>
      </c>
      <c r="Q4035">
        <v>20.32</v>
      </c>
      <c r="R4035">
        <v>0.83</v>
      </c>
    </row>
    <row r="4036">
      <c r="A4036" s="9">
        <v>42567</v>
      </c>
      <c r="B4036" s="2" t="inlineStr">
        <is>
          <t xml:space="preserve">2016-07</t>
        </is>
      </c>
      <c r="C4036" s="2" t="inlineStr">
        <is>
          <t xml:space="preserve">2016/17</t>
        </is>
      </c>
      <c r="D4036">
        <v>0.0</v>
      </c>
      <c r="E4036">
        <v>23.12</v>
      </c>
      <c r="F4036">
        <v>29.08</v>
      </c>
      <c r="G4036">
        <v>18.22</v>
      </c>
      <c r="H4036">
        <v>0.63</v>
      </c>
      <c r="I4036">
        <v>0.0</v>
      </c>
      <c r="J4036">
        <v>22.84</v>
      </c>
      <c r="K4036">
        <v>26.91</v>
      </c>
      <c r="L4036">
        <v>19.73</v>
      </c>
      <c r="M4036">
        <v>0.45</v>
      </c>
      <c r="N4036">
        <v>0.0</v>
      </c>
      <c r="O4036">
        <v>23.34</v>
      </c>
      <c r="P4036">
        <v>28.58</v>
      </c>
      <c r="Q4036">
        <v>19.95</v>
      </c>
      <c r="R4036">
        <v>0.55</v>
      </c>
    </row>
    <row r="4037">
      <c r="A4037" s="9">
        <v>42568</v>
      </c>
      <c r="B4037" s="2" t="inlineStr">
        <is>
          <t xml:space="preserve">2016-07</t>
        </is>
      </c>
      <c r="C4037" s="2" t="inlineStr">
        <is>
          <t xml:space="preserve">2016/17</t>
        </is>
      </c>
      <c r="D4037">
        <v>4.05</v>
      </c>
      <c r="E4037">
        <v>23.18</v>
      </c>
      <c r="F4037">
        <v>29.85</v>
      </c>
      <c r="G4037">
        <v>17.8</v>
      </c>
      <c r="H4037">
        <v>1.81</v>
      </c>
      <c r="I4037">
        <v>0.327</v>
      </c>
      <c r="J4037">
        <v>23.53</v>
      </c>
      <c r="K4037">
        <v>28.09</v>
      </c>
      <c r="L4037">
        <v>19.23</v>
      </c>
      <c r="M4037">
        <v>1.27</v>
      </c>
      <c r="N4037">
        <v>0.778</v>
      </c>
      <c r="O4037">
        <v>23.39</v>
      </c>
      <c r="P4037">
        <v>28.64</v>
      </c>
      <c r="Q4037">
        <v>19.54</v>
      </c>
      <c r="R4037">
        <v>2.01</v>
      </c>
    </row>
    <row r="4038">
      <c r="A4038" s="9">
        <v>42569</v>
      </c>
      <c r="B4038" s="2" t="inlineStr">
        <is>
          <t xml:space="preserve">2016-07</t>
        </is>
      </c>
      <c r="C4038" s="2" t="inlineStr">
        <is>
          <t xml:space="preserve">2016/17</t>
        </is>
      </c>
      <c r="D4038">
        <v>4.594</v>
      </c>
      <c r="E4038">
        <v>22.06</v>
      </c>
      <c r="F4038">
        <v>28.2</v>
      </c>
      <c r="G4038">
        <v>17.6</v>
      </c>
      <c r="H4038">
        <v>4.41</v>
      </c>
      <c r="I4038">
        <v>1.367</v>
      </c>
      <c r="J4038">
        <v>22.49</v>
      </c>
      <c r="K4038">
        <v>27.02</v>
      </c>
      <c r="L4038">
        <v>19.32</v>
      </c>
      <c r="M4038">
        <v>3.69</v>
      </c>
      <c r="N4038">
        <v>4.528</v>
      </c>
      <c r="O4038">
        <v>22.75</v>
      </c>
      <c r="P4038">
        <v>27.19</v>
      </c>
      <c r="Q4038">
        <v>20.16</v>
      </c>
      <c r="R4038">
        <v>7.12</v>
      </c>
    </row>
    <row r="4039">
      <c r="A4039" s="9">
        <v>42570</v>
      </c>
      <c r="B4039" s="2" t="inlineStr">
        <is>
          <t xml:space="preserve">2016-07</t>
        </is>
      </c>
      <c r="C4039" s="2" t="inlineStr">
        <is>
          <t xml:space="preserve">2016/17</t>
        </is>
      </c>
      <c r="D4039">
        <v>5.258</v>
      </c>
      <c r="E4039">
        <v>21.42</v>
      </c>
      <c r="F4039">
        <v>25.99</v>
      </c>
      <c r="G4039">
        <v>18.22</v>
      </c>
      <c r="H4039">
        <v>12.22</v>
      </c>
      <c r="I4039">
        <v>2.434</v>
      </c>
      <c r="J4039">
        <v>21.9</v>
      </c>
      <c r="K4039">
        <v>26.12</v>
      </c>
      <c r="L4039">
        <v>19.29</v>
      </c>
      <c r="M4039">
        <v>13.21</v>
      </c>
      <c r="N4039">
        <v>5.166</v>
      </c>
      <c r="O4039">
        <v>21.92</v>
      </c>
      <c r="P4039">
        <v>25.65</v>
      </c>
      <c r="Q4039">
        <v>19.42</v>
      </c>
      <c r="R4039">
        <v>11.76</v>
      </c>
    </row>
    <row r="4040">
      <c r="A4040" s="9">
        <v>42571</v>
      </c>
      <c r="B4040" s="2" t="inlineStr">
        <is>
          <t xml:space="preserve">2016-07</t>
        </is>
      </c>
      <c r="C4040" s="2" t="inlineStr">
        <is>
          <t xml:space="preserve">2016/17</t>
        </is>
      </c>
      <c r="D4040">
        <v>21.21</v>
      </c>
      <c r="E4040">
        <v>22.07</v>
      </c>
      <c r="F4040">
        <v>28.19</v>
      </c>
      <c r="G4040">
        <v>16.96</v>
      </c>
      <c r="H4040">
        <v>5.67</v>
      </c>
      <c r="I4040">
        <v>21.008</v>
      </c>
      <c r="J4040">
        <v>22.53</v>
      </c>
      <c r="K4040">
        <v>27.09</v>
      </c>
      <c r="L4040">
        <v>18.03</v>
      </c>
      <c r="M4040">
        <v>7.11</v>
      </c>
      <c r="N4040">
        <v>16.583</v>
      </c>
      <c r="O4040">
        <v>22.97</v>
      </c>
      <c r="P4040">
        <v>28.5</v>
      </c>
      <c r="Q4040">
        <v>18.71</v>
      </c>
      <c r="R4040">
        <v>4.79</v>
      </c>
    </row>
    <row r="4041">
      <c r="A4041" s="9">
        <v>42572</v>
      </c>
      <c r="B4041" s="2" t="inlineStr">
        <is>
          <t xml:space="preserve">2016-07</t>
        </is>
      </c>
      <c r="C4041" s="2" t="inlineStr">
        <is>
          <t xml:space="preserve">2016/17</t>
        </is>
      </c>
      <c r="D4041">
        <v>0.0</v>
      </c>
      <c r="E4041">
        <v>23.19</v>
      </c>
      <c r="F4041">
        <v>28.93</v>
      </c>
      <c r="G4041">
        <v>18.76</v>
      </c>
      <c r="H4041">
        <v>0.45</v>
      </c>
      <c r="I4041">
        <v>0.0</v>
      </c>
      <c r="J4041">
        <v>22.51</v>
      </c>
      <c r="K4041">
        <v>26.55</v>
      </c>
      <c r="L4041">
        <v>19.49</v>
      </c>
      <c r="M4041">
        <v>0.49</v>
      </c>
      <c r="N4041">
        <v>0.0</v>
      </c>
      <c r="O4041">
        <v>23.1</v>
      </c>
      <c r="P4041">
        <v>27.34</v>
      </c>
      <c r="Q4041">
        <v>20.72</v>
      </c>
      <c r="R4041">
        <v>0.24</v>
      </c>
    </row>
    <row r="4042">
      <c r="A4042" s="9">
        <v>42573</v>
      </c>
      <c r="B4042" s="2" t="inlineStr">
        <is>
          <t xml:space="preserve">2016-07</t>
        </is>
      </c>
      <c r="C4042" s="2" t="inlineStr">
        <is>
          <t xml:space="preserve">2016/17</t>
        </is>
      </c>
      <c r="D4042">
        <v>1.879</v>
      </c>
      <c r="E4042">
        <v>23.89</v>
      </c>
      <c r="F4042">
        <v>31.11</v>
      </c>
      <c r="G4042">
        <v>18.12</v>
      </c>
      <c r="H4042">
        <v>2.01</v>
      </c>
      <c r="I4042">
        <v>1.076</v>
      </c>
      <c r="J4042">
        <v>22.97</v>
      </c>
      <c r="K4042">
        <v>27.6</v>
      </c>
      <c r="L4042">
        <v>19.11</v>
      </c>
      <c r="M4042">
        <v>8.6</v>
      </c>
      <c r="N4042">
        <v>0.415</v>
      </c>
      <c r="O4042">
        <v>23.41</v>
      </c>
      <c r="P4042">
        <v>28.41</v>
      </c>
      <c r="Q4042">
        <v>19.73</v>
      </c>
      <c r="R4042">
        <v>6.39</v>
      </c>
    </row>
    <row r="4043">
      <c r="A4043" s="9">
        <v>42574</v>
      </c>
      <c r="B4043" s="2" t="inlineStr">
        <is>
          <t xml:space="preserve">2016-07</t>
        </is>
      </c>
      <c r="C4043" s="2" t="inlineStr">
        <is>
          <t xml:space="preserve">2016/17</t>
        </is>
      </c>
      <c r="D4043">
        <v>0.294</v>
      </c>
      <c r="E4043">
        <v>22.61</v>
      </c>
      <c r="F4043">
        <v>27.77</v>
      </c>
      <c r="G4043">
        <v>19.19</v>
      </c>
      <c r="H4043">
        <v>3.85</v>
      </c>
      <c r="I4043">
        <v>18.884</v>
      </c>
      <c r="J4043">
        <v>23.01</v>
      </c>
      <c r="K4043">
        <v>27.41</v>
      </c>
      <c r="L4043">
        <v>19.17</v>
      </c>
      <c r="M4043">
        <v>10.88</v>
      </c>
      <c r="N4043">
        <v>19.331</v>
      </c>
      <c r="O4043">
        <v>23.51</v>
      </c>
      <c r="P4043">
        <v>28.51</v>
      </c>
      <c r="Q4043">
        <v>20.38</v>
      </c>
      <c r="R4043">
        <v>7.66</v>
      </c>
    </row>
    <row r="4044">
      <c r="A4044" s="9">
        <v>42575</v>
      </c>
      <c r="B4044" s="2" t="inlineStr">
        <is>
          <t xml:space="preserve">2016-07</t>
        </is>
      </c>
      <c r="C4044" s="2" t="inlineStr">
        <is>
          <t xml:space="preserve">2016/17</t>
        </is>
      </c>
      <c r="D4044">
        <v>2.384</v>
      </c>
      <c r="E4044">
        <v>23.07</v>
      </c>
      <c r="F4044">
        <v>29.16</v>
      </c>
      <c r="G4044">
        <v>17.51</v>
      </c>
      <c r="H4044">
        <v>0.8</v>
      </c>
      <c r="I4044">
        <v>11.075</v>
      </c>
      <c r="J4044">
        <v>22.9</v>
      </c>
      <c r="K4044">
        <v>26.94</v>
      </c>
      <c r="L4044">
        <v>19.68</v>
      </c>
      <c r="M4044">
        <v>3.5</v>
      </c>
      <c r="N4044">
        <v>2.546</v>
      </c>
      <c r="O4044">
        <v>23.37</v>
      </c>
      <c r="P4044">
        <v>28.72</v>
      </c>
      <c r="Q4044">
        <v>19.72</v>
      </c>
      <c r="R4044">
        <v>0.74</v>
      </c>
    </row>
    <row r="4045">
      <c r="A4045" s="9">
        <v>42576</v>
      </c>
      <c r="B4045" s="2" t="inlineStr">
        <is>
          <t xml:space="preserve">2016-07</t>
        </is>
      </c>
      <c r="C4045" s="2" t="inlineStr">
        <is>
          <t xml:space="preserve">2016/17</t>
        </is>
      </c>
      <c r="D4045">
        <v>0.0</v>
      </c>
      <c r="E4045">
        <v>23.26</v>
      </c>
      <c r="F4045">
        <v>29.32</v>
      </c>
      <c r="G4045">
        <v>18.5</v>
      </c>
      <c r="H4045">
        <v>0.57</v>
      </c>
      <c r="I4045">
        <v>0.033</v>
      </c>
      <c r="J4045">
        <v>23.12</v>
      </c>
      <c r="K4045">
        <v>27.79</v>
      </c>
      <c r="L4045">
        <v>19.31</v>
      </c>
      <c r="M4045">
        <v>8.19</v>
      </c>
      <c r="N4045">
        <v>0.351</v>
      </c>
      <c r="O4045">
        <v>23.03</v>
      </c>
      <c r="P4045">
        <v>27.04</v>
      </c>
      <c r="Q4045">
        <v>20.36</v>
      </c>
      <c r="R4045">
        <v>2.28</v>
      </c>
    </row>
    <row r="4046">
      <c r="A4046" s="9">
        <v>42577</v>
      </c>
      <c r="B4046" s="2" t="inlineStr">
        <is>
          <t xml:space="preserve">2016-07</t>
        </is>
      </c>
      <c r="C4046" s="2" t="inlineStr">
        <is>
          <t xml:space="preserve">2016/17</t>
        </is>
      </c>
      <c r="D4046">
        <v>0.397</v>
      </c>
      <c r="E4046">
        <v>23.61</v>
      </c>
      <c r="F4046">
        <v>30.5</v>
      </c>
      <c r="G4046">
        <v>17.85</v>
      </c>
      <c r="H4046">
        <v>1.25</v>
      </c>
      <c r="I4046">
        <v>23.456</v>
      </c>
      <c r="J4046">
        <v>22.58</v>
      </c>
      <c r="K4046">
        <v>26.58</v>
      </c>
      <c r="L4046">
        <v>19.66</v>
      </c>
      <c r="M4046">
        <v>6.3</v>
      </c>
      <c r="N4046">
        <v>7.846</v>
      </c>
      <c r="O4046">
        <v>22.56</v>
      </c>
      <c r="P4046">
        <v>26.59</v>
      </c>
      <c r="Q4046">
        <v>20.31</v>
      </c>
      <c r="R4046">
        <v>2.6</v>
      </c>
    </row>
    <row r="4047">
      <c r="A4047" s="9">
        <v>42578</v>
      </c>
      <c r="B4047" s="2" t="inlineStr">
        <is>
          <t xml:space="preserve">2016-07</t>
        </is>
      </c>
      <c r="C4047" s="2" t="inlineStr">
        <is>
          <t xml:space="preserve">2016/17</t>
        </is>
      </c>
      <c r="D4047">
        <v>0.0</v>
      </c>
      <c r="E4047">
        <v>24.05</v>
      </c>
      <c r="F4047">
        <v>31.2</v>
      </c>
      <c r="G4047">
        <v>17.95</v>
      </c>
      <c r="H4047">
        <v>0.28</v>
      </c>
      <c r="I4047">
        <v>0.0</v>
      </c>
      <c r="J4047">
        <v>23.59</v>
      </c>
      <c r="K4047">
        <v>28.78</v>
      </c>
      <c r="L4047">
        <v>19.12</v>
      </c>
      <c r="M4047">
        <v>0.18</v>
      </c>
      <c r="N4047">
        <v>0.094</v>
      </c>
      <c r="O4047">
        <v>23.66</v>
      </c>
      <c r="P4047">
        <v>29.32</v>
      </c>
      <c r="Q4047">
        <v>20.34</v>
      </c>
      <c r="R4047">
        <v>1.1</v>
      </c>
    </row>
    <row r="4048">
      <c r="A4048" s="9">
        <v>42579</v>
      </c>
      <c r="B4048" s="2" t="inlineStr">
        <is>
          <t xml:space="preserve">2016-07</t>
        </is>
      </c>
      <c r="C4048" s="2" t="inlineStr">
        <is>
          <t xml:space="preserve">2016/17</t>
        </is>
      </c>
      <c r="D4048">
        <v>0.0</v>
      </c>
      <c r="E4048">
        <v>24.11</v>
      </c>
      <c r="F4048">
        <v>31.28</v>
      </c>
      <c r="G4048">
        <v>17.9</v>
      </c>
      <c r="H4048">
        <v>0.46</v>
      </c>
      <c r="I4048">
        <v>0.0</v>
      </c>
      <c r="J4048">
        <v>23.71</v>
      </c>
      <c r="K4048">
        <v>28.8</v>
      </c>
      <c r="L4048">
        <v>19.36</v>
      </c>
      <c r="M4048">
        <v>0.36</v>
      </c>
      <c r="N4048">
        <v>0.0</v>
      </c>
      <c r="O4048">
        <v>24.14</v>
      </c>
      <c r="P4048">
        <v>29.64</v>
      </c>
      <c r="Q4048">
        <v>20.64</v>
      </c>
      <c r="R4048">
        <v>0.32</v>
      </c>
    </row>
    <row r="4049">
      <c r="A4049" s="9">
        <v>42580</v>
      </c>
      <c r="B4049" s="2" t="inlineStr">
        <is>
          <t xml:space="preserve">2016-07</t>
        </is>
      </c>
      <c r="C4049" s="2" t="inlineStr">
        <is>
          <t xml:space="preserve">2016/17</t>
        </is>
      </c>
      <c r="D4049">
        <v>0.228</v>
      </c>
      <c r="E4049">
        <v>23.53</v>
      </c>
      <c r="F4049">
        <v>30.53</v>
      </c>
      <c r="G4049">
        <v>18.29</v>
      </c>
      <c r="H4049">
        <v>5.16</v>
      </c>
      <c r="I4049">
        <v>1.784</v>
      </c>
      <c r="J4049">
        <v>22.36</v>
      </c>
      <c r="K4049">
        <v>25.48</v>
      </c>
      <c r="L4049">
        <v>20.47</v>
      </c>
      <c r="M4049">
        <v>9.56</v>
      </c>
      <c r="N4049">
        <v>0.449</v>
      </c>
      <c r="O4049">
        <v>23.36</v>
      </c>
      <c r="P4049">
        <v>27.67</v>
      </c>
      <c r="Q4049">
        <v>21.09</v>
      </c>
      <c r="R4049">
        <v>4.44</v>
      </c>
    </row>
    <row r="4050">
      <c r="A4050" s="9">
        <v>42581</v>
      </c>
      <c r="B4050" s="2" t="inlineStr">
        <is>
          <t xml:space="preserve">2016-07</t>
        </is>
      </c>
      <c r="C4050" s="2" t="inlineStr">
        <is>
          <t xml:space="preserve">2016/17</t>
        </is>
      </c>
      <c r="D4050">
        <v>7.105</v>
      </c>
      <c r="E4050">
        <v>22.9</v>
      </c>
      <c r="F4050">
        <v>30.75</v>
      </c>
      <c r="G4050">
        <v>18.01</v>
      </c>
      <c r="H4050">
        <v>1.58</v>
      </c>
      <c r="I4050">
        <v>17.567</v>
      </c>
      <c r="J4050">
        <v>23.37</v>
      </c>
      <c r="K4050">
        <v>28.79</v>
      </c>
      <c r="L4050">
        <v>18.39</v>
      </c>
      <c r="M4050">
        <v>2.88</v>
      </c>
      <c r="N4050">
        <v>9.588</v>
      </c>
      <c r="O4050">
        <v>23.22</v>
      </c>
      <c r="P4050">
        <v>28.97</v>
      </c>
      <c r="Q4050">
        <v>19.11</v>
      </c>
      <c r="R4050">
        <v>1.66</v>
      </c>
    </row>
    <row r="4051">
      <c r="A4051" s="9">
        <v>42582</v>
      </c>
      <c r="B4051" s="2" t="inlineStr">
        <is>
          <t xml:space="preserve">2016-07</t>
        </is>
      </c>
      <c r="C4051" s="2" t="inlineStr">
        <is>
          <t xml:space="preserve">2016/17</t>
        </is>
      </c>
      <c r="D4051">
        <v>0.159</v>
      </c>
      <c r="E4051">
        <v>22.53</v>
      </c>
      <c r="F4051">
        <v>30.13</v>
      </c>
      <c r="G4051">
        <v>17.01</v>
      </c>
      <c r="H4051">
        <v>0.59</v>
      </c>
      <c r="I4051">
        <v>0.0</v>
      </c>
      <c r="J4051">
        <v>22.96</v>
      </c>
      <c r="K4051">
        <v>28.21</v>
      </c>
      <c r="L4051">
        <v>18.68</v>
      </c>
      <c r="M4051">
        <v>0.5</v>
      </c>
      <c r="N4051">
        <v>0.0</v>
      </c>
      <c r="O4051">
        <v>23.25</v>
      </c>
      <c r="P4051">
        <v>28.42</v>
      </c>
      <c r="Q4051">
        <v>19.46</v>
      </c>
      <c r="R4051">
        <v>0.43</v>
      </c>
    </row>
    <row r="4052">
      <c r="A4052" s="9">
        <v>42583</v>
      </c>
      <c r="B4052" s="2" t="inlineStr">
        <is>
          <t xml:space="preserve">2016-08</t>
        </is>
      </c>
      <c r="C4052" s="2" t="inlineStr">
        <is>
          <t xml:space="preserve">2016/17</t>
        </is>
      </c>
      <c r="D4052">
        <v>1.314</v>
      </c>
      <c r="E4052">
        <v>24.06</v>
      </c>
      <c r="F4052">
        <v>31.39</v>
      </c>
      <c r="G4052">
        <v>18.72</v>
      </c>
      <c r="H4052">
        <v>0.98</v>
      </c>
      <c r="I4052">
        <v>2.234</v>
      </c>
      <c r="J4052">
        <v>23.14</v>
      </c>
      <c r="K4052">
        <v>27.86</v>
      </c>
      <c r="L4052">
        <v>19.78</v>
      </c>
      <c r="M4052">
        <v>1.1</v>
      </c>
      <c r="N4052">
        <v>0.114</v>
      </c>
      <c r="O4052">
        <v>23.99</v>
      </c>
      <c r="P4052">
        <v>29.36</v>
      </c>
      <c r="Q4052">
        <v>20.9</v>
      </c>
      <c r="R4052">
        <v>1.46</v>
      </c>
    </row>
    <row r="4053">
      <c r="A4053" s="9">
        <v>42584</v>
      </c>
      <c r="B4053" s="2" t="inlineStr">
        <is>
          <t xml:space="preserve">2016-08</t>
        </is>
      </c>
      <c r="C4053" s="2" t="inlineStr">
        <is>
          <t xml:space="preserve">2016/17</t>
        </is>
      </c>
      <c r="D4053">
        <v>0.029</v>
      </c>
      <c r="E4053">
        <v>23.09</v>
      </c>
      <c r="F4053">
        <v>28.27</v>
      </c>
      <c r="G4053">
        <v>19.3</v>
      </c>
      <c r="H4053">
        <v>1.83</v>
      </c>
      <c r="I4053">
        <v>0.074</v>
      </c>
      <c r="J4053">
        <v>22.47</v>
      </c>
      <c r="K4053">
        <v>27.33</v>
      </c>
      <c r="L4053">
        <v>18.96</v>
      </c>
      <c r="M4053">
        <v>1.66</v>
      </c>
      <c r="N4053">
        <v>1.203</v>
      </c>
      <c r="O4053">
        <v>22.54</v>
      </c>
      <c r="P4053">
        <v>26.0</v>
      </c>
      <c r="Q4053">
        <v>19.78</v>
      </c>
      <c r="R4053">
        <v>5.09</v>
      </c>
    </row>
    <row r="4054">
      <c r="A4054" s="9">
        <v>42585</v>
      </c>
      <c r="B4054" s="2" t="inlineStr">
        <is>
          <t xml:space="preserve">2016-08</t>
        </is>
      </c>
      <c r="C4054" s="2" t="inlineStr">
        <is>
          <t xml:space="preserve">2016/17</t>
        </is>
      </c>
      <c r="D4054">
        <v>1.582</v>
      </c>
      <c r="E4054">
        <v>21.87</v>
      </c>
      <c r="F4054">
        <v>25.34</v>
      </c>
      <c r="G4054">
        <v>19.97</v>
      </c>
      <c r="H4054">
        <v>13.49</v>
      </c>
      <c r="I4054">
        <v>1.151</v>
      </c>
      <c r="J4054">
        <v>22.41</v>
      </c>
      <c r="K4054">
        <v>25.85</v>
      </c>
      <c r="L4054">
        <v>20.21</v>
      </c>
      <c r="M4054">
        <v>7.52</v>
      </c>
      <c r="N4054">
        <v>5.552</v>
      </c>
      <c r="O4054">
        <v>22.34</v>
      </c>
      <c r="P4054">
        <v>24.72</v>
      </c>
      <c r="Q4054">
        <v>20.77</v>
      </c>
      <c r="R4054">
        <v>22.79</v>
      </c>
    </row>
    <row r="4055">
      <c r="A4055" s="9">
        <v>42586</v>
      </c>
      <c r="B4055" s="2" t="inlineStr">
        <is>
          <t xml:space="preserve">2016-08</t>
        </is>
      </c>
      <c r="C4055" s="2" t="inlineStr">
        <is>
          <t xml:space="preserve">2016/17</t>
        </is>
      </c>
      <c r="D4055">
        <v>14.763</v>
      </c>
      <c r="E4055">
        <v>22.03</v>
      </c>
      <c r="F4055">
        <v>26.28</v>
      </c>
      <c r="G4055">
        <v>19.32</v>
      </c>
      <c r="H4055">
        <v>6.12</v>
      </c>
      <c r="I4055">
        <v>5.283</v>
      </c>
      <c r="J4055">
        <v>21.49</v>
      </c>
      <c r="K4055">
        <v>24.53</v>
      </c>
      <c r="L4055">
        <v>19.87</v>
      </c>
      <c r="M4055">
        <v>6.96</v>
      </c>
      <c r="N4055">
        <v>14.04</v>
      </c>
      <c r="O4055">
        <v>22.3</v>
      </c>
      <c r="P4055">
        <v>26.05</v>
      </c>
      <c r="Q4055">
        <v>19.8</v>
      </c>
      <c r="R4055">
        <v>4.19</v>
      </c>
    </row>
    <row r="4056">
      <c r="A4056" s="9">
        <v>42587</v>
      </c>
      <c r="B4056" s="2" t="inlineStr">
        <is>
          <t xml:space="preserve">2016-08</t>
        </is>
      </c>
      <c r="C4056" s="2" t="inlineStr">
        <is>
          <t xml:space="preserve">2016/17</t>
        </is>
      </c>
      <c r="D4056">
        <v>8.122</v>
      </c>
      <c r="E4056">
        <v>21.94</v>
      </c>
      <c r="F4056">
        <v>26.04</v>
      </c>
      <c r="G4056">
        <v>18.83</v>
      </c>
      <c r="H4056">
        <v>11.78</v>
      </c>
      <c r="I4056">
        <v>5.398</v>
      </c>
      <c r="J4056">
        <v>22.0</v>
      </c>
      <c r="K4056">
        <v>26.04</v>
      </c>
      <c r="L4056">
        <v>18.82</v>
      </c>
      <c r="M4056">
        <v>6.93</v>
      </c>
      <c r="N4056">
        <v>1.995</v>
      </c>
      <c r="O4056">
        <v>22.5</v>
      </c>
      <c r="P4056">
        <v>26.57</v>
      </c>
      <c r="Q4056">
        <v>18.81</v>
      </c>
      <c r="R4056">
        <v>7.51</v>
      </c>
    </row>
    <row r="4057">
      <c r="A4057" s="9">
        <v>42588</v>
      </c>
      <c r="B4057" s="2" t="inlineStr">
        <is>
          <t xml:space="preserve">2016-08</t>
        </is>
      </c>
      <c r="C4057" s="2" t="inlineStr">
        <is>
          <t xml:space="preserve">2016/17</t>
        </is>
      </c>
      <c r="D4057">
        <v>0.648</v>
      </c>
      <c r="E4057">
        <v>22.94</v>
      </c>
      <c r="F4057">
        <v>27.29</v>
      </c>
      <c r="G4057">
        <v>19.49</v>
      </c>
      <c r="H4057">
        <v>3.82</v>
      </c>
      <c r="I4057">
        <v>3.613</v>
      </c>
      <c r="J4057">
        <v>23.0</v>
      </c>
      <c r="K4057">
        <v>27.35</v>
      </c>
      <c r="L4057">
        <v>19.68</v>
      </c>
      <c r="M4057">
        <v>5.62</v>
      </c>
      <c r="N4057">
        <v>13.892</v>
      </c>
      <c r="O4057">
        <v>23.05</v>
      </c>
      <c r="P4057">
        <v>26.22</v>
      </c>
      <c r="Q4057">
        <v>20.73</v>
      </c>
      <c r="R4057">
        <v>6.82</v>
      </c>
    </row>
    <row r="4058">
      <c r="A4058" s="9">
        <v>42589</v>
      </c>
      <c r="B4058" s="2" t="inlineStr">
        <is>
          <t xml:space="preserve">2016-08</t>
        </is>
      </c>
      <c r="C4058" s="2" t="inlineStr">
        <is>
          <t xml:space="preserve">2016/17</t>
        </is>
      </c>
      <c r="D4058">
        <v>9.086</v>
      </c>
      <c r="E4058">
        <v>23.23</v>
      </c>
      <c r="F4058">
        <v>28.42</v>
      </c>
      <c r="G4058">
        <v>19.14</v>
      </c>
      <c r="H4058">
        <v>2.23</v>
      </c>
      <c r="I4058">
        <v>0.435</v>
      </c>
      <c r="J4058">
        <v>23.77</v>
      </c>
      <c r="K4058">
        <v>28.34</v>
      </c>
      <c r="L4058">
        <v>20.06</v>
      </c>
      <c r="M4058">
        <v>1.85</v>
      </c>
      <c r="N4058">
        <v>1.633</v>
      </c>
      <c r="O4058">
        <v>23.67</v>
      </c>
      <c r="P4058">
        <v>28.36</v>
      </c>
      <c r="Q4058">
        <v>20.8</v>
      </c>
      <c r="R4058">
        <v>2.47</v>
      </c>
    </row>
    <row r="4059">
      <c r="A4059" s="9">
        <v>42590</v>
      </c>
      <c r="B4059" s="2" t="inlineStr">
        <is>
          <t xml:space="preserve">2016-08</t>
        </is>
      </c>
      <c r="C4059" s="2" t="inlineStr">
        <is>
          <t xml:space="preserve">2016/17</t>
        </is>
      </c>
      <c r="D4059">
        <v>5.935</v>
      </c>
      <c r="E4059">
        <v>23.49</v>
      </c>
      <c r="F4059">
        <v>28.86</v>
      </c>
      <c r="G4059">
        <v>19.14</v>
      </c>
      <c r="H4059">
        <v>3.72</v>
      </c>
      <c r="I4059">
        <v>3.984</v>
      </c>
      <c r="J4059">
        <v>24.08</v>
      </c>
      <c r="K4059">
        <v>28.65</v>
      </c>
      <c r="L4059">
        <v>20.1</v>
      </c>
      <c r="M4059">
        <v>7.46</v>
      </c>
      <c r="N4059">
        <v>1.236</v>
      </c>
      <c r="O4059">
        <v>23.87</v>
      </c>
      <c r="P4059">
        <v>27.93</v>
      </c>
      <c r="Q4059">
        <v>21.34</v>
      </c>
      <c r="R4059">
        <v>5.76</v>
      </c>
    </row>
    <row r="4060">
      <c r="A4060" s="9">
        <v>42591</v>
      </c>
      <c r="B4060" s="2" t="inlineStr">
        <is>
          <t xml:space="preserve">2016-08</t>
        </is>
      </c>
      <c r="C4060" s="2" t="inlineStr">
        <is>
          <t xml:space="preserve">2016/17</t>
        </is>
      </c>
      <c r="D4060">
        <v>1.659</v>
      </c>
      <c r="E4060">
        <v>23.45</v>
      </c>
      <c r="F4060">
        <v>28.95</v>
      </c>
      <c r="G4060">
        <v>19.79</v>
      </c>
      <c r="H4060">
        <v>0.91</v>
      </c>
      <c r="I4060">
        <v>10.608</v>
      </c>
      <c r="J4060">
        <v>23.66</v>
      </c>
      <c r="K4060">
        <v>27.36</v>
      </c>
      <c r="L4060">
        <v>20.9</v>
      </c>
      <c r="M4060">
        <v>7.17</v>
      </c>
      <c r="N4060">
        <v>18.932</v>
      </c>
      <c r="O4060">
        <v>23.63</v>
      </c>
      <c r="P4060">
        <v>27.27</v>
      </c>
      <c r="Q4060">
        <v>21.6</v>
      </c>
      <c r="R4060">
        <v>4.61</v>
      </c>
    </row>
    <row r="4061">
      <c r="A4061" s="9">
        <v>42592</v>
      </c>
      <c r="B4061" s="2" t="inlineStr">
        <is>
          <t xml:space="preserve">2016-08</t>
        </is>
      </c>
      <c r="C4061" s="2" t="inlineStr">
        <is>
          <t xml:space="preserve">2016/17</t>
        </is>
      </c>
      <c r="D4061">
        <v>0.0</v>
      </c>
      <c r="E4061">
        <v>24.0</v>
      </c>
      <c r="F4061">
        <v>31.51</v>
      </c>
      <c r="G4061">
        <v>18.15</v>
      </c>
      <c r="H4061">
        <v>0.65</v>
      </c>
      <c r="I4061">
        <v>1.559</v>
      </c>
      <c r="J4061">
        <v>23.94</v>
      </c>
      <c r="K4061">
        <v>29.07</v>
      </c>
      <c r="L4061">
        <v>19.78</v>
      </c>
      <c r="M4061">
        <v>0.9</v>
      </c>
      <c r="N4061">
        <v>0.045</v>
      </c>
      <c r="O4061">
        <v>24.33</v>
      </c>
      <c r="P4061">
        <v>29.58</v>
      </c>
      <c r="Q4061">
        <v>20.54</v>
      </c>
      <c r="R4061">
        <v>0.83</v>
      </c>
    </row>
    <row r="4062">
      <c r="A4062" s="9">
        <v>42593</v>
      </c>
      <c r="B4062" s="2" t="inlineStr">
        <is>
          <t xml:space="preserve">2016-08</t>
        </is>
      </c>
      <c r="C4062" s="2" t="inlineStr">
        <is>
          <t xml:space="preserve">2016/17</t>
        </is>
      </c>
      <c r="D4062">
        <v>7.206</v>
      </c>
      <c r="E4062">
        <v>23.09</v>
      </c>
      <c r="F4062">
        <v>29.21</v>
      </c>
      <c r="G4062">
        <v>17.72</v>
      </c>
      <c r="H4062">
        <v>3.31</v>
      </c>
      <c r="I4062">
        <v>0.35</v>
      </c>
      <c r="J4062">
        <v>23.52</v>
      </c>
      <c r="K4062">
        <v>28.32</v>
      </c>
      <c r="L4062">
        <v>19.77</v>
      </c>
      <c r="M4062">
        <v>4.67</v>
      </c>
      <c r="N4062">
        <v>1.359</v>
      </c>
      <c r="O4062">
        <v>23.9</v>
      </c>
      <c r="P4062">
        <v>28.75</v>
      </c>
      <c r="Q4062">
        <v>20.97</v>
      </c>
      <c r="R4062">
        <v>4.46</v>
      </c>
    </row>
    <row r="4063">
      <c r="A4063" s="9">
        <v>42594</v>
      </c>
      <c r="B4063" s="2" t="inlineStr">
        <is>
          <t xml:space="preserve">2016-08</t>
        </is>
      </c>
      <c r="C4063" s="2" t="inlineStr">
        <is>
          <t xml:space="preserve">2016/17</t>
        </is>
      </c>
      <c r="D4063">
        <v>0.051</v>
      </c>
      <c r="E4063">
        <v>23.52</v>
      </c>
      <c r="F4063">
        <v>29.71</v>
      </c>
      <c r="G4063">
        <v>18.64</v>
      </c>
      <c r="H4063">
        <v>2.54</v>
      </c>
      <c r="I4063">
        <v>4.125</v>
      </c>
      <c r="J4063">
        <v>23.27</v>
      </c>
      <c r="K4063">
        <v>27.61</v>
      </c>
      <c r="L4063">
        <v>19.44</v>
      </c>
      <c r="M4063">
        <v>5.96</v>
      </c>
      <c r="N4063">
        <v>12.091</v>
      </c>
      <c r="O4063">
        <v>22.97</v>
      </c>
      <c r="P4063">
        <v>27.08</v>
      </c>
      <c r="Q4063">
        <v>20.5</v>
      </c>
      <c r="R4063">
        <v>5.7</v>
      </c>
    </row>
    <row r="4064">
      <c r="A4064" s="9">
        <v>42595</v>
      </c>
      <c r="B4064" s="2" t="inlineStr">
        <is>
          <t xml:space="preserve">2016-08</t>
        </is>
      </c>
      <c r="C4064" s="2" t="inlineStr">
        <is>
          <t xml:space="preserve">2016/17</t>
        </is>
      </c>
      <c r="D4064">
        <v>12.207</v>
      </c>
      <c r="E4064">
        <v>23.31</v>
      </c>
      <c r="F4064">
        <v>29.1</v>
      </c>
      <c r="G4064">
        <v>19.05</v>
      </c>
      <c r="H4064">
        <v>8.01</v>
      </c>
      <c r="I4064">
        <v>32.772</v>
      </c>
      <c r="J4064">
        <v>22.05</v>
      </c>
      <c r="K4064">
        <v>24.53</v>
      </c>
      <c r="L4064">
        <v>20.19</v>
      </c>
      <c r="M4064">
        <v>18.99</v>
      </c>
      <c r="N4064">
        <v>3.518</v>
      </c>
      <c r="O4064">
        <v>23.76</v>
      </c>
      <c r="P4064">
        <v>28.13</v>
      </c>
      <c r="Q4064">
        <v>20.81</v>
      </c>
      <c r="R4064">
        <v>7.2</v>
      </c>
    </row>
    <row r="4065">
      <c r="A4065" s="9">
        <v>42596</v>
      </c>
      <c r="B4065" s="2" t="inlineStr">
        <is>
          <t xml:space="preserve">2016-08</t>
        </is>
      </c>
      <c r="C4065" s="2" t="inlineStr">
        <is>
          <t xml:space="preserve">2016/17</t>
        </is>
      </c>
      <c r="D4065">
        <v>7.982</v>
      </c>
      <c r="E4065">
        <v>22.49</v>
      </c>
      <c r="F4065">
        <v>28.6</v>
      </c>
      <c r="G4065">
        <v>18.77</v>
      </c>
      <c r="H4065">
        <v>11.46</v>
      </c>
      <c r="I4065">
        <v>3.348</v>
      </c>
      <c r="J4065">
        <v>22.26</v>
      </c>
      <c r="K4065">
        <v>26.09</v>
      </c>
      <c r="L4065">
        <v>18.87</v>
      </c>
      <c r="M4065">
        <v>8.19</v>
      </c>
      <c r="N4065">
        <v>9.89</v>
      </c>
      <c r="O4065">
        <v>23.61</v>
      </c>
      <c r="P4065">
        <v>28.24</v>
      </c>
      <c r="Q4065">
        <v>20.87</v>
      </c>
      <c r="R4065">
        <v>12.15</v>
      </c>
    </row>
    <row r="4066">
      <c r="A4066" s="9">
        <v>42597</v>
      </c>
      <c r="B4066" s="2" t="inlineStr">
        <is>
          <t xml:space="preserve">2016-08</t>
        </is>
      </c>
      <c r="C4066" s="2" t="inlineStr">
        <is>
          <t xml:space="preserve">2016/17</t>
        </is>
      </c>
      <c r="D4066">
        <v>9.202</v>
      </c>
      <c r="E4066">
        <v>21.55</v>
      </c>
      <c r="F4066">
        <v>26.24</v>
      </c>
      <c r="G4066">
        <v>18.1</v>
      </c>
      <c r="H4066">
        <v>5.38</v>
      </c>
      <c r="I4066">
        <v>6.754</v>
      </c>
      <c r="J4066">
        <v>22.8</v>
      </c>
      <c r="K4066">
        <v>27.11</v>
      </c>
      <c r="L4066">
        <v>19.59</v>
      </c>
      <c r="M4066">
        <v>9.18</v>
      </c>
      <c r="N4066">
        <v>24.901</v>
      </c>
      <c r="O4066">
        <v>23.22</v>
      </c>
      <c r="P4066">
        <v>26.85</v>
      </c>
      <c r="Q4066">
        <v>20.49</v>
      </c>
      <c r="R4066">
        <v>10.4</v>
      </c>
    </row>
    <row r="4067">
      <c r="A4067" s="9">
        <v>42598</v>
      </c>
      <c r="B4067" s="2" t="inlineStr">
        <is>
          <t xml:space="preserve">2016-08</t>
        </is>
      </c>
      <c r="C4067" s="2" t="inlineStr">
        <is>
          <t xml:space="preserve">2016/17</t>
        </is>
      </c>
      <c r="D4067">
        <v>1.456</v>
      </c>
      <c r="E4067">
        <v>22.86</v>
      </c>
      <c r="F4067">
        <v>28.79</v>
      </c>
      <c r="G4067">
        <v>18.63</v>
      </c>
      <c r="H4067">
        <v>3.48</v>
      </c>
      <c r="I4067">
        <v>10.891</v>
      </c>
      <c r="J4067">
        <v>22.64</v>
      </c>
      <c r="K4067">
        <v>26.03</v>
      </c>
      <c r="L4067">
        <v>19.51</v>
      </c>
      <c r="M4067">
        <v>10.22</v>
      </c>
      <c r="N4067">
        <v>24.154</v>
      </c>
      <c r="O4067">
        <v>22.97</v>
      </c>
      <c r="P4067">
        <v>26.84</v>
      </c>
      <c r="Q4067">
        <v>20.04</v>
      </c>
      <c r="R4067">
        <v>7.3</v>
      </c>
    </row>
    <row r="4068">
      <c r="A4068" s="9">
        <v>42599</v>
      </c>
      <c r="B4068" s="2" t="inlineStr">
        <is>
          <t xml:space="preserve">2016-08</t>
        </is>
      </c>
      <c r="C4068" s="2" t="inlineStr">
        <is>
          <t xml:space="preserve">2016/17</t>
        </is>
      </c>
      <c r="D4068">
        <v>1.556</v>
      </c>
      <c r="E4068">
        <v>22.06</v>
      </c>
      <c r="F4068">
        <v>27.1</v>
      </c>
      <c r="G4068">
        <v>17.98</v>
      </c>
      <c r="H4068">
        <v>1.98</v>
      </c>
      <c r="I4068">
        <v>0.081</v>
      </c>
      <c r="J4068">
        <v>22.75</v>
      </c>
      <c r="K4068">
        <v>26.4</v>
      </c>
      <c r="L4068">
        <v>19.77</v>
      </c>
      <c r="M4068">
        <v>1.54</v>
      </c>
      <c r="N4068">
        <v>1.305</v>
      </c>
      <c r="O4068">
        <v>22.91</v>
      </c>
      <c r="P4068">
        <v>26.58</v>
      </c>
      <c r="Q4068">
        <v>20.7</v>
      </c>
      <c r="R4068">
        <v>2.98</v>
      </c>
    </row>
    <row r="4069">
      <c r="A4069" s="9">
        <v>42600</v>
      </c>
      <c r="B4069" s="2" t="inlineStr">
        <is>
          <t xml:space="preserve">2016-08</t>
        </is>
      </c>
      <c r="C4069" s="2" t="inlineStr">
        <is>
          <t xml:space="preserve">2016/17</t>
        </is>
      </c>
      <c r="D4069">
        <v>0.267</v>
      </c>
      <c r="E4069">
        <v>23.16</v>
      </c>
      <c r="F4069">
        <v>29.73</v>
      </c>
      <c r="G4069">
        <v>18.12</v>
      </c>
      <c r="H4069">
        <v>0.35</v>
      </c>
      <c r="I4069">
        <v>0.608</v>
      </c>
      <c r="J4069">
        <v>23.35</v>
      </c>
      <c r="K4069">
        <v>28.02</v>
      </c>
      <c r="L4069">
        <v>19.7</v>
      </c>
      <c r="M4069">
        <v>0.55</v>
      </c>
      <c r="N4069">
        <v>0.0</v>
      </c>
      <c r="O4069">
        <v>23.41</v>
      </c>
      <c r="P4069">
        <v>27.78</v>
      </c>
      <c r="Q4069">
        <v>20.13</v>
      </c>
      <c r="R4069">
        <v>0.77</v>
      </c>
    </row>
    <row r="4070">
      <c r="A4070" s="9">
        <v>42601</v>
      </c>
      <c r="B4070" s="2" t="inlineStr">
        <is>
          <t xml:space="preserve">2016-08</t>
        </is>
      </c>
      <c r="C4070" s="2" t="inlineStr">
        <is>
          <t xml:space="preserve">2016/17</t>
        </is>
      </c>
      <c r="D4070">
        <v>0.175</v>
      </c>
      <c r="E4070">
        <v>23.84</v>
      </c>
      <c r="F4070">
        <v>30.89</v>
      </c>
      <c r="G4070">
        <v>18.62</v>
      </c>
      <c r="H4070">
        <v>0.72</v>
      </c>
      <c r="I4070">
        <v>0.0</v>
      </c>
      <c r="J4070">
        <v>23.29</v>
      </c>
      <c r="K4070">
        <v>27.73</v>
      </c>
      <c r="L4070">
        <v>19.47</v>
      </c>
      <c r="M4070">
        <v>0.57</v>
      </c>
      <c r="N4070">
        <v>0.34</v>
      </c>
      <c r="O4070">
        <v>23.64</v>
      </c>
      <c r="P4070">
        <v>28.32</v>
      </c>
      <c r="Q4070">
        <v>20.47</v>
      </c>
      <c r="R4070">
        <v>1.61</v>
      </c>
    </row>
    <row r="4071">
      <c r="A4071" s="9">
        <v>42602</v>
      </c>
      <c r="B4071" s="2" t="inlineStr">
        <is>
          <t xml:space="preserve">2016-08</t>
        </is>
      </c>
      <c r="C4071" s="2" t="inlineStr">
        <is>
          <t xml:space="preserve">2016/17</t>
        </is>
      </c>
      <c r="D4071">
        <v>1.682</v>
      </c>
      <c r="E4071">
        <v>23.87</v>
      </c>
      <c r="F4071">
        <v>31.23</v>
      </c>
      <c r="G4071">
        <v>18.34</v>
      </c>
      <c r="H4071">
        <v>0.39</v>
      </c>
      <c r="I4071">
        <v>0.087</v>
      </c>
      <c r="J4071">
        <v>23.24</v>
      </c>
      <c r="K4071">
        <v>27.55</v>
      </c>
      <c r="L4071">
        <v>19.44</v>
      </c>
      <c r="M4071">
        <v>0.58</v>
      </c>
      <c r="N4071">
        <v>0.426</v>
      </c>
      <c r="O4071">
        <v>23.69</v>
      </c>
      <c r="P4071">
        <v>28.38</v>
      </c>
      <c r="Q4071">
        <v>20.64</v>
      </c>
      <c r="R4071">
        <v>0.72</v>
      </c>
    </row>
    <row r="4072">
      <c r="A4072" s="9">
        <v>42603</v>
      </c>
      <c r="B4072" s="2" t="inlineStr">
        <is>
          <t xml:space="preserve">2016-08</t>
        </is>
      </c>
      <c r="C4072" s="2" t="inlineStr">
        <is>
          <t xml:space="preserve">2016/17</t>
        </is>
      </c>
      <c r="D4072">
        <v>0.355</v>
      </c>
      <c r="E4072">
        <v>23.51</v>
      </c>
      <c r="F4072">
        <v>30.52</v>
      </c>
      <c r="G4072">
        <v>18.02</v>
      </c>
      <c r="H4072">
        <v>2.45</v>
      </c>
      <c r="I4072">
        <v>0.0</v>
      </c>
      <c r="J4072">
        <v>23.5</v>
      </c>
      <c r="K4072">
        <v>27.65</v>
      </c>
      <c r="L4072">
        <v>19.87</v>
      </c>
      <c r="M4072">
        <v>7.23</v>
      </c>
      <c r="N4072">
        <v>0.0</v>
      </c>
      <c r="O4072">
        <v>23.77</v>
      </c>
      <c r="P4072">
        <v>28.71</v>
      </c>
      <c r="Q4072">
        <v>19.87</v>
      </c>
      <c r="R4072">
        <v>5.38</v>
      </c>
    </row>
    <row r="4073">
      <c r="A4073" s="9">
        <v>42604</v>
      </c>
      <c r="B4073" s="2" t="inlineStr">
        <is>
          <t xml:space="preserve">2016-08</t>
        </is>
      </c>
      <c r="C4073" s="2" t="inlineStr">
        <is>
          <t xml:space="preserve">2016/17</t>
        </is>
      </c>
      <c r="D4073">
        <v>1.608</v>
      </c>
      <c r="E4073">
        <v>22.89</v>
      </c>
      <c r="F4073">
        <v>27.53</v>
      </c>
      <c r="G4073">
        <v>19.68</v>
      </c>
      <c r="H4073">
        <v>3.09</v>
      </c>
      <c r="I4073">
        <v>25.094</v>
      </c>
      <c r="J4073">
        <v>23.05</v>
      </c>
      <c r="K4073">
        <v>26.54</v>
      </c>
      <c r="L4073">
        <v>20.4</v>
      </c>
      <c r="M4073">
        <v>12.37</v>
      </c>
      <c r="N4073">
        <v>24.084</v>
      </c>
      <c r="O4073">
        <v>23.23</v>
      </c>
      <c r="P4073">
        <v>27.01</v>
      </c>
      <c r="Q4073">
        <v>21.26</v>
      </c>
      <c r="R4073">
        <v>8.27</v>
      </c>
    </row>
    <row r="4074">
      <c r="A4074" s="9">
        <v>42605</v>
      </c>
      <c r="B4074" s="2" t="inlineStr">
        <is>
          <t xml:space="preserve">2016-08</t>
        </is>
      </c>
      <c r="C4074" s="2" t="inlineStr">
        <is>
          <t xml:space="preserve">2016/17</t>
        </is>
      </c>
      <c r="D4074">
        <v>0.196</v>
      </c>
      <c r="E4074">
        <v>23.28</v>
      </c>
      <c r="F4074">
        <v>30.37</v>
      </c>
      <c r="G4074">
        <v>18.1</v>
      </c>
      <c r="H4074">
        <v>0.54</v>
      </c>
      <c r="I4074">
        <v>0.0</v>
      </c>
      <c r="J4074">
        <v>23.22</v>
      </c>
      <c r="K4074">
        <v>28.17</v>
      </c>
      <c r="L4074">
        <v>19.23</v>
      </c>
      <c r="M4074">
        <v>1.09</v>
      </c>
      <c r="N4074">
        <v>0.0</v>
      </c>
      <c r="O4074">
        <v>23.36</v>
      </c>
      <c r="P4074">
        <v>28.0</v>
      </c>
      <c r="Q4074">
        <v>20.08</v>
      </c>
      <c r="R4074">
        <v>2.49</v>
      </c>
    </row>
    <row r="4075">
      <c r="A4075" s="9">
        <v>42606</v>
      </c>
      <c r="B4075" s="2" t="inlineStr">
        <is>
          <t xml:space="preserve">2016-08</t>
        </is>
      </c>
      <c r="C4075" s="2" t="inlineStr">
        <is>
          <t xml:space="preserve">2016/17</t>
        </is>
      </c>
      <c r="D4075">
        <v>0.0</v>
      </c>
      <c r="E4075">
        <v>22.84</v>
      </c>
      <c r="F4075">
        <v>28.76</v>
      </c>
      <c r="G4075">
        <v>18.6</v>
      </c>
      <c r="H4075">
        <v>1.33</v>
      </c>
      <c r="I4075">
        <v>0.167</v>
      </c>
      <c r="J4075">
        <v>22.03</v>
      </c>
      <c r="K4075">
        <v>26.1</v>
      </c>
      <c r="L4075">
        <v>18.85</v>
      </c>
      <c r="M4075">
        <v>3.11</v>
      </c>
      <c r="N4075">
        <v>3.201</v>
      </c>
      <c r="O4075">
        <v>22.05</v>
      </c>
      <c r="P4075">
        <v>26.0</v>
      </c>
      <c r="Q4075">
        <v>19.53</v>
      </c>
      <c r="R4075">
        <v>8.04</v>
      </c>
    </row>
    <row r="4076">
      <c r="A4076" s="9">
        <v>42607</v>
      </c>
      <c r="B4076" s="2" t="inlineStr">
        <is>
          <t xml:space="preserve">2016-08</t>
        </is>
      </c>
      <c r="C4076" s="2" t="inlineStr">
        <is>
          <t xml:space="preserve">2016/17</t>
        </is>
      </c>
      <c r="D4076">
        <v>0.0</v>
      </c>
      <c r="E4076">
        <v>23.54</v>
      </c>
      <c r="F4076">
        <v>30.08</v>
      </c>
      <c r="G4076">
        <v>18.7</v>
      </c>
      <c r="H4076">
        <v>1.04</v>
      </c>
      <c r="I4076">
        <v>0.0</v>
      </c>
      <c r="J4076">
        <v>22.6</v>
      </c>
      <c r="K4076">
        <v>27.46</v>
      </c>
      <c r="L4076">
        <v>18.26</v>
      </c>
      <c r="M4076">
        <v>0.06</v>
      </c>
      <c r="N4076">
        <v>0.164</v>
      </c>
      <c r="O4076">
        <v>22.75</v>
      </c>
      <c r="P4076">
        <v>27.74</v>
      </c>
      <c r="Q4076">
        <v>18.92</v>
      </c>
      <c r="R4076">
        <v>0.05</v>
      </c>
    </row>
    <row r="4077">
      <c r="A4077" s="9">
        <v>42608</v>
      </c>
      <c r="B4077" s="2" t="inlineStr">
        <is>
          <t xml:space="preserve">2016-08</t>
        </is>
      </c>
      <c r="C4077" s="2" t="inlineStr">
        <is>
          <t xml:space="preserve">2016/17</t>
        </is>
      </c>
      <c r="D4077">
        <v>1.439</v>
      </c>
      <c r="E4077">
        <v>23.66</v>
      </c>
      <c r="F4077">
        <v>28.95</v>
      </c>
      <c r="G4077">
        <v>20.69</v>
      </c>
      <c r="H4077">
        <v>1.26</v>
      </c>
      <c r="I4077">
        <v>0.0</v>
      </c>
      <c r="J4077">
        <v>21.35</v>
      </c>
      <c r="K4077">
        <v>24.18</v>
      </c>
      <c r="L4077">
        <v>18.93</v>
      </c>
      <c r="M4077">
        <v>2.32</v>
      </c>
      <c r="N4077">
        <v>0.0</v>
      </c>
      <c r="O4077">
        <v>22.25</v>
      </c>
      <c r="P4077">
        <v>25.54</v>
      </c>
      <c r="Q4077">
        <v>19.46</v>
      </c>
      <c r="R4077">
        <v>0.34</v>
      </c>
    </row>
    <row r="4078">
      <c r="A4078" s="9">
        <v>42609</v>
      </c>
      <c r="B4078" s="2" t="inlineStr">
        <is>
          <t xml:space="preserve">2016-08</t>
        </is>
      </c>
      <c r="C4078" s="2" t="inlineStr">
        <is>
          <t xml:space="preserve">2016/17</t>
        </is>
      </c>
      <c r="D4078">
        <v>1.851</v>
      </c>
      <c r="E4078">
        <v>22.72</v>
      </c>
      <c r="F4078">
        <v>27.44</v>
      </c>
      <c r="G4078">
        <v>19.4</v>
      </c>
      <c r="H4078">
        <v>7.8</v>
      </c>
      <c r="I4078">
        <v>11.98</v>
      </c>
      <c r="J4078">
        <v>22.06</v>
      </c>
      <c r="K4078">
        <v>26.07</v>
      </c>
      <c r="L4078">
        <v>19.07</v>
      </c>
      <c r="M4078">
        <v>5.65</v>
      </c>
      <c r="N4078">
        <v>0.651</v>
      </c>
      <c r="O4078">
        <v>22.68</v>
      </c>
      <c r="P4078">
        <v>26.68</v>
      </c>
      <c r="Q4078">
        <v>19.9</v>
      </c>
      <c r="R4078">
        <v>1.78</v>
      </c>
    </row>
    <row r="4079">
      <c r="A4079" s="9">
        <v>42610</v>
      </c>
      <c r="B4079" s="2" t="inlineStr">
        <is>
          <t xml:space="preserve">2016-08</t>
        </is>
      </c>
      <c r="C4079" s="2" t="inlineStr">
        <is>
          <t xml:space="preserve">2016/17</t>
        </is>
      </c>
      <c r="D4079">
        <v>7.91</v>
      </c>
      <c r="E4079">
        <v>22.51</v>
      </c>
      <c r="F4079">
        <v>26.46</v>
      </c>
      <c r="G4079">
        <v>19.72</v>
      </c>
      <c r="H4079">
        <v>22.57</v>
      </c>
      <c r="I4079">
        <v>7.252</v>
      </c>
      <c r="J4079">
        <v>22.07</v>
      </c>
      <c r="K4079">
        <v>25.82</v>
      </c>
      <c r="L4079">
        <v>19.27</v>
      </c>
      <c r="M4079">
        <v>7.75</v>
      </c>
      <c r="N4079">
        <v>0.784</v>
      </c>
      <c r="O4079">
        <v>22.64</v>
      </c>
      <c r="P4079">
        <v>26.57</v>
      </c>
      <c r="Q4079">
        <v>20.18</v>
      </c>
      <c r="R4079">
        <v>7.7</v>
      </c>
    </row>
    <row r="4080">
      <c r="A4080" s="9">
        <v>42611</v>
      </c>
      <c r="B4080" s="2" t="inlineStr">
        <is>
          <t xml:space="preserve">2016-08</t>
        </is>
      </c>
      <c r="C4080" s="2" t="inlineStr">
        <is>
          <t xml:space="preserve">2016/17</t>
        </is>
      </c>
      <c r="D4080">
        <v>43.258</v>
      </c>
      <c r="E4080">
        <v>22.42</v>
      </c>
      <c r="F4080">
        <v>26.8</v>
      </c>
      <c r="G4080">
        <v>18.81</v>
      </c>
      <c r="H4080">
        <v>17.22</v>
      </c>
      <c r="I4080">
        <v>3.799</v>
      </c>
      <c r="J4080">
        <v>23.57</v>
      </c>
      <c r="K4080">
        <v>28.96</v>
      </c>
      <c r="L4080">
        <v>18.95</v>
      </c>
      <c r="M4080">
        <v>2.73</v>
      </c>
      <c r="N4080">
        <v>4.021</v>
      </c>
      <c r="O4080">
        <v>23.82</v>
      </c>
      <c r="P4080">
        <v>29.13</v>
      </c>
      <c r="Q4080">
        <v>19.35</v>
      </c>
      <c r="R4080">
        <v>2.74</v>
      </c>
    </row>
    <row r="4081">
      <c r="A4081" s="9">
        <v>42612</v>
      </c>
      <c r="B4081" s="2" t="inlineStr">
        <is>
          <t xml:space="preserve">2016-08</t>
        </is>
      </c>
      <c r="C4081" s="2" t="inlineStr">
        <is>
          <t xml:space="preserve">2016/17</t>
        </is>
      </c>
      <c r="D4081">
        <v>4.708</v>
      </c>
      <c r="E4081">
        <v>22.39</v>
      </c>
      <c r="F4081">
        <v>27.2</v>
      </c>
      <c r="G4081">
        <v>19.14</v>
      </c>
      <c r="H4081">
        <v>8.29</v>
      </c>
      <c r="I4081">
        <v>11.393</v>
      </c>
      <c r="J4081">
        <v>22.56</v>
      </c>
      <c r="K4081">
        <v>27.37</v>
      </c>
      <c r="L4081">
        <v>19.46</v>
      </c>
      <c r="M4081">
        <v>15.15</v>
      </c>
      <c r="N4081">
        <v>7.217</v>
      </c>
      <c r="O4081">
        <v>23.23</v>
      </c>
      <c r="P4081">
        <v>29.12</v>
      </c>
      <c r="Q4081">
        <v>19.11</v>
      </c>
      <c r="R4081">
        <v>7.05</v>
      </c>
    </row>
    <row r="4082">
      <c r="A4082" s="9">
        <v>42613</v>
      </c>
      <c r="B4082" s="2" t="inlineStr">
        <is>
          <t xml:space="preserve">2016-08</t>
        </is>
      </c>
      <c r="C4082" s="2" t="inlineStr">
        <is>
          <t xml:space="preserve">2016/17</t>
        </is>
      </c>
      <c r="D4082">
        <v>8.429</v>
      </c>
      <c r="E4082">
        <v>22.96</v>
      </c>
      <c r="F4082">
        <v>27.34</v>
      </c>
      <c r="G4082">
        <v>19.7</v>
      </c>
      <c r="H4082">
        <v>5.81</v>
      </c>
      <c r="I4082">
        <v>29.186</v>
      </c>
      <c r="J4082">
        <v>22.84</v>
      </c>
      <c r="K4082">
        <v>26.83</v>
      </c>
      <c r="L4082">
        <v>20.09</v>
      </c>
      <c r="M4082">
        <v>10.47</v>
      </c>
      <c r="N4082">
        <v>5.346</v>
      </c>
      <c r="O4082">
        <v>23.65</v>
      </c>
      <c r="P4082">
        <v>28.75</v>
      </c>
      <c r="Q4082">
        <v>20.33</v>
      </c>
      <c r="R4082">
        <v>2.99</v>
      </c>
    </row>
    <row r="4083">
      <c r="A4083" s="9">
        <v>42614</v>
      </c>
      <c r="B4083" s="2" t="inlineStr">
        <is>
          <t xml:space="preserve">2016-09</t>
        </is>
      </c>
      <c r="C4083" s="2" t="inlineStr">
        <is>
          <t xml:space="preserve">2016/17</t>
        </is>
      </c>
      <c r="D4083">
        <v>1.589</v>
      </c>
      <c r="E4083">
        <v>22.82</v>
      </c>
      <c r="F4083">
        <v>27.35</v>
      </c>
      <c r="G4083">
        <v>19.34</v>
      </c>
      <c r="H4083">
        <v>4.39</v>
      </c>
      <c r="I4083">
        <v>2.552</v>
      </c>
      <c r="J4083">
        <v>22.48</v>
      </c>
      <c r="K4083">
        <v>26.82</v>
      </c>
      <c r="L4083">
        <v>19.65</v>
      </c>
      <c r="M4083">
        <v>6.09</v>
      </c>
      <c r="N4083">
        <v>8.302</v>
      </c>
      <c r="O4083">
        <v>23.58</v>
      </c>
      <c r="P4083">
        <v>28.58</v>
      </c>
      <c r="Q4083">
        <v>20.28</v>
      </c>
      <c r="R4083">
        <v>4.35</v>
      </c>
    </row>
    <row r="4084">
      <c r="A4084" s="9">
        <v>42615</v>
      </c>
      <c r="B4084" s="2" t="inlineStr">
        <is>
          <t xml:space="preserve">2016-09</t>
        </is>
      </c>
      <c r="C4084" s="2" t="inlineStr">
        <is>
          <t xml:space="preserve">2016/17</t>
        </is>
      </c>
      <c r="D4084">
        <v>3.073</v>
      </c>
      <c r="E4084">
        <v>22.31</v>
      </c>
      <c r="F4084">
        <v>26.78</v>
      </c>
      <c r="G4084">
        <v>18.79</v>
      </c>
      <c r="H4084">
        <v>3.0</v>
      </c>
      <c r="I4084">
        <v>3.317</v>
      </c>
      <c r="J4084">
        <v>22.09</v>
      </c>
      <c r="K4084">
        <v>25.89</v>
      </c>
      <c r="L4084">
        <v>19.32</v>
      </c>
      <c r="M4084">
        <v>5.46</v>
      </c>
      <c r="N4084">
        <v>2.646</v>
      </c>
      <c r="O4084">
        <v>23.37</v>
      </c>
      <c r="P4084">
        <v>28.26</v>
      </c>
      <c r="Q4084">
        <v>20.15</v>
      </c>
      <c r="R4084">
        <v>2.57</v>
      </c>
    </row>
    <row r="4085">
      <c r="A4085" s="9">
        <v>42616</v>
      </c>
      <c r="B4085" s="2" t="inlineStr">
        <is>
          <t xml:space="preserve">2016-09</t>
        </is>
      </c>
      <c r="C4085" s="2" t="inlineStr">
        <is>
          <t xml:space="preserve">2016/17</t>
        </is>
      </c>
      <c r="D4085">
        <v>2.114</v>
      </c>
      <c r="E4085">
        <v>22.52</v>
      </c>
      <c r="F4085">
        <v>27.02</v>
      </c>
      <c r="G4085">
        <v>18.83</v>
      </c>
      <c r="H4085">
        <v>0.75</v>
      </c>
      <c r="I4085">
        <v>7.345</v>
      </c>
      <c r="J4085">
        <v>22.18</v>
      </c>
      <c r="K4085">
        <v>25.42</v>
      </c>
      <c r="L4085">
        <v>19.57</v>
      </c>
      <c r="M4085">
        <v>1.57</v>
      </c>
      <c r="N4085">
        <v>2.409</v>
      </c>
      <c r="O4085">
        <v>23.46</v>
      </c>
      <c r="P4085">
        <v>28.13</v>
      </c>
      <c r="Q4085">
        <v>19.93</v>
      </c>
      <c r="R4085">
        <v>2.31</v>
      </c>
    </row>
    <row r="4086">
      <c r="A4086" s="9">
        <v>42617</v>
      </c>
      <c r="B4086" s="2" t="inlineStr">
        <is>
          <t xml:space="preserve">2016-09</t>
        </is>
      </c>
      <c r="C4086" s="2" t="inlineStr">
        <is>
          <t xml:space="preserve">2016/17</t>
        </is>
      </c>
      <c r="D4086">
        <v>0.359</v>
      </c>
      <c r="E4086">
        <v>22.56</v>
      </c>
      <c r="F4086">
        <v>28.01</v>
      </c>
      <c r="G4086">
        <v>18.68</v>
      </c>
      <c r="H4086">
        <v>0.88</v>
      </c>
      <c r="I4086">
        <v>0.0</v>
      </c>
      <c r="J4086">
        <v>22.37</v>
      </c>
      <c r="K4086">
        <v>26.01</v>
      </c>
      <c r="L4086">
        <v>19.57</v>
      </c>
      <c r="M4086">
        <v>3.81</v>
      </c>
      <c r="N4086">
        <v>0.0</v>
      </c>
      <c r="O4086">
        <v>23.45</v>
      </c>
      <c r="P4086">
        <v>27.31</v>
      </c>
      <c r="Q4086">
        <v>20.75</v>
      </c>
      <c r="R4086">
        <v>3.22</v>
      </c>
    </row>
    <row r="4087">
      <c r="A4087" s="9">
        <v>42618</v>
      </c>
      <c r="B4087" s="2" t="inlineStr">
        <is>
          <t xml:space="preserve">2016-09</t>
        </is>
      </c>
      <c r="C4087" s="2" t="inlineStr">
        <is>
          <t xml:space="preserve">2016/17</t>
        </is>
      </c>
      <c r="D4087">
        <v>7.708</v>
      </c>
      <c r="E4087">
        <v>21.66</v>
      </c>
      <c r="F4087">
        <v>27.16</v>
      </c>
      <c r="G4087">
        <v>17.22</v>
      </c>
      <c r="H4087">
        <v>10.67</v>
      </c>
      <c r="I4087">
        <v>4.894</v>
      </c>
      <c r="J4087">
        <v>22.43</v>
      </c>
      <c r="K4087">
        <v>26.41</v>
      </c>
      <c r="L4087">
        <v>18.92</v>
      </c>
      <c r="M4087">
        <v>11.53</v>
      </c>
      <c r="N4087">
        <v>9.98</v>
      </c>
      <c r="O4087">
        <v>22.83</v>
      </c>
      <c r="P4087">
        <v>27.17</v>
      </c>
      <c r="Q4087">
        <v>19.76</v>
      </c>
      <c r="R4087">
        <v>11.45</v>
      </c>
    </row>
    <row r="4088">
      <c r="A4088" s="9">
        <v>42619</v>
      </c>
      <c r="B4088" s="2" t="inlineStr">
        <is>
          <t xml:space="preserve">2016-09</t>
        </is>
      </c>
      <c r="C4088" s="2" t="inlineStr">
        <is>
          <t xml:space="preserve">2016/17</t>
        </is>
      </c>
      <c r="D4088">
        <v>2.538</v>
      </c>
      <c r="E4088">
        <v>22.11</v>
      </c>
      <c r="F4088">
        <v>28.2</v>
      </c>
      <c r="G4088">
        <v>17.89</v>
      </c>
      <c r="H4088">
        <v>1.21</v>
      </c>
      <c r="I4088">
        <v>30.633</v>
      </c>
      <c r="J4088">
        <v>22.7</v>
      </c>
      <c r="K4088">
        <v>26.74</v>
      </c>
      <c r="L4088">
        <v>19.14</v>
      </c>
      <c r="M4088">
        <v>13.31</v>
      </c>
      <c r="N4088">
        <v>12.86</v>
      </c>
      <c r="O4088">
        <v>22.89</v>
      </c>
      <c r="P4088">
        <v>27.24</v>
      </c>
      <c r="Q4088">
        <v>19.92</v>
      </c>
      <c r="R4088">
        <v>6.1</v>
      </c>
    </row>
    <row r="4089">
      <c r="A4089" s="9">
        <v>42620</v>
      </c>
      <c r="B4089" s="2" t="inlineStr">
        <is>
          <t xml:space="preserve">2016-09</t>
        </is>
      </c>
      <c r="C4089" s="2" t="inlineStr">
        <is>
          <t xml:space="preserve">2016/17</t>
        </is>
      </c>
      <c r="D4089">
        <v>0.0</v>
      </c>
      <c r="E4089">
        <v>21.4</v>
      </c>
      <c r="F4089">
        <v>26.52</v>
      </c>
      <c r="G4089">
        <v>17.66</v>
      </c>
      <c r="H4089">
        <v>0.62</v>
      </c>
      <c r="I4089">
        <v>2.565</v>
      </c>
      <c r="J4089">
        <v>22.31</v>
      </c>
      <c r="K4089">
        <v>27.31</v>
      </c>
      <c r="L4089">
        <v>18.78</v>
      </c>
      <c r="M4089">
        <v>2.29</v>
      </c>
      <c r="N4089">
        <v>3.448</v>
      </c>
      <c r="O4089">
        <v>22.61</v>
      </c>
      <c r="P4089">
        <v>27.31</v>
      </c>
      <c r="Q4089">
        <v>19.58</v>
      </c>
      <c r="R4089">
        <v>2.45</v>
      </c>
    </row>
    <row r="4090">
      <c r="A4090" s="9">
        <v>42621</v>
      </c>
      <c r="B4090" s="2" t="inlineStr">
        <is>
          <t xml:space="preserve">2016-09</t>
        </is>
      </c>
      <c r="C4090" s="2" t="inlineStr">
        <is>
          <t xml:space="preserve">2016/17</t>
        </is>
      </c>
      <c r="D4090">
        <v>0.751</v>
      </c>
      <c r="E4090">
        <v>22.18</v>
      </c>
      <c r="F4090">
        <v>27.47</v>
      </c>
      <c r="G4090">
        <v>18.21</v>
      </c>
      <c r="H4090">
        <v>0.95</v>
      </c>
      <c r="I4090">
        <v>0.0</v>
      </c>
      <c r="J4090">
        <v>21.43</v>
      </c>
      <c r="K4090">
        <v>26.04</v>
      </c>
      <c r="L4090">
        <v>18.1</v>
      </c>
      <c r="M4090">
        <v>0.65</v>
      </c>
      <c r="N4090">
        <v>0.0</v>
      </c>
      <c r="O4090">
        <v>22.28</v>
      </c>
      <c r="P4090">
        <v>26.57</v>
      </c>
      <c r="Q4090">
        <v>19.18</v>
      </c>
      <c r="R4090">
        <v>0.43</v>
      </c>
    </row>
    <row r="4091">
      <c r="A4091" s="9">
        <v>42622</v>
      </c>
      <c r="B4091" s="2" t="inlineStr">
        <is>
          <t xml:space="preserve">2016-09</t>
        </is>
      </c>
      <c r="C4091" s="2" t="inlineStr">
        <is>
          <t xml:space="preserve">2016/17</t>
        </is>
      </c>
      <c r="D4091">
        <v>0.371</v>
      </c>
      <c r="E4091">
        <v>22.72</v>
      </c>
      <c r="F4091">
        <v>27.82</v>
      </c>
      <c r="G4091">
        <v>18.54</v>
      </c>
      <c r="H4091">
        <v>0.99</v>
      </c>
      <c r="I4091">
        <v>4.349</v>
      </c>
      <c r="J4091">
        <v>22.1</v>
      </c>
      <c r="K4091">
        <v>26.97</v>
      </c>
      <c r="L4091">
        <v>18.01</v>
      </c>
      <c r="M4091">
        <v>3.24</v>
      </c>
      <c r="N4091">
        <v>0.219</v>
      </c>
      <c r="O4091">
        <v>22.75</v>
      </c>
      <c r="P4091">
        <v>27.94</v>
      </c>
      <c r="Q4091">
        <v>19.06</v>
      </c>
      <c r="R4091">
        <v>1.63</v>
      </c>
    </row>
    <row r="4092">
      <c r="A4092" s="9">
        <v>42623</v>
      </c>
      <c r="B4092" s="2" t="inlineStr">
        <is>
          <t xml:space="preserve">2016-09</t>
        </is>
      </c>
      <c r="C4092" s="2" t="inlineStr">
        <is>
          <t xml:space="preserve">2016/17</t>
        </is>
      </c>
      <c r="D4092">
        <v>2.573</v>
      </c>
      <c r="E4092">
        <v>23.69</v>
      </c>
      <c r="F4092">
        <v>29.58</v>
      </c>
      <c r="G4092">
        <v>19.53</v>
      </c>
      <c r="H4092">
        <v>4.07</v>
      </c>
      <c r="I4092">
        <v>1.618</v>
      </c>
      <c r="J4092">
        <v>22.79</v>
      </c>
      <c r="K4092">
        <v>26.7</v>
      </c>
      <c r="L4092">
        <v>19.61</v>
      </c>
      <c r="M4092">
        <v>2.98</v>
      </c>
      <c r="N4092">
        <v>5.882</v>
      </c>
      <c r="O4092">
        <v>23.57</v>
      </c>
      <c r="P4092">
        <v>28.33</v>
      </c>
      <c r="Q4092">
        <v>20.86</v>
      </c>
      <c r="R4092">
        <v>4.96</v>
      </c>
    </row>
    <row r="4093">
      <c r="A4093" s="9">
        <v>42624</v>
      </c>
      <c r="B4093" s="2" t="inlineStr">
        <is>
          <t xml:space="preserve">2016-09</t>
        </is>
      </c>
      <c r="C4093" s="2" t="inlineStr">
        <is>
          <t xml:space="preserve">2016/17</t>
        </is>
      </c>
      <c r="D4093">
        <v>0.381</v>
      </c>
      <c r="E4093">
        <v>23.62</v>
      </c>
      <c r="F4093">
        <v>29.87</v>
      </c>
      <c r="G4093">
        <v>19.29</v>
      </c>
      <c r="H4093">
        <v>3.07</v>
      </c>
      <c r="I4093">
        <v>4.511</v>
      </c>
      <c r="J4093">
        <v>22.68</v>
      </c>
      <c r="K4093">
        <v>26.55</v>
      </c>
      <c r="L4093">
        <v>20.3</v>
      </c>
      <c r="M4093">
        <v>7.14</v>
      </c>
      <c r="N4093">
        <v>3.207</v>
      </c>
      <c r="O4093">
        <v>23.35</v>
      </c>
      <c r="P4093">
        <v>27.61</v>
      </c>
      <c r="Q4093">
        <v>20.86</v>
      </c>
      <c r="R4093">
        <v>6.19</v>
      </c>
    </row>
    <row r="4094">
      <c r="A4094" s="9">
        <v>42625</v>
      </c>
      <c r="B4094" s="2" t="inlineStr">
        <is>
          <t xml:space="preserve">2016-09</t>
        </is>
      </c>
      <c r="C4094" s="2" t="inlineStr">
        <is>
          <t xml:space="preserve">2016/17</t>
        </is>
      </c>
      <c r="D4094">
        <v>9.54</v>
      </c>
      <c r="E4094">
        <v>22.35</v>
      </c>
      <c r="F4094">
        <v>27.15</v>
      </c>
      <c r="G4094">
        <v>19.74</v>
      </c>
      <c r="H4094">
        <v>12.29</v>
      </c>
      <c r="I4094">
        <v>16.029</v>
      </c>
      <c r="J4094">
        <v>22.22</v>
      </c>
      <c r="K4094">
        <v>26.37</v>
      </c>
      <c r="L4094">
        <v>18.93</v>
      </c>
      <c r="M4094">
        <v>8.65</v>
      </c>
      <c r="N4094">
        <v>3.671</v>
      </c>
      <c r="O4094">
        <v>22.95</v>
      </c>
      <c r="P4094">
        <v>26.83</v>
      </c>
      <c r="Q4094">
        <v>20.47</v>
      </c>
      <c r="R4094">
        <v>7.9</v>
      </c>
    </row>
    <row r="4095">
      <c r="A4095" s="9">
        <v>42626</v>
      </c>
      <c r="B4095" s="2" t="inlineStr">
        <is>
          <t xml:space="preserve">2016-09</t>
        </is>
      </c>
      <c r="C4095" s="2" t="inlineStr">
        <is>
          <t xml:space="preserve">2016/17</t>
        </is>
      </c>
      <c r="D4095">
        <v>6.408</v>
      </c>
      <c r="E4095">
        <v>22.13</v>
      </c>
      <c r="F4095">
        <v>26.09</v>
      </c>
      <c r="G4095">
        <v>19.42</v>
      </c>
      <c r="H4095">
        <v>13.43</v>
      </c>
      <c r="I4095">
        <v>20.875</v>
      </c>
      <c r="J4095">
        <v>22.82</v>
      </c>
      <c r="K4095">
        <v>27.02</v>
      </c>
      <c r="L4095">
        <v>19.67</v>
      </c>
      <c r="M4095">
        <v>18.39</v>
      </c>
      <c r="N4095">
        <v>32.03</v>
      </c>
      <c r="O4095">
        <v>22.72</v>
      </c>
      <c r="P4095">
        <v>26.72</v>
      </c>
      <c r="Q4095">
        <v>20.19</v>
      </c>
      <c r="R4095">
        <v>14.29</v>
      </c>
    </row>
    <row r="4096">
      <c r="A4096" s="9">
        <v>42627</v>
      </c>
      <c r="B4096" s="2" t="inlineStr">
        <is>
          <t xml:space="preserve">2016-09</t>
        </is>
      </c>
      <c r="C4096" s="2" t="inlineStr">
        <is>
          <t xml:space="preserve">2016/17</t>
        </is>
      </c>
      <c r="D4096">
        <v>6.015</v>
      </c>
      <c r="E4096">
        <v>22.66</v>
      </c>
      <c r="F4096">
        <v>27.33</v>
      </c>
      <c r="G4096">
        <v>19.2</v>
      </c>
      <c r="H4096">
        <v>5.32</v>
      </c>
      <c r="I4096">
        <v>7.214</v>
      </c>
      <c r="J4096">
        <v>22.21</v>
      </c>
      <c r="K4096">
        <v>25.43</v>
      </c>
      <c r="L4096">
        <v>19.84</v>
      </c>
      <c r="M4096">
        <v>13.61</v>
      </c>
      <c r="N4096">
        <v>24.997</v>
      </c>
      <c r="O4096">
        <v>23.05</v>
      </c>
      <c r="P4096">
        <v>26.76</v>
      </c>
      <c r="Q4096">
        <v>20.52</v>
      </c>
      <c r="R4096">
        <v>9.6</v>
      </c>
    </row>
    <row r="4097">
      <c r="A4097" s="9">
        <v>42628</v>
      </c>
      <c r="B4097" s="2" t="inlineStr">
        <is>
          <t xml:space="preserve">2016-09</t>
        </is>
      </c>
      <c r="C4097" s="2" t="inlineStr">
        <is>
          <t xml:space="preserve">2016/17</t>
        </is>
      </c>
      <c r="D4097">
        <v>7.092</v>
      </c>
      <c r="E4097">
        <v>22.66</v>
      </c>
      <c r="F4097">
        <v>27.73</v>
      </c>
      <c r="G4097">
        <v>19.1</v>
      </c>
      <c r="H4097">
        <v>4.95</v>
      </c>
      <c r="I4097">
        <v>11.89</v>
      </c>
      <c r="J4097">
        <v>21.64</v>
      </c>
      <c r="K4097">
        <v>24.44</v>
      </c>
      <c r="L4097">
        <v>19.76</v>
      </c>
      <c r="M4097">
        <v>6.21</v>
      </c>
      <c r="N4097">
        <v>5.568</v>
      </c>
      <c r="O4097">
        <v>22.79</v>
      </c>
      <c r="P4097">
        <v>24.72</v>
      </c>
      <c r="Q4097">
        <v>21.1</v>
      </c>
      <c r="R4097">
        <v>1.42</v>
      </c>
    </row>
    <row r="4098">
      <c r="A4098" s="9">
        <v>42629</v>
      </c>
      <c r="B4098" s="2" t="inlineStr">
        <is>
          <t xml:space="preserve">2016-09</t>
        </is>
      </c>
      <c r="C4098" s="2" t="inlineStr">
        <is>
          <t xml:space="preserve">2016/17</t>
        </is>
      </c>
      <c r="D4098">
        <v>3.383</v>
      </c>
      <c r="E4098">
        <v>22.57</v>
      </c>
      <c r="F4098">
        <v>27.65</v>
      </c>
      <c r="G4098">
        <v>18.7</v>
      </c>
      <c r="H4098">
        <v>5.85</v>
      </c>
      <c r="I4098">
        <v>1.062</v>
      </c>
      <c r="J4098">
        <v>22.76</v>
      </c>
      <c r="K4098">
        <v>27.27</v>
      </c>
      <c r="L4098">
        <v>18.35</v>
      </c>
      <c r="M4098">
        <v>5.46</v>
      </c>
      <c r="N4098">
        <v>0.0</v>
      </c>
      <c r="O4098">
        <v>23.46</v>
      </c>
      <c r="P4098">
        <v>27.37</v>
      </c>
      <c r="Q4098">
        <v>20.54</v>
      </c>
      <c r="R4098">
        <v>4.24</v>
      </c>
    </row>
    <row r="4099">
      <c r="A4099" s="9">
        <v>42630</v>
      </c>
      <c r="B4099" s="2" t="inlineStr">
        <is>
          <t xml:space="preserve">2016-09</t>
        </is>
      </c>
      <c r="C4099" s="2" t="inlineStr">
        <is>
          <t xml:space="preserve">2016/17</t>
        </is>
      </c>
      <c r="D4099">
        <v>7.047</v>
      </c>
      <c r="E4099">
        <v>22.44</v>
      </c>
      <c r="F4099">
        <v>28.03</v>
      </c>
      <c r="G4099">
        <v>18.19</v>
      </c>
      <c r="H4099">
        <v>2.82</v>
      </c>
      <c r="I4099">
        <v>7.1</v>
      </c>
      <c r="J4099">
        <v>23.14</v>
      </c>
      <c r="K4099">
        <v>27.57</v>
      </c>
      <c r="L4099">
        <v>19.91</v>
      </c>
      <c r="M4099">
        <v>10.25</v>
      </c>
      <c r="N4099">
        <v>10.51</v>
      </c>
      <c r="O4099">
        <v>23.14</v>
      </c>
      <c r="P4099">
        <v>26.99</v>
      </c>
      <c r="Q4099">
        <v>20.75</v>
      </c>
      <c r="R4099">
        <v>7.15</v>
      </c>
    </row>
    <row r="4100">
      <c r="A4100" s="9">
        <v>42631</v>
      </c>
      <c r="B4100" s="2" t="inlineStr">
        <is>
          <t xml:space="preserve">2016-09</t>
        </is>
      </c>
      <c r="C4100" s="2" t="inlineStr">
        <is>
          <t xml:space="preserve">2016/17</t>
        </is>
      </c>
      <c r="D4100">
        <v>3.967</v>
      </c>
      <c r="E4100">
        <v>22.67</v>
      </c>
      <c r="F4100">
        <v>28.68</v>
      </c>
      <c r="G4100">
        <v>17.96</v>
      </c>
      <c r="H4100">
        <v>3.36</v>
      </c>
      <c r="I4100">
        <v>11.297</v>
      </c>
      <c r="J4100">
        <v>22.5</v>
      </c>
      <c r="K4100">
        <v>26.82</v>
      </c>
      <c r="L4100">
        <v>19.24</v>
      </c>
      <c r="M4100">
        <v>5.56</v>
      </c>
      <c r="N4100">
        <v>10.267</v>
      </c>
      <c r="O4100">
        <v>22.66</v>
      </c>
      <c r="P4100">
        <v>26.76</v>
      </c>
      <c r="Q4100">
        <v>20.29</v>
      </c>
      <c r="R4100">
        <v>7.7</v>
      </c>
    </row>
    <row r="4101">
      <c r="A4101" s="9">
        <v>42632</v>
      </c>
      <c r="B4101" s="2" t="inlineStr">
        <is>
          <t xml:space="preserve">2016-09</t>
        </is>
      </c>
      <c r="C4101" s="2" t="inlineStr">
        <is>
          <t xml:space="preserve">2016/17</t>
        </is>
      </c>
      <c r="D4101">
        <v>0.0</v>
      </c>
      <c r="E4101">
        <v>22.69</v>
      </c>
      <c r="F4101">
        <v>27.73</v>
      </c>
      <c r="G4101">
        <v>19.44</v>
      </c>
      <c r="H4101">
        <v>2.56</v>
      </c>
      <c r="I4101">
        <v>1.062</v>
      </c>
      <c r="J4101">
        <v>22.18</v>
      </c>
      <c r="K4101">
        <v>26.23</v>
      </c>
      <c r="L4101">
        <v>19.56</v>
      </c>
      <c r="M4101">
        <v>3.8</v>
      </c>
      <c r="N4101">
        <v>2.911</v>
      </c>
      <c r="O4101">
        <v>22.17</v>
      </c>
      <c r="P4101">
        <v>25.96</v>
      </c>
      <c r="Q4101">
        <v>19.99</v>
      </c>
      <c r="R4101">
        <v>6.55</v>
      </c>
    </row>
    <row r="4102">
      <c r="A4102" s="9">
        <v>42633</v>
      </c>
      <c r="B4102" s="2" t="inlineStr">
        <is>
          <t xml:space="preserve">2016-09</t>
        </is>
      </c>
      <c r="C4102" s="2" t="inlineStr">
        <is>
          <t xml:space="preserve">2016/17</t>
        </is>
      </c>
      <c r="D4102">
        <v>2.14</v>
      </c>
      <c r="E4102">
        <v>22.49</v>
      </c>
      <c r="F4102">
        <v>27.34</v>
      </c>
      <c r="G4102">
        <v>19.28</v>
      </c>
      <c r="H4102">
        <v>1.14</v>
      </c>
      <c r="I4102">
        <v>9.735</v>
      </c>
      <c r="J4102">
        <v>22.01</v>
      </c>
      <c r="K4102">
        <v>25.77</v>
      </c>
      <c r="L4102">
        <v>19.42</v>
      </c>
      <c r="M4102">
        <v>12.63</v>
      </c>
      <c r="N4102">
        <v>4.636</v>
      </c>
      <c r="O4102">
        <v>22.27</v>
      </c>
      <c r="P4102">
        <v>26.11</v>
      </c>
      <c r="Q4102">
        <v>19.88</v>
      </c>
      <c r="R4102">
        <v>3.82</v>
      </c>
    </row>
    <row r="4103">
      <c r="A4103" s="9">
        <v>42634</v>
      </c>
      <c r="B4103" s="2" t="inlineStr">
        <is>
          <t xml:space="preserve">2016-09</t>
        </is>
      </c>
      <c r="C4103" s="2" t="inlineStr">
        <is>
          <t xml:space="preserve">2016/17</t>
        </is>
      </c>
      <c r="D4103">
        <v>0.336</v>
      </c>
      <c r="E4103">
        <v>22.4</v>
      </c>
      <c r="F4103">
        <v>28.49</v>
      </c>
      <c r="G4103">
        <v>17.92</v>
      </c>
      <c r="H4103">
        <v>4.49</v>
      </c>
      <c r="I4103">
        <v>36.843</v>
      </c>
      <c r="J4103">
        <v>22.14</v>
      </c>
      <c r="K4103">
        <v>26.23</v>
      </c>
      <c r="L4103">
        <v>19.24</v>
      </c>
      <c r="M4103">
        <v>10.66</v>
      </c>
      <c r="N4103">
        <v>2.401</v>
      </c>
      <c r="O4103">
        <v>22.62</v>
      </c>
      <c r="P4103">
        <v>26.92</v>
      </c>
      <c r="Q4103">
        <v>20.28</v>
      </c>
      <c r="R4103">
        <v>4.63</v>
      </c>
    </row>
    <row r="4104">
      <c r="A4104" s="9">
        <v>42635</v>
      </c>
      <c r="B4104" s="2" t="inlineStr">
        <is>
          <t xml:space="preserve">2016-09</t>
        </is>
      </c>
      <c r="C4104" s="2" t="inlineStr">
        <is>
          <t xml:space="preserve">2016/17</t>
        </is>
      </c>
      <c r="D4104">
        <v>2.394</v>
      </c>
      <c r="E4104">
        <v>22.02</v>
      </c>
      <c r="F4104">
        <v>28.39</v>
      </c>
      <c r="G4104">
        <v>17.48</v>
      </c>
      <c r="H4104">
        <v>7.82</v>
      </c>
      <c r="I4104">
        <v>22.223</v>
      </c>
      <c r="J4104">
        <v>22.59</v>
      </c>
      <c r="K4104">
        <v>27.64</v>
      </c>
      <c r="L4104">
        <v>19.88</v>
      </c>
      <c r="M4104">
        <v>14.84</v>
      </c>
      <c r="N4104">
        <v>1.473</v>
      </c>
      <c r="O4104">
        <v>22.92</v>
      </c>
      <c r="P4104">
        <v>27.81</v>
      </c>
      <c r="Q4104">
        <v>19.68</v>
      </c>
      <c r="R4104">
        <v>8.74</v>
      </c>
    </row>
    <row r="4105">
      <c r="A4105" s="9">
        <v>42636</v>
      </c>
      <c r="B4105" s="2" t="inlineStr">
        <is>
          <t xml:space="preserve">2016-09</t>
        </is>
      </c>
      <c r="C4105" s="2" t="inlineStr">
        <is>
          <t xml:space="preserve">2016/17</t>
        </is>
      </c>
      <c r="D4105">
        <v>14.247</v>
      </c>
      <c r="E4105">
        <v>21.42</v>
      </c>
      <c r="F4105">
        <v>26.7</v>
      </c>
      <c r="G4105">
        <v>17.48</v>
      </c>
      <c r="H4105">
        <v>6.11</v>
      </c>
      <c r="I4105">
        <v>10.994</v>
      </c>
      <c r="J4105">
        <v>21.35</v>
      </c>
      <c r="K4105">
        <v>25.35</v>
      </c>
      <c r="L4105">
        <v>19.02</v>
      </c>
      <c r="M4105">
        <v>23.46</v>
      </c>
      <c r="N4105">
        <v>33.94</v>
      </c>
      <c r="O4105">
        <v>22.37</v>
      </c>
      <c r="P4105">
        <v>25.7</v>
      </c>
      <c r="Q4105">
        <v>19.87</v>
      </c>
      <c r="R4105">
        <v>18.3</v>
      </c>
    </row>
    <row r="4106">
      <c r="A4106" s="9">
        <v>42637</v>
      </c>
      <c r="B4106" s="2" t="inlineStr">
        <is>
          <t xml:space="preserve">2016-09</t>
        </is>
      </c>
      <c r="C4106" s="2" t="inlineStr">
        <is>
          <t xml:space="preserve">2016/17</t>
        </is>
      </c>
      <c r="D4106">
        <v>1.647</v>
      </c>
      <c r="E4106">
        <v>22.15</v>
      </c>
      <c r="F4106">
        <v>27.23</v>
      </c>
      <c r="G4106">
        <v>18.48</v>
      </c>
      <c r="H4106">
        <v>4.39</v>
      </c>
      <c r="I4106">
        <v>12.738</v>
      </c>
      <c r="J4106">
        <v>21.29</v>
      </c>
      <c r="K4106">
        <v>25.49</v>
      </c>
      <c r="L4106">
        <v>17.78</v>
      </c>
      <c r="M4106">
        <v>14.52</v>
      </c>
      <c r="N4106">
        <v>47.16</v>
      </c>
      <c r="O4106">
        <v>22.71</v>
      </c>
      <c r="P4106">
        <v>27.07</v>
      </c>
      <c r="Q4106">
        <v>19.17</v>
      </c>
      <c r="R4106">
        <v>15.14</v>
      </c>
    </row>
    <row r="4107">
      <c r="A4107" s="9">
        <v>42638</v>
      </c>
      <c r="B4107" s="2" t="inlineStr">
        <is>
          <t xml:space="preserve">2016-09</t>
        </is>
      </c>
      <c r="C4107" s="2" t="inlineStr">
        <is>
          <t xml:space="preserve">2016/17</t>
        </is>
      </c>
      <c r="D4107">
        <v>0.547</v>
      </c>
      <c r="E4107">
        <v>22.26</v>
      </c>
      <c r="F4107">
        <v>28.11</v>
      </c>
      <c r="G4107">
        <v>18.07</v>
      </c>
      <c r="H4107">
        <v>2.46</v>
      </c>
      <c r="I4107">
        <v>5.096</v>
      </c>
      <c r="J4107">
        <v>21.79</v>
      </c>
      <c r="K4107">
        <v>26.34</v>
      </c>
      <c r="L4107">
        <v>18.01</v>
      </c>
      <c r="M4107">
        <v>7.46</v>
      </c>
      <c r="N4107">
        <v>19.391</v>
      </c>
      <c r="O4107">
        <v>21.91</v>
      </c>
      <c r="P4107">
        <v>25.13</v>
      </c>
      <c r="Q4107">
        <v>19.3</v>
      </c>
      <c r="R4107">
        <v>8.0</v>
      </c>
    </row>
    <row r="4108">
      <c r="A4108" s="9">
        <v>42639</v>
      </c>
      <c r="B4108" s="2" t="inlineStr">
        <is>
          <t xml:space="preserve">2016-09</t>
        </is>
      </c>
      <c r="C4108" s="2" t="inlineStr">
        <is>
          <t xml:space="preserve">2016/17</t>
        </is>
      </c>
      <c r="D4108">
        <v>2.132</v>
      </c>
      <c r="E4108">
        <v>22.3</v>
      </c>
      <c r="F4108">
        <v>27.57</v>
      </c>
      <c r="G4108">
        <v>18.48</v>
      </c>
      <c r="H4108">
        <v>2.7</v>
      </c>
      <c r="I4108">
        <v>7.92</v>
      </c>
      <c r="J4108">
        <v>23.03</v>
      </c>
      <c r="K4108">
        <v>27.96</v>
      </c>
      <c r="L4108">
        <v>18.82</v>
      </c>
      <c r="M4108">
        <v>10.05</v>
      </c>
      <c r="N4108">
        <v>29.166</v>
      </c>
      <c r="O4108">
        <v>22.82</v>
      </c>
      <c r="P4108">
        <v>27.35</v>
      </c>
      <c r="Q4108">
        <v>19.35</v>
      </c>
      <c r="R4108">
        <v>8.24</v>
      </c>
    </row>
    <row r="4109">
      <c r="A4109" s="9">
        <v>42640</v>
      </c>
      <c r="B4109" s="2" t="inlineStr">
        <is>
          <t xml:space="preserve">2016-09</t>
        </is>
      </c>
      <c r="C4109" s="2" t="inlineStr">
        <is>
          <t xml:space="preserve">2016/17</t>
        </is>
      </c>
      <c r="D4109">
        <v>4.733</v>
      </c>
      <c r="E4109">
        <v>22.42</v>
      </c>
      <c r="F4109">
        <v>28.57</v>
      </c>
      <c r="G4109">
        <v>17.84</v>
      </c>
      <c r="H4109">
        <v>1.76</v>
      </c>
      <c r="I4109">
        <v>9.773</v>
      </c>
      <c r="J4109">
        <v>22.67</v>
      </c>
      <c r="K4109">
        <v>26.62</v>
      </c>
      <c r="L4109">
        <v>20.01</v>
      </c>
      <c r="M4109">
        <v>5.48</v>
      </c>
      <c r="N4109">
        <v>4.33</v>
      </c>
      <c r="O4109">
        <v>22.94</v>
      </c>
      <c r="P4109">
        <v>27.1</v>
      </c>
      <c r="Q4109">
        <v>20.17</v>
      </c>
      <c r="R4109">
        <v>2.54</v>
      </c>
    </row>
    <row r="4110">
      <c r="A4110" s="9">
        <v>42641</v>
      </c>
      <c r="B4110" s="2" t="inlineStr">
        <is>
          <t xml:space="preserve">2016-09</t>
        </is>
      </c>
      <c r="C4110" s="2" t="inlineStr">
        <is>
          <t xml:space="preserve">2016/17</t>
        </is>
      </c>
      <c r="D4110">
        <v>0.0</v>
      </c>
      <c r="E4110">
        <v>22.71</v>
      </c>
      <c r="F4110">
        <v>28.94</v>
      </c>
      <c r="G4110">
        <v>17.12</v>
      </c>
      <c r="H4110">
        <v>0.75</v>
      </c>
      <c r="I4110">
        <v>0.0</v>
      </c>
      <c r="J4110">
        <v>23.25</v>
      </c>
      <c r="K4110">
        <v>27.88</v>
      </c>
      <c r="L4110">
        <v>18.98</v>
      </c>
      <c r="M4110">
        <v>1.54</v>
      </c>
      <c r="N4110">
        <v>0.0</v>
      </c>
      <c r="O4110">
        <v>23.26</v>
      </c>
      <c r="P4110">
        <v>27.82</v>
      </c>
      <c r="Q4110">
        <v>19.93</v>
      </c>
      <c r="R4110">
        <v>1.83</v>
      </c>
    </row>
    <row r="4111">
      <c r="A4111" s="9">
        <v>42642</v>
      </c>
      <c r="B4111" s="2" t="inlineStr">
        <is>
          <t xml:space="preserve">2016-09</t>
        </is>
      </c>
      <c r="C4111" s="2" t="inlineStr">
        <is>
          <t xml:space="preserve">2016/17</t>
        </is>
      </c>
      <c r="D4111">
        <v>0.029</v>
      </c>
      <c r="E4111">
        <v>22.57</v>
      </c>
      <c r="F4111">
        <v>29.37</v>
      </c>
      <c r="G4111">
        <v>17.79</v>
      </c>
      <c r="H4111">
        <v>0.84</v>
      </c>
      <c r="I4111">
        <v>2.121</v>
      </c>
      <c r="J4111">
        <v>22.45</v>
      </c>
      <c r="K4111">
        <v>26.94</v>
      </c>
      <c r="L4111">
        <v>19.55</v>
      </c>
      <c r="M4111">
        <v>9.28</v>
      </c>
      <c r="N4111">
        <v>8.409</v>
      </c>
      <c r="O4111">
        <v>22.83</v>
      </c>
      <c r="P4111">
        <v>27.22</v>
      </c>
      <c r="Q4111">
        <v>20.33</v>
      </c>
      <c r="R4111">
        <v>6.06</v>
      </c>
    </row>
    <row r="4112">
      <c r="A4112" s="9">
        <v>42643</v>
      </c>
      <c r="B4112" s="2" t="inlineStr">
        <is>
          <t xml:space="preserve">2016-09</t>
        </is>
      </c>
      <c r="C4112" s="2" t="inlineStr">
        <is>
          <t xml:space="preserve">2016/17</t>
        </is>
      </c>
      <c r="D4112">
        <v>0.139</v>
      </c>
      <c r="E4112">
        <v>22.24</v>
      </c>
      <c r="F4112">
        <v>29.01</v>
      </c>
      <c r="G4112">
        <v>17.38</v>
      </c>
      <c r="H4112">
        <v>1.62</v>
      </c>
      <c r="I4112">
        <v>14.593</v>
      </c>
      <c r="J4112">
        <v>22.08</v>
      </c>
      <c r="K4112">
        <v>26.61</v>
      </c>
      <c r="L4112">
        <v>18.9</v>
      </c>
      <c r="M4112">
        <v>8.54</v>
      </c>
      <c r="N4112">
        <v>19.371</v>
      </c>
      <c r="O4112">
        <v>22.36</v>
      </c>
      <c r="P4112">
        <v>26.37</v>
      </c>
      <c r="Q4112">
        <v>19.85</v>
      </c>
      <c r="R4112">
        <v>7.41</v>
      </c>
    </row>
    <row r="4113">
      <c r="A4113" s="9">
        <v>42644</v>
      </c>
      <c r="B4113" s="2" t="inlineStr">
        <is>
          <t xml:space="preserve">2016-10</t>
        </is>
      </c>
      <c r="C4113" s="2" t="inlineStr">
        <is>
          <t xml:space="preserve">2016/17</t>
        </is>
      </c>
      <c r="D4113">
        <v>0.0</v>
      </c>
      <c r="E4113">
        <v>21.38</v>
      </c>
      <c r="F4113">
        <v>26.69</v>
      </c>
      <c r="G4113">
        <v>17.98</v>
      </c>
      <c r="H4113">
        <v>1.38</v>
      </c>
      <c r="I4113">
        <v>2.758</v>
      </c>
      <c r="J4113">
        <v>21.22</v>
      </c>
      <c r="K4113">
        <v>26.43</v>
      </c>
      <c r="L4113">
        <v>17.37</v>
      </c>
      <c r="M4113">
        <v>1.74</v>
      </c>
      <c r="N4113">
        <v>0.409</v>
      </c>
      <c r="O4113">
        <v>21.42</v>
      </c>
      <c r="P4113">
        <v>25.55</v>
      </c>
      <c r="Q4113">
        <v>18.82</v>
      </c>
      <c r="R4113">
        <v>2.21</v>
      </c>
    </row>
    <row r="4114">
      <c r="A4114" s="9">
        <v>42645</v>
      </c>
      <c r="B4114" s="2" t="inlineStr">
        <is>
          <t xml:space="preserve">2016-10</t>
        </is>
      </c>
      <c r="C4114" s="2" t="inlineStr">
        <is>
          <t xml:space="preserve">2016/17</t>
        </is>
      </c>
      <c r="D4114">
        <v>7.62</v>
      </c>
      <c r="E4114">
        <v>21.56</v>
      </c>
      <c r="F4114">
        <v>27.69</v>
      </c>
      <c r="G4114">
        <v>17.19</v>
      </c>
      <c r="H4114">
        <v>8.0</v>
      </c>
      <c r="I4114">
        <v>0.0</v>
      </c>
      <c r="J4114">
        <v>21.35</v>
      </c>
      <c r="K4114">
        <v>26.38</v>
      </c>
      <c r="L4114">
        <v>17.7</v>
      </c>
      <c r="M4114">
        <v>0.92</v>
      </c>
      <c r="N4114">
        <v>0.405</v>
      </c>
      <c r="O4114">
        <v>21.65</v>
      </c>
      <c r="P4114">
        <v>26.19</v>
      </c>
      <c r="Q4114">
        <v>18.76</v>
      </c>
      <c r="R4114">
        <v>1.59</v>
      </c>
    </row>
    <row r="4115">
      <c r="A4115" s="9">
        <v>42646</v>
      </c>
      <c r="B4115" s="2" t="inlineStr">
        <is>
          <t xml:space="preserve">2016-10</t>
        </is>
      </c>
      <c r="C4115" s="2" t="inlineStr">
        <is>
          <t xml:space="preserve">2016/17</t>
        </is>
      </c>
      <c r="D4115">
        <v>4.78</v>
      </c>
      <c r="E4115">
        <v>22.15</v>
      </c>
      <c r="F4115">
        <v>28.66</v>
      </c>
      <c r="G4115">
        <v>17.09</v>
      </c>
      <c r="H4115">
        <v>0.96</v>
      </c>
      <c r="I4115">
        <v>0.449</v>
      </c>
      <c r="J4115">
        <v>21.86</v>
      </c>
      <c r="K4115">
        <v>27.24</v>
      </c>
      <c r="L4115">
        <v>16.86</v>
      </c>
      <c r="M4115">
        <v>0.35</v>
      </c>
      <c r="N4115">
        <v>0.0</v>
      </c>
      <c r="O4115">
        <v>22.01</v>
      </c>
      <c r="P4115">
        <v>27.47</v>
      </c>
      <c r="Q4115">
        <v>17.43</v>
      </c>
      <c r="R4115">
        <v>0.18</v>
      </c>
    </row>
    <row r="4116">
      <c r="A4116" s="9">
        <v>42647</v>
      </c>
      <c r="B4116" s="2" t="inlineStr">
        <is>
          <t xml:space="preserve">2016-10</t>
        </is>
      </c>
      <c r="C4116" s="2" t="inlineStr">
        <is>
          <t xml:space="preserve">2016/17</t>
        </is>
      </c>
      <c r="D4116">
        <v>2.645</v>
      </c>
      <c r="E4116">
        <v>22.95</v>
      </c>
      <c r="F4116">
        <v>29.44</v>
      </c>
      <c r="G4116">
        <v>17.38</v>
      </c>
      <c r="H4116">
        <v>4.01</v>
      </c>
      <c r="I4116">
        <v>0.128</v>
      </c>
      <c r="J4116">
        <v>22.8</v>
      </c>
      <c r="K4116">
        <v>28.19</v>
      </c>
      <c r="L4116">
        <v>18.23</v>
      </c>
      <c r="M4116">
        <v>0.6</v>
      </c>
      <c r="N4116">
        <v>0.496</v>
      </c>
      <c r="O4116">
        <v>23.21</v>
      </c>
      <c r="P4116">
        <v>28.31</v>
      </c>
      <c r="Q4116">
        <v>19.31</v>
      </c>
      <c r="R4116">
        <v>1.09</v>
      </c>
    </row>
    <row r="4117">
      <c r="A4117" s="9">
        <v>42648</v>
      </c>
      <c r="B4117" s="2" t="inlineStr">
        <is>
          <t xml:space="preserve">2016-10</t>
        </is>
      </c>
      <c r="C4117" s="2" t="inlineStr">
        <is>
          <t xml:space="preserve">2016/17</t>
        </is>
      </c>
      <c r="D4117">
        <v>6.021</v>
      </c>
      <c r="E4117">
        <v>23.52</v>
      </c>
      <c r="F4117">
        <v>29.97</v>
      </c>
      <c r="G4117">
        <v>18.34</v>
      </c>
      <c r="H4117">
        <v>2.47</v>
      </c>
      <c r="I4117">
        <v>0.0</v>
      </c>
      <c r="J4117">
        <v>23.16</v>
      </c>
      <c r="K4117">
        <v>28.46</v>
      </c>
      <c r="L4117">
        <v>18.54</v>
      </c>
      <c r="M4117">
        <v>0.96</v>
      </c>
      <c r="N4117">
        <v>0.025</v>
      </c>
      <c r="O4117">
        <v>23.1</v>
      </c>
      <c r="P4117">
        <v>28.38</v>
      </c>
      <c r="Q4117">
        <v>19.18</v>
      </c>
      <c r="R4117">
        <v>0.17</v>
      </c>
    </row>
    <row r="4118">
      <c r="A4118" s="9">
        <v>42649</v>
      </c>
      <c r="B4118" s="2" t="inlineStr">
        <is>
          <t xml:space="preserve">2016-10</t>
        </is>
      </c>
      <c r="C4118" s="2" t="inlineStr">
        <is>
          <t xml:space="preserve">2016/17</t>
        </is>
      </c>
      <c r="D4118">
        <v>12.107</v>
      </c>
      <c r="E4118">
        <v>22.6</v>
      </c>
      <c r="F4118">
        <v>28.81</v>
      </c>
      <c r="G4118">
        <v>18.72</v>
      </c>
      <c r="H4118">
        <v>14.35</v>
      </c>
      <c r="I4118">
        <v>6.652</v>
      </c>
      <c r="J4118">
        <v>22.56</v>
      </c>
      <c r="K4118">
        <v>27.98</v>
      </c>
      <c r="L4118">
        <v>17.98</v>
      </c>
      <c r="M4118">
        <v>2.81</v>
      </c>
      <c r="N4118">
        <v>0.344</v>
      </c>
      <c r="O4118">
        <v>22.75</v>
      </c>
      <c r="P4118">
        <v>28.01</v>
      </c>
      <c r="Q4118">
        <v>19.08</v>
      </c>
      <c r="R4118">
        <v>0.93</v>
      </c>
    </row>
    <row r="4119">
      <c r="A4119" s="9">
        <v>42650</v>
      </c>
      <c r="B4119" s="2" t="inlineStr">
        <is>
          <t xml:space="preserve">2016-10</t>
        </is>
      </c>
      <c r="C4119" s="2" t="inlineStr">
        <is>
          <t xml:space="preserve">2016/17</t>
        </is>
      </c>
      <c r="D4119">
        <v>3.839</v>
      </c>
      <c r="E4119">
        <v>22.19</v>
      </c>
      <c r="F4119">
        <v>27.61</v>
      </c>
      <c r="G4119">
        <v>18.83</v>
      </c>
      <c r="H4119">
        <v>5.38</v>
      </c>
      <c r="I4119">
        <v>0.0</v>
      </c>
      <c r="J4119">
        <v>22.3</v>
      </c>
      <c r="K4119">
        <v>28.01</v>
      </c>
      <c r="L4119">
        <v>17.62</v>
      </c>
      <c r="M4119">
        <v>1.58</v>
      </c>
      <c r="N4119">
        <v>0.0</v>
      </c>
      <c r="O4119">
        <v>22.33</v>
      </c>
      <c r="P4119">
        <v>27.44</v>
      </c>
      <c r="Q4119">
        <v>18.71</v>
      </c>
      <c r="R4119">
        <v>0.75</v>
      </c>
    </row>
    <row r="4120">
      <c r="A4120" s="9">
        <v>42651</v>
      </c>
      <c r="B4120" s="2" t="inlineStr">
        <is>
          <t xml:space="preserve">2016-10</t>
        </is>
      </c>
      <c r="C4120" s="2" t="inlineStr">
        <is>
          <t xml:space="preserve">2016/17</t>
        </is>
      </c>
      <c r="D4120">
        <v>10.275</v>
      </c>
      <c r="E4120">
        <v>21.68</v>
      </c>
      <c r="F4120">
        <v>25.88</v>
      </c>
      <c r="G4120">
        <v>19.08</v>
      </c>
      <c r="H4120">
        <v>12.57</v>
      </c>
      <c r="I4120">
        <v>3.923</v>
      </c>
      <c r="J4120">
        <v>21.5</v>
      </c>
      <c r="K4120">
        <v>25.94</v>
      </c>
      <c r="L4120">
        <v>17.7</v>
      </c>
      <c r="M4120">
        <v>6.61</v>
      </c>
      <c r="N4120">
        <v>0.41</v>
      </c>
      <c r="O4120">
        <v>22.04</v>
      </c>
      <c r="P4120">
        <v>27.19</v>
      </c>
      <c r="Q4120">
        <v>18.4</v>
      </c>
      <c r="R4120">
        <v>8.5</v>
      </c>
    </row>
    <row r="4121">
      <c r="A4121" s="9">
        <v>42652</v>
      </c>
      <c r="B4121" s="2" t="inlineStr">
        <is>
          <t xml:space="preserve">2016-10</t>
        </is>
      </c>
      <c r="C4121" s="2" t="inlineStr">
        <is>
          <t xml:space="preserve">2016/17</t>
        </is>
      </c>
      <c r="D4121">
        <v>5.922</v>
      </c>
      <c r="E4121">
        <v>21.93</v>
      </c>
      <c r="F4121">
        <v>27.89</v>
      </c>
      <c r="G4121">
        <v>17.6</v>
      </c>
      <c r="H4121">
        <v>2.95</v>
      </c>
      <c r="I4121">
        <v>8.54</v>
      </c>
      <c r="J4121">
        <v>22.3</v>
      </c>
      <c r="K4121">
        <v>26.47</v>
      </c>
      <c r="L4121">
        <v>19.44</v>
      </c>
      <c r="M4121">
        <v>8.0</v>
      </c>
      <c r="N4121">
        <v>4.427</v>
      </c>
      <c r="O4121">
        <v>22.44</v>
      </c>
      <c r="P4121">
        <v>26.86</v>
      </c>
      <c r="Q4121">
        <v>20.1</v>
      </c>
      <c r="R4121">
        <v>11.31</v>
      </c>
    </row>
    <row r="4122">
      <c r="A4122" s="9">
        <v>42653</v>
      </c>
      <c r="B4122" s="2" t="inlineStr">
        <is>
          <t xml:space="preserve">2016-10</t>
        </is>
      </c>
      <c r="C4122" s="2" t="inlineStr">
        <is>
          <t xml:space="preserve">2016/17</t>
        </is>
      </c>
      <c r="D4122">
        <v>0.978</v>
      </c>
      <c r="E4122">
        <v>21.58</v>
      </c>
      <c r="F4122">
        <v>26.35</v>
      </c>
      <c r="G4122">
        <v>18.52</v>
      </c>
      <c r="H4122">
        <v>3.09</v>
      </c>
      <c r="I4122">
        <v>10.029</v>
      </c>
      <c r="J4122">
        <v>21.69</v>
      </c>
      <c r="K4122">
        <v>26.33</v>
      </c>
      <c r="L4122">
        <v>18.5</v>
      </c>
      <c r="M4122">
        <v>8.62</v>
      </c>
      <c r="N4122">
        <v>1.422</v>
      </c>
      <c r="O4122">
        <v>22.21</v>
      </c>
      <c r="P4122">
        <v>26.23</v>
      </c>
      <c r="Q4122">
        <v>19.5</v>
      </c>
      <c r="R4122">
        <v>9.37</v>
      </c>
    </row>
    <row r="4123">
      <c r="A4123" s="9">
        <v>42654</v>
      </c>
      <c r="B4123" s="2" t="inlineStr">
        <is>
          <t xml:space="preserve">2016-10</t>
        </is>
      </c>
      <c r="C4123" s="2" t="inlineStr">
        <is>
          <t xml:space="preserve">2016/17</t>
        </is>
      </c>
      <c r="D4123">
        <v>0.031</v>
      </c>
      <c r="E4123">
        <v>21.69</v>
      </c>
      <c r="F4123">
        <v>26.66</v>
      </c>
      <c r="G4123">
        <v>18.39</v>
      </c>
      <c r="H4123">
        <v>1.48</v>
      </c>
      <c r="I4123">
        <v>2.993</v>
      </c>
      <c r="J4123">
        <v>22.02</v>
      </c>
      <c r="K4123">
        <v>26.16</v>
      </c>
      <c r="L4123">
        <v>19.28</v>
      </c>
      <c r="M4123">
        <v>4.16</v>
      </c>
      <c r="N4123">
        <v>12.083</v>
      </c>
      <c r="O4123">
        <v>22.34</v>
      </c>
      <c r="P4123">
        <v>25.6</v>
      </c>
      <c r="Q4123">
        <v>20.34</v>
      </c>
      <c r="R4123">
        <v>8.59</v>
      </c>
    </row>
    <row r="4124">
      <c r="A4124" s="9">
        <v>42655</v>
      </c>
      <c r="B4124" s="2" t="inlineStr">
        <is>
          <t xml:space="preserve">2016-10</t>
        </is>
      </c>
      <c r="C4124" s="2" t="inlineStr">
        <is>
          <t xml:space="preserve">2016/17</t>
        </is>
      </c>
      <c r="D4124">
        <v>0.188</v>
      </c>
      <c r="E4124">
        <v>21.6</v>
      </c>
      <c r="F4124">
        <v>27.43</v>
      </c>
      <c r="G4124">
        <v>17.96</v>
      </c>
      <c r="H4124">
        <v>0.79</v>
      </c>
      <c r="I4124">
        <v>0.082</v>
      </c>
      <c r="J4124">
        <v>21.64</v>
      </c>
      <c r="K4124">
        <v>26.29</v>
      </c>
      <c r="L4124">
        <v>17.75</v>
      </c>
      <c r="M4124">
        <v>1.3</v>
      </c>
      <c r="N4124">
        <v>1.296</v>
      </c>
      <c r="O4124">
        <v>21.55</v>
      </c>
      <c r="P4124">
        <v>25.71</v>
      </c>
      <c r="Q4124">
        <v>18.07</v>
      </c>
      <c r="R4124">
        <v>2.79</v>
      </c>
    </row>
    <row r="4125">
      <c r="A4125" s="9">
        <v>42656</v>
      </c>
      <c r="B4125" s="2" t="inlineStr">
        <is>
          <t xml:space="preserve">2016-10</t>
        </is>
      </c>
      <c r="C4125" s="2" t="inlineStr">
        <is>
          <t xml:space="preserve">2016/17</t>
        </is>
      </c>
      <c r="D4125">
        <v>0.062</v>
      </c>
      <c r="E4125">
        <v>21.24</v>
      </c>
      <c r="F4125">
        <v>27.2</v>
      </c>
      <c r="G4125">
        <v>16.87</v>
      </c>
      <c r="H4125">
        <v>2.61</v>
      </c>
      <c r="I4125">
        <v>0.041</v>
      </c>
      <c r="J4125">
        <v>20.75</v>
      </c>
      <c r="K4125">
        <v>25.18</v>
      </c>
      <c r="L4125">
        <v>16.92</v>
      </c>
      <c r="M4125">
        <v>0.92</v>
      </c>
      <c r="N4125">
        <v>0.418</v>
      </c>
      <c r="O4125">
        <v>21.28</v>
      </c>
      <c r="P4125">
        <v>26.06</v>
      </c>
      <c r="Q4125">
        <v>17.28</v>
      </c>
      <c r="R4125">
        <v>4.13</v>
      </c>
    </row>
    <row r="4126">
      <c r="A4126" s="9">
        <v>42657</v>
      </c>
      <c r="B4126" s="2" t="inlineStr">
        <is>
          <t xml:space="preserve">2016-10</t>
        </is>
      </c>
      <c r="C4126" s="2" t="inlineStr">
        <is>
          <t xml:space="preserve">2016/17</t>
        </is>
      </c>
      <c r="D4126">
        <v>2.342</v>
      </c>
      <c r="E4126">
        <v>22.17</v>
      </c>
      <c r="F4126">
        <v>28.51</v>
      </c>
      <c r="G4126">
        <v>17.89</v>
      </c>
      <c r="H4126">
        <v>2.29</v>
      </c>
      <c r="I4126">
        <v>0.163</v>
      </c>
      <c r="J4126">
        <v>21.66</v>
      </c>
      <c r="K4126">
        <v>25.85</v>
      </c>
      <c r="L4126">
        <v>18.72</v>
      </c>
      <c r="M4126">
        <v>1.86</v>
      </c>
      <c r="N4126">
        <v>1.535</v>
      </c>
      <c r="O4126">
        <v>21.97</v>
      </c>
      <c r="P4126">
        <v>26.64</v>
      </c>
      <c r="Q4126">
        <v>19.06</v>
      </c>
      <c r="R4126">
        <v>2.98</v>
      </c>
    </row>
    <row r="4127">
      <c r="A4127" s="9">
        <v>42658</v>
      </c>
      <c r="B4127" s="2" t="inlineStr">
        <is>
          <t xml:space="preserve">2016-10</t>
        </is>
      </c>
      <c r="C4127" s="2" t="inlineStr">
        <is>
          <t xml:space="preserve">2016/17</t>
        </is>
      </c>
      <c r="D4127">
        <v>0.078</v>
      </c>
      <c r="E4127">
        <v>22.04</v>
      </c>
      <c r="F4127">
        <v>26.31</v>
      </c>
      <c r="G4127">
        <v>19.34</v>
      </c>
      <c r="H4127">
        <v>2.58</v>
      </c>
      <c r="I4127">
        <v>0.0</v>
      </c>
      <c r="J4127">
        <v>21.4</v>
      </c>
      <c r="K4127">
        <v>25.39</v>
      </c>
      <c r="L4127">
        <v>18.17</v>
      </c>
      <c r="M4127">
        <v>1.24</v>
      </c>
      <c r="N4127">
        <v>0.259</v>
      </c>
      <c r="O4127">
        <v>21.71</v>
      </c>
      <c r="P4127">
        <v>25.7</v>
      </c>
      <c r="Q4127">
        <v>19.02</v>
      </c>
      <c r="R4127">
        <v>3.88</v>
      </c>
    </row>
    <row r="4128">
      <c r="A4128" s="9">
        <v>42659</v>
      </c>
      <c r="B4128" s="2" t="inlineStr">
        <is>
          <t xml:space="preserve">2016-10</t>
        </is>
      </c>
      <c r="C4128" s="2" t="inlineStr">
        <is>
          <t xml:space="preserve">2016/17</t>
        </is>
      </c>
      <c r="D4128">
        <v>0.571</v>
      </c>
      <c r="E4128">
        <v>21.72</v>
      </c>
      <c r="F4128">
        <v>26.54</v>
      </c>
      <c r="G4128">
        <v>18.97</v>
      </c>
      <c r="H4128">
        <v>4.38</v>
      </c>
      <c r="I4128">
        <v>1.236</v>
      </c>
      <c r="J4128">
        <v>21.74</v>
      </c>
      <c r="K4128">
        <v>26.21</v>
      </c>
      <c r="L4128">
        <v>18.93</v>
      </c>
      <c r="M4128">
        <v>2.72</v>
      </c>
      <c r="N4128">
        <v>5.003</v>
      </c>
      <c r="O4128">
        <v>21.81</v>
      </c>
      <c r="P4128">
        <v>25.63</v>
      </c>
      <c r="Q4128">
        <v>19.43</v>
      </c>
      <c r="R4128">
        <v>6.05</v>
      </c>
    </row>
    <row r="4129">
      <c r="A4129" s="9">
        <v>42660</v>
      </c>
      <c r="B4129" s="2" t="inlineStr">
        <is>
          <t xml:space="preserve">2016-10</t>
        </is>
      </c>
      <c r="C4129" s="2" t="inlineStr">
        <is>
          <t xml:space="preserve">2016/17</t>
        </is>
      </c>
      <c r="D4129">
        <v>2.418</v>
      </c>
      <c r="E4129">
        <v>21.74</v>
      </c>
      <c r="F4129">
        <v>26.55</v>
      </c>
      <c r="G4129">
        <v>18.23</v>
      </c>
      <c r="H4129">
        <v>8.33</v>
      </c>
      <c r="I4129">
        <v>4.785</v>
      </c>
      <c r="J4129">
        <v>21.77</v>
      </c>
      <c r="K4129">
        <v>26.4</v>
      </c>
      <c r="L4129">
        <v>17.98</v>
      </c>
      <c r="M4129">
        <v>8.52</v>
      </c>
      <c r="N4129">
        <v>6.843</v>
      </c>
      <c r="O4129">
        <v>21.99</v>
      </c>
      <c r="P4129">
        <v>26.51</v>
      </c>
      <c r="Q4129">
        <v>19.14</v>
      </c>
      <c r="R4129">
        <v>8.44</v>
      </c>
    </row>
    <row r="4130">
      <c r="A4130" s="9">
        <v>42661</v>
      </c>
      <c r="B4130" s="2" t="inlineStr">
        <is>
          <t xml:space="preserve">2016-10</t>
        </is>
      </c>
      <c r="C4130" s="2" t="inlineStr">
        <is>
          <t xml:space="preserve">2016/17</t>
        </is>
      </c>
      <c r="D4130">
        <v>17.876</v>
      </c>
      <c r="E4130">
        <v>21.46</v>
      </c>
      <c r="F4130">
        <v>24.62</v>
      </c>
      <c r="G4130">
        <v>19.12</v>
      </c>
      <c r="H4130">
        <v>15.62</v>
      </c>
      <c r="I4130">
        <v>15.142</v>
      </c>
      <c r="J4130">
        <v>21.46</v>
      </c>
      <c r="K4130">
        <v>24.78</v>
      </c>
      <c r="L4130">
        <v>18.82</v>
      </c>
      <c r="M4130">
        <v>8.27</v>
      </c>
      <c r="N4130">
        <v>2.132</v>
      </c>
      <c r="O4130">
        <v>21.8</v>
      </c>
      <c r="P4130">
        <v>25.25</v>
      </c>
      <c r="Q4130">
        <v>19.41</v>
      </c>
      <c r="R4130">
        <v>5.08</v>
      </c>
    </row>
    <row r="4131">
      <c r="A4131" s="9">
        <v>42662</v>
      </c>
      <c r="B4131" s="2" t="inlineStr">
        <is>
          <t xml:space="preserve">2016-10</t>
        </is>
      </c>
      <c r="C4131" s="2" t="inlineStr">
        <is>
          <t xml:space="preserve">2016/17</t>
        </is>
      </c>
      <c r="D4131">
        <v>26.21</v>
      </c>
      <c r="E4131">
        <v>21.07</v>
      </c>
      <c r="F4131">
        <v>23.92</v>
      </c>
      <c r="G4131">
        <v>19.28</v>
      </c>
      <c r="H4131">
        <v>26.09</v>
      </c>
      <c r="I4131">
        <v>7.562</v>
      </c>
      <c r="J4131">
        <v>21.77</v>
      </c>
      <c r="K4131">
        <v>24.64</v>
      </c>
      <c r="L4131">
        <v>19.86</v>
      </c>
      <c r="M4131">
        <v>8.02</v>
      </c>
      <c r="N4131">
        <v>1.64</v>
      </c>
      <c r="O4131">
        <v>22.32</v>
      </c>
      <c r="P4131">
        <v>26.25</v>
      </c>
      <c r="Q4131">
        <v>20.35</v>
      </c>
      <c r="R4131">
        <v>9.03</v>
      </c>
    </row>
    <row r="4132">
      <c r="A4132" s="9">
        <v>42663</v>
      </c>
      <c r="B4132" s="2" t="inlineStr">
        <is>
          <t xml:space="preserve">2016-10</t>
        </is>
      </c>
      <c r="C4132" s="2" t="inlineStr">
        <is>
          <t xml:space="preserve">2016/17</t>
        </is>
      </c>
      <c r="D4132">
        <v>14.683</v>
      </c>
      <c r="E4132">
        <v>21.67</v>
      </c>
      <c r="F4132">
        <v>26.19</v>
      </c>
      <c r="G4132">
        <v>18.53</v>
      </c>
      <c r="H4132">
        <v>7.56</v>
      </c>
      <c r="I4132">
        <v>6.966</v>
      </c>
      <c r="J4132">
        <v>22.18</v>
      </c>
      <c r="K4132">
        <v>26.31</v>
      </c>
      <c r="L4132">
        <v>19.21</v>
      </c>
      <c r="M4132">
        <v>9.14</v>
      </c>
      <c r="N4132">
        <v>5.26</v>
      </c>
      <c r="O4132">
        <v>22.23</v>
      </c>
      <c r="P4132">
        <v>26.32</v>
      </c>
      <c r="Q4132">
        <v>19.57</v>
      </c>
      <c r="R4132">
        <v>14.16</v>
      </c>
    </row>
    <row r="4133">
      <c r="A4133" s="9">
        <v>42664</v>
      </c>
      <c r="B4133" s="2" t="inlineStr">
        <is>
          <t xml:space="preserve">2016-10</t>
        </is>
      </c>
      <c r="C4133" s="2" t="inlineStr">
        <is>
          <t xml:space="preserve">2016/17</t>
        </is>
      </c>
      <c r="D4133">
        <v>4.611</v>
      </c>
      <c r="E4133">
        <v>20.99</v>
      </c>
      <c r="F4133">
        <v>25.42</v>
      </c>
      <c r="G4133">
        <v>18.25</v>
      </c>
      <c r="H4133">
        <v>3.05</v>
      </c>
      <c r="I4133">
        <v>0.641</v>
      </c>
      <c r="J4133">
        <v>21.09</v>
      </c>
      <c r="K4133">
        <v>25.37</v>
      </c>
      <c r="L4133">
        <v>18.21</v>
      </c>
      <c r="M4133">
        <v>0.76</v>
      </c>
      <c r="N4133">
        <v>1.718</v>
      </c>
      <c r="O4133">
        <v>21.55</v>
      </c>
      <c r="P4133">
        <v>25.87</v>
      </c>
      <c r="Q4133">
        <v>18.76</v>
      </c>
      <c r="R4133">
        <v>0.86</v>
      </c>
    </row>
    <row r="4134">
      <c r="A4134" s="9">
        <v>42665</v>
      </c>
      <c r="B4134" s="2" t="inlineStr">
        <is>
          <t xml:space="preserve">2016-10</t>
        </is>
      </c>
      <c r="C4134" s="2" t="inlineStr">
        <is>
          <t xml:space="preserve">2016/17</t>
        </is>
      </c>
      <c r="D4134">
        <v>0.702</v>
      </c>
      <c r="E4134">
        <v>20.26</v>
      </c>
      <c r="F4134">
        <v>25.57</v>
      </c>
      <c r="G4134">
        <v>16.29</v>
      </c>
      <c r="H4134">
        <v>0.35</v>
      </c>
      <c r="I4134">
        <v>0.0</v>
      </c>
      <c r="J4134">
        <v>20.79</v>
      </c>
      <c r="K4134">
        <v>26.07</v>
      </c>
      <c r="L4134">
        <v>16.36</v>
      </c>
      <c r="M4134">
        <v>0.11</v>
      </c>
      <c r="N4134">
        <v>0.163</v>
      </c>
      <c r="O4134">
        <v>20.92</v>
      </c>
      <c r="P4134">
        <v>25.25</v>
      </c>
      <c r="Q4134">
        <v>17.76</v>
      </c>
      <c r="R4134">
        <v>0.11</v>
      </c>
    </row>
    <row r="4135">
      <c r="A4135" s="9">
        <v>42666</v>
      </c>
      <c r="B4135" s="2" t="inlineStr">
        <is>
          <t xml:space="preserve">2016-10</t>
        </is>
      </c>
      <c r="C4135" s="2" t="inlineStr">
        <is>
          <t xml:space="preserve">2016/17</t>
        </is>
      </c>
      <c r="D4135">
        <v>0.0</v>
      </c>
      <c r="E4135">
        <v>20.88</v>
      </c>
      <c r="F4135">
        <v>26.3</v>
      </c>
      <c r="G4135">
        <v>17.01</v>
      </c>
      <c r="H4135">
        <v>0.12</v>
      </c>
      <c r="I4135">
        <v>0.0</v>
      </c>
      <c r="J4135">
        <v>20.79</v>
      </c>
      <c r="K4135">
        <v>25.84</v>
      </c>
      <c r="L4135">
        <v>17.01</v>
      </c>
      <c r="M4135">
        <v>0.3</v>
      </c>
      <c r="N4135">
        <v>0.0</v>
      </c>
      <c r="O4135">
        <v>21.03</v>
      </c>
      <c r="P4135">
        <v>25.84</v>
      </c>
      <c r="Q4135">
        <v>17.67</v>
      </c>
      <c r="R4135">
        <v>0.48</v>
      </c>
    </row>
    <row r="4136">
      <c r="A4136" s="9">
        <v>42667</v>
      </c>
      <c r="B4136" s="2" t="inlineStr">
        <is>
          <t xml:space="preserve">2016-10</t>
        </is>
      </c>
      <c r="C4136" s="2" t="inlineStr">
        <is>
          <t xml:space="preserve">2016/17</t>
        </is>
      </c>
      <c r="D4136">
        <v>0.0</v>
      </c>
      <c r="E4136">
        <v>20.62</v>
      </c>
      <c r="F4136">
        <v>26.0</v>
      </c>
      <c r="G4136">
        <v>16.52</v>
      </c>
      <c r="H4136">
        <v>0.7</v>
      </c>
      <c r="I4136">
        <v>0.093</v>
      </c>
      <c r="J4136">
        <v>20.63</v>
      </c>
      <c r="K4136">
        <v>25.13</v>
      </c>
      <c r="L4136">
        <v>16.89</v>
      </c>
      <c r="M4136">
        <v>1.2</v>
      </c>
      <c r="N4136">
        <v>1.071</v>
      </c>
      <c r="O4136">
        <v>20.84</v>
      </c>
      <c r="P4136">
        <v>25.11</v>
      </c>
      <c r="Q4136">
        <v>17.68</v>
      </c>
      <c r="R4136">
        <v>2.63</v>
      </c>
    </row>
    <row r="4137">
      <c r="A4137" s="9">
        <v>42668</v>
      </c>
      <c r="B4137" s="2" t="inlineStr">
        <is>
          <t xml:space="preserve">2016-10</t>
        </is>
      </c>
      <c r="C4137" s="2" t="inlineStr">
        <is>
          <t xml:space="preserve">2016/17</t>
        </is>
      </c>
      <c r="D4137">
        <v>0.0</v>
      </c>
      <c r="E4137">
        <v>20.51</v>
      </c>
      <c r="F4137">
        <v>25.97</v>
      </c>
      <c r="G4137">
        <v>17.39</v>
      </c>
      <c r="H4137">
        <v>4.57</v>
      </c>
      <c r="I4137">
        <v>1.471</v>
      </c>
      <c r="J4137">
        <v>20.17</v>
      </c>
      <c r="K4137">
        <v>24.29</v>
      </c>
      <c r="L4137">
        <v>17.4</v>
      </c>
      <c r="M4137">
        <v>3.4</v>
      </c>
      <c r="N4137">
        <v>4.696</v>
      </c>
      <c r="O4137">
        <v>20.3</v>
      </c>
      <c r="P4137">
        <v>24.24</v>
      </c>
      <c r="Q4137">
        <v>17.81</v>
      </c>
      <c r="R4137">
        <v>9.31</v>
      </c>
    </row>
    <row r="4138">
      <c r="A4138" s="9">
        <v>42669</v>
      </c>
      <c r="B4138" s="2" t="inlineStr">
        <is>
          <t xml:space="preserve">2016-10</t>
        </is>
      </c>
      <c r="C4138" s="2" t="inlineStr">
        <is>
          <t xml:space="preserve">2016/17</t>
        </is>
      </c>
      <c r="D4138">
        <v>0.805</v>
      </c>
      <c r="E4138">
        <v>19.82</v>
      </c>
      <c r="F4138">
        <v>23.8</v>
      </c>
      <c r="G4138">
        <v>17.08</v>
      </c>
      <c r="H4138">
        <v>1.72</v>
      </c>
      <c r="I4138">
        <v>0.089</v>
      </c>
      <c r="J4138">
        <v>19.49</v>
      </c>
      <c r="K4138">
        <v>23.55</v>
      </c>
      <c r="L4138">
        <v>16.7</v>
      </c>
      <c r="M4138">
        <v>1.17</v>
      </c>
      <c r="N4138">
        <v>1.317</v>
      </c>
      <c r="O4138">
        <v>19.98</v>
      </c>
      <c r="P4138">
        <v>23.83</v>
      </c>
      <c r="Q4138">
        <v>17.39</v>
      </c>
      <c r="R4138">
        <v>5.95</v>
      </c>
    </row>
    <row r="4139">
      <c r="A4139" s="9">
        <v>42670</v>
      </c>
      <c r="B4139" s="2" t="inlineStr">
        <is>
          <t xml:space="preserve">2016-10</t>
        </is>
      </c>
      <c r="C4139" s="2" t="inlineStr">
        <is>
          <t xml:space="preserve">2016/17</t>
        </is>
      </c>
      <c r="D4139">
        <v>0.0</v>
      </c>
      <c r="E4139">
        <v>19.43</v>
      </c>
      <c r="F4139">
        <v>25.09</v>
      </c>
      <c r="G4139">
        <v>15.08</v>
      </c>
      <c r="H4139">
        <v>1.05</v>
      </c>
      <c r="I4139">
        <v>0.0</v>
      </c>
      <c r="J4139">
        <v>20.22</v>
      </c>
      <c r="K4139">
        <v>24.8</v>
      </c>
      <c r="L4139">
        <v>16.72</v>
      </c>
      <c r="M4139">
        <v>0.13</v>
      </c>
      <c r="N4139">
        <v>0.0</v>
      </c>
      <c r="O4139">
        <v>20.14</v>
      </c>
      <c r="P4139">
        <v>24.24</v>
      </c>
      <c r="Q4139">
        <v>17.08</v>
      </c>
      <c r="R4139">
        <v>1.21</v>
      </c>
    </row>
    <row r="4140">
      <c r="A4140" s="9">
        <v>42671</v>
      </c>
      <c r="B4140" s="2" t="inlineStr">
        <is>
          <t xml:space="preserve">2016-10</t>
        </is>
      </c>
      <c r="C4140" s="2" t="inlineStr">
        <is>
          <t xml:space="preserve">2016/17</t>
        </is>
      </c>
      <c r="D4140">
        <v>0.059</v>
      </c>
      <c r="E4140">
        <v>18.93</v>
      </c>
      <c r="F4140">
        <v>21.85</v>
      </c>
      <c r="G4140">
        <v>16.68</v>
      </c>
      <c r="H4140">
        <v>2.32</v>
      </c>
      <c r="I4140">
        <v>0.081</v>
      </c>
      <c r="J4140">
        <v>19.65</v>
      </c>
      <c r="K4140">
        <v>24.75</v>
      </c>
      <c r="L4140">
        <v>15.82</v>
      </c>
      <c r="M4140">
        <v>0.17</v>
      </c>
      <c r="N4140">
        <v>0.807</v>
      </c>
      <c r="O4140">
        <v>19.72</v>
      </c>
      <c r="P4140">
        <v>23.97</v>
      </c>
      <c r="Q4140">
        <v>16.98</v>
      </c>
      <c r="R4140">
        <v>2.15</v>
      </c>
    </row>
    <row r="4141">
      <c r="A4141" s="9">
        <v>42672</v>
      </c>
      <c r="B4141" s="2" t="inlineStr">
        <is>
          <t xml:space="preserve">2016-10</t>
        </is>
      </c>
      <c r="C4141" s="2" t="inlineStr">
        <is>
          <t xml:space="preserve">2016/17</t>
        </is>
      </c>
      <c r="D4141">
        <v>0.0</v>
      </c>
      <c r="E4141">
        <v>20.78</v>
      </c>
      <c r="F4141">
        <v>26.93</v>
      </c>
      <c r="G4141">
        <v>16.2</v>
      </c>
      <c r="H4141">
        <v>0.0</v>
      </c>
      <c r="I4141">
        <v>0.0</v>
      </c>
      <c r="J4141">
        <v>19.84</v>
      </c>
      <c r="K4141">
        <v>25.97</v>
      </c>
      <c r="L4141">
        <v>15.33</v>
      </c>
      <c r="M4141">
        <v>0.0</v>
      </c>
      <c r="N4141">
        <v>0.0</v>
      </c>
      <c r="O4141">
        <v>20.26</v>
      </c>
      <c r="P4141">
        <v>25.62</v>
      </c>
      <c r="Q4141">
        <v>16.73</v>
      </c>
      <c r="R4141">
        <v>0.0</v>
      </c>
    </row>
    <row r="4142">
      <c r="A4142" s="9">
        <v>42673</v>
      </c>
      <c r="B4142" s="2" t="inlineStr">
        <is>
          <t xml:space="preserve">2016-10</t>
        </is>
      </c>
      <c r="C4142" s="2" t="inlineStr">
        <is>
          <t xml:space="preserve">2016/17</t>
        </is>
      </c>
      <c r="D4142">
        <v>0.0</v>
      </c>
      <c r="E4142">
        <v>20.59</v>
      </c>
      <c r="F4142">
        <v>25.59</v>
      </c>
      <c r="G4142">
        <v>16.32</v>
      </c>
      <c r="H4142">
        <v>0.09</v>
      </c>
      <c r="I4142">
        <v>0.0</v>
      </c>
      <c r="J4142">
        <v>20.93</v>
      </c>
      <c r="K4142">
        <v>27.04</v>
      </c>
      <c r="L4142">
        <v>15.78</v>
      </c>
      <c r="M4142">
        <v>0.0</v>
      </c>
      <c r="N4142">
        <v>0.0</v>
      </c>
      <c r="O4142">
        <v>21.06</v>
      </c>
      <c r="P4142">
        <v>26.05</v>
      </c>
      <c r="Q4142">
        <v>17.14</v>
      </c>
      <c r="R4142">
        <v>0.16</v>
      </c>
    </row>
    <row r="4143">
      <c r="A4143" s="9">
        <v>42674</v>
      </c>
      <c r="B4143" s="2" t="inlineStr">
        <is>
          <t xml:space="preserve">2016-10</t>
        </is>
      </c>
      <c r="C4143" s="2" t="inlineStr">
        <is>
          <t xml:space="preserve">2016/17</t>
        </is>
      </c>
      <c r="D4143">
        <v>0.0</v>
      </c>
      <c r="E4143">
        <v>21.26</v>
      </c>
      <c r="F4143">
        <v>26.1</v>
      </c>
      <c r="G4143">
        <v>17.92</v>
      </c>
      <c r="H4143">
        <v>2.17</v>
      </c>
      <c r="I4143">
        <v>0.0</v>
      </c>
      <c r="J4143">
        <v>21.58</v>
      </c>
      <c r="K4143">
        <v>25.71</v>
      </c>
      <c r="L4143">
        <v>18.69</v>
      </c>
      <c r="M4143">
        <v>0.28</v>
      </c>
      <c r="N4143">
        <v>0.0</v>
      </c>
      <c r="O4143">
        <v>21.89</v>
      </c>
      <c r="P4143">
        <v>26.13</v>
      </c>
      <c r="Q4143">
        <v>19.08</v>
      </c>
      <c r="R4143">
        <v>4.13</v>
      </c>
    </row>
    <row r="4144">
      <c r="A4144" s="9">
        <v>42675</v>
      </c>
      <c r="B4144" s="2" t="inlineStr">
        <is>
          <t xml:space="preserve">2016-11</t>
        </is>
      </c>
      <c r="C4144" s="2" t="inlineStr">
        <is>
          <t xml:space="preserve">2016/17</t>
        </is>
      </c>
      <c r="D4144">
        <v>1.85</v>
      </c>
      <c r="E4144">
        <v>20.51</v>
      </c>
      <c r="F4144">
        <v>23.9</v>
      </c>
      <c r="G4144">
        <v>18.23</v>
      </c>
      <c r="H4144">
        <v>6.11</v>
      </c>
      <c r="I4144">
        <v>0.204</v>
      </c>
      <c r="J4144">
        <v>21.02</v>
      </c>
      <c r="K4144">
        <v>24.24</v>
      </c>
      <c r="L4144">
        <v>18.43</v>
      </c>
      <c r="M4144">
        <v>1.84</v>
      </c>
      <c r="N4144">
        <v>1.909</v>
      </c>
      <c r="O4144">
        <v>21.59</v>
      </c>
      <c r="P4144">
        <v>25.78</v>
      </c>
      <c r="Q4144">
        <v>19.0</v>
      </c>
      <c r="R4144">
        <v>4.41</v>
      </c>
    </row>
    <row r="4145">
      <c r="A4145" s="9">
        <v>42676</v>
      </c>
      <c r="B4145" s="2" t="inlineStr">
        <is>
          <t xml:space="preserve">2016-11</t>
        </is>
      </c>
      <c r="C4145" s="2" t="inlineStr">
        <is>
          <t xml:space="preserve">2016/17</t>
        </is>
      </c>
      <c r="D4145">
        <v>9.504</v>
      </c>
      <c r="E4145">
        <v>20.99</v>
      </c>
      <c r="F4145">
        <v>24.81</v>
      </c>
      <c r="G4145">
        <v>18.49</v>
      </c>
      <c r="H4145">
        <v>5.81</v>
      </c>
      <c r="I4145">
        <v>3.327</v>
      </c>
      <c r="J4145">
        <v>21.12</v>
      </c>
      <c r="K4145">
        <v>25.48</v>
      </c>
      <c r="L4145">
        <v>18.34</v>
      </c>
      <c r="M4145">
        <v>4.56</v>
      </c>
      <c r="N4145">
        <v>1.964</v>
      </c>
      <c r="O4145">
        <v>21.43</v>
      </c>
      <c r="P4145">
        <v>25.75</v>
      </c>
      <c r="Q4145">
        <v>18.75</v>
      </c>
      <c r="R4145">
        <v>3.53</v>
      </c>
    </row>
    <row r="4146">
      <c r="A4146" s="9">
        <v>42677</v>
      </c>
      <c r="B4146" s="2" t="inlineStr">
        <is>
          <t xml:space="preserve">2016-11</t>
        </is>
      </c>
      <c r="C4146" s="2" t="inlineStr">
        <is>
          <t xml:space="preserve">2016/17</t>
        </is>
      </c>
      <c r="D4146">
        <v>2.947</v>
      </c>
      <c r="E4146">
        <v>20.38</v>
      </c>
      <c r="F4146">
        <v>22.87</v>
      </c>
      <c r="G4146">
        <v>18.68</v>
      </c>
      <c r="H4146">
        <v>3.3</v>
      </c>
      <c r="I4146">
        <v>2.996</v>
      </c>
      <c r="J4146">
        <v>21.1</v>
      </c>
      <c r="K4146">
        <v>26.08</v>
      </c>
      <c r="L4146">
        <v>18.11</v>
      </c>
      <c r="M4146">
        <v>4.13</v>
      </c>
      <c r="N4146">
        <v>9.343</v>
      </c>
      <c r="O4146">
        <v>21.07</v>
      </c>
      <c r="P4146">
        <v>24.71</v>
      </c>
      <c r="Q4146">
        <v>19.14</v>
      </c>
      <c r="R4146">
        <v>6.18</v>
      </c>
    </row>
    <row r="4147">
      <c r="A4147" s="9">
        <v>42678</v>
      </c>
      <c r="B4147" s="2" t="inlineStr">
        <is>
          <t xml:space="preserve">2016-11</t>
        </is>
      </c>
      <c r="C4147" s="2" t="inlineStr">
        <is>
          <t xml:space="preserve">2016/17</t>
        </is>
      </c>
      <c r="D4147">
        <v>0.329</v>
      </c>
      <c r="E4147">
        <v>20.47</v>
      </c>
      <c r="F4147">
        <v>24.69</v>
      </c>
      <c r="G4147">
        <v>18.2</v>
      </c>
      <c r="H4147">
        <v>1.63</v>
      </c>
      <c r="I4147">
        <v>1.431</v>
      </c>
      <c r="J4147">
        <v>20.29</v>
      </c>
      <c r="K4147">
        <v>24.12</v>
      </c>
      <c r="L4147">
        <v>18.15</v>
      </c>
      <c r="M4147">
        <v>3.56</v>
      </c>
      <c r="N4147">
        <v>5.136</v>
      </c>
      <c r="O4147">
        <v>20.51</v>
      </c>
      <c r="P4147">
        <v>23.79</v>
      </c>
      <c r="Q4147">
        <v>18.82</v>
      </c>
      <c r="R4147">
        <v>7.12</v>
      </c>
    </row>
    <row r="4148">
      <c r="A4148" s="9">
        <v>42679</v>
      </c>
      <c r="B4148" s="2" t="inlineStr">
        <is>
          <t xml:space="preserve">2016-11</t>
        </is>
      </c>
      <c r="C4148" s="2" t="inlineStr">
        <is>
          <t xml:space="preserve">2016/17</t>
        </is>
      </c>
      <c r="D4148">
        <v>0.024</v>
      </c>
      <c r="E4148">
        <v>19.98</v>
      </c>
      <c r="F4148">
        <v>24.18</v>
      </c>
      <c r="G4148">
        <v>17.07</v>
      </c>
      <c r="H4148">
        <v>1.75</v>
      </c>
      <c r="I4148">
        <v>0.482</v>
      </c>
      <c r="J4148">
        <v>19.88</v>
      </c>
      <c r="K4148">
        <v>23.6</v>
      </c>
      <c r="L4148">
        <v>17.18</v>
      </c>
      <c r="M4148">
        <v>2.94</v>
      </c>
      <c r="N4148">
        <v>3.209</v>
      </c>
      <c r="O4148">
        <v>20.05</v>
      </c>
      <c r="P4148">
        <v>23.75</v>
      </c>
      <c r="Q4148">
        <v>17.39</v>
      </c>
      <c r="R4148">
        <v>7.66</v>
      </c>
    </row>
    <row r="4149">
      <c r="A4149" s="9">
        <v>42680</v>
      </c>
      <c r="B4149" s="2" t="inlineStr">
        <is>
          <t xml:space="preserve">2016-11</t>
        </is>
      </c>
      <c r="C4149" s="2" t="inlineStr">
        <is>
          <t xml:space="preserve">2016/17</t>
        </is>
      </c>
      <c r="D4149">
        <v>0.281</v>
      </c>
      <c r="E4149">
        <v>20.47</v>
      </c>
      <c r="F4149">
        <v>25.89</v>
      </c>
      <c r="G4149">
        <v>17.13</v>
      </c>
      <c r="H4149">
        <v>2.0</v>
      </c>
      <c r="I4149">
        <v>0.973</v>
      </c>
      <c r="J4149">
        <v>20.54</v>
      </c>
      <c r="K4149">
        <v>25.25</v>
      </c>
      <c r="L4149">
        <v>17.13</v>
      </c>
      <c r="M4149">
        <v>2.48</v>
      </c>
      <c r="N4149">
        <v>3.856</v>
      </c>
      <c r="O4149">
        <v>20.3</v>
      </c>
      <c r="P4149">
        <v>24.87</v>
      </c>
      <c r="Q4149">
        <v>17.52</v>
      </c>
      <c r="R4149">
        <v>6.0</v>
      </c>
    </row>
    <row r="4150">
      <c r="A4150" s="9">
        <v>42681</v>
      </c>
      <c r="B4150" s="2" t="inlineStr">
        <is>
          <t xml:space="preserve">2016-11</t>
        </is>
      </c>
      <c r="C4150" s="2" t="inlineStr">
        <is>
          <t xml:space="preserve">2016/17</t>
        </is>
      </c>
      <c r="D4150">
        <v>0.362</v>
      </c>
      <c r="E4150">
        <v>19.26</v>
      </c>
      <c r="F4150">
        <v>24.68</v>
      </c>
      <c r="G4150">
        <v>15.91</v>
      </c>
      <c r="H4150">
        <v>0.48</v>
      </c>
      <c r="I4150">
        <v>0.786</v>
      </c>
      <c r="J4150">
        <v>19.74</v>
      </c>
      <c r="K4150">
        <v>24.74</v>
      </c>
      <c r="L4150">
        <v>16.68</v>
      </c>
      <c r="M4150">
        <v>0.99</v>
      </c>
      <c r="N4150">
        <v>3.026</v>
      </c>
      <c r="O4150">
        <v>19.81</v>
      </c>
      <c r="P4150">
        <v>23.95</v>
      </c>
      <c r="Q4150">
        <v>17.27</v>
      </c>
      <c r="R4150">
        <v>2.0</v>
      </c>
    </row>
    <row r="4151">
      <c r="A4151" s="9">
        <v>42682</v>
      </c>
      <c r="B4151" s="2" t="inlineStr">
        <is>
          <t xml:space="preserve">2016-11</t>
        </is>
      </c>
      <c r="C4151" s="2" t="inlineStr">
        <is>
          <t xml:space="preserve">2016/17</t>
        </is>
      </c>
      <c r="D4151">
        <v>0.0</v>
      </c>
      <c r="E4151">
        <v>20.09</v>
      </c>
      <c r="F4151">
        <v>26.12</v>
      </c>
      <c r="G4151">
        <v>14.97</v>
      </c>
      <c r="H4151">
        <v>0.4</v>
      </c>
      <c r="I4151">
        <v>0.0</v>
      </c>
      <c r="J4151">
        <v>20.0</v>
      </c>
      <c r="K4151">
        <v>25.72</v>
      </c>
      <c r="L4151">
        <v>15.3</v>
      </c>
      <c r="M4151">
        <v>0.01</v>
      </c>
      <c r="N4151">
        <v>0.0</v>
      </c>
      <c r="O4151">
        <v>20.23</v>
      </c>
      <c r="P4151">
        <v>25.19</v>
      </c>
      <c r="Q4151">
        <v>16.29</v>
      </c>
      <c r="R4151">
        <v>0.67</v>
      </c>
    </row>
    <row r="4152">
      <c r="A4152" s="9">
        <v>42683</v>
      </c>
      <c r="B4152" s="2" t="inlineStr">
        <is>
          <t xml:space="preserve">2016-11</t>
        </is>
      </c>
      <c r="C4152" s="2" t="inlineStr">
        <is>
          <t xml:space="preserve">2016/17</t>
        </is>
      </c>
      <c r="D4152">
        <v>0.0</v>
      </c>
      <c r="E4152">
        <v>21.35</v>
      </c>
      <c r="F4152">
        <v>27.06</v>
      </c>
      <c r="G4152">
        <v>16.85</v>
      </c>
      <c r="H4152">
        <v>0.25</v>
      </c>
      <c r="I4152">
        <v>0.0</v>
      </c>
      <c r="J4152">
        <v>21.21</v>
      </c>
      <c r="K4152">
        <v>26.48</v>
      </c>
      <c r="L4152">
        <v>17.08</v>
      </c>
      <c r="M4152">
        <v>0.11</v>
      </c>
      <c r="N4152">
        <v>0.164</v>
      </c>
      <c r="O4152">
        <v>21.55</v>
      </c>
      <c r="P4152">
        <v>26.86</v>
      </c>
      <c r="Q4152">
        <v>17.56</v>
      </c>
      <c r="R4152">
        <v>0.24</v>
      </c>
    </row>
    <row r="4153">
      <c r="A4153" s="9">
        <v>42684</v>
      </c>
      <c r="B4153" s="2" t="inlineStr">
        <is>
          <t xml:space="preserve">2016-11</t>
        </is>
      </c>
      <c r="C4153" s="2" t="inlineStr">
        <is>
          <t xml:space="preserve">2016/17</t>
        </is>
      </c>
      <c r="D4153">
        <v>0.0</v>
      </c>
      <c r="E4153">
        <v>21.81</v>
      </c>
      <c r="F4153">
        <v>27.23</v>
      </c>
      <c r="G4153">
        <v>17.72</v>
      </c>
      <c r="H4153">
        <v>0.09</v>
      </c>
      <c r="I4153">
        <v>0.025</v>
      </c>
      <c r="J4153">
        <v>21.31</v>
      </c>
      <c r="K4153">
        <v>26.48</v>
      </c>
      <c r="L4153">
        <v>16.88</v>
      </c>
      <c r="M4153">
        <v>0.14</v>
      </c>
      <c r="N4153">
        <v>0.296</v>
      </c>
      <c r="O4153">
        <v>21.52</v>
      </c>
      <c r="P4153">
        <v>26.09</v>
      </c>
      <c r="Q4153">
        <v>18.03</v>
      </c>
      <c r="R4153">
        <v>0.18</v>
      </c>
    </row>
    <row r="4154">
      <c r="A4154" s="9">
        <v>42685</v>
      </c>
      <c r="B4154" s="2" t="inlineStr">
        <is>
          <t xml:space="preserve">2016-11</t>
        </is>
      </c>
      <c r="C4154" s="2" t="inlineStr">
        <is>
          <t xml:space="preserve">2016/17</t>
        </is>
      </c>
      <c r="D4154">
        <v>0.0</v>
      </c>
      <c r="E4154">
        <v>22.03</v>
      </c>
      <c r="F4154">
        <v>27.61</v>
      </c>
      <c r="G4154">
        <v>18.29</v>
      </c>
      <c r="H4154">
        <v>0.1</v>
      </c>
      <c r="I4154">
        <v>0.057</v>
      </c>
      <c r="J4154">
        <v>21.57</v>
      </c>
      <c r="K4154">
        <v>26.78</v>
      </c>
      <c r="L4154">
        <v>17.93</v>
      </c>
      <c r="M4154">
        <v>0.32</v>
      </c>
      <c r="N4154">
        <v>0.572</v>
      </c>
      <c r="O4154">
        <v>21.72</v>
      </c>
      <c r="P4154">
        <v>26.16</v>
      </c>
      <c r="Q4154">
        <v>18.67</v>
      </c>
      <c r="R4154">
        <v>0.46</v>
      </c>
    </row>
    <row r="4155">
      <c r="A4155" s="9">
        <v>42686</v>
      </c>
      <c r="B4155" s="2" t="inlineStr">
        <is>
          <t xml:space="preserve">2016-11</t>
        </is>
      </c>
      <c r="C4155" s="2" t="inlineStr">
        <is>
          <t xml:space="preserve">2016/17</t>
        </is>
      </c>
      <c r="D4155">
        <v>0.0</v>
      </c>
      <c r="E4155">
        <v>21.24</v>
      </c>
      <c r="F4155">
        <v>26.58</v>
      </c>
      <c r="G4155">
        <v>17.44</v>
      </c>
      <c r="H4155">
        <v>0.2</v>
      </c>
      <c r="I4155">
        <v>0.0</v>
      </c>
      <c r="J4155">
        <v>21.06</v>
      </c>
      <c r="K4155">
        <v>26.28</v>
      </c>
      <c r="L4155">
        <v>17.49</v>
      </c>
      <c r="M4155">
        <v>0.45</v>
      </c>
      <c r="N4155">
        <v>0.368</v>
      </c>
      <c r="O4155">
        <v>21.03</v>
      </c>
      <c r="P4155">
        <v>25.45</v>
      </c>
      <c r="Q4155">
        <v>18.26</v>
      </c>
      <c r="R4155">
        <v>1.36</v>
      </c>
    </row>
    <row r="4156">
      <c r="A4156" s="9">
        <v>42687</v>
      </c>
      <c r="B4156" s="2" t="inlineStr">
        <is>
          <t xml:space="preserve">2016-11</t>
        </is>
      </c>
      <c r="C4156" s="2" t="inlineStr">
        <is>
          <t xml:space="preserve">2016/17</t>
        </is>
      </c>
      <c r="D4156">
        <v>0.0</v>
      </c>
      <c r="E4156">
        <v>20.99</v>
      </c>
      <c r="F4156">
        <v>26.65</v>
      </c>
      <c r="G4156">
        <v>17.34</v>
      </c>
      <c r="H4156">
        <v>0.24</v>
      </c>
      <c r="I4156">
        <v>0.0</v>
      </c>
      <c r="J4156">
        <v>20.59</v>
      </c>
      <c r="K4156">
        <v>25.85</v>
      </c>
      <c r="L4156">
        <v>17.37</v>
      </c>
      <c r="M4156">
        <v>0.15</v>
      </c>
      <c r="N4156">
        <v>0.0</v>
      </c>
      <c r="O4156">
        <v>20.7</v>
      </c>
      <c r="P4156">
        <v>25.18</v>
      </c>
      <c r="Q4156">
        <v>17.73</v>
      </c>
      <c r="R4156">
        <v>0.6</v>
      </c>
    </row>
    <row r="4157">
      <c r="A4157" s="9">
        <v>42688</v>
      </c>
      <c r="B4157" s="2" t="inlineStr">
        <is>
          <t xml:space="preserve">2016-11</t>
        </is>
      </c>
      <c r="C4157" s="2" t="inlineStr">
        <is>
          <t xml:space="preserve">2016/17</t>
        </is>
      </c>
      <c r="D4157">
        <v>0.758</v>
      </c>
      <c r="E4157">
        <v>19.46</v>
      </c>
      <c r="F4157">
        <v>23.55</v>
      </c>
      <c r="G4157">
        <v>17.34</v>
      </c>
      <c r="H4157">
        <v>0.57</v>
      </c>
      <c r="I4157">
        <v>0.034</v>
      </c>
      <c r="J4157">
        <v>20.51</v>
      </c>
      <c r="K4157">
        <v>25.59</v>
      </c>
      <c r="L4157">
        <v>17.32</v>
      </c>
      <c r="M4157">
        <v>1.15</v>
      </c>
      <c r="N4157">
        <v>0.533</v>
      </c>
      <c r="O4157">
        <v>20.24</v>
      </c>
      <c r="P4157">
        <v>23.96</v>
      </c>
      <c r="Q4157">
        <v>17.73</v>
      </c>
      <c r="R4157">
        <v>1.31</v>
      </c>
    </row>
    <row r="4158">
      <c r="A4158" s="9">
        <v>42689</v>
      </c>
      <c r="B4158" s="2" t="inlineStr">
        <is>
          <t xml:space="preserve">2016-11</t>
        </is>
      </c>
      <c r="C4158" s="2" t="inlineStr">
        <is>
          <t xml:space="preserve">2016/17</t>
        </is>
      </c>
      <c r="D4158">
        <v>0.868</v>
      </c>
      <c r="E4158">
        <v>20.14</v>
      </c>
      <c r="F4158">
        <v>25.44</v>
      </c>
      <c r="G4158">
        <v>17.11</v>
      </c>
      <c r="H4158">
        <v>0.92</v>
      </c>
      <c r="I4158">
        <v>1.611</v>
      </c>
      <c r="J4158">
        <v>19.27</v>
      </c>
      <c r="K4158">
        <v>24.34</v>
      </c>
      <c r="L4158">
        <v>16.02</v>
      </c>
      <c r="M4158">
        <v>0.41</v>
      </c>
      <c r="N4158">
        <v>0.087</v>
      </c>
      <c r="O4158">
        <v>19.59</v>
      </c>
      <c r="P4158">
        <v>23.66</v>
      </c>
      <c r="Q4158">
        <v>16.75</v>
      </c>
      <c r="R4158">
        <v>0.44</v>
      </c>
    </row>
    <row r="4159">
      <c r="A4159" s="9">
        <v>42690</v>
      </c>
      <c r="B4159" s="2" t="inlineStr">
        <is>
          <t xml:space="preserve">2016-11</t>
        </is>
      </c>
      <c r="C4159" s="2" t="inlineStr">
        <is>
          <t xml:space="preserve">2016/17</t>
        </is>
      </c>
      <c r="D4159">
        <v>0.454</v>
      </c>
      <c r="E4159">
        <v>20.16</v>
      </c>
      <c r="F4159">
        <v>25.59</v>
      </c>
      <c r="G4159">
        <v>16.75</v>
      </c>
      <c r="H4159">
        <v>2.86</v>
      </c>
      <c r="I4159">
        <v>0.031</v>
      </c>
      <c r="J4159">
        <v>20.03</v>
      </c>
      <c r="K4159">
        <v>25.73</v>
      </c>
      <c r="L4159">
        <v>15.58</v>
      </c>
      <c r="M4159">
        <v>1.51</v>
      </c>
      <c r="N4159">
        <v>0.318</v>
      </c>
      <c r="O4159">
        <v>19.89</v>
      </c>
      <c r="P4159">
        <v>24.46</v>
      </c>
      <c r="Q4159">
        <v>16.0</v>
      </c>
      <c r="R4159">
        <v>4.54</v>
      </c>
    </row>
    <row r="4160">
      <c r="A4160" s="9">
        <v>42691</v>
      </c>
      <c r="B4160" s="2" t="inlineStr">
        <is>
          <t xml:space="preserve">2016-11</t>
        </is>
      </c>
      <c r="C4160" s="2" t="inlineStr">
        <is>
          <t xml:space="preserve">2016/17</t>
        </is>
      </c>
      <c r="D4160">
        <v>0.586</v>
      </c>
      <c r="E4160">
        <v>20.2</v>
      </c>
      <c r="F4160">
        <v>25.9</v>
      </c>
      <c r="G4160">
        <v>17.3</v>
      </c>
      <c r="H4160">
        <v>3.18</v>
      </c>
      <c r="I4160">
        <v>2.886</v>
      </c>
      <c r="J4160">
        <v>20.01</v>
      </c>
      <c r="K4160">
        <v>24.93</v>
      </c>
      <c r="L4160">
        <v>17.21</v>
      </c>
      <c r="M4160">
        <v>4.22</v>
      </c>
      <c r="N4160">
        <v>10.802</v>
      </c>
      <c r="O4160">
        <v>19.84</v>
      </c>
      <c r="P4160">
        <v>23.86</v>
      </c>
      <c r="Q4160">
        <v>17.74</v>
      </c>
      <c r="R4160">
        <v>5.76</v>
      </c>
    </row>
    <row r="4161">
      <c r="A4161" s="9">
        <v>42692</v>
      </c>
      <c r="B4161" s="2" t="inlineStr">
        <is>
          <t xml:space="preserve">2016-11</t>
        </is>
      </c>
      <c r="C4161" s="2" t="inlineStr">
        <is>
          <t xml:space="preserve">2016/17</t>
        </is>
      </c>
      <c r="D4161">
        <v>0.02</v>
      </c>
      <c r="E4161">
        <v>20.28</v>
      </c>
      <c r="F4161">
        <v>25.83</v>
      </c>
      <c r="G4161">
        <v>17.08</v>
      </c>
      <c r="H4161">
        <v>0.78</v>
      </c>
      <c r="I4161">
        <v>1.211</v>
      </c>
      <c r="J4161">
        <v>19.81</v>
      </c>
      <c r="K4161">
        <v>25.43</v>
      </c>
      <c r="L4161">
        <v>16.25</v>
      </c>
      <c r="M4161">
        <v>1.89</v>
      </c>
      <c r="N4161">
        <v>4.846</v>
      </c>
      <c r="O4161">
        <v>19.58</v>
      </c>
      <c r="P4161">
        <v>24.01</v>
      </c>
      <c r="Q4161">
        <v>16.91</v>
      </c>
      <c r="R4161">
        <v>2.78</v>
      </c>
    </row>
    <row r="4162">
      <c r="A4162" s="9">
        <v>42693</v>
      </c>
      <c r="B4162" s="2" t="inlineStr">
        <is>
          <t xml:space="preserve">2016-11</t>
        </is>
      </c>
      <c r="C4162" s="2" t="inlineStr">
        <is>
          <t xml:space="preserve">2016/17</t>
        </is>
      </c>
      <c r="D4162">
        <v>0.093</v>
      </c>
      <c r="E4162">
        <v>19.85</v>
      </c>
      <c r="F4162">
        <v>24.34</v>
      </c>
      <c r="G4162">
        <v>17.48</v>
      </c>
      <c r="H4162">
        <v>4.85</v>
      </c>
      <c r="I4162">
        <v>0.073</v>
      </c>
      <c r="J4162">
        <v>19.06</v>
      </c>
      <c r="K4162">
        <v>22.77</v>
      </c>
      <c r="L4162">
        <v>16.89</v>
      </c>
      <c r="M4162">
        <v>0.55</v>
      </c>
      <c r="N4162">
        <v>0.835</v>
      </c>
      <c r="O4162">
        <v>19.12</v>
      </c>
      <c r="P4162">
        <v>22.61</v>
      </c>
      <c r="Q4162">
        <v>17.3</v>
      </c>
      <c r="R4162">
        <v>7.26</v>
      </c>
    </row>
    <row r="4163">
      <c r="A4163" s="9">
        <v>42694</v>
      </c>
      <c r="B4163" s="2" t="inlineStr">
        <is>
          <t xml:space="preserve">2016-11</t>
        </is>
      </c>
      <c r="C4163" s="2" t="inlineStr">
        <is>
          <t xml:space="preserve">2016/17</t>
        </is>
      </c>
      <c r="D4163">
        <v>0.81</v>
      </c>
      <c r="E4163">
        <v>18.42</v>
      </c>
      <c r="F4163">
        <v>22.71</v>
      </c>
      <c r="G4163">
        <v>15.9</v>
      </c>
      <c r="H4163">
        <v>4.85</v>
      </c>
      <c r="I4163">
        <v>0.791</v>
      </c>
      <c r="J4163">
        <v>19.0</v>
      </c>
      <c r="K4163">
        <v>22.93</v>
      </c>
      <c r="L4163">
        <v>16.77</v>
      </c>
      <c r="M4163">
        <v>4.25</v>
      </c>
      <c r="N4163">
        <v>3.973</v>
      </c>
      <c r="O4163">
        <v>19.02</v>
      </c>
      <c r="P4163">
        <v>22.28</v>
      </c>
      <c r="Q4163">
        <v>17.35</v>
      </c>
      <c r="R4163">
        <v>14.06</v>
      </c>
    </row>
    <row r="4164">
      <c r="A4164" s="9">
        <v>42695</v>
      </c>
      <c r="B4164" s="2" t="inlineStr">
        <is>
          <t xml:space="preserve">2016-11</t>
        </is>
      </c>
      <c r="C4164" s="2" t="inlineStr">
        <is>
          <t xml:space="preserve">2016/17</t>
        </is>
      </c>
      <c r="D4164">
        <v>0.0</v>
      </c>
      <c r="E4164">
        <v>17.13</v>
      </c>
      <c r="F4164">
        <v>22.14</v>
      </c>
      <c r="G4164">
        <v>13.86</v>
      </c>
      <c r="H4164">
        <v>0.82</v>
      </c>
      <c r="I4164">
        <v>1.621</v>
      </c>
      <c r="J4164">
        <v>18.02</v>
      </c>
      <c r="K4164">
        <v>22.49</v>
      </c>
      <c r="L4164">
        <v>15.19</v>
      </c>
      <c r="M4164">
        <v>2.9</v>
      </c>
      <c r="N4164">
        <v>6.462</v>
      </c>
      <c r="O4164">
        <v>17.86</v>
      </c>
      <c r="P4164">
        <v>21.44</v>
      </c>
      <c r="Q4164">
        <v>15.63</v>
      </c>
      <c r="R4164">
        <v>4.68</v>
      </c>
    </row>
    <row r="4165">
      <c r="A4165" s="9">
        <v>42696</v>
      </c>
      <c r="B4165" s="2" t="inlineStr">
        <is>
          <t xml:space="preserve">2016-11</t>
        </is>
      </c>
      <c r="C4165" s="2" t="inlineStr">
        <is>
          <t xml:space="preserve">2016/17</t>
        </is>
      </c>
      <c r="D4165">
        <v>0.059</v>
      </c>
      <c r="E4165">
        <v>17.67</v>
      </c>
      <c r="F4165">
        <v>23.86</v>
      </c>
      <c r="G4165">
        <v>13.31</v>
      </c>
      <c r="H4165">
        <v>1.19</v>
      </c>
      <c r="I4165">
        <v>0.926</v>
      </c>
      <c r="J4165">
        <v>18.0</v>
      </c>
      <c r="K4165">
        <v>23.2</v>
      </c>
      <c r="L4165">
        <v>14.54</v>
      </c>
      <c r="M4165">
        <v>1.65</v>
      </c>
      <c r="N4165">
        <v>3.81</v>
      </c>
      <c r="O4165">
        <v>17.6</v>
      </c>
      <c r="P4165">
        <v>21.74</v>
      </c>
      <c r="Q4165">
        <v>14.49</v>
      </c>
      <c r="R4165">
        <v>3.26</v>
      </c>
    </row>
    <row r="4166">
      <c r="A4166" s="9">
        <v>42697</v>
      </c>
      <c r="B4166" s="2" t="inlineStr">
        <is>
          <t xml:space="preserve">2016-11</t>
        </is>
      </c>
      <c r="C4166" s="2" t="inlineStr">
        <is>
          <t xml:space="preserve">2016/17</t>
        </is>
      </c>
      <c r="D4166">
        <v>0.0</v>
      </c>
      <c r="E4166">
        <v>19.63</v>
      </c>
      <c r="F4166">
        <v>25.7</v>
      </c>
      <c r="G4166">
        <v>15.15</v>
      </c>
      <c r="H4166">
        <v>0.11</v>
      </c>
      <c r="I4166">
        <v>0.0</v>
      </c>
      <c r="J4166">
        <v>19.51</v>
      </c>
      <c r="K4166">
        <v>25.58</v>
      </c>
      <c r="L4166">
        <v>15.1</v>
      </c>
      <c r="M4166">
        <v>0.33</v>
      </c>
      <c r="N4166">
        <v>0.0</v>
      </c>
      <c r="O4166">
        <v>19.21</v>
      </c>
      <c r="P4166">
        <v>24.05</v>
      </c>
      <c r="Q4166">
        <v>15.53</v>
      </c>
      <c r="R4166">
        <v>0.7</v>
      </c>
    </row>
    <row r="4167">
      <c r="A4167" s="9">
        <v>42698</v>
      </c>
      <c r="B4167" s="2" t="inlineStr">
        <is>
          <t xml:space="preserve">2016-11</t>
        </is>
      </c>
      <c r="C4167" s="2" t="inlineStr">
        <is>
          <t xml:space="preserve">2016/17</t>
        </is>
      </c>
      <c r="D4167">
        <v>0.0</v>
      </c>
      <c r="E4167">
        <v>20.62</v>
      </c>
      <c r="F4167">
        <v>25.77</v>
      </c>
      <c r="G4167">
        <v>16.97</v>
      </c>
      <c r="H4167">
        <v>1.91</v>
      </c>
      <c r="I4167">
        <v>1.171</v>
      </c>
      <c r="J4167">
        <v>20.52</v>
      </c>
      <c r="K4167">
        <v>25.76</v>
      </c>
      <c r="L4167">
        <v>17.19</v>
      </c>
      <c r="M4167">
        <v>2.86</v>
      </c>
      <c r="N4167">
        <v>4.673</v>
      </c>
      <c r="O4167">
        <v>20.6</v>
      </c>
      <c r="P4167">
        <v>24.3</v>
      </c>
      <c r="Q4167">
        <v>18.22</v>
      </c>
      <c r="R4167">
        <v>5.39</v>
      </c>
    </row>
    <row r="4168">
      <c r="A4168" s="9">
        <v>42699</v>
      </c>
      <c r="B4168" s="2" t="inlineStr">
        <is>
          <t xml:space="preserve">2016-11</t>
        </is>
      </c>
      <c r="C4168" s="2" t="inlineStr">
        <is>
          <t xml:space="preserve">2016/17</t>
        </is>
      </c>
      <c r="D4168">
        <v>0.219</v>
      </c>
      <c r="E4168">
        <v>21.02</v>
      </c>
      <c r="F4168">
        <v>24.47</v>
      </c>
      <c r="G4168">
        <v>19.25</v>
      </c>
      <c r="H4168">
        <v>3.45</v>
      </c>
      <c r="I4168">
        <v>1.244</v>
      </c>
      <c r="J4168">
        <v>20.15</v>
      </c>
      <c r="K4168">
        <v>23.43</v>
      </c>
      <c r="L4168">
        <v>17.67</v>
      </c>
      <c r="M4168">
        <v>3.45</v>
      </c>
      <c r="N4168">
        <v>5.25</v>
      </c>
      <c r="O4168">
        <v>20.52</v>
      </c>
      <c r="P4168">
        <v>22.75</v>
      </c>
      <c r="Q4168">
        <v>18.84</v>
      </c>
      <c r="R4168">
        <v>9.21</v>
      </c>
    </row>
    <row r="4169">
      <c r="A4169" s="9">
        <v>42700</v>
      </c>
      <c r="B4169" s="2" t="inlineStr">
        <is>
          <t xml:space="preserve">2016-11</t>
        </is>
      </c>
      <c r="C4169" s="2" t="inlineStr">
        <is>
          <t xml:space="preserve">2016/17</t>
        </is>
      </c>
      <c r="D4169">
        <v>0.626</v>
      </c>
      <c r="E4169">
        <v>20.59</v>
      </c>
      <c r="F4169">
        <v>24.68</v>
      </c>
      <c r="G4169">
        <v>18.02</v>
      </c>
      <c r="H4169">
        <v>5.59</v>
      </c>
      <c r="I4169">
        <v>0.543</v>
      </c>
      <c r="J4169">
        <v>20.66</v>
      </c>
      <c r="K4169">
        <v>24.87</v>
      </c>
      <c r="L4169">
        <v>17.68</v>
      </c>
      <c r="M4169">
        <v>3.85</v>
      </c>
      <c r="N4169">
        <v>3.105</v>
      </c>
      <c r="O4169">
        <v>20.73</v>
      </c>
      <c r="P4169">
        <v>23.8</v>
      </c>
      <c r="Q4169">
        <v>18.15</v>
      </c>
      <c r="R4169">
        <v>10.51</v>
      </c>
    </row>
    <row r="4170">
      <c r="A4170" s="9">
        <v>42701</v>
      </c>
      <c r="B4170" s="2" t="inlineStr">
        <is>
          <t xml:space="preserve">2016-11</t>
        </is>
      </c>
      <c r="C4170" s="2" t="inlineStr">
        <is>
          <t xml:space="preserve">2016/17</t>
        </is>
      </c>
      <c r="D4170">
        <v>0.09</v>
      </c>
      <c r="E4170">
        <v>19.65</v>
      </c>
      <c r="F4170">
        <v>24.36</v>
      </c>
      <c r="G4170">
        <v>16.91</v>
      </c>
      <c r="H4170">
        <v>0.67</v>
      </c>
      <c r="I4170">
        <v>1.859</v>
      </c>
      <c r="J4170">
        <v>19.45</v>
      </c>
      <c r="K4170">
        <v>23.96</v>
      </c>
      <c r="L4170">
        <v>16.58</v>
      </c>
      <c r="M4170">
        <v>1.43</v>
      </c>
      <c r="N4170">
        <v>4.926</v>
      </c>
      <c r="O4170">
        <v>19.51</v>
      </c>
      <c r="P4170">
        <v>23.38</v>
      </c>
      <c r="Q4170">
        <v>17.38</v>
      </c>
      <c r="R4170">
        <v>1.71</v>
      </c>
    </row>
    <row r="4171">
      <c r="A4171" s="9">
        <v>42702</v>
      </c>
      <c r="B4171" s="2" t="inlineStr">
        <is>
          <t xml:space="preserve">2016-11</t>
        </is>
      </c>
      <c r="C4171" s="2" t="inlineStr">
        <is>
          <t xml:space="preserve">2016/17</t>
        </is>
      </c>
      <c r="D4171">
        <v>0.0</v>
      </c>
      <c r="E4171">
        <v>20.77</v>
      </c>
      <c r="F4171">
        <v>27.19</v>
      </c>
      <c r="G4171">
        <v>15.98</v>
      </c>
      <c r="H4171">
        <v>0.09</v>
      </c>
      <c r="I4171">
        <v>0.049</v>
      </c>
      <c r="J4171">
        <v>21.08</v>
      </c>
      <c r="K4171">
        <v>27.88</v>
      </c>
      <c r="L4171">
        <v>15.77</v>
      </c>
      <c r="M4171">
        <v>0.12</v>
      </c>
      <c r="N4171">
        <v>0.491</v>
      </c>
      <c r="O4171">
        <v>20.93</v>
      </c>
      <c r="P4171">
        <v>26.62</v>
      </c>
      <c r="Q4171">
        <v>17.01</v>
      </c>
      <c r="R4171">
        <v>0.29</v>
      </c>
    </row>
    <row r="4172">
      <c r="A4172" s="9">
        <v>42703</v>
      </c>
      <c r="B4172" s="2" t="inlineStr">
        <is>
          <t xml:space="preserve">2016-11</t>
        </is>
      </c>
      <c r="C4172" s="2" t="inlineStr">
        <is>
          <t xml:space="preserve">2016/17</t>
        </is>
      </c>
      <c r="D4172">
        <v>0.0</v>
      </c>
      <c r="E4172">
        <v>22.27</v>
      </c>
      <c r="F4172">
        <v>29.1</v>
      </c>
      <c r="G4172">
        <v>16.28</v>
      </c>
      <c r="H4172">
        <v>0.0</v>
      </c>
      <c r="I4172">
        <v>0.0</v>
      </c>
      <c r="J4172">
        <v>21.18</v>
      </c>
      <c r="K4172">
        <v>27.29</v>
      </c>
      <c r="L4172">
        <v>16.83</v>
      </c>
      <c r="M4172">
        <v>0.02</v>
      </c>
      <c r="N4172">
        <v>0.0</v>
      </c>
      <c r="O4172">
        <v>22.26</v>
      </c>
      <c r="P4172">
        <v>28.21</v>
      </c>
      <c r="Q4172">
        <v>16.52</v>
      </c>
      <c r="R4172">
        <v>0.0</v>
      </c>
    </row>
    <row r="4173">
      <c r="A4173" s="9">
        <v>42704</v>
      </c>
      <c r="B4173" s="2" t="inlineStr">
        <is>
          <t xml:space="preserve">2016-11</t>
        </is>
      </c>
      <c r="C4173" s="2" t="inlineStr">
        <is>
          <t xml:space="preserve">2016/17</t>
        </is>
      </c>
      <c r="D4173">
        <v>0.0</v>
      </c>
      <c r="E4173">
        <v>23.1</v>
      </c>
      <c r="F4173">
        <v>29.56</v>
      </c>
      <c r="G4173">
        <v>17.92</v>
      </c>
      <c r="H4173">
        <v>0.0</v>
      </c>
      <c r="I4173">
        <v>0.0</v>
      </c>
      <c r="J4173">
        <v>22.49</v>
      </c>
      <c r="K4173">
        <v>29.17</v>
      </c>
      <c r="L4173">
        <v>17.67</v>
      </c>
      <c r="M4173">
        <v>0.0</v>
      </c>
      <c r="N4173">
        <v>0.0</v>
      </c>
      <c r="O4173">
        <v>23.02</v>
      </c>
      <c r="P4173">
        <v>28.9</v>
      </c>
      <c r="Q4173">
        <v>18.06</v>
      </c>
      <c r="R4173">
        <v>0.0</v>
      </c>
    </row>
    <row r="4174">
      <c r="A4174" s="9">
        <v>42705</v>
      </c>
      <c r="B4174" s="2" t="inlineStr">
        <is>
          <t xml:space="preserve">2016-12</t>
        </is>
      </c>
      <c r="C4174" s="2" t="inlineStr">
        <is>
          <t xml:space="preserve">2016/17</t>
        </is>
      </c>
      <c r="D4174">
        <v>0.0</v>
      </c>
      <c r="E4174">
        <v>22.34</v>
      </c>
      <c r="F4174">
        <v>28.08</v>
      </c>
      <c r="G4174">
        <v>17.95</v>
      </c>
      <c r="H4174">
        <v>0.03</v>
      </c>
      <c r="I4174">
        <v>0.0</v>
      </c>
      <c r="J4174">
        <v>22.25</v>
      </c>
      <c r="K4174">
        <v>27.91</v>
      </c>
      <c r="L4174">
        <v>17.74</v>
      </c>
      <c r="M4174">
        <v>0.01</v>
      </c>
      <c r="N4174">
        <v>0.0</v>
      </c>
      <c r="O4174">
        <v>22.13</v>
      </c>
      <c r="P4174">
        <v>26.68</v>
      </c>
      <c r="Q4174">
        <v>19.11</v>
      </c>
      <c r="R4174">
        <v>0.03</v>
      </c>
    </row>
    <row r="4175">
      <c r="A4175" s="9">
        <v>42706</v>
      </c>
      <c r="B4175" s="2" t="inlineStr">
        <is>
          <t xml:space="preserve">2016-12</t>
        </is>
      </c>
      <c r="C4175" s="2" t="inlineStr">
        <is>
          <t xml:space="preserve">2016/17</t>
        </is>
      </c>
      <c r="D4175">
        <v>0.0</v>
      </c>
      <c r="E4175">
        <v>21.92</v>
      </c>
      <c r="F4175">
        <v>27.63</v>
      </c>
      <c r="G4175">
        <v>17.74</v>
      </c>
      <c r="H4175">
        <v>0.15</v>
      </c>
      <c r="I4175">
        <v>0.0</v>
      </c>
      <c r="J4175">
        <v>21.97</v>
      </c>
      <c r="K4175">
        <v>27.76</v>
      </c>
      <c r="L4175">
        <v>17.82</v>
      </c>
      <c r="M4175">
        <v>0.16</v>
      </c>
      <c r="N4175">
        <v>0.0</v>
      </c>
      <c r="O4175">
        <v>21.48</v>
      </c>
      <c r="P4175">
        <v>26.32</v>
      </c>
      <c r="Q4175">
        <v>18.59</v>
      </c>
      <c r="R4175">
        <v>0.29</v>
      </c>
    </row>
    <row r="4176">
      <c r="A4176" s="9">
        <v>42707</v>
      </c>
      <c r="B4176" s="2" t="inlineStr">
        <is>
          <t xml:space="preserve">2016-12</t>
        </is>
      </c>
      <c r="C4176" s="2" t="inlineStr">
        <is>
          <t xml:space="preserve">2016/17</t>
        </is>
      </c>
      <c r="D4176">
        <v>0.664</v>
      </c>
      <c r="E4176">
        <v>21.62</v>
      </c>
      <c r="F4176">
        <v>28.46</v>
      </c>
      <c r="G4176">
        <v>15.89</v>
      </c>
      <c r="H4176">
        <v>0.28</v>
      </c>
      <c r="I4176">
        <v>0.0</v>
      </c>
      <c r="J4176">
        <v>22.2</v>
      </c>
      <c r="K4176">
        <v>28.38</v>
      </c>
      <c r="L4176">
        <v>17.92</v>
      </c>
      <c r="M4176">
        <v>0.13</v>
      </c>
      <c r="N4176">
        <v>0.134</v>
      </c>
      <c r="O4176">
        <v>21.52</v>
      </c>
      <c r="P4176">
        <v>26.99</v>
      </c>
      <c r="Q4176">
        <v>17.96</v>
      </c>
      <c r="R4176">
        <v>0.36</v>
      </c>
    </row>
    <row r="4177">
      <c r="A4177" s="9">
        <v>42708</v>
      </c>
      <c r="B4177" s="2" t="inlineStr">
        <is>
          <t xml:space="preserve">2016-12</t>
        </is>
      </c>
      <c r="C4177" s="2" t="inlineStr">
        <is>
          <t xml:space="preserve">2016/17</t>
        </is>
      </c>
      <c r="D4177">
        <v>0.41</v>
      </c>
      <c r="E4177">
        <v>22.45</v>
      </c>
      <c r="F4177">
        <v>28.63</v>
      </c>
      <c r="G4177">
        <v>18.23</v>
      </c>
      <c r="H4177">
        <v>2.82</v>
      </c>
      <c r="I4177">
        <v>0.0</v>
      </c>
      <c r="J4177">
        <v>22.45</v>
      </c>
      <c r="K4177">
        <v>28.63</v>
      </c>
      <c r="L4177">
        <v>18.11</v>
      </c>
      <c r="M4177">
        <v>0.71</v>
      </c>
      <c r="N4177">
        <v>0.0</v>
      </c>
      <c r="O4177">
        <v>22.87</v>
      </c>
      <c r="P4177">
        <v>28.56</v>
      </c>
      <c r="Q4177">
        <v>18.17</v>
      </c>
      <c r="R4177">
        <v>0.05</v>
      </c>
    </row>
    <row r="4178">
      <c r="A4178" s="9">
        <v>42709</v>
      </c>
      <c r="B4178" s="2" t="inlineStr">
        <is>
          <t xml:space="preserve">2016-12</t>
        </is>
      </c>
      <c r="C4178" s="2" t="inlineStr">
        <is>
          <t xml:space="preserve">2016/17</t>
        </is>
      </c>
      <c r="D4178">
        <v>3.696</v>
      </c>
      <c r="E4178">
        <v>21.87</v>
      </c>
      <c r="F4178">
        <v>27.93</v>
      </c>
      <c r="G4178">
        <v>18.14</v>
      </c>
      <c r="H4178">
        <v>1.8</v>
      </c>
      <c r="I4178">
        <v>2.235</v>
      </c>
      <c r="J4178">
        <v>22.03</v>
      </c>
      <c r="K4178">
        <v>27.75</v>
      </c>
      <c r="L4178">
        <v>18.15</v>
      </c>
      <c r="M4178">
        <v>2.18</v>
      </c>
      <c r="N4178">
        <v>0.0</v>
      </c>
      <c r="O4178">
        <v>23.1</v>
      </c>
      <c r="P4178">
        <v>28.91</v>
      </c>
      <c r="Q4178">
        <v>18.29</v>
      </c>
      <c r="R4178">
        <v>0.1</v>
      </c>
    </row>
    <row r="4179">
      <c r="A4179" s="9">
        <v>42710</v>
      </c>
      <c r="B4179" s="2" t="inlineStr">
        <is>
          <t xml:space="preserve">2016-12</t>
        </is>
      </c>
      <c r="C4179" s="2" t="inlineStr">
        <is>
          <t xml:space="preserve">2016/17</t>
        </is>
      </c>
      <c r="D4179">
        <v>0.0</v>
      </c>
      <c r="E4179">
        <v>22.81</v>
      </c>
      <c r="F4179">
        <v>29.73</v>
      </c>
      <c r="G4179">
        <v>17.99</v>
      </c>
      <c r="H4179">
        <v>0.05</v>
      </c>
      <c r="I4179">
        <v>1.431</v>
      </c>
      <c r="J4179">
        <v>23.31</v>
      </c>
      <c r="K4179">
        <v>29.42</v>
      </c>
      <c r="L4179">
        <v>19.01</v>
      </c>
      <c r="M4179">
        <v>0.47</v>
      </c>
      <c r="N4179">
        <v>0.049</v>
      </c>
      <c r="O4179">
        <v>23.37</v>
      </c>
      <c r="P4179">
        <v>28.95</v>
      </c>
      <c r="Q4179">
        <v>19.8</v>
      </c>
      <c r="R4179">
        <v>0.03</v>
      </c>
    </row>
    <row r="4180">
      <c r="A4180" s="9">
        <v>42711</v>
      </c>
      <c r="B4180" s="2" t="inlineStr">
        <is>
          <t xml:space="preserve">2016-12</t>
        </is>
      </c>
      <c r="C4180" s="2" t="inlineStr">
        <is>
          <t xml:space="preserve">2016/17</t>
        </is>
      </c>
      <c r="D4180">
        <v>0.0</v>
      </c>
      <c r="E4180">
        <v>21.84</v>
      </c>
      <c r="F4180">
        <v>28.53</v>
      </c>
      <c r="G4180">
        <v>16.11</v>
      </c>
      <c r="H4180">
        <v>0.0</v>
      </c>
      <c r="I4180">
        <v>0.455</v>
      </c>
      <c r="J4180">
        <v>23.29</v>
      </c>
      <c r="K4180">
        <v>28.77</v>
      </c>
      <c r="L4180">
        <v>18.95</v>
      </c>
      <c r="M4180">
        <v>0.13</v>
      </c>
      <c r="N4180">
        <v>0.0</v>
      </c>
      <c r="O4180">
        <v>22.79</v>
      </c>
      <c r="P4180">
        <v>27.69</v>
      </c>
      <c r="Q4180">
        <v>19.52</v>
      </c>
      <c r="R4180">
        <v>0.01</v>
      </c>
    </row>
    <row r="4181">
      <c r="A4181" s="9">
        <v>42712</v>
      </c>
      <c r="B4181" s="2" t="inlineStr">
        <is>
          <t xml:space="preserve">2016-12</t>
        </is>
      </c>
      <c r="C4181" s="2" t="inlineStr">
        <is>
          <t xml:space="preserve">2016/17</t>
        </is>
      </c>
      <c r="D4181">
        <v>0.0</v>
      </c>
      <c r="E4181">
        <v>21.06</v>
      </c>
      <c r="F4181">
        <v>28.15</v>
      </c>
      <c r="G4181">
        <v>15.62</v>
      </c>
      <c r="H4181">
        <v>0.47</v>
      </c>
      <c r="I4181">
        <v>0.033</v>
      </c>
      <c r="J4181">
        <v>22.78</v>
      </c>
      <c r="K4181">
        <v>28.54</v>
      </c>
      <c r="L4181">
        <v>18.97</v>
      </c>
      <c r="M4181">
        <v>1.81</v>
      </c>
      <c r="N4181">
        <v>0.0</v>
      </c>
      <c r="O4181">
        <v>22.08</v>
      </c>
      <c r="P4181">
        <v>27.1</v>
      </c>
      <c r="Q4181">
        <v>19.01</v>
      </c>
      <c r="R4181">
        <v>4.37</v>
      </c>
    </row>
    <row r="4182">
      <c r="A4182" s="9">
        <v>42713</v>
      </c>
      <c r="B4182" s="2" t="inlineStr">
        <is>
          <t xml:space="preserve">2016-12</t>
        </is>
      </c>
      <c r="C4182" s="2" t="inlineStr">
        <is>
          <t xml:space="preserve">2016/17</t>
        </is>
      </c>
      <c r="D4182">
        <v>0.0</v>
      </c>
      <c r="E4182">
        <v>20.38</v>
      </c>
      <c r="F4182">
        <v>26.34</v>
      </c>
      <c r="G4182">
        <v>16.48</v>
      </c>
      <c r="H4182">
        <v>1.6</v>
      </c>
      <c r="I4182">
        <v>0.0</v>
      </c>
      <c r="J4182">
        <v>20.96</v>
      </c>
      <c r="K4182">
        <v>25.93</v>
      </c>
      <c r="L4182">
        <v>18.23</v>
      </c>
      <c r="M4182">
        <v>5.71</v>
      </c>
      <c r="N4182">
        <v>3.473</v>
      </c>
      <c r="O4182">
        <v>20.6</v>
      </c>
      <c r="P4182">
        <v>24.57</v>
      </c>
      <c r="Q4182">
        <v>18.4</v>
      </c>
      <c r="R4182">
        <v>14.22</v>
      </c>
    </row>
    <row r="4183">
      <c r="A4183" s="9">
        <v>42714</v>
      </c>
      <c r="B4183" s="2" t="inlineStr">
        <is>
          <t xml:space="preserve">2016-12</t>
        </is>
      </c>
      <c r="C4183" s="2" t="inlineStr">
        <is>
          <t xml:space="preserve">2016/17</t>
        </is>
      </c>
      <c r="D4183">
        <v>0.408</v>
      </c>
      <c r="E4183">
        <v>19.62</v>
      </c>
      <c r="F4183">
        <v>24.12</v>
      </c>
      <c r="G4183">
        <v>17.05</v>
      </c>
      <c r="H4183">
        <v>1.21</v>
      </c>
      <c r="I4183">
        <v>0.565</v>
      </c>
      <c r="J4183">
        <v>19.57</v>
      </c>
      <c r="K4183">
        <v>24.2</v>
      </c>
      <c r="L4183">
        <v>16.89</v>
      </c>
      <c r="M4183">
        <v>2.01</v>
      </c>
      <c r="N4183">
        <v>2.675</v>
      </c>
      <c r="O4183">
        <v>19.53</v>
      </c>
      <c r="P4183">
        <v>23.34</v>
      </c>
      <c r="Q4183">
        <v>17.3</v>
      </c>
      <c r="R4183">
        <v>4.63</v>
      </c>
    </row>
    <row r="4184">
      <c r="A4184" s="9">
        <v>42715</v>
      </c>
      <c r="B4184" s="2" t="inlineStr">
        <is>
          <t xml:space="preserve">2016-12</t>
        </is>
      </c>
      <c r="C4184" s="2" t="inlineStr">
        <is>
          <t xml:space="preserve">2016/17</t>
        </is>
      </c>
      <c r="D4184">
        <v>0.129</v>
      </c>
      <c r="E4184">
        <v>20.32</v>
      </c>
      <c r="F4184">
        <v>26.05</v>
      </c>
      <c r="G4184">
        <v>16.42</v>
      </c>
      <c r="H4184">
        <v>0.99</v>
      </c>
      <c r="I4184">
        <v>0.084</v>
      </c>
      <c r="J4184">
        <v>20.58</v>
      </c>
      <c r="K4184">
        <v>25.86</v>
      </c>
      <c r="L4184">
        <v>17.41</v>
      </c>
      <c r="M4184">
        <v>0.33</v>
      </c>
      <c r="N4184">
        <v>0.442</v>
      </c>
      <c r="O4184">
        <v>20.46</v>
      </c>
      <c r="P4184">
        <v>24.56</v>
      </c>
      <c r="Q4184">
        <v>18.16</v>
      </c>
      <c r="R4184">
        <v>0.97</v>
      </c>
    </row>
    <row r="4185">
      <c r="A4185" s="9">
        <v>42716</v>
      </c>
      <c r="B4185" s="2" t="inlineStr">
        <is>
          <t xml:space="preserve">2016-12</t>
        </is>
      </c>
      <c r="C4185" s="2" t="inlineStr">
        <is>
          <t xml:space="preserve">2016/17</t>
        </is>
      </c>
      <c r="D4185">
        <v>5.245</v>
      </c>
      <c r="E4185">
        <v>19.65</v>
      </c>
      <c r="F4185">
        <v>23.76</v>
      </c>
      <c r="G4185">
        <v>17.38</v>
      </c>
      <c r="H4185">
        <v>6.55</v>
      </c>
      <c r="I4185">
        <v>0.447</v>
      </c>
      <c r="J4185">
        <v>21.06</v>
      </c>
      <c r="K4185">
        <v>25.89</v>
      </c>
      <c r="L4185">
        <v>18.19</v>
      </c>
      <c r="M4185">
        <v>1.27</v>
      </c>
      <c r="N4185">
        <v>1.822</v>
      </c>
      <c r="O4185">
        <v>20.9</v>
      </c>
      <c r="P4185">
        <v>24.79</v>
      </c>
      <c r="Q4185">
        <v>18.95</v>
      </c>
      <c r="R4185">
        <v>4.01</v>
      </c>
    </row>
    <row r="4186">
      <c r="A4186" s="9">
        <v>42717</v>
      </c>
      <c r="B4186" s="2" t="inlineStr">
        <is>
          <t xml:space="preserve">2016-12</t>
        </is>
      </c>
      <c r="C4186" s="2" t="inlineStr">
        <is>
          <t xml:space="preserve">2016/17</t>
        </is>
      </c>
      <c r="D4186">
        <v>0.561</v>
      </c>
      <c r="E4186">
        <v>20.53</v>
      </c>
      <c r="F4186">
        <v>26.63</v>
      </c>
      <c r="G4186">
        <v>16.58</v>
      </c>
      <c r="H4186">
        <v>0.89</v>
      </c>
      <c r="I4186">
        <v>1.668</v>
      </c>
      <c r="J4186">
        <v>21.25</v>
      </c>
      <c r="K4186">
        <v>26.06</v>
      </c>
      <c r="L4186">
        <v>18.08</v>
      </c>
      <c r="M4186">
        <v>0.65</v>
      </c>
      <c r="N4186">
        <v>0.881</v>
      </c>
      <c r="O4186">
        <v>21.11</v>
      </c>
      <c r="P4186">
        <v>25.58</v>
      </c>
      <c r="Q4186">
        <v>18.28</v>
      </c>
      <c r="R4186">
        <v>0.37</v>
      </c>
    </row>
    <row r="4187">
      <c r="A4187" s="9">
        <v>42718</v>
      </c>
      <c r="B4187" s="2" t="inlineStr">
        <is>
          <t xml:space="preserve">2016-12</t>
        </is>
      </c>
      <c r="C4187" s="2" t="inlineStr">
        <is>
          <t xml:space="preserve">2016/17</t>
        </is>
      </c>
      <c r="D4187">
        <v>0.349</v>
      </c>
      <c r="E4187">
        <v>21.51</v>
      </c>
      <c r="F4187">
        <v>27.66</v>
      </c>
      <c r="G4187">
        <v>17.08</v>
      </c>
      <c r="H4187">
        <v>0.57</v>
      </c>
      <c r="I4187">
        <v>0.0</v>
      </c>
      <c r="J4187">
        <v>22.32</v>
      </c>
      <c r="K4187">
        <v>27.82</v>
      </c>
      <c r="L4187">
        <v>18.16</v>
      </c>
      <c r="M4187">
        <v>0.35</v>
      </c>
      <c r="N4187">
        <v>0.0</v>
      </c>
      <c r="O4187">
        <v>21.9</v>
      </c>
      <c r="P4187">
        <v>26.49</v>
      </c>
      <c r="Q4187">
        <v>18.84</v>
      </c>
      <c r="R4187">
        <v>0.73</v>
      </c>
    </row>
    <row r="4188">
      <c r="A4188" s="9">
        <v>42719</v>
      </c>
      <c r="B4188" s="2" t="inlineStr">
        <is>
          <t xml:space="preserve">2016-12</t>
        </is>
      </c>
      <c r="C4188" s="2" t="inlineStr">
        <is>
          <t xml:space="preserve">2016/17</t>
        </is>
      </c>
      <c r="D4188">
        <v>0.476</v>
      </c>
      <c r="E4188">
        <v>20.62</v>
      </c>
      <c r="F4188">
        <v>26.05</v>
      </c>
      <c r="G4188">
        <v>17.64</v>
      </c>
      <c r="H4188">
        <v>0.91</v>
      </c>
      <c r="I4188">
        <v>0.602</v>
      </c>
      <c r="J4188">
        <v>21.01</v>
      </c>
      <c r="K4188">
        <v>25.78</v>
      </c>
      <c r="L4188">
        <v>18.0</v>
      </c>
      <c r="M4188">
        <v>0.94</v>
      </c>
      <c r="N4188">
        <v>2.287</v>
      </c>
      <c r="O4188">
        <v>20.65</v>
      </c>
      <c r="P4188">
        <v>23.95</v>
      </c>
      <c r="Q4188">
        <v>18.1</v>
      </c>
      <c r="R4188">
        <v>2.42</v>
      </c>
    </row>
    <row r="4189">
      <c r="A4189" s="9">
        <v>42720</v>
      </c>
      <c r="B4189" s="2" t="inlineStr">
        <is>
          <t xml:space="preserve">2016-12</t>
        </is>
      </c>
      <c r="C4189" s="2" t="inlineStr">
        <is>
          <t xml:space="preserve">2016/17</t>
        </is>
      </c>
      <c r="D4189">
        <v>0.023</v>
      </c>
      <c r="E4189">
        <v>20.65</v>
      </c>
      <c r="F4189">
        <v>26.65</v>
      </c>
      <c r="G4189">
        <v>16.68</v>
      </c>
      <c r="H4189">
        <v>0.94</v>
      </c>
      <c r="I4189">
        <v>0.088</v>
      </c>
      <c r="J4189">
        <v>20.84</v>
      </c>
      <c r="K4189">
        <v>26.63</v>
      </c>
      <c r="L4189">
        <v>16.75</v>
      </c>
      <c r="M4189">
        <v>0.98</v>
      </c>
      <c r="N4189">
        <v>1.214</v>
      </c>
      <c r="O4189">
        <v>20.28</v>
      </c>
      <c r="P4189">
        <v>24.88</v>
      </c>
      <c r="Q4189">
        <v>17.33</v>
      </c>
      <c r="R4189">
        <v>2.27</v>
      </c>
    </row>
    <row r="4190">
      <c r="A4190" s="9">
        <v>42721</v>
      </c>
      <c r="B4190" s="2" t="inlineStr">
        <is>
          <t xml:space="preserve">2016-12</t>
        </is>
      </c>
      <c r="C4190" s="2" t="inlineStr">
        <is>
          <t xml:space="preserve">2016/17</t>
        </is>
      </c>
      <c r="D4190">
        <v>0.477</v>
      </c>
      <c r="E4190">
        <v>21.33</v>
      </c>
      <c r="F4190">
        <v>28.43</v>
      </c>
      <c r="G4190">
        <v>16.73</v>
      </c>
      <c r="H4190">
        <v>0.1</v>
      </c>
      <c r="I4190">
        <v>0.036</v>
      </c>
      <c r="J4190">
        <v>22.71</v>
      </c>
      <c r="K4190">
        <v>28.7</v>
      </c>
      <c r="L4190">
        <v>17.59</v>
      </c>
      <c r="M4190">
        <v>0.07</v>
      </c>
      <c r="N4190">
        <v>0.362</v>
      </c>
      <c r="O4190">
        <v>21.46</v>
      </c>
      <c r="P4190">
        <v>27.06</v>
      </c>
      <c r="Q4190">
        <v>17.72</v>
      </c>
      <c r="R4190">
        <v>0.08</v>
      </c>
    </row>
    <row r="4191">
      <c r="A4191" s="9">
        <v>42722</v>
      </c>
      <c r="B4191" s="2" t="inlineStr">
        <is>
          <t xml:space="preserve">2016-12</t>
        </is>
      </c>
      <c r="C4191" s="2" t="inlineStr">
        <is>
          <t xml:space="preserve">2016/17</t>
        </is>
      </c>
      <c r="D4191">
        <v>0.0</v>
      </c>
      <c r="E4191">
        <v>20.73</v>
      </c>
      <c r="F4191">
        <v>28.32</v>
      </c>
      <c r="G4191">
        <v>14.65</v>
      </c>
      <c r="H4191">
        <v>0.02</v>
      </c>
      <c r="I4191">
        <v>0.0</v>
      </c>
      <c r="J4191">
        <v>22.88</v>
      </c>
      <c r="K4191">
        <v>29.61</v>
      </c>
      <c r="L4191">
        <v>18.16</v>
      </c>
      <c r="M4191">
        <v>0.01</v>
      </c>
      <c r="N4191">
        <v>0.0</v>
      </c>
      <c r="O4191">
        <v>21.99</v>
      </c>
      <c r="P4191">
        <v>27.67</v>
      </c>
      <c r="Q4191">
        <v>17.39</v>
      </c>
      <c r="R4191">
        <v>0.06</v>
      </c>
    </row>
    <row r="4192">
      <c r="A4192" s="9">
        <v>42723</v>
      </c>
      <c r="B4192" s="2" t="inlineStr">
        <is>
          <t xml:space="preserve">2016-12</t>
        </is>
      </c>
      <c r="C4192" s="2" t="inlineStr">
        <is>
          <t xml:space="preserve">2016/17</t>
        </is>
      </c>
      <c r="D4192">
        <v>0.0</v>
      </c>
      <c r="E4192">
        <v>20.84</v>
      </c>
      <c r="F4192">
        <v>27.36</v>
      </c>
      <c r="G4192">
        <v>15.9</v>
      </c>
      <c r="H4192">
        <v>1.56</v>
      </c>
      <c r="I4192">
        <v>0.0</v>
      </c>
      <c r="J4192">
        <v>21.85</v>
      </c>
      <c r="K4192">
        <v>27.23</v>
      </c>
      <c r="L4192">
        <v>18.04</v>
      </c>
      <c r="M4192">
        <v>0.94</v>
      </c>
      <c r="N4192">
        <v>0.06</v>
      </c>
      <c r="O4192">
        <v>21.41</v>
      </c>
      <c r="P4192">
        <v>25.63</v>
      </c>
      <c r="Q4192">
        <v>18.15</v>
      </c>
      <c r="R4192">
        <v>3.58</v>
      </c>
    </row>
    <row r="4193">
      <c r="A4193" s="9">
        <v>42724</v>
      </c>
      <c r="B4193" s="2" t="inlineStr">
        <is>
          <t xml:space="preserve">2016-12</t>
        </is>
      </c>
      <c r="C4193" s="2" t="inlineStr">
        <is>
          <t xml:space="preserve">2016/17</t>
        </is>
      </c>
      <c r="D4193">
        <v>0.844</v>
      </c>
      <c r="E4193">
        <v>20.11</v>
      </c>
      <c r="F4193">
        <v>25.3</v>
      </c>
      <c r="G4193">
        <v>17.26</v>
      </c>
      <c r="H4193">
        <v>6.53</v>
      </c>
      <c r="I4193">
        <v>0.925</v>
      </c>
      <c r="J4193">
        <v>21.01</v>
      </c>
      <c r="K4193">
        <v>25.75</v>
      </c>
      <c r="L4193">
        <v>18.51</v>
      </c>
      <c r="M4193">
        <v>4.1</v>
      </c>
      <c r="N4193">
        <v>3.995</v>
      </c>
      <c r="O4193">
        <v>20.86</v>
      </c>
      <c r="P4193">
        <v>24.55</v>
      </c>
      <c r="Q4193">
        <v>19.27</v>
      </c>
      <c r="R4193">
        <v>14.53</v>
      </c>
    </row>
    <row r="4194">
      <c r="A4194" s="9">
        <v>42725</v>
      </c>
      <c r="B4194" s="2" t="inlineStr">
        <is>
          <t xml:space="preserve">2016-12</t>
        </is>
      </c>
      <c r="C4194" s="2" t="inlineStr">
        <is>
          <t xml:space="preserve">2016/17</t>
        </is>
      </c>
      <c r="D4194">
        <v>1.271</v>
      </c>
      <c r="E4194">
        <v>19.01</v>
      </c>
      <c r="F4194">
        <v>24.3</v>
      </c>
      <c r="G4194">
        <v>15.81</v>
      </c>
      <c r="H4194">
        <v>3.55</v>
      </c>
      <c r="I4194">
        <v>1.716</v>
      </c>
      <c r="J4194">
        <v>19.79</v>
      </c>
      <c r="K4194">
        <v>24.46</v>
      </c>
      <c r="L4194">
        <v>17.11</v>
      </c>
      <c r="M4194">
        <v>3.84</v>
      </c>
      <c r="N4194">
        <v>7.232</v>
      </c>
      <c r="O4194">
        <v>19.65</v>
      </c>
      <c r="P4194">
        <v>23.16</v>
      </c>
      <c r="Q4194">
        <v>17.66</v>
      </c>
      <c r="R4194">
        <v>8.29</v>
      </c>
    </row>
    <row r="4195">
      <c r="A4195" s="9">
        <v>42726</v>
      </c>
      <c r="B4195" s="2" t="inlineStr">
        <is>
          <t xml:space="preserve">2016-12</t>
        </is>
      </c>
      <c r="C4195" s="2" t="inlineStr">
        <is>
          <t xml:space="preserve">2016/17</t>
        </is>
      </c>
      <c r="D4195">
        <v>0.11</v>
      </c>
      <c r="E4195">
        <v>19.19</v>
      </c>
      <c r="F4195">
        <v>24.1</v>
      </c>
      <c r="G4195">
        <v>16.35</v>
      </c>
      <c r="H4195">
        <v>2.99</v>
      </c>
      <c r="I4195">
        <v>2.409</v>
      </c>
      <c r="J4195">
        <v>18.71</v>
      </c>
      <c r="K4195">
        <v>23.47</v>
      </c>
      <c r="L4195">
        <v>15.81</v>
      </c>
      <c r="M4195">
        <v>3.39</v>
      </c>
      <c r="N4195">
        <v>9.027</v>
      </c>
      <c r="O4195">
        <v>18.79</v>
      </c>
      <c r="P4195">
        <v>22.56</v>
      </c>
      <c r="Q4195">
        <v>16.83</v>
      </c>
      <c r="R4195">
        <v>5.76</v>
      </c>
    </row>
    <row r="4196">
      <c r="A4196" s="9">
        <v>42727</v>
      </c>
      <c r="B4196" s="2" t="inlineStr">
        <is>
          <t xml:space="preserve">2016-12</t>
        </is>
      </c>
      <c r="C4196" s="2" t="inlineStr">
        <is>
          <t xml:space="preserve">2016/17</t>
        </is>
      </c>
      <c r="D4196">
        <v>1.384</v>
      </c>
      <c r="E4196">
        <v>19.33</v>
      </c>
      <c r="F4196">
        <v>24.85</v>
      </c>
      <c r="G4196">
        <v>16.14</v>
      </c>
      <c r="H4196">
        <v>5.14</v>
      </c>
      <c r="I4196">
        <v>1.889</v>
      </c>
      <c r="J4196">
        <v>19.12</v>
      </c>
      <c r="K4196">
        <v>24.31</v>
      </c>
      <c r="L4196">
        <v>15.84</v>
      </c>
      <c r="M4196">
        <v>4.27</v>
      </c>
      <c r="N4196">
        <v>7.626</v>
      </c>
      <c r="O4196">
        <v>19.33</v>
      </c>
      <c r="P4196">
        <v>23.37</v>
      </c>
      <c r="Q4196">
        <v>17.18</v>
      </c>
      <c r="R4196">
        <v>11.14</v>
      </c>
    </row>
    <row r="4197">
      <c r="A4197" s="9">
        <v>42728</v>
      </c>
      <c r="B4197" s="2" t="inlineStr">
        <is>
          <t xml:space="preserve">2016-12</t>
        </is>
      </c>
      <c r="C4197" s="2" t="inlineStr">
        <is>
          <t xml:space="preserve">2016/17</t>
        </is>
      </c>
      <c r="D4197">
        <v>0.069</v>
      </c>
      <c r="E4197">
        <v>20.02</v>
      </c>
      <c r="F4197">
        <v>25.99</v>
      </c>
      <c r="G4197">
        <v>16.2</v>
      </c>
      <c r="H4197">
        <v>0.24</v>
      </c>
      <c r="I4197">
        <v>0.937</v>
      </c>
      <c r="J4197">
        <v>20.53</v>
      </c>
      <c r="K4197">
        <v>26.43</v>
      </c>
      <c r="L4197">
        <v>16.49</v>
      </c>
      <c r="M4197">
        <v>1.41</v>
      </c>
      <c r="N4197">
        <v>3.709</v>
      </c>
      <c r="O4197">
        <v>20.04</v>
      </c>
      <c r="P4197">
        <v>24.68</v>
      </c>
      <c r="Q4197">
        <v>17.0</v>
      </c>
      <c r="R4197">
        <v>1.4</v>
      </c>
    </row>
    <row r="4198">
      <c r="A4198" s="9">
        <v>42729</v>
      </c>
      <c r="B4198" s="2" t="inlineStr">
        <is>
          <t xml:space="preserve">2016-12</t>
        </is>
      </c>
      <c r="C4198" s="2" t="inlineStr">
        <is>
          <t xml:space="preserve">2016/17</t>
        </is>
      </c>
      <c r="D4198">
        <v>0.0</v>
      </c>
      <c r="E4198">
        <v>20.21</v>
      </c>
      <c r="F4198">
        <v>26.09</v>
      </c>
      <c r="G4198">
        <v>15.84</v>
      </c>
      <c r="H4198">
        <v>0.34</v>
      </c>
      <c r="I4198">
        <v>0.0</v>
      </c>
      <c r="J4198">
        <v>21.22</v>
      </c>
      <c r="K4198">
        <v>26.96</v>
      </c>
      <c r="L4198">
        <v>17.17</v>
      </c>
      <c r="M4198">
        <v>0.21</v>
      </c>
      <c r="N4198">
        <v>0.114</v>
      </c>
      <c r="O4198">
        <v>20.43</v>
      </c>
      <c r="P4198">
        <v>24.86</v>
      </c>
      <c r="Q4198">
        <v>17.28</v>
      </c>
      <c r="R4198">
        <v>0.6</v>
      </c>
    </row>
    <row r="4199">
      <c r="A4199" s="9">
        <v>42730</v>
      </c>
      <c r="B4199" s="2" t="inlineStr">
        <is>
          <t xml:space="preserve">2016-12</t>
        </is>
      </c>
      <c r="C4199" s="2" t="inlineStr">
        <is>
          <t xml:space="preserve">2016/17</t>
        </is>
      </c>
      <c r="D4199">
        <v>0.642</v>
      </c>
      <c r="E4199">
        <v>20.32</v>
      </c>
      <c r="F4199">
        <v>25.89</v>
      </c>
      <c r="G4199">
        <v>16.93</v>
      </c>
      <c r="H4199">
        <v>0.82</v>
      </c>
      <c r="I4199">
        <v>0.0</v>
      </c>
      <c r="J4199">
        <v>21.55</v>
      </c>
      <c r="K4199">
        <v>27.34</v>
      </c>
      <c r="L4199">
        <v>17.37</v>
      </c>
      <c r="M4199">
        <v>0.98</v>
      </c>
      <c r="N4199">
        <v>0.079</v>
      </c>
      <c r="O4199">
        <v>21.02</v>
      </c>
      <c r="P4199">
        <v>25.56</v>
      </c>
      <c r="Q4199">
        <v>17.65</v>
      </c>
      <c r="R4199">
        <v>0.97</v>
      </c>
    </row>
    <row r="4200">
      <c r="A4200" s="9">
        <v>42731</v>
      </c>
      <c r="B4200" s="2" t="inlineStr">
        <is>
          <t xml:space="preserve">2016-12</t>
        </is>
      </c>
      <c r="C4200" s="2" t="inlineStr">
        <is>
          <t xml:space="preserve">2016/17</t>
        </is>
      </c>
      <c r="D4200">
        <v>0.755</v>
      </c>
      <c r="E4200">
        <v>19.94</v>
      </c>
      <c r="F4200">
        <v>26.44</v>
      </c>
      <c r="G4200">
        <v>15.65</v>
      </c>
      <c r="H4200">
        <v>0.54</v>
      </c>
      <c r="I4200">
        <v>0.999</v>
      </c>
      <c r="J4200">
        <v>21.29</v>
      </c>
      <c r="K4200">
        <v>26.72</v>
      </c>
      <c r="L4200">
        <v>18.02</v>
      </c>
      <c r="M4200">
        <v>0.51</v>
      </c>
      <c r="N4200">
        <v>2.833</v>
      </c>
      <c r="O4200">
        <v>20.75</v>
      </c>
      <c r="P4200">
        <v>25.02</v>
      </c>
      <c r="Q4200">
        <v>17.97</v>
      </c>
      <c r="R4200">
        <v>0.47</v>
      </c>
    </row>
    <row r="4201">
      <c r="A4201" s="9">
        <v>42732</v>
      </c>
      <c r="B4201" s="2" t="inlineStr">
        <is>
          <t xml:space="preserve">2016-12</t>
        </is>
      </c>
      <c r="C4201" s="2" t="inlineStr">
        <is>
          <t xml:space="preserve">2016/17</t>
        </is>
      </c>
      <c r="D4201">
        <v>0.334</v>
      </c>
      <c r="E4201">
        <v>19.62</v>
      </c>
      <c r="F4201">
        <v>25.87</v>
      </c>
      <c r="G4201">
        <v>15.6</v>
      </c>
      <c r="H4201">
        <v>0.52</v>
      </c>
      <c r="I4201">
        <v>0.0</v>
      </c>
      <c r="J4201">
        <v>20.21</v>
      </c>
      <c r="K4201">
        <v>25.89</v>
      </c>
      <c r="L4201">
        <v>16.17</v>
      </c>
      <c r="M4201">
        <v>0.09</v>
      </c>
      <c r="N4201">
        <v>0.0</v>
      </c>
      <c r="O4201">
        <v>19.96</v>
      </c>
      <c r="P4201">
        <v>24.2</v>
      </c>
      <c r="Q4201">
        <v>17.1</v>
      </c>
      <c r="R4201">
        <v>0.35</v>
      </c>
    </row>
    <row r="4202">
      <c r="A4202" s="9">
        <v>42733</v>
      </c>
      <c r="B4202" s="2" t="inlineStr">
        <is>
          <t xml:space="preserve">2016-12</t>
        </is>
      </c>
      <c r="C4202" s="2" t="inlineStr">
        <is>
          <t xml:space="preserve">2016/17</t>
        </is>
      </c>
      <c r="D4202">
        <v>0.0</v>
      </c>
      <c r="E4202">
        <v>19.75</v>
      </c>
      <c r="F4202">
        <v>26.0</v>
      </c>
      <c r="G4202">
        <v>15.65</v>
      </c>
      <c r="H4202">
        <v>0.41</v>
      </c>
      <c r="I4202">
        <v>0.0</v>
      </c>
      <c r="J4202">
        <v>20.41</v>
      </c>
      <c r="K4202">
        <v>26.49</v>
      </c>
      <c r="L4202">
        <v>16.38</v>
      </c>
      <c r="M4202">
        <v>0.56</v>
      </c>
      <c r="N4202">
        <v>0.217</v>
      </c>
      <c r="O4202">
        <v>19.89</v>
      </c>
      <c r="P4202">
        <v>24.63</v>
      </c>
      <c r="Q4202">
        <v>16.82</v>
      </c>
      <c r="R4202">
        <v>1.56</v>
      </c>
    </row>
    <row r="4203">
      <c r="A4203" s="9">
        <v>42734</v>
      </c>
      <c r="B4203" s="2" t="inlineStr">
        <is>
          <t xml:space="preserve">2016-12</t>
        </is>
      </c>
      <c r="C4203" s="2" t="inlineStr">
        <is>
          <t xml:space="preserve">2016/17</t>
        </is>
      </c>
      <c r="D4203">
        <v>0.0</v>
      </c>
      <c r="E4203">
        <v>19.04</v>
      </c>
      <c r="F4203">
        <v>25.03</v>
      </c>
      <c r="G4203">
        <v>15.17</v>
      </c>
      <c r="H4203">
        <v>1.11</v>
      </c>
      <c r="I4203">
        <v>0.251</v>
      </c>
      <c r="J4203">
        <v>19.53</v>
      </c>
      <c r="K4203">
        <v>24.73</v>
      </c>
      <c r="L4203">
        <v>16.17</v>
      </c>
      <c r="M4203">
        <v>1.72</v>
      </c>
      <c r="N4203">
        <v>1.531</v>
      </c>
      <c r="O4203">
        <v>19.59</v>
      </c>
      <c r="P4203">
        <v>23.57</v>
      </c>
      <c r="Q4203">
        <v>16.73</v>
      </c>
      <c r="R4203">
        <v>4.36</v>
      </c>
    </row>
    <row r="4204">
      <c r="A4204" s="9">
        <v>42735</v>
      </c>
      <c r="B4204" s="2" t="inlineStr">
        <is>
          <t xml:space="preserve">2016-12</t>
        </is>
      </c>
      <c r="C4204" s="2" t="inlineStr">
        <is>
          <t xml:space="preserve">2016/17</t>
        </is>
      </c>
      <c r="D4204">
        <v>0.058</v>
      </c>
      <c r="E4204">
        <v>18.96</v>
      </c>
      <c r="F4204">
        <v>26.58</v>
      </c>
      <c r="G4204">
        <v>13.67</v>
      </c>
      <c r="H4204">
        <v>0.26</v>
      </c>
      <c r="I4204">
        <v>0.065</v>
      </c>
      <c r="J4204">
        <v>19.74</v>
      </c>
      <c r="K4204">
        <v>26.77</v>
      </c>
      <c r="L4204">
        <v>14.92</v>
      </c>
      <c r="M4204">
        <v>0.09</v>
      </c>
      <c r="N4204">
        <v>0.654</v>
      </c>
      <c r="O4204">
        <v>19.16</v>
      </c>
      <c r="P4204">
        <v>24.52</v>
      </c>
      <c r="Q4204">
        <v>15.64</v>
      </c>
      <c r="R4204">
        <v>0.1</v>
      </c>
    </row>
    <row r="4205">
      <c r="A4205" s="9">
        <v>42736</v>
      </c>
      <c r="B4205" s="2" t="inlineStr">
        <is>
          <t xml:space="preserve">2017-01</t>
        </is>
      </c>
      <c r="C4205" s="2" t="inlineStr">
        <is>
          <t xml:space="preserve">2016/17</t>
        </is>
      </c>
      <c r="D4205">
        <v>0.0</v>
      </c>
      <c r="E4205">
        <v>20.68</v>
      </c>
      <c r="F4205">
        <v>28.88</v>
      </c>
      <c r="G4205">
        <v>14.91</v>
      </c>
      <c r="H4205">
        <v>0.01</v>
      </c>
      <c r="I4205">
        <v>0.0</v>
      </c>
      <c r="J4205">
        <v>21.85</v>
      </c>
      <c r="K4205">
        <v>29.63</v>
      </c>
      <c r="L4205">
        <v>14.92</v>
      </c>
      <c r="M4205">
        <v>0.0</v>
      </c>
      <c r="N4205">
        <v>0.0</v>
      </c>
      <c r="O4205">
        <v>20.84</v>
      </c>
      <c r="P4205">
        <v>27.51</v>
      </c>
      <c r="Q4205">
        <v>15.09</v>
      </c>
      <c r="R4205">
        <v>0.0</v>
      </c>
    </row>
    <row r="4206">
      <c r="A4206" s="9">
        <v>42737</v>
      </c>
      <c r="B4206" s="2" t="inlineStr">
        <is>
          <t xml:space="preserve">2017-01</t>
        </is>
      </c>
      <c r="C4206" s="2" t="inlineStr">
        <is>
          <t xml:space="preserve">2016/17</t>
        </is>
      </c>
      <c r="D4206">
        <v>0.0</v>
      </c>
      <c r="E4206">
        <v>21.36</v>
      </c>
      <c r="F4206">
        <v>28.85</v>
      </c>
      <c r="G4206">
        <v>15.62</v>
      </c>
      <c r="H4206">
        <v>0.03</v>
      </c>
      <c r="I4206">
        <v>0.0</v>
      </c>
      <c r="J4206">
        <v>22.55</v>
      </c>
      <c r="K4206">
        <v>29.66</v>
      </c>
      <c r="L4206">
        <v>17.33</v>
      </c>
      <c r="M4206">
        <v>0.0</v>
      </c>
      <c r="N4206">
        <v>0.0</v>
      </c>
      <c r="O4206">
        <v>21.51</v>
      </c>
      <c r="P4206">
        <v>27.72</v>
      </c>
      <c r="Q4206">
        <v>16.73</v>
      </c>
      <c r="R4206">
        <v>0.0</v>
      </c>
    </row>
    <row r="4207">
      <c r="A4207" s="9">
        <v>42738</v>
      </c>
      <c r="B4207" s="2" t="inlineStr">
        <is>
          <t xml:space="preserve">2017-01</t>
        </is>
      </c>
      <c r="C4207" s="2" t="inlineStr">
        <is>
          <t xml:space="preserve">2016/17</t>
        </is>
      </c>
      <c r="D4207">
        <v>0.0</v>
      </c>
      <c r="E4207">
        <v>20.93</v>
      </c>
      <c r="F4207">
        <v>28.52</v>
      </c>
      <c r="G4207">
        <v>15.99</v>
      </c>
      <c r="H4207">
        <v>0.01</v>
      </c>
      <c r="I4207">
        <v>0.0</v>
      </c>
      <c r="J4207">
        <v>21.8</v>
      </c>
      <c r="K4207">
        <v>28.53</v>
      </c>
      <c r="L4207">
        <v>16.4</v>
      </c>
      <c r="M4207">
        <v>0.0</v>
      </c>
      <c r="N4207">
        <v>0.0</v>
      </c>
      <c r="O4207">
        <v>21.25</v>
      </c>
      <c r="P4207">
        <v>26.75</v>
      </c>
      <c r="Q4207">
        <v>17.24</v>
      </c>
      <c r="R4207">
        <v>0.0</v>
      </c>
    </row>
    <row r="4208">
      <c r="A4208" s="9">
        <v>42739</v>
      </c>
      <c r="B4208" s="2" t="inlineStr">
        <is>
          <t xml:space="preserve">2017-01</t>
        </is>
      </c>
      <c r="C4208" s="2" t="inlineStr">
        <is>
          <t xml:space="preserve">2016/17</t>
        </is>
      </c>
      <c r="D4208">
        <v>0.0</v>
      </c>
      <c r="E4208">
        <v>20.62</v>
      </c>
      <c r="F4208">
        <v>28.77</v>
      </c>
      <c r="G4208">
        <v>14.44</v>
      </c>
      <c r="H4208">
        <v>0.0</v>
      </c>
      <c r="I4208">
        <v>0.0</v>
      </c>
      <c r="J4208">
        <v>21.68</v>
      </c>
      <c r="K4208">
        <v>28.07</v>
      </c>
      <c r="L4208">
        <v>16.08</v>
      </c>
      <c r="M4208">
        <v>0.0</v>
      </c>
      <c r="N4208">
        <v>0.0</v>
      </c>
      <c r="O4208">
        <v>21.0</v>
      </c>
      <c r="P4208">
        <v>26.31</v>
      </c>
      <c r="Q4208">
        <v>17.27</v>
      </c>
      <c r="R4208">
        <v>0.0</v>
      </c>
    </row>
    <row r="4209">
      <c r="A4209" s="9">
        <v>42740</v>
      </c>
      <c r="B4209" s="2" t="inlineStr">
        <is>
          <t xml:space="preserve">2017-01</t>
        </is>
      </c>
      <c r="C4209" s="2" t="inlineStr">
        <is>
          <t xml:space="preserve">2016/17</t>
        </is>
      </c>
      <c r="D4209">
        <v>0.0</v>
      </c>
      <c r="E4209">
        <v>21.05</v>
      </c>
      <c r="F4209">
        <v>29.0</v>
      </c>
      <c r="G4209">
        <v>15.73</v>
      </c>
      <c r="H4209">
        <v>0.0</v>
      </c>
      <c r="I4209">
        <v>0.0</v>
      </c>
      <c r="J4209">
        <v>22.6</v>
      </c>
      <c r="K4209">
        <v>29.14</v>
      </c>
      <c r="L4209">
        <v>17.18</v>
      </c>
      <c r="M4209">
        <v>0.0</v>
      </c>
      <c r="N4209">
        <v>0.0</v>
      </c>
      <c r="O4209">
        <v>21.17</v>
      </c>
      <c r="P4209">
        <v>26.89</v>
      </c>
      <c r="Q4209">
        <v>17.44</v>
      </c>
      <c r="R4209">
        <v>0.0</v>
      </c>
    </row>
    <row r="4210">
      <c r="A4210" s="9">
        <v>42741</v>
      </c>
      <c r="B4210" s="2" t="inlineStr">
        <is>
          <t xml:space="preserve">2017-01</t>
        </is>
      </c>
      <c r="C4210" s="2" t="inlineStr">
        <is>
          <t xml:space="preserve">2016/17</t>
        </is>
      </c>
      <c r="D4210">
        <v>0.0</v>
      </c>
      <c r="E4210">
        <v>21.76</v>
      </c>
      <c r="F4210">
        <v>29.8</v>
      </c>
      <c r="G4210">
        <v>15.49</v>
      </c>
      <c r="H4210">
        <v>0.01</v>
      </c>
      <c r="I4210">
        <v>0.0</v>
      </c>
      <c r="J4210">
        <v>22.95</v>
      </c>
      <c r="K4210">
        <v>29.89</v>
      </c>
      <c r="L4210">
        <v>17.77</v>
      </c>
      <c r="M4210">
        <v>0.06</v>
      </c>
      <c r="N4210">
        <v>0.0</v>
      </c>
      <c r="O4210">
        <v>22.13</v>
      </c>
      <c r="P4210">
        <v>29.03</v>
      </c>
      <c r="Q4210">
        <v>15.74</v>
      </c>
      <c r="R4210">
        <v>0.07</v>
      </c>
    </row>
    <row r="4211">
      <c r="A4211" s="9">
        <v>42742</v>
      </c>
      <c r="B4211" s="2" t="inlineStr">
        <is>
          <t xml:space="preserve">2017-01</t>
        </is>
      </c>
      <c r="C4211" s="2" t="inlineStr">
        <is>
          <t xml:space="preserve">2016/17</t>
        </is>
      </c>
      <c r="D4211">
        <v>0.03</v>
      </c>
      <c r="E4211">
        <v>20.8</v>
      </c>
      <c r="F4211">
        <v>27.93</v>
      </c>
      <c r="G4211">
        <v>15.24</v>
      </c>
      <c r="H4211">
        <v>0.46</v>
      </c>
      <c r="I4211">
        <v>0.624</v>
      </c>
      <c r="J4211">
        <v>21.17</v>
      </c>
      <c r="K4211">
        <v>27.03</v>
      </c>
      <c r="L4211">
        <v>16.88</v>
      </c>
      <c r="M4211">
        <v>1.25</v>
      </c>
      <c r="N4211">
        <v>2.31</v>
      </c>
      <c r="O4211">
        <v>21.36</v>
      </c>
      <c r="P4211">
        <v>26.15</v>
      </c>
      <c r="Q4211">
        <v>18.24</v>
      </c>
      <c r="R4211">
        <v>1.4</v>
      </c>
    </row>
    <row r="4212">
      <c r="A4212" s="9">
        <v>42743</v>
      </c>
      <c r="B4212" s="2" t="inlineStr">
        <is>
          <t xml:space="preserve">2017-01</t>
        </is>
      </c>
      <c r="C4212" s="2" t="inlineStr">
        <is>
          <t xml:space="preserve">2016/17</t>
        </is>
      </c>
      <c r="D4212">
        <v>2.032</v>
      </c>
      <c r="E4212">
        <v>19.12</v>
      </c>
      <c r="F4212">
        <v>25.63</v>
      </c>
      <c r="G4212">
        <v>15.92</v>
      </c>
      <c r="H4212">
        <v>9.64</v>
      </c>
      <c r="I4212">
        <v>2.069</v>
      </c>
      <c r="J4212">
        <v>18.41</v>
      </c>
      <c r="K4212">
        <v>21.92</v>
      </c>
      <c r="L4212">
        <v>14.83</v>
      </c>
      <c r="M4212">
        <v>3.66</v>
      </c>
      <c r="N4212">
        <v>7.742</v>
      </c>
      <c r="O4212">
        <v>17.78</v>
      </c>
      <c r="P4212">
        <v>19.58</v>
      </c>
      <c r="Q4212">
        <v>15.21</v>
      </c>
      <c r="R4212">
        <v>11.11</v>
      </c>
    </row>
    <row r="4213">
      <c r="A4213" s="9">
        <v>42744</v>
      </c>
      <c r="B4213" s="2" t="inlineStr">
        <is>
          <t xml:space="preserve">2017-01</t>
        </is>
      </c>
      <c r="C4213" s="2" t="inlineStr">
        <is>
          <t xml:space="preserve">2016/17</t>
        </is>
      </c>
      <c r="D4213">
        <v>2.087</v>
      </c>
      <c r="E4213">
        <v>16.62</v>
      </c>
      <c r="F4213">
        <v>21.29</v>
      </c>
      <c r="G4213">
        <v>14.12</v>
      </c>
      <c r="H4213">
        <v>2.69</v>
      </c>
      <c r="I4213">
        <v>0.04</v>
      </c>
      <c r="J4213">
        <v>15.93</v>
      </c>
      <c r="K4213">
        <v>20.07</v>
      </c>
      <c r="L4213">
        <v>13.55</v>
      </c>
      <c r="M4213">
        <v>1.26</v>
      </c>
      <c r="N4213">
        <v>0.729</v>
      </c>
      <c r="O4213">
        <v>15.91</v>
      </c>
      <c r="P4213">
        <v>19.11</v>
      </c>
      <c r="Q4213">
        <v>14.23</v>
      </c>
      <c r="R4213">
        <v>4.23</v>
      </c>
    </row>
    <row r="4214">
      <c r="A4214" s="9">
        <v>42745</v>
      </c>
      <c r="B4214" s="2" t="inlineStr">
        <is>
          <t xml:space="preserve">2017-01</t>
        </is>
      </c>
      <c r="C4214" s="2" t="inlineStr">
        <is>
          <t xml:space="preserve">2016/17</t>
        </is>
      </c>
      <c r="D4214">
        <v>0.0</v>
      </c>
      <c r="E4214">
        <v>17.51</v>
      </c>
      <c r="F4214">
        <v>23.61</v>
      </c>
      <c r="G4214">
        <v>13.57</v>
      </c>
      <c r="H4214">
        <v>0.59</v>
      </c>
      <c r="I4214">
        <v>0.64</v>
      </c>
      <c r="J4214">
        <v>17.34</v>
      </c>
      <c r="K4214">
        <v>22.23</v>
      </c>
      <c r="L4214">
        <v>14.25</v>
      </c>
      <c r="M4214">
        <v>1.48</v>
      </c>
      <c r="N4214">
        <v>2.833</v>
      </c>
      <c r="O4214">
        <v>17.09</v>
      </c>
      <c r="P4214">
        <v>20.99</v>
      </c>
      <c r="Q4214">
        <v>14.66</v>
      </c>
      <c r="R4214">
        <v>2.84</v>
      </c>
    </row>
    <row r="4215">
      <c r="A4215" s="9">
        <v>42746</v>
      </c>
      <c r="B4215" s="2" t="inlineStr">
        <is>
          <t xml:space="preserve">2017-01</t>
        </is>
      </c>
      <c r="C4215" s="2" t="inlineStr">
        <is>
          <t xml:space="preserve">2016/17</t>
        </is>
      </c>
      <c r="D4215">
        <v>0.0</v>
      </c>
      <c r="E4215">
        <v>18.64</v>
      </c>
      <c r="F4215">
        <v>25.57</v>
      </c>
      <c r="G4215">
        <v>13.42</v>
      </c>
      <c r="H4215">
        <v>0.21</v>
      </c>
      <c r="I4215">
        <v>0.388</v>
      </c>
      <c r="J4215">
        <v>18.83</v>
      </c>
      <c r="K4215">
        <v>25.57</v>
      </c>
      <c r="L4215">
        <v>14.55</v>
      </c>
      <c r="M4215">
        <v>0.49</v>
      </c>
      <c r="N4215">
        <v>1.092</v>
      </c>
      <c r="O4215">
        <v>18.05</v>
      </c>
      <c r="P4215">
        <v>23.01</v>
      </c>
      <c r="Q4215">
        <v>14.67</v>
      </c>
      <c r="R4215">
        <v>0.9</v>
      </c>
    </row>
    <row r="4216">
      <c r="A4216" s="9">
        <v>42747</v>
      </c>
      <c r="B4216" s="2" t="inlineStr">
        <is>
          <t xml:space="preserve">2017-01</t>
        </is>
      </c>
      <c r="C4216" s="2" t="inlineStr">
        <is>
          <t xml:space="preserve">2016/17</t>
        </is>
      </c>
      <c r="D4216">
        <v>0.0</v>
      </c>
      <c r="E4216">
        <v>19.17</v>
      </c>
      <c r="F4216">
        <v>26.78</v>
      </c>
      <c r="G4216">
        <v>13.56</v>
      </c>
      <c r="H4216">
        <v>0.0</v>
      </c>
      <c r="I4216">
        <v>0.0</v>
      </c>
      <c r="J4216">
        <v>19.85</v>
      </c>
      <c r="K4216">
        <v>26.59</v>
      </c>
      <c r="L4216">
        <v>15.34</v>
      </c>
      <c r="M4216">
        <v>0.0</v>
      </c>
      <c r="N4216">
        <v>0.0</v>
      </c>
      <c r="O4216">
        <v>18.94</v>
      </c>
      <c r="P4216">
        <v>24.12</v>
      </c>
      <c r="Q4216">
        <v>15.5</v>
      </c>
      <c r="R4216">
        <v>0.0</v>
      </c>
    </row>
    <row r="4217">
      <c r="A4217" s="9">
        <v>42748</v>
      </c>
      <c r="B4217" s="2" t="inlineStr">
        <is>
          <t xml:space="preserve">2017-01</t>
        </is>
      </c>
      <c r="C4217" s="2" t="inlineStr">
        <is>
          <t xml:space="preserve">2016/17</t>
        </is>
      </c>
      <c r="D4217">
        <v>0.0</v>
      </c>
      <c r="E4217">
        <v>18.71</v>
      </c>
      <c r="F4217">
        <v>25.78</v>
      </c>
      <c r="G4217">
        <v>14.33</v>
      </c>
      <c r="H4217">
        <v>0.18</v>
      </c>
      <c r="I4217">
        <v>0.0</v>
      </c>
      <c r="J4217">
        <v>19.63</v>
      </c>
      <c r="K4217">
        <v>26.01</v>
      </c>
      <c r="L4217">
        <v>15.68</v>
      </c>
      <c r="M4217">
        <v>0.71</v>
      </c>
      <c r="N4217">
        <v>0.0</v>
      </c>
      <c r="O4217">
        <v>19.07</v>
      </c>
      <c r="P4217">
        <v>23.87</v>
      </c>
      <c r="Q4217">
        <v>15.98</v>
      </c>
      <c r="R4217">
        <v>1.46</v>
      </c>
    </row>
    <row r="4218">
      <c r="A4218" s="9">
        <v>42749</v>
      </c>
      <c r="B4218" s="2" t="inlineStr">
        <is>
          <t xml:space="preserve">2017-01</t>
        </is>
      </c>
      <c r="C4218" s="2" t="inlineStr">
        <is>
          <t xml:space="preserve">2016/17</t>
        </is>
      </c>
      <c r="D4218">
        <v>0.0</v>
      </c>
      <c r="E4218">
        <v>18.56</v>
      </c>
      <c r="F4218">
        <v>25.04</v>
      </c>
      <c r="G4218">
        <v>14.23</v>
      </c>
      <c r="H4218">
        <v>2.46</v>
      </c>
      <c r="I4218">
        <v>0.66</v>
      </c>
      <c r="J4218">
        <v>18.61</v>
      </c>
      <c r="K4218">
        <v>24.28</v>
      </c>
      <c r="L4218">
        <v>15.11</v>
      </c>
      <c r="M4218">
        <v>3.73</v>
      </c>
      <c r="N4218">
        <v>2.554</v>
      </c>
      <c r="O4218">
        <v>18.67</v>
      </c>
      <c r="P4218">
        <v>22.41</v>
      </c>
      <c r="Q4218">
        <v>15.9</v>
      </c>
      <c r="R4218">
        <v>9.84</v>
      </c>
    </row>
    <row r="4219">
      <c r="A4219" s="9">
        <v>42750</v>
      </c>
      <c r="B4219" s="2" t="inlineStr">
        <is>
          <t xml:space="preserve">2017-01</t>
        </is>
      </c>
      <c r="C4219" s="2" t="inlineStr">
        <is>
          <t xml:space="preserve">2016/17</t>
        </is>
      </c>
      <c r="D4219">
        <v>0.281</v>
      </c>
      <c r="E4219">
        <v>18.74</v>
      </c>
      <c r="F4219">
        <v>25.28</v>
      </c>
      <c r="G4219">
        <v>14.71</v>
      </c>
      <c r="H4219">
        <v>3.16</v>
      </c>
      <c r="I4219">
        <v>2.537</v>
      </c>
      <c r="J4219">
        <v>19.44</v>
      </c>
      <c r="K4219">
        <v>25.53</v>
      </c>
      <c r="L4219">
        <v>15.58</v>
      </c>
      <c r="M4219">
        <v>8.7</v>
      </c>
      <c r="N4219">
        <v>9.334</v>
      </c>
      <c r="O4219">
        <v>18.9</v>
      </c>
      <c r="P4219">
        <v>23.23</v>
      </c>
      <c r="Q4219">
        <v>16.09</v>
      </c>
      <c r="R4219">
        <v>18.59</v>
      </c>
    </row>
    <row r="4220">
      <c r="A4220" s="9">
        <v>42751</v>
      </c>
      <c r="B4220" s="2" t="inlineStr">
        <is>
          <t xml:space="preserve">2017-01</t>
        </is>
      </c>
      <c r="C4220" s="2" t="inlineStr">
        <is>
          <t xml:space="preserve">2016/17</t>
        </is>
      </c>
      <c r="D4220">
        <v>0.0</v>
      </c>
      <c r="E4220">
        <v>19.79</v>
      </c>
      <c r="F4220">
        <v>27.35</v>
      </c>
      <c r="G4220">
        <v>14.14</v>
      </c>
      <c r="H4220">
        <v>0.12</v>
      </c>
      <c r="I4220">
        <v>0.0</v>
      </c>
      <c r="J4220">
        <v>20.62</v>
      </c>
      <c r="K4220">
        <v>27.1</v>
      </c>
      <c r="L4220">
        <v>15.55</v>
      </c>
      <c r="M4220">
        <v>0.02</v>
      </c>
      <c r="N4220">
        <v>0.0</v>
      </c>
      <c r="O4220">
        <v>19.48</v>
      </c>
      <c r="P4220">
        <v>25.11</v>
      </c>
      <c r="Q4220">
        <v>15.81</v>
      </c>
      <c r="R4220">
        <v>0.02</v>
      </c>
    </row>
    <row r="4221">
      <c r="A4221" s="9">
        <v>42752</v>
      </c>
      <c r="B4221" s="2" t="inlineStr">
        <is>
          <t xml:space="preserve">2017-01</t>
        </is>
      </c>
      <c r="C4221" s="2" t="inlineStr">
        <is>
          <t xml:space="preserve">2016/17</t>
        </is>
      </c>
      <c r="D4221">
        <v>0.261</v>
      </c>
      <c r="E4221">
        <v>20.18</v>
      </c>
      <c r="F4221">
        <v>27.18</v>
      </c>
      <c r="G4221">
        <v>15.08</v>
      </c>
      <c r="H4221">
        <v>0.19</v>
      </c>
      <c r="I4221">
        <v>0.023</v>
      </c>
      <c r="J4221">
        <v>21.49</v>
      </c>
      <c r="K4221">
        <v>28.05</v>
      </c>
      <c r="L4221">
        <v>15.91</v>
      </c>
      <c r="M4221">
        <v>0.08</v>
      </c>
      <c r="N4221">
        <v>0.25</v>
      </c>
      <c r="O4221">
        <v>20.68</v>
      </c>
      <c r="P4221">
        <v>25.99</v>
      </c>
      <c r="Q4221">
        <v>17.3</v>
      </c>
      <c r="R4221">
        <v>0.07</v>
      </c>
    </row>
    <row r="4222">
      <c r="A4222" s="9">
        <v>42753</v>
      </c>
      <c r="B4222" s="2" t="inlineStr">
        <is>
          <t xml:space="preserve">2017-01</t>
        </is>
      </c>
      <c r="C4222" s="2" t="inlineStr">
        <is>
          <t xml:space="preserve">2016/17</t>
        </is>
      </c>
      <c r="D4222">
        <v>0.0</v>
      </c>
      <c r="E4222">
        <v>20.49</v>
      </c>
      <c r="F4222">
        <v>28.53</v>
      </c>
      <c r="G4222">
        <v>14.03</v>
      </c>
      <c r="H4222">
        <v>0.11</v>
      </c>
      <c r="I4222">
        <v>0.0</v>
      </c>
      <c r="J4222">
        <v>21.96</v>
      </c>
      <c r="K4222">
        <v>28.56</v>
      </c>
      <c r="L4222">
        <v>17.23</v>
      </c>
      <c r="M4222">
        <v>0.0</v>
      </c>
      <c r="N4222">
        <v>0.0</v>
      </c>
      <c r="O4222">
        <v>20.63</v>
      </c>
      <c r="P4222">
        <v>26.11</v>
      </c>
      <c r="Q4222">
        <v>17.36</v>
      </c>
      <c r="R4222">
        <v>0.03</v>
      </c>
    </row>
    <row r="4223">
      <c r="A4223" s="9">
        <v>42754</v>
      </c>
      <c r="B4223" s="2" t="inlineStr">
        <is>
          <t xml:space="preserve">2017-01</t>
        </is>
      </c>
      <c r="C4223" s="2" t="inlineStr">
        <is>
          <t xml:space="preserve">2016/17</t>
        </is>
      </c>
      <c r="D4223">
        <v>0.0</v>
      </c>
      <c r="E4223">
        <v>21.27</v>
      </c>
      <c r="F4223">
        <v>29.05</v>
      </c>
      <c r="G4223">
        <v>15.37</v>
      </c>
      <c r="H4223">
        <v>0.07</v>
      </c>
      <c r="I4223">
        <v>0.0</v>
      </c>
      <c r="J4223">
        <v>21.78</v>
      </c>
      <c r="K4223">
        <v>28.06</v>
      </c>
      <c r="L4223">
        <v>17.1</v>
      </c>
      <c r="M4223">
        <v>0.0</v>
      </c>
      <c r="N4223">
        <v>0.0</v>
      </c>
      <c r="O4223">
        <v>21.5</v>
      </c>
      <c r="P4223">
        <v>27.36</v>
      </c>
      <c r="Q4223">
        <v>17.74</v>
      </c>
      <c r="R4223">
        <v>0.06</v>
      </c>
    </row>
    <row r="4224">
      <c r="A4224" s="9">
        <v>42755</v>
      </c>
      <c r="B4224" s="2" t="inlineStr">
        <is>
          <t xml:space="preserve">2017-01</t>
        </is>
      </c>
      <c r="C4224" s="2" t="inlineStr">
        <is>
          <t xml:space="preserve">2016/17</t>
        </is>
      </c>
      <c r="D4224">
        <v>0.0</v>
      </c>
      <c r="E4224">
        <v>21.8</v>
      </c>
      <c r="F4224">
        <v>30.63</v>
      </c>
      <c r="G4224">
        <v>14.31</v>
      </c>
      <c r="H4224">
        <v>0.0</v>
      </c>
      <c r="I4224">
        <v>0.0</v>
      </c>
      <c r="J4224">
        <v>21.59</v>
      </c>
      <c r="K4224">
        <v>28.98</v>
      </c>
      <c r="L4224">
        <v>16.06</v>
      </c>
      <c r="M4224">
        <v>0.0</v>
      </c>
      <c r="N4224">
        <v>0.0</v>
      </c>
      <c r="O4224">
        <v>21.76</v>
      </c>
      <c r="P4224">
        <v>28.73</v>
      </c>
      <c r="Q4224">
        <v>16.41</v>
      </c>
      <c r="R4224">
        <v>0.0</v>
      </c>
    </row>
    <row r="4225">
      <c r="A4225" s="9">
        <v>42756</v>
      </c>
      <c r="B4225" s="2" t="inlineStr">
        <is>
          <t xml:space="preserve">2017-01</t>
        </is>
      </c>
      <c r="C4225" s="2" t="inlineStr">
        <is>
          <t xml:space="preserve">2016/17</t>
        </is>
      </c>
      <c r="D4225">
        <v>0.0</v>
      </c>
      <c r="E4225">
        <v>20.59</v>
      </c>
      <c r="F4225">
        <v>28.88</v>
      </c>
      <c r="G4225">
        <v>14.63</v>
      </c>
      <c r="H4225">
        <v>0.0</v>
      </c>
      <c r="I4225">
        <v>0.0</v>
      </c>
      <c r="J4225">
        <v>20.75</v>
      </c>
      <c r="K4225">
        <v>28.13</v>
      </c>
      <c r="L4225">
        <v>15.64</v>
      </c>
      <c r="M4225">
        <v>0.15</v>
      </c>
      <c r="N4225">
        <v>0.0</v>
      </c>
      <c r="O4225">
        <v>21.21</v>
      </c>
      <c r="P4225">
        <v>28.14</v>
      </c>
      <c r="Q4225">
        <v>15.25</v>
      </c>
      <c r="R4225">
        <v>0.0</v>
      </c>
    </row>
    <row r="4226">
      <c r="A4226" s="9">
        <v>42757</v>
      </c>
      <c r="B4226" s="2" t="inlineStr">
        <is>
          <t xml:space="preserve">2017-01</t>
        </is>
      </c>
      <c r="C4226" s="2" t="inlineStr">
        <is>
          <t xml:space="preserve">2016/17</t>
        </is>
      </c>
      <c r="D4226">
        <v>0.0</v>
      </c>
      <c r="E4226">
        <v>21.21</v>
      </c>
      <c r="F4226">
        <v>30.92</v>
      </c>
      <c r="G4226">
        <v>12.57</v>
      </c>
      <c r="H4226">
        <v>0.0</v>
      </c>
      <c r="I4226">
        <v>0.937</v>
      </c>
      <c r="J4226">
        <v>21.77</v>
      </c>
      <c r="K4226">
        <v>29.09</v>
      </c>
      <c r="L4226">
        <v>16.68</v>
      </c>
      <c r="M4226">
        <v>0.48</v>
      </c>
      <c r="N4226">
        <v>0.0</v>
      </c>
      <c r="O4226">
        <v>22.13</v>
      </c>
      <c r="P4226">
        <v>29.26</v>
      </c>
      <c r="Q4226">
        <v>16.51</v>
      </c>
      <c r="R4226">
        <v>0.01</v>
      </c>
    </row>
    <row r="4227">
      <c r="A4227" s="9">
        <v>42758</v>
      </c>
      <c r="B4227" s="2" t="inlineStr">
        <is>
          <t xml:space="preserve">2017-01</t>
        </is>
      </c>
      <c r="C4227" s="2" t="inlineStr">
        <is>
          <t xml:space="preserve">2016/17</t>
        </is>
      </c>
      <c r="D4227">
        <v>0.0</v>
      </c>
      <c r="E4227">
        <v>19.64</v>
      </c>
      <c r="F4227">
        <v>27.57</v>
      </c>
      <c r="G4227">
        <v>13.18</v>
      </c>
      <c r="H4227">
        <v>0.0</v>
      </c>
      <c r="I4227">
        <v>0.0</v>
      </c>
      <c r="J4227">
        <v>19.43</v>
      </c>
      <c r="K4227">
        <v>26.59</v>
      </c>
      <c r="L4227">
        <v>14.05</v>
      </c>
      <c r="M4227">
        <v>0.0</v>
      </c>
      <c r="N4227">
        <v>0.0</v>
      </c>
      <c r="O4227">
        <v>19.2</v>
      </c>
      <c r="P4227">
        <v>24.65</v>
      </c>
      <c r="Q4227">
        <v>15.33</v>
      </c>
      <c r="R4227">
        <v>0.0</v>
      </c>
    </row>
    <row r="4228">
      <c r="A4228" s="9">
        <v>42759</v>
      </c>
      <c r="B4228" s="2" t="inlineStr">
        <is>
          <t xml:space="preserve">2017-01</t>
        </is>
      </c>
      <c r="C4228" s="2" t="inlineStr">
        <is>
          <t xml:space="preserve">2016/17</t>
        </is>
      </c>
      <c r="D4228">
        <v>0.0</v>
      </c>
      <c r="E4228">
        <v>19.36</v>
      </c>
      <c r="F4228">
        <v>29.2</v>
      </c>
      <c r="G4228">
        <v>11.22</v>
      </c>
      <c r="H4228">
        <v>0.0</v>
      </c>
      <c r="I4228">
        <v>0.0</v>
      </c>
      <c r="J4228">
        <v>19.4</v>
      </c>
      <c r="K4228">
        <v>28.97</v>
      </c>
      <c r="L4228">
        <v>11.84</v>
      </c>
      <c r="M4228">
        <v>0.0</v>
      </c>
      <c r="N4228">
        <v>0.0</v>
      </c>
      <c r="O4228">
        <v>18.98</v>
      </c>
      <c r="P4228">
        <v>26.81</v>
      </c>
      <c r="Q4228">
        <v>13.31</v>
      </c>
      <c r="R4228">
        <v>0.0</v>
      </c>
    </row>
    <row r="4229">
      <c r="A4229" s="9">
        <v>42760</v>
      </c>
      <c r="B4229" s="2" t="inlineStr">
        <is>
          <t xml:space="preserve">2017-01</t>
        </is>
      </c>
      <c r="C4229" s="2" t="inlineStr">
        <is>
          <t xml:space="preserve">2016/17</t>
        </is>
      </c>
      <c r="D4229">
        <v>0.0</v>
      </c>
      <c r="E4229">
        <v>21.16</v>
      </c>
      <c r="F4229">
        <v>31.31</v>
      </c>
      <c r="G4229">
        <v>13.51</v>
      </c>
      <c r="H4229">
        <v>0.0</v>
      </c>
      <c r="I4229">
        <v>0.0</v>
      </c>
      <c r="J4229">
        <v>21.59</v>
      </c>
      <c r="K4229">
        <v>30.48</v>
      </c>
      <c r="L4229">
        <v>14.51</v>
      </c>
      <c r="M4229">
        <v>0.0</v>
      </c>
      <c r="N4229">
        <v>0.0</v>
      </c>
      <c r="O4229">
        <v>21.1</v>
      </c>
      <c r="P4229">
        <v>29.65</v>
      </c>
      <c r="Q4229">
        <v>13.98</v>
      </c>
      <c r="R4229">
        <v>0.0</v>
      </c>
    </row>
    <row r="4230">
      <c r="A4230" s="9">
        <v>42761</v>
      </c>
      <c r="B4230" s="2" t="inlineStr">
        <is>
          <t xml:space="preserve">2017-01</t>
        </is>
      </c>
      <c r="C4230" s="2" t="inlineStr">
        <is>
          <t xml:space="preserve">2016/17</t>
        </is>
      </c>
      <c r="D4230">
        <v>0.0</v>
      </c>
      <c r="E4230">
        <v>21.65</v>
      </c>
      <c r="F4230">
        <v>31.42</v>
      </c>
      <c r="G4230">
        <v>14.2</v>
      </c>
      <c r="H4230">
        <v>0.0</v>
      </c>
      <c r="I4230">
        <v>0.0</v>
      </c>
      <c r="J4230">
        <v>22.1</v>
      </c>
      <c r="K4230">
        <v>31.01</v>
      </c>
      <c r="L4230">
        <v>14.88</v>
      </c>
      <c r="M4230">
        <v>0.0</v>
      </c>
      <c r="N4230">
        <v>0.0</v>
      </c>
      <c r="O4230">
        <v>21.47</v>
      </c>
      <c r="P4230">
        <v>29.83</v>
      </c>
      <c r="Q4230">
        <v>14.44</v>
      </c>
      <c r="R4230">
        <v>0.0</v>
      </c>
    </row>
    <row r="4231">
      <c r="A4231" s="9">
        <v>42762</v>
      </c>
      <c r="B4231" s="2" t="inlineStr">
        <is>
          <t xml:space="preserve">2017-01</t>
        </is>
      </c>
      <c r="C4231" s="2" t="inlineStr">
        <is>
          <t xml:space="preserve">2016/17</t>
        </is>
      </c>
      <c r="D4231">
        <v>0.0</v>
      </c>
      <c r="E4231">
        <v>21.0</v>
      </c>
      <c r="F4231">
        <v>29.13</v>
      </c>
      <c r="G4231">
        <v>14.34</v>
      </c>
      <c r="H4231">
        <v>0.0</v>
      </c>
      <c r="I4231">
        <v>0.0</v>
      </c>
      <c r="J4231">
        <v>21.2</v>
      </c>
      <c r="K4231">
        <v>28.18</v>
      </c>
      <c r="L4231">
        <v>16.04</v>
      </c>
      <c r="M4231">
        <v>0.0</v>
      </c>
      <c r="N4231">
        <v>0.0</v>
      </c>
      <c r="O4231">
        <v>20.56</v>
      </c>
      <c r="P4231">
        <v>26.29</v>
      </c>
      <c r="Q4231">
        <v>16.59</v>
      </c>
      <c r="R4231">
        <v>0.0</v>
      </c>
    </row>
    <row r="4232">
      <c r="A4232" s="9">
        <v>42763</v>
      </c>
      <c r="B4232" s="2" t="inlineStr">
        <is>
          <t xml:space="preserve">2017-01</t>
        </is>
      </c>
      <c r="C4232" s="2" t="inlineStr">
        <is>
          <t xml:space="preserve">2016/17</t>
        </is>
      </c>
      <c r="D4232">
        <v>0.0</v>
      </c>
      <c r="E4232">
        <v>21.77</v>
      </c>
      <c r="F4232">
        <v>29.69</v>
      </c>
      <c r="G4232">
        <v>16.19</v>
      </c>
      <c r="H4232">
        <v>0.08</v>
      </c>
      <c r="I4232">
        <v>0.0</v>
      </c>
      <c r="J4232">
        <v>21.93</v>
      </c>
      <c r="K4232">
        <v>29.3</v>
      </c>
      <c r="L4232">
        <v>16.29</v>
      </c>
      <c r="M4232">
        <v>0.1</v>
      </c>
      <c r="N4232">
        <v>0.0</v>
      </c>
      <c r="O4232">
        <v>21.24</v>
      </c>
      <c r="P4232">
        <v>27.89</v>
      </c>
      <c r="Q4232">
        <v>16.58</v>
      </c>
      <c r="R4232">
        <v>0.17</v>
      </c>
    </row>
    <row r="4233">
      <c r="A4233" s="9">
        <v>42764</v>
      </c>
      <c r="B4233" s="2" t="inlineStr">
        <is>
          <t xml:space="preserve">2017-01</t>
        </is>
      </c>
      <c r="C4233" s="2" t="inlineStr">
        <is>
          <t xml:space="preserve">2016/17</t>
        </is>
      </c>
      <c r="D4233">
        <v>0.032</v>
      </c>
      <c r="E4233">
        <v>20.02</v>
      </c>
      <c r="F4233">
        <v>26.52</v>
      </c>
      <c r="G4233">
        <v>15.95</v>
      </c>
      <c r="H4233">
        <v>0.55</v>
      </c>
      <c r="I4233">
        <v>0.354</v>
      </c>
      <c r="J4233">
        <v>20.61</v>
      </c>
      <c r="K4233">
        <v>25.91</v>
      </c>
      <c r="L4233">
        <v>17.32</v>
      </c>
      <c r="M4233">
        <v>0.87</v>
      </c>
      <c r="N4233">
        <v>1.026</v>
      </c>
      <c r="O4233">
        <v>20.32</v>
      </c>
      <c r="P4233">
        <v>24.81</v>
      </c>
      <c r="Q4233">
        <v>17.23</v>
      </c>
      <c r="R4233">
        <v>1.83</v>
      </c>
    </row>
    <row r="4234">
      <c r="A4234" s="9">
        <v>42765</v>
      </c>
      <c r="B4234" s="2" t="inlineStr">
        <is>
          <t xml:space="preserve">2017-01</t>
        </is>
      </c>
      <c r="C4234" s="2" t="inlineStr">
        <is>
          <t xml:space="preserve">2016/17</t>
        </is>
      </c>
      <c r="D4234">
        <v>0.36</v>
      </c>
      <c r="E4234">
        <v>18.8</v>
      </c>
      <c r="F4234">
        <v>25.65</v>
      </c>
      <c r="G4234">
        <v>15.51</v>
      </c>
      <c r="H4234">
        <v>6.05</v>
      </c>
      <c r="I4234">
        <v>0.941</v>
      </c>
      <c r="J4234">
        <v>17.88</v>
      </c>
      <c r="K4234">
        <v>22.01</v>
      </c>
      <c r="L4234">
        <v>14.87</v>
      </c>
      <c r="M4234">
        <v>2.84</v>
      </c>
      <c r="N4234">
        <v>4.265</v>
      </c>
      <c r="O4234">
        <v>17.53</v>
      </c>
      <c r="P4234">
        <v>19.92</v>
      </c>
      <c r="Q4234">
        <v>14.75</v>
      </c>
      <c r="R4234">
        <v>7.84</v>
      </c>
    </row>
    <row r="4235">
      <c r="A4235" s="9">
        <v>42766</v>
      </c>
      <c r="B4235" s="2" t="inlineStr">
        <is>
          <t xml:space="preserve">2017-01</t>
        </is>
      </c>
      <c r="C4235" s="2" t="inlineStr">
        <is>
          <t xml:space="preserve">2016/17</t>
        </is>
      </c>
      <c r="D4235">
        <v>0.44</v>
      </c>
      <c r="E4235">
        <v>19.14</v>
      </c>
      <c r="F4235">
        <v>26.1</v>
      </c>
      <c r="G4235">
        <v>14.97</v>
      </c>
      <c r="H4235">
        <v>1.14</v>
      </c>
      <c r="I4235">
        <v>0.024</v>
      </c>
      <c r="J4235">
        <v>18.09</v>
      </c>
      <c r="K4235">
        <v>24.92</v>
      </c>
      <c r="L4235">
        <v>13.68</v>
      </c>
      <c r="M4235">
        <v>0.07</v>
      </c>
      <c r="N4235">
        <v>0.245</v>
      </c>
      <c r="O4235">
        <v>17.19</v>
      </c>
      <c r="P4235">
        <v>22.54</v>
      </c>
      <c r="Q4235">
        <v>14.13</v>
      </c>
      <c r="R4235">
        <v>0.69</v>
      </c>
    </row>
    <row r="4236">
      <c r="A4236" s="9">
        <v>42767</v>
      </c>
      <c r="B4236" s="2" t="inlineStr">
        <is>
          <t xml:space="preserve">2017-02</t>
        </is>
      </c>
      <c r="C4236" s="2" t="inlineStr">
        <is>
          <t xml:space="preserve">2016/17</t>
        </is>
      </c>
      <c r="D4236">
        <v>0.0</v>
      </c>
      <c r="E4236">
        <v>20.8</v>
      </c>
      <c r="F4236">
        <v>28.8</v>
      </c>
      <c r="G4236">
        <v>15.29</v>
      </c>
      <c r="H4236">
        <v>0.01</v>
      </c>
      <c r="I4236">
        <v>0.0</v>
      </c>
      <c r="J4236">
        <v>21.0</v>
      </c>
      <c r="K4236">
        <v>28.78</v>
      </c>
      <c r="L4236">
        <v>14.54</v>
      </c>
      <c r="M4236">
        <v>0.0</v>
      </c>
      <c r="N4236">
        <v>0.0</v>
      </c>
      <c r="O4236">
        <v>20.17</v>
      </c>
      <c r="P4236">
        <v>26.82</v>
      </c>
      <c r="Q4236">
        <v>15.05</v>
      </c>
      <c r="R4236">
        <v>0.02</v>
      </c>
    </row>
    <row r="4237">
      <c r="A4237" s="9">
        <v>42768</v>
      </c>
      <c r="B4237" s="2" t="inlineStr">
        <is>
          <t xml:space="preserve">2017-02</t>
        </is>
      </c>
      <c r="C4237" s="2" t="inlineStr">
        <is>
          <t xml:space="preserve">2016/17</t>
        </is>
      </c>
      <c r="D4237">
        <v>0.0</v>
      </c>
      <c r="E4237">
        <v>20.68</v>
      </c>
      <c r="F4237">
        <v>28.6</v>
      </c>
      <c r="G4237">
        <v>14.73</v>
      </c>
      <c r="H4237">
        <v>0.03</v>
      </c>
      <c r="I4237">
        <v>0.0</v>
      </c>
      <c r="J4237">
        <v>21.8</v>
      </c>
      <c r="K4237">
        <v>28.75</v>
      </c>
      <c r="L4237">
        <v>16.91</v>
      </c>
      <c r="M4237">
        <v>0.17</v>
      </c>
      <c r="N4237">
        <v>0.0</v>
      </c>
      <c r="O4237">
        <v>20.72</v>
      </c>
      <c r="P4237">
        <v>26.06</v>
      </c>
      <c r="Q4237">
        <v>16.87</v>
      </c>
      <c r="R4237">
        <v>0.26</v>
      </c>
    </row>
    <row r="4238">
      <c r="A4238" s="9">
        <v>42769</v>
      </c>
      <c r="B4238" s="2" t="inlineStr">
        <is>
          <t xml:space="preserve">2017-02</t>
        </is>
      </c>
      <c r="C4238" s="2" t="inlineStr">
        <is>
          <t xml:space="preserve">2016/17</t>
        </is>
      </c>
      <c r="D4238">
        <v>0.0</v>
      </c>
      <c r="E4238">
        <v>20.63</v>
      </c>
      <c r="F4238">
        <v>27.62</v>
      </c>
      <c r="G4238">
        <v>15.19</v>
      </c>
      <c r="H4238">
        <v>0.37</v>
      </c>
      <c r="I4238">
        <v>0.0</v>
      </c>
      <c r="J4238">
        <v>20.99</v>
      </c>
      <c r="K4238">
        <v>27.58</v>
      </c>
      <c r="L4238">
        <v>16.94</v>
      </c>
      <c r="M4238">
        <v>0.76</v>
      </c>
      <c r="N4238">
        <v>0.329</v>
      </c>
      <c r="O4238">
        <v>20.16</v>
      </c>
      <c r="P4238">
        <v>25.24</v>
      </c>
      <c r="Q4238">
        <v>16.53</v>
      </c>
      <c r="R4238">
        <v>2.14</v>
      </c>
    </row>
    <row r="4239">
      <c r="A4239" s="9">
        <v>42770</v>
      </c>
      <c r="B4239" s="2" t="inlineStr">
        <is>
          <t xml:space="preserve">2017-02</t>
        </is>
      </c>
      <c r="C4239" s="2" t="inlineStr">
        <is>
          <t xml:space="preserve">2016/17</t>
        </is>
      </c>
      <c r="D4239">
        <v>0.0</v>
      </c>
      <c r="E4239">
        <v>20.48</v>
      </c>
      <c r="F4239">
        <v>27.11</v>
      </c>
      <c r="G4239">
        <v>15.73</v>
      </c>
      <c r="H4239">
        <v>0.96</v>
      </c>
      <c r="I4239">
        <v>0.744</v>
      </c>
      <c r="J4239">
        <v>20.81</v>
      </c>
      <c r="K4239">
        <v>27.18</v>
      </c>
      <c r="L4239">
        <v>16.95</v>
      </c>
      <c r="M4239">
        <v>1.58</v>
      </c>
      <c r="N4239">
        <v>2.3</v>
      </c>
      <c r="O4239">
        <v>20.31</v>
      </c>
      <c r="P4239">
        <v>25.21</v>
      </c>
      <c r="Q4239">
        <v>17.59</v>
      </c>
      <c r="R4239">
        <v>3.35</v>
      </c>
    </row>
    <row r="4240">
      <c r="A4240" s="9">
        <v>42771</v>
      </c>
      <c r="B4240" s="2" t="inlineStr">
        <is>
          <t xml:space="preserve">2017-02</t>
        </is>
      </c>
      <c r="C4240" s="2" t="inlineStr">
        <is>
          <t xml:space="preserve">2016/17</t>
        </is>
      </c>
      <c r="D4240">
        <v>0.389</v>
      </c>
      <c r="E4240">
        <v>21.32</v>
      </c>
      <c r="F4240">
        <v>27.98</v>
      </c>
      <c r="G4240">
        <v>16.85</v>
      </c>
      <c r="H4240">
        <v>1.51</v>
      </c>
      <c r="I4240">
        <v>0.219</v>
      </c>
      <c r="J4240">
        <v>21.78</v>
      </c>
      <c r="K4240">
        <v>28.97</v>
      </c>
      <c r="L4240">
        <v>17.48</v>
      </c>
      <c r="M4240">
        <v>0.67</v>
      </c>
      <c r="N4240">
        <v>0.522</v>
      </c>
      <c r="O4240">
        <v>21.33</v>
      </c>
      <c r="P4240">
        <v>26.66</v>
      </c>
      <c r="Q4240">
        <v>18.49</v>
      </c>
      <c r="R4240">
        <v>3.5</v>
      </c>
    </row>
    <row r="4241">
      <c r="A4241" s="9">
        <v>42772</v>
      </c>
      <c r="B4241" s="2" t="inlineStr">
        <is>
          <t xml:space="preserve">2017-02</t>
        </is>
      </c>
      <c r="C4241" s="2" t="inlineStr">
        <is>
          <t xml:space="preserve">2016/17</t>
        </is>
      </c>
      <c r="D4241">
        <v>0.0</v>
      </c>
      <c r="E4241">
        <v>21.18</v>
      </c>
      <c r="F4241">
        <v>28.19</v>
      </c>
      <c r="G4241">
        <v>16.05</v>
      </c>
      <c r="H4241">
        <v>1.5</v>
      </c>
      <c r="I4241">
        <v>0.0</v>
      </c>
      <c r="J4241">
        <v>22.25</v>
      </c>
      <c r="K4241">
        <v>29.32</v>
      </c>
      <c r="L4241">
        <v>17.52</v>
      </c>
      <c r="M4241">
        <v>0.56</v>
      </c>
      <c r="N4241">
        <v>0.382</v>
      </c>
      <c r="O4241">
        <v>20.98</v>
      </c>
      <c r="P4241">
        <v>26.11</v>
      </c>
      <c r="Q4241">
        <v>17.77</v>
      </c>
      <c r="R4241">
        <v>3.78</v>
      </c>
    </row>
    <row r="4242">
      <c r="A4242" s="9">
        <v>42773</v>
      </c>
      <c r="B4242" s="2" t="inlineStr">
        <is>
          <t xml:space="preserve">2017-02</t>
        </is>
      </c>
      <c r="C4242" s="2" t="inlineStr">
        <is>
          <t xml:space="preserve">2016/17</t>
        </is>
      </c>
      <c r="D4242">
        <v>0.291</v>
      </c>
      <c r="E4242">
        <v>22.26</v>
      </c>
      <c r="F4242">
        <v>30.68</v>
      </c>
      <c r="G4242">
        <v>15.98</v>
      </c>
      <c r="H4242">
        <v>0.14</v>
      </c>
      <c r="I4242">
        <v>0.057</v>
      </c>
      <c r="J4242">
        <v>22.93</v>
      </c>
      <c r="K4242">
        <v>30.62</v>
      </c>
      <c r="L4242">
        <v>17.32</v>
      </c>
      <c r="M4242">
        <v>0.22</v>
      </c>
      <c r="N4242">
        <v>0.441</v>
      </c>
      <c r="O4242">
        <v>21.72</v>
      </c>
      <c r="P4242">
        <v>28.27</v>
      </c>
      <c r="Q4242">
        <v>17.62</v>
      </c>
      <c r="R4242">
        <v>0.32</v>
      </c>
    </row>
    <row r="4243">
      <c r="A4243" s="9">
        <v>42774</v>
      </c>
      <c r="B4243" s="2" t="inlineStr">
        <is>
          <t xml:space="preserve">2017-02</t>
        </is>
      </c>
      <c r="C4243" s="2" t="inlineStr">
        <is>
          <t xml:space="preserve">2016/17</t>
        </is>
      </c>
      <c r="D4243">
        <v>0.0</v>
      </c>
      <c r="E4243">
        <v>22.55</v>
      </c>
      <c r="F4243">
        <v>31.76</v>
      </c>
      <c r="G4243">
        <v>15.24</v>
      </c>
      <c r="H4243">
        <v>0.0</v>
      </c>
      <c r="I4243">
        <v>0.0</v>
      </c>
      <c r="J4243">
        <v>23.99</v>
      </c>
      <c r="K4243">
        <v>32.07</v>
      </c>
      <c r="L4243">
        <v>17.24</v>
      </c>
      <c r="M4243">
        <v>0.0</v>
      </c>
      <c r="N4243">
        <v>0.0</v>
      </c>
      <c r="O4243">
        <v>23.04</v>
      </c>
      <c r="P4243">
        <v>29.72</v>
      </c>
      <c r="Q4243">
        <v>18.46</v>
      </c>
      <c r="R4243">
        <v>0.0</v>
      </c>
    </row>
    <row r="4244">
      <c r="A4244" s="9">
        <v>42775</v>
      </c>
      <c r="B4244" s="2" t="inlineStr">
        <is>
          <t xml:space="preserve">2017-02</t>
        </is>
      </c>
      <c r="C4244" s="2" t="inlineStr">
        <is>
          <t xml:space="preserve">2016/17</t>
        </is>
      </c>
      <c r="D4244">
        <v>0.0</v>
      </c>
      <c r="E4244">
        <v>22.73</v>
      </c>
      <c r="F4244">
        <v>31.13</v>
      </c>
      <c r="G4244">
        <v>16.06</v>
      </c>
      <c r="H4244">
        <v>0.02</v>
      </c>
      <c r="I4244">
        <v>0.0</v>
      </c>
      <c r="J4244">
        <v>23.19</v>
      </c>
      <c r="K4244">
        <v>30.58</v>
      </c>
      <c r="L4244">
        <v>17.54</v>
      </c>
      <c r="M4244">
        <v>0.01</v>
      </c>
      <c r="N4244">
        <v>0.0</v>
      </c>
      <c r="O4244">
        <v>22.11</v>
      </c>
      <c r="P4244">
        <v>27.81</v>
      </c>
      <c r="Q4244">
        <v>18.09</v>
      </c>
      <c r="R4244">
        <v>0.08</v>
      </c>
    </row>
    <row r="4245">
      <c r="A4245" s="9">
        <v>42776</v>
      </c>
      <c r="B4245" s="2" t="inlineStr">
        <is>
          <t xml:space="preserve">2017-02</t>
        </is>
      </c>
      <c r="C4245" s="2" t="inlineStr">
        <is>
          <t xml:space="preserve">2016/17</t>
        </is>
      </c>
      <c r="D4245">
        <v>0.0</v>
      </c>
      <c r="E4245">
        <v>21.62</v>
      </c>
      <c r="F4245">
        <v>28.79</v>
      </c>
      <c r="G4245">
        <v>16.16</v>
      </c>
      <c r="H4245">
        <v>0.28</v>
      </c>
      <c r="I4245">
        <v>0.0</v>
      </c>
      <c r="J4245">
        <v>21.97</v>
      </c>
      <c r="K4245">
        <v>28.49</v>
      </c>
      <c r="L4245">
        <v>17.92</v>
      </c>
      <c r="M4245">
        <v>0.93</v>
      </c>
      <c r="N4245">
        <v>0.0</v>
      </c>
      <c r="O4245">
        <v>21.35</v>
      </c>
      <c r="P4245">
        <v>26.46</v>
      </c>
      <c r="Q4245">
        <v>18.24</v>
      </c>
      <c r="R4245">
        <v>2.08</v>
      </c>
    </row>
    <row r="4246">
      <c r="A4246" s="9">
        <v>42777</v>
      </c>
      <c r="B4246" s="2" t="inlineStr">
        <is>
          <t xml:space="preserve">2017-02</t>
        </is>
      </c>
      <c r="C4246" s="2" t="inlineStr">
        <is>
          <t xml:space="preserve">2016/17</t>
        </is>
      </c>
      <c r="D4246">
        <v>0.0</v>
      </c>
      <c r="E4246">
        <v>20.92</v>
      </c>
      <c r="F4246">
        <v>28.57</v>
      </c>
      <c r="G4246">
        <v>15.35</v>
      </c>
      <c r="H4246">
        <v>0.38</v>
      </c>
      <c r="I4246">
        <v>0.0</v>
      </c>
      <c r="J4246">
        <v>21.04</v>
      </c>
      <c r="K4246">
        <v>27.55</v>
      </c>
      <c r="L4246">
        <v>17.18</v>
      </c>
      <c r="M4246">
        <v>1.67</v>
      </c>
      <c r="N4246">
        <v>1.149</v>
      </c>
      <c r="O4246">
        <v>20.08</v>
      </c>
      <c r="P4246">
        <v>25.05</v>
      </c>
      <c r="Q4246">
        <v>17.02</v>
      </c>
      <c r="R4246">
        <v>4.0</v>
      </c>
    </row>
    <row r="4247">
      <c r="A4247" s="9">
        <v>42778</v>
      </c>
      <c r="B4247" s="2" t="inlineStr">
        <is>
          <t xml:space="preserve">2017-02</t>
        </is>
      </c>
      <c r="C4247" s="2" t="inlineStr">
        <is>
          <t xml:space="preserve">2016/17</t>
        </is>
      </c>
      <c r="D4247">
        <v>0.079</v>
      </c>
      <c r="E4247">
        <v>20.86</v>
      </c>
      <c r="F4247">
        <v>28.14</v>
      </c>
      <c r="G4247">
        <v>15.17</v>
      </c>
      <c r="H4247">
        <v>0.19</v>
      </c>
      <c r="I4247">
        <v>0.0</v>
      </c>
      <c r="J4247">
        <v>21.12</v>
      </c>
      <c r="K4247">
        <v>28.32</v>
      </c>
      <c r="L4247">
        <v>16.18</v>
      </c>
      <c r="M4247">
        <v>0.13</v>
      </c>
      <c r="N4247">
        <v>0.079</v>
      </c>
      <c r="O4247">
        <v>20.13</v>
      </c>
      <c r="P4247">
        <v>25.99</v>
      </c>
      <c r="Q4247">
        <v>15.96</v>
      </c>
      <c r="R4247">
        <v>0.38</v>
      </c>
    </row>
    <row r="4248">
      <c r="A4248" s="9">
        <v>42779</v>
      </c>
      <c r="B4248" s="2" t="inlineStr">
        <is>
          <t xml:space="preserve">2017-02</t>
        </is>
      </c>
      <c r="C4248" s="2" t="inlineStr">
        <is>
          <t xml:space="preserve">2016/17</t>
        </is>
      </c>
      <c r="D4248">
        <v>0.079</v>
      </c>
      <c r="E4248">
        <v>20.4</v>
      </c>
      <c r="F4248">
        <v>29.04</v>
      </c>
      <c r="G4248">
        <v>13.81</v>
      </c>
      <c r="H4248">
        <v>0.02</v>
      </c>
      <c r="I4248">
        <v>0.0</v>
      </c>
      <c r="J4248">
        <v>22.12</v>
      </c>
      <c r="K4248">
        <v>29.5</v>
      </c>
      <c r="L4248">
        <v>17.54</v>
      </c>
      <c r="M4248">
        <v>0.0</v>
      </c>
      <c r="N4248">
        <v>0.0</v>
      </c>
      <c r="O4248">
        <v>21.07</v>
      </c>
      <c r="P4248">
        <v>26.9</v>
      </c>
      <c r="Q4248">
        <v>17.17</v>
      </c>
      <c r="R4248">
        <v>0.04</v>
      </c>
    </row>
    <row r="4249">
      <c r="A4249" s="9">
        <v>42780</v>
      </c>
      <c r="B4249" s="2" t="inlineStr">
        <is>
          <t xml:space="preserve">2017-02</t>
        </is>
      </c>
      <c r="C4249" s="2" t="inlineStr">
        <is>
          <t xml:space="preserve">2016/17</t>
        </is>
      </c>
      <c r="D4249">
        <v>0.0</v>
      </c>
      <c r="E4249">
        <v>21.94</v>
      </c>
      <c r="F4249">
        <v>30.9</v>
      </c>
      <c r="G4249">
        <v>15.37</v>
      </c>
      <c r="H4249">
        <v>0.0</v>
      </c>
      <c r="I4249">
        <v>0.0</v>
      </c>
      <c r="J4249">
        <v>22.68</v>
      </c>
      <c r="K4249">
        <v>30.89</v>
      </c>
      <c r="L4249">
        <v>16.31</v>
      </c>
      <c r="M4249">
        <v>0.0</v>
      </c>
      <c r="N4249">
        <v>0.0</v>
      </c>
      <c r="O4249">
        <v>22.75</v>
      </c>
      <c r="P4249">
        <v>29.99</v>
      </c>
      <c r="Q4249">
        <v>17.39</v>
      </c>
      <c r="R4249">
        <v>0.03</v>
      </c>
    </row>
    <row r="4250">
      <c r="A4250" s="9">
        <v>42781</v>
      </c>
      <c r="B4250" s="2" t="inlineStr">
        <is>
          <t xml:space="preserve">2017-02</t>
        </is>
      </c>
      <c r="C4250" s="2" t="inlineStr">
        <is>
          <t xml:space="preserve">2016/17</t>
        </is>
      </c>
      <c r="D4250">
        <v>0.0</v>
      </c>
      <c r="E4250">
        <v>22.69</v>
      </c>
      <c r="F4250">
        <v>32.02</v>
      </c>
      <c r="G4250">
        <v>14.16</v>
      </c>
      <c r="H4250">
        <v>0.0</v>
      </c>
      <c r="I4250">
        <v>0.0</v>
      </c>
      <c r="J4250">
        <v>22.97</v>
      </c>
      <c r="K4250">
        <v>31.38</v>
      </c>
      <c r="L4250">
        <v>15.66</v>
      </c>
      <c r="M4250">
        <v>0.0</v>
      </c>
      <c r="N4250">
        <v>0.0</v>
      </c>
      <c r="O4250">
        <v>22.37</v>
      </c>
      <c r="P4250">
        <v>30.64</v>
      </c>
      <c r="Q4250">
        <v>15.53</v>
      </c>
      <c r="R4250">
        <v>0.0</v>
      </c>
    </row>
    <row r="4251">
      <c r="A4251" s="9">
        <v>42782</v>
      </c>
      <c r="B4251" s="2" t="inlineStr">
        <is>
          <t xml:space="preserve">2017-02</t>
        </is>
      </c>
      <c r="C4251" s="2" t="inlineStr">
        <is>
          <t xml:space="preserve">2016/17</t>
        </is>
      </c>
      <c r="D4251">
        <v>0.0</v>
      </c>
      <c r="E4251">
        <v>22.77</v>
      </c>
      <c r="F4251">
        <v>30.99</v>
      </c>
      <c r="G4251">
        <v>16.69</v>
      </c>
      <c r="H4251">
        <v>0.01</v>
      </c>
      <c r="I4251">
        <v>0.0</v>
      </c>
      <c r="J4251">
        <v>22.81</v>
      </c>
      <c r="K4251">
        <v>29.97</v>
      </c>
      <c r="L4251">
        <v>16.85</v>
      </c>
      <c r="M4251">
        <v>0.06</v>
      </c>
      <c r="N4251">
        <v>0.0</v>
      </c>
      <c r="O4251">
        <v>21.95</v>
      </c>
      <c r="P4251">
        <v>28.02</v>
      </c>
      <c r="Q4251">
        <v>17.58</v>
      </c>
      <c r="R4251">
        <v>0.02</v>
      </c>
    </row>
    <row r="4252">
      <c r="A4252" s="9">
        <v>42783</v>
      </c>
      <c r="B4252" s="2" t="inlineStr">
        <is>
          <t xml:space="preserve">2017-02</t>
        </is>
      </c>
      <c r="C4252" s="2" t="inlineStr">
        <is>
          <t xml:space="preserve">2016/17</t>
        </is>
      </c>
      <c r="D4252">
        <v>0.0</v>
      </c>
      <c r="E4252">
        <v>22.77</v>
      </c>
      <c r="F4252">
        <v>30.63</v>
      </c>
      <c r="G4252">
        <v>16.24</v>
      </c>
      <c r="H4252">
        <v>0.04</v>
      </c>
      <c r="I4252">
        <v>1.354</v>
      </c>
      <c r="J4252">
        <v>22.43</v>
      </c>
      <c r="K4252">
        <v>29.11</v>
      </c>
      <c r="L4252">
        <v>17.36</v>
      </c>
      <c r="M4252">
        <v>0.5</v>
      </c>
      <c r="N4252">
        <v>0.045</v>
      </c>
      <c r="O4252">
        <v>22.17</v>
      </c>
      <c r="P4252">
        <v>28.9</v>
      </c>
      <c r="Q4252">
        <v>16.99</v>
      </c>
      <c r="R4252">
        <v>0.02</v>
      </c>
    </row>
    <row r="4253">
      <c r="A4253" s="9">
        <v>42784</v>
      </c>
      <c r="B4253" s="2" t="inlineStr">
        <is>
          <t xml:space="preserve">2017-02</t>
        </is>
      </c>
      <c r="C4253" s="2" t="inlineStr">
        <is>
          <t xml:space="preserve">2016/17</t>
        </is>
      </c>
      <c r="D4253">
        <v>0.0</v>
      </c>
      <c r="E4253">
        <v>23.19</v>
      </c>
      <c r="F4253">
        <v>31.32</v>
      </c>
      <c r="G4253">
        <v>16.59</v>
      </c>
      <c r="H4253">
        <v>0.0</v>
      </c>
      <c r="I4253">
        <v>0.0</v>
      </c>
      <c r="J4253">
        <v>22.2</v>
      </c>
      <c r="K4253">
        <v>29.2</v>
      </c>
      <c r="L4253">
        <v>17.38</v>
      </c>
      <c r="M4253">
        <v>0.0</v>
      </c>
      <c r="N4253">
        <v>0.0</v>
      </c>
      <c r="O4253">
        <v>23.73</v>
      </c>
      <c r="P4253">
        <v>31.42</v>
      </c>
      <c r="Q4253">
        <v>17.78</v>
      </c>
      <c r="R4253">
        <v>0.0</v>
      </c>
    </row>
    <row r="4254">
      <c r="A4254" s="9">
        <v>42785</v>
      </c>
      <c r="B4254" s="2" t="inlineStr">
        <is>
          <t xml:space="preserve">2017-02</t>
        </is>
      </c>
      <c r="C4254" s="2" t="inlineStr">
        <is>
          <t xml:space="preserve">2016/17</t>
        </is>
      </c>
      <c r="D4254">
        <v>0.0</v>
      </c>
      <c r="E4254">
        <v>22.83</v>
      </c>
      <c r="F4254">
        <v>31.62</v>
      </c>
      <c r="G4254">
        <v>16.24</v>
      </c>
      <c r="H4254">
        <v>0.0</v>
      </c>
      <c r="I4254">
        <v>0.0</v>
      </c>
      <c r="J4254">
        <v>23.37</v>
      </c>
      <c r="K4254">
        <v>32.2</v>
      </c>
      <c r="L4254">
        <v>16.49</v>
      </c>
      <c r="M4254">
        <v>0.0</v>
      </c>
      <c r="N4254">
        <v>0.0</v>
      </c>
      <c r="O4254">
        <v>24.06</v>
      </c>
      <c r="P4254">
        <v>32.05</v>
      </c>
      <c r="Q4254">
        <v>17.86</v>
      </c>
      <c r="R4254">
        <v>0.0</v>
      </c>
    </row>
    <row r="4255">
      <c r="A4255" s="9">
        <v>42786</v>
      </c>
      <c r="B4255" s="2" t="inlineStr">
        <is>
          <t xml:space="preserve">2017-02</t>
        </is>
      </c>
      <c r="C4255" s="2" t="inlineStr">
        <is>
          <t xml:space="preserve">2016/17</t>
        </is>
      </c>
      <c r="D4255">
        <v>0.0</v>
      </c>
      <c r="E4255">
        <v>23.36</v>
      </c>
      <c r="F4255">
        <v>32.22</v>
      </c>
      <c r="G4255">
        <v>15.59</v>
      </c>
      <c r="H4255">
        <v>0.0</v>
      </c>
      <c r="I4255">
        <v>0.0</v>
      </c>
      <c r="J4255">
        <v>23.81</v>
      </c>
      <c r="K4255">
        <v>31.43</v>
      </c>
      <c r="L4255">
        <v>17.67</v>
      </c>
      <c r="M4255">
        <v>0.0</v>
      </c>
      <c r="N4255">
        <v>0.0</v>
      </c>
      <c r="O4255">
        <v>23.93</v>
      </c>
      <c r="P4255">
        <v>31.77</v>
      </c>
      <c r="Q4255">
        <v>17.28</v>
      </c>
      <c r="R4255">
        <v>0.0</v>
      </c>
    </row>
    <row r="4256">
      <c r="A4256" s="9">
        <v>42787</v>
      </c>
      <c r="B4256" s="2" t="inlineStr">
        <is>
          <t xml:space="preserve">2017-02</t>
        </is>
      </c>
      <c r="C4256" s="2" t="inlineStr">
        <is>
          <t xml:space="preserve">2016/17</t>
        </is>
      </c>
      <c r="D4256">
        <v>0.0</v>
      </c>
      <c r="E4256">
        <v>23.63</v>
      </c>
      <c r="F4256">
        <v>32.82</v>
      </c>
      <c r="G4256">
        <v>16.59</v>
      </c>
      <c r="H4256">
        <v>0.1</v>
      </c>
      <c r="I4256">
        <v>0.0</v>
      </c>
      <c r="J4256">
        <v>23.89</v>
      </c>
      <c r="K4256">
        <v>32.35</v>
      </c>
      <c r="L4256">
        <v>18.47</v>
      </c>
      <c r="M4256">
        <v>0.03</v>
      </c>
      <c r="N4256">
        <v>0.0</v>
      </c>
      <c r="O4256">
        <v>23.35</v>
      </c>
      <c r="P4256">
        <v>30.96</v>
      </c>
      <c r="Q4256">
        <v>18.17</v>
      </c>
      <c r="R4256">
        <v>0.06</v>
      </c>
    </row>
    <row r="4257">
      <c r="A4257" s="9">
        <v>42788</v>
      </c>
      <c r="B4257" s="2" t="inlineStr">
        <is>
          <t xml:space="preserve">2017-02</t>
        </is>
      </c>
      <c r="C4257" s="2" t="inlineStr">
        <is>
          <t xml:space="preserve">2016/17</t>
        </is>
      </c>
      <c r="D4257">
        <v>0.0</v>
      </c>
      <c r="E4257">
        <v>22.24</v>
      </c>
      <c r="F4257">
        <v>29.35</v>
      </c>
      <c r="G4257">
        <v>16.92</v>
      </c>
      <c r="H4257">
        <v>0.55</v>
      </c>
      <c r="I4257">
        <v>0.169</v>
      </c>
      <c r="J4257">
        <v>22.43</v>
      </c>
      <c r="K4257">
        <v>29.15</v>
      </c>
      <c r="L4257">
        <v>17.32</v>
      </c>
      <c r="M4257">
        <v>0.43</v>
      </c>
      <c r="N4257">
        <v>0.68</v>
      </c>
      <c r="O4257">
        <v>21.24</v>
      </c>
      <c r="P4257">
        <v>26.42</v>
      </c>
      <c r="Q4257">
        <v>17.83</v>
      </c>
      <c r="R4257">
        <v>1.19</v>
      </c>
    </row>
    <row r="4258">
      <c r="A4258" s="9">
        <v>42789</v>
      </c>
      <c r="B4258" s="2" t="inlineStr">
        <is>
          <t xml:space="preserve">2017-02</t>
        </is>
      </c>
      <c r="C4258" s="2" t="inlineStr">
        <is>
          <t xml:space="preserve">2016/17</t>
        </is>
      </c>
      <c r="D4258">
        <v>0.028</v>
      </c>
      <c r="E4258">
        <v>23.2</v>
      </c>
      <c r="F4258">
        <v>32.25</v>
      </c>
      <c r="G4258">
        <v>15.81</v>
      </c>
      <c r="H4258">
        <v>0.12</v>
      </c>
      <c r="I4258">
        <v>0.966</v>
      </c>
      <c r="J4258">
        <v>22.81</v>
      </c>
      <c r="K4258">
        <v>30.22</v>
      </c>
      <c r="L4258">
        <v>17.33</v>
      </c>
      <c r="M4258">
        <v>0.5</v>
      </c>
      <c r="N4258">
        <v>0.071</v>
      </c>
      <c r="O4258">
        <v>22.44</v>
      </c>
      <c r="P4258">
        <v>30.26</v>
      </c>
      <c r="Q4258">
        <v>15.74</v>
      </c>
      <c r="R4258">
        <v>0.15</v>
      </c>
    </row>
    <row r="4259">
      <c r="A4259" s="9">
        <v>42790</v>
      </c>
      <c r="B4259" s="2" t="inlineStr">
        <is>
          <t xml:space="preserve">2017-02</t>
        </is>
      </c>
      <c r="C4259" s="2" t="inlineStr">
        <is>
          <t xml:space="preserve">2016/17</t>
        </is>
      </c>
      <c r="D4259">
        <v>0.0</v>
      </c>
      <c r="E4259">
        <v>24.28</v>
      </c>
      <c r="F4259">
        <v>32.79</v>
      </c>
      <c r="G4259">
        <v>18.05</v>
      </c>
      <c r="H4259">
        <v>0.0</v>
      </c>
      <c r="I4259">
        <v>0.0</v>
      </c>
      <c r="J4259">
        <v>23.08</v>
      </c>
      <c r="K4259">
        <v>31.06</v>
      </c>
      <c r="L4259">
        <v>18.02</v>
      </c>
      <c r="M4259">
        <v>0.0</v>
      </c>
      <c r="N4259">
        <v>0.0</v>
      </c>
      <c r="O4259">
        <v>24.0</v>
      </c>
      <c r="P4259">
        <v>32.21</v>
      </c>
      <c r="Q4259">
        <v>17.89</v>
      </c>
      <c r="R4259">
        <v>0.0</v>
      </c>
    </row>
    <row r="4260">
      <c r="A4260" s="9">
        <v>42791</v>
      </c>
      <c r="B4260" s="2" t="inlineStr">
        <is>
          <t xml:space="preserve">2017-02</t>
        </is>
      </c>
      <c r="C4260" s="2" t="inlineStr">
        <is>
          <t xml:space="preserve">2016/17</t>
        </is>
      </c>
      <c r="D4260">
        <v>0.0</v>
      </c>
      <c r="E4260">
        <v>24.68</v>
      </c>
      <c r="F4260">
        <v>33.55</v>
      </c>
      <c r="G4260">
        <v>16.7</v>
      </c>
      <c r="H4260">
        <v>0.0</v>
      </c>
      <c r="I4260">
        <v>0.0</v>
      </c>
      <c r="J4260">
        <v>24.19</v>
      </c>
      <c r="K4260">
        <v>32.7</v>
      </c>
      <c r="L4260">
        <v>17.32</v>
      </c>
      <c r="M4260">
        <v>0.0</v>
      </c>
      <c r="N4260">
        <v>0.0</v>
      </c>
      <c r="O4260">
        <v>23.86</v>
      </c>
      <c r="P4260">
        <v>32.27</v>
      </c>
      <c r="Q4260">
        <v>16.77</v>
      </c>
      <c r="R4260">
        <v>0.0</v>
      </c>
    </row>
    <row r="4261">
      <c r="A4261" s="9">
        <v>42792</v>
      </c>
      <c r="B4261" s="2" t="inlineStr">
        <is>
          <t xml:space="preserve">2017-02</t>
        </is>
      </c>
      <c r="C4261" s="2" t="inlineStr">
        <is>
          <t xml:space="preserve">2016/17</t>
        </is>
      </c>
      <c r="D4261">
        <v>0.0</v>
      </c>
      <c r="E4261">
        <v>23.36</v>
      </c>
      <c r="F4261">
        <v>32.05</v>
      </c>
      <c r="G4261">
        <v>16.82</v>
      </c>
      <c r="H4261">
        <v>0.0</v>
      </c>
      <c r="I4261">
        <v>0.0</v>
      </c>
      <c r="J4261">
        <v>23.09</v>
      </c>
      <c r="K4261">
        <v>31.42</v>
      </c>
      <c r="L4261">
        <v>16.79</v>
      </c>
      <c r="M4261">
        <v>0.0</v>
      </c>
      <c r="N4261">
        <v>0.0</v>
      </c>
      <c r="O4261">
        <v>22.07</v>
      </c>
      <c r="P4261">
        <v>29.11</v>
      </c>
      <c r="Q4261">
        <v>17.32</v>
      </c>
      <c r="R4261">
        <v>0.0</v>
      </c>
    </row>
    <row r="4262">
      <c r="A4262" s="9">
        <v>42793</v>
      </c>
      <c r="B4262" s="2" t="inlineStr">
        <is>
          <t xml:space="preserve">2017-02</t>
        </is>
      </c>
      <c r="C4262" s="2" t="inlineStr">
        <is>
          <t xml:space="preserve">2016/17</t>
        </is>
      </c>
      <c r="D4262">
        <v>0.0</v>
      </c>
      <c r="E4262">
        <v>23.2</v>
      </c>
      <c r="F4262">
        <v>30.42</v>
      </c>
      <c r="G4262">
        <v>17.21</v>
      </c>
      <c r="H4262">
        <v>0.06</v>
      </c>
      <c r="I4262">
        <v>0.0</v>
      </c>
      <c r="J4262">
        <v>23.31</v>
      </c>
      <c r="K4262">
        <v>31.55</v>
      </c>
      <c r="L4262">
        <v>16.2</v>
      </c>
      <c r="M4262">
        <v>0.19</v>
      </c>
      <c r="N4262">
        <v>0.0</v>
      </c>
      <c r="O4262">
        <v>22.55</v>
      </c>
      <c r="P4262">
        <v>29.57</v>
      </c>
      <c r="Q4262">
        <v>17.63</v>
      </c>
      <c r="R4262">
        <v>0.36</v>
      </c>
    </row>
    <row r="4263">
      <c r="A4263" s="9">
        <v>42794</v>
      </c>
      <c r="B4263" s="2" t="inlineStr">
        <is>
          <t xml:space="preserve">2017-02</t>
        </is>
      </c>
      <c r="C4263" s="2" t="inlineStr">
        <is>
          <t xml:space="preserve">2016/17</t>
        </is>
      </c>
      <c r="D4263">
        <v>0.0</v>
      </c>
      <c r="E4263">
        <v>22.58</v>
      </c>
      <c r="F4263">
        <v>31.21</v>
      </c>
      <c r="G4263">
        <v>14.25</v>
      </c>
      <c r="H4263">
        <v>0.1</v>
      </c>
      <c r="I4263">
        <v>0.0</v>
      </c>
      <c r="J4263">
        <v>24.23</v>
      </c>
      <c r="K4263">
        <v>32.49</v>
      </c>
      <c r="L4263">
        <v>17.85</v>
      </c>
      <c r="M4263">
        <v>0.38</v>
      </c>
      <c r="N4263">
        <v>0.276</v>
      </c>
      <c r="O4263">
        <v>22.98</v>
      </c>
      <c r="P4263">
        <v>30.37</v>
      </c>
      <c r="Q4263">
        <v>18.57</v>
      </c>
      <c r="R4263">
        <v>1.05</v>
      </c>
    </row>
    <row r="4264">
      <c r="A4264" s="9">
        <v>42795</v>
      </c>
      <c r="B4264" s="2" t="inlineStr">
        <is>
          <t xml:space="preserve">2017-03</t>
        </is>
      </c>
      <c r="C4264" s="2" t="inlineStr">
        <is>
          <t xml:space="preserve">2016/17</t>
        </is>
      </c>
      <c r="D4264">
        <v>0.0</v>
      </c>
      <c r="E4264">
        <v>23.35</v>
      </c>
      <c r="F4264">
        <v>31.92</v>
      </c>
      <c r="G4264">
        <v>15.79</v>
      </c>
      <c r="H4264">
        <v>0.05</v>
      </c>
      <c r="I4264">
        <v>0.0</v>
      </c>
      <c r="J4264">
        <v>24.93</v>
      </c>
      <c r="K4264">
        <v>32.61</v>
      </c>
      <c r="L4264">
        <v>18.8</v>
      </c>
      <c r="M4264">
        <v>0.02</v>
      </c>
      <c r="N4264">
        <v>0.0</v>
      </c>
      <c r="O4264">
        <v>23.76</v>
      </c>
      <c r="P4264">
        <v>31.02</v>
      </c>
      <c r="Q4264">
        <v>19.08</v>
      </c>
      <c r="R4264">
        <v>0.06</v>
      </c>
    </row>
    <row r="4265">
      <c r="A4265" s="9">
        <v>42796</v>
      </c>
      <c r="B4265" s="2" t="inlineStr">
        <is>
          <t xml:space="preserve">2017-03</t>
        </is>
      </c>
      <c r="C4265" s="2" t="inlineStr">
        <is>
          <t xml:space="preserve">2016/17</t>
        </is>
      </c>
      <c r="D4265">
        <v>0.0</v>
      </c>
      <c r="E4265">
        <v>23.2</v>
      </c>
      <c r="F4265">
        <v>32.02</v>
      </c>
      <c r="G4265">
        <v>16.29</v>
      </c>
      <c r="H4265">
        <v>1.01</v>
      </c>
      <c r="I4265">
        <v>0.0</v>
      </c>
      <c r="J4265">
        <v>23.87</v>
      </c>
      <c r="K4265">
        <v>31.87</v>
      </c>
      <c r="L4265">
        <v>18.91</v>
      </c>
      <c r="M4265">
        <v>0.42</v>
      </c>
      <c r="N4265">
        <v>0.0</v>
      </c>
      <c r="O4265">
        <v>23.0</v>
      </c>
      <c r="P4265">
        <v>29.8</v>
      </c>
      <c r="Q4265">
        <v>19.03</v>
      </c>
      <c r="R4265">
        <v>2.0</v>
      </c>
    </row>
    <row r="4266">
      <c r="A4266" s="9">
        <v>42797</v>
      </c>
      <c r="B4266" s="2" t="inlineStr">
        <is>
          <t xml:space="preserve">2017-03</t>
        </is>
      </c>
      <c r="C4266" s="2" t="inlineStr">
        <is>
          <t xml:space="preserve">2016/17</t>
        </is>
      </c>
      <c r="D4266">
        <v>0.36</v>
      </c>
      <c r="E4266">
        <v>21.23</v>
      </c>
      <c r="F4266">
        <v>28.46</v>
      </c>
      <c r="G4266">
        <v>16.43</v>
      </c>
      <c r="H4266">
        <v>3.45</v>
      </c>
      <c r="I4266">
        <v>1.34</v>
      </c>
      <c r="J4266">
        <v>21.74</v>
      </c>
      <c r="K4266">
        <v>28.08</v>
      </c>
      <c r="L4266">
        <v>17.94</v>
      </c>
      <c r="M4266">
        <v>3.37</v>
      </c>
      <c r="N4266">
        <v>5.412</v>
      </c>
      <c r="O4266">
        <v>21.22</v>
      </c>
      <c r="P4266">
        <v>26.49</v>
      </c>
      <c r="Q4266">
        <v>18.24</v>
      </c>
      <c r="R4266">
        <v>9.07</v>
      </c>
    </row>
    <row r="4267">
      <c r="A4267" s="9">
        <v>42798</v>
      </c>
      <c r="B4267" s="2" t="inlineStr">
        <is>
          <t xml:space="preserve">2017-03</t>
        </is>
      </c>
      <c r="C4267" s="2" t="inlineStr">
        <is>
          <t xml:space="preserve">2016/17</t>
        </is>
      </c>
      <c r="D4267">
        <v>1.603</v>
      </c>
      <c r="E4267">
        <v>20.99</v>
      </c>
      <c r="F4267">
        <v>29.01</v>
      </c>
      <c r="G4267">
        <v>15.34</v>
      </c>
      <c r="H4267">
        <v>0.71</v>
      </c>
      <c r="I4267">
        <v>0.518</v>
      </c>
      <c r="J4267">
        <v>21.47</v>
      </c>
      <c r="K4267">
        <v>28.67</v>
      </c>
      <c r="L4267">
        <v>17.58</v>
      </c>
      <c r="M4267">
        <v>1.16</v>
      </c>
      <c r="N4267">
        <v>1.609</v>
      </c>
      <c r="O4267">
        <v>20.93</v>
      </c>
      <c r="P4267">
        <v>26.53</v>
      </c>
      <c r="Q4267">
        <v>17.9</v>
      </c>
      <c r="R4267">
        <v>2.99</v>
      </c>
    </row>
    <row r="4268">
      <c r="A4268" s="9">
        <v>42799</v>
      </c>
      <c r="B4268" s="2" t="inlineStr">
        <is>
          <t xml:space="preserve">2017-03</t>
        </is>
      </c>
      <c r="C4268" s="2" t="inlineStr">
        <is>
          <t xml:space="preserve">2016/17</t>
        </is>
      </c>
      <c r="D4268">
        <v>0.0</v>
      </c>
      <c r="E4268">
        <v>21.62</v>
      </c>
      <c r="F4268">
        <v>29.48</v>
      </c>
      <c r="G4268">
        <v>15.76</v>
      </c>
      <c r="H4268">
        <v>0.16</v>
      </c>
      <c r="I4268">
        <v>0.0</v>
      </c>
      <c r="J4268">
        <v>21.38</v>
      </c>
      <c r="K4268">
        <v>28.7</v>
      </c>
      <c r="L4268">
        <v>17.21</v>
      </c>
      <c r="M4268">
        <v>0.39</v>
      </c>
      <c r="N4268">
        <v>0.263</v>
      </c>
      <c r="O4268">
        <v>21.03</v>
      </c>
      <c r="P4268">
        <v>26.91</v>
      </c>
      <c r="Q4268">
        <v>18.03</v>
      </c>
      <c r="R4268">
        <v>0.99</v>
      </c>
    </row>
    <row r="4269">
      <c r="A4269" s="9">
        <v>42800</v>
      </c>
      <c r="B4269" s="2" t="inlineStr">
        <is>
          <t xml:space="preserve">2017-03</t>
        </is>
      </c>
      <c r="C4269" s="2" t="inlineStr">
        <is>
          <t xml:space="preserve">2016/17</t>
        </is>
      </c>
      <c r="D4269">
        <v>0.0</v>
      </c>
      <c r="E4269">
        <v>22.63</v>
      </c>
      <c r="F4269">
        <v>30.69</v>
      </c>
      <c r="G4269">
        <v>16.35</v>
      </c>
      <c r="H4269">
        <v>0.11</v>
      </c>
      <c r="I4269">
        <v>0.0</v>
      </c>
      <c r="J4269">
        <v>22.31</v>
      </c>
      <c r="K4269">
        <v>30.02</v>
      </c>
      <c r="L4269">
        <v>17.19</v>
      </c>
      <c r="M4269">
        <v>0.1</v>
      </c>
      <c r="N4269">
        <v>0.0</v>
      </c>
      <c r="O4269">
        <v>21.81</v>
      </c>
      <c r="P4269">
        <v>27.68</v>
      </c>
      <c r="Q4269">
        <v>17.8</v>
      </c>
      <c r="R4269">
        <v>0.3</v>
      </c>
    </row>
    <row r="4270">
      <c r="A4270" s="9">
        <v>42801</v>
      </c>
      <c r="B4270" s="2" t="inlineStr">
        <is>
          <t xml:space="preserve">2017-03</t>
        </is>
      </c>
      <c r="C4270" s="2" t="inlineStr">
        <is>
          <t xml:space="preserve">2016/17</t>
        </is>
      </c>
      <c r="D4270">
        <v>0.0</v>
      </c>
      <c r="E4270">
        <v>22.89</v>
      </c>
      <c r="F4270">
        <v>31.07</v>
      </c>
      <c r="G4270">
        <v>16.48</v>
      </c>
      <c r="H4270">
        <v>0.18</v>
      </c>
      <c r="I4270">
        <v>0.0</v>
      </c>
      <c r="J4270">
        <v>23.9</v>
      </c>
      <c r="K4270">
        <v>32.1</v>
      </c>
      <c r="L4270">
        <v>17.44</v>
      </c>
      <c r="M4270">
        <v>0.27</v>
      </c>
      <c r="N4270">
        <v>0.171</v>
      </c>
      <c r="O4270">
        <v>22.63</v>
      </c>
      <c r="P4270">
        <v>29.84</v>
      </c>
      <c r="Q4270">
        <v>18.04</v>
      </c>
      <c r="R4270">
        <v>0.63</v>
      </c>
    </row>
    <row r="4271">
      <c r="A4271" s="9">
        <v>42802</v>
      </c>
      <c r="B4271" s="2" t="inlineStr">
        <is>
          <t xml:space="preserve">2017-03</t>
        </is>
      </c>
      <c r="C4271" s="2" t="inlineStr">
        <is>
          <t xml:space="preserve">2016/17</t>
        </is>
      </c>
      <c r="D4271">
        <v>0.432</v>
      </c>
      <c r="E4271">
        <v>22.66</v>
      </c>
      <c r="F4271">
        <v>30.76</v>
      </c>
      <c r="G4271">
        <v>16.63</v>
      </c>
      <c r="H4271">
        <v>0.27</v>
      </c>
      <c r="I4271">
        <v>0.0</v>
      </c>
      <c r="J4271">
        <v>23.8</v>
      </c>
      <c r="K4271">
        <v>32.06</v>
      </c>
      <c r="L4271">
        <v>18.34</v>
      </c>
      <c r="M4271">
        <v>0.12</v>
      </c>
      <c r="N4271">
        <v>0.079</v>
      </c>
      <c r="O4271">
        <v>22.65</v>
      </c>
      <c r="P4271">
        <v>29.27</v>
      </c>
      <c r="Q4271">
        <v>18.88</v>
      </c>
      <c r="R4271">
        <v>0.31</v>
      </c>
    </row>
    <row r="4272">
      <c r="A4272" s="9">
        <v>42803</v>
      </c>
      <c r="B4272" s="2" t="inlineStr">
        <is>
          <t xml:space="preserve">2017-03</t>
        </is>
      </c>
      <c r="C4272" s="2" t="inlineStr">
        <is>
          <t xml:space="preserve">2016/17</t>
        </is>
      </c>
      <c r="D4272">
        <v>0.0</v>
      </c>
      <c r="E4272">
        <v>22.25</v>
      </c>
      <c r="F4272">
        <v>30.12</v>
      </c>
      <c r="G4272">
        <v>16.64</v>
      </c>
      <c r="H4272">
        <v>0.28</v>
      </c>
      <c r="I4272">
        <v>0.0</v>
      </c>
      <c r="J4272">
        <v>22.39</v>
      </c>
      <c r="K4272">
        <v>30.19</v>
      </c>
      <c r="L4272">
        <v>17.27</v>
      </c>
      <c r="M4272">
        <v>0.1</v>
      </c>
      <c r="N4272">
        <v>0.0</v>
      </c>
      <c r="O4272">
        <v>21.6</v>
      </c>
      <c r="P4272">
        <v>27.74</v>
      </c>
      <c r="Q4272">
        <v>17.63</v>
      </c>
      <c r="R4272">
        <v>0.45</v>
      </c>
    </row>
    <row r="4273">
      <c r="A4273" s="9">
        <v>42804</v>
      </c>
      <c r="B4273" s="2" t="inlineStr">
        <is>
          <t xml:space="preserve">2017-03</t>
        </is>
      </c>
      <c r="C4273" s="2" t="inlineStr">
        <is>
          <t xml:space="preserve">2016/17</t>
        </is>
      </c>
      <c r="D4273">
        <v>0.13</v>
      </c>
      <c r="E4273">
        <v>22.85</v>
      </c>
      <c r="F4273">
        <v>31.11</v>
      </c>
      <c r="G4273">
        <v>17.05</v>
      </c>
      <c r="H4273">
        <v>0.88</v>
      </c>
      <c r="I4273">
        <v>0.218</v>
      </c>
      <c r="J4273">
        <v>23.24</v>
      </c>
      <c r="K4273">
        <v>31.09</v>
      </c>
      <c r="L4273">
        <v>17.98</v>
      </c>
      <c r="M4273">
        <v>1.31</v>
      </c>
      <c r="N4273">
        <v>0.852</v>
      </c>
      <c r="O4273">
        <v>22.41</v>
      </c>
      <c r="P4273">
        <v>28.57</v>
      </c>
      <c r="Q4273">
        <v>18.66</v>
      </c>
      <c r="R4273">
        <v>3.12</v>
      </c>
    </row>
    <row r="4274">
      <c r="A4274" s="9">
        <v>42805</v>
      </c>
      <c r="B4274" s="2" t="inlineStr">
        <is>
          <t xml:space="preserve">2017-03</t>
        </is>
      </c>
      <c r="C4274" s="2" t="inlineStr">
        <is>
          <t xml:space="preserve">2016/17</t>
        </is>
      </c>
      <c r="D4274">
        <v>0.0</v>
      </c>
      <c r="E4274">
        <v>23.23</v>
      </c>
      <c r="F4274">
        <v>31.13</v>
      </c>
      <c r="G4274">
        <v>17.26</v>
      </c>
      <c r="H4274">
        <v>1.14</v>
      </c>
      <c r="I4274">
        <v>0.0</v>
      </c>
      <c r="J4274">
        <v>23.09</v>
      </c>
      <c r="K4274">
        <v>29.52</v>
      </c>
      <c r="L4274">
        <v>18.03</v>
      </c>
      <c r="M4274">
        <v>5.41</v>
      </c>
      <c r="N4274">
        <v>2.408</v>
      </c>
      <c r="O4274">
        <v>21.81</v>
      </c>
      <c r="P4274">
        <v>28.07</v>
      </c>
      <c r="Q4274">
        <v>18.7</v>
      </c>
      <c r="R4274">
        <v>10.16</v>
      </c>
    </row>
    <row r="4275">
      <c r="A4275" s="9">
        <v>42806</v>
      </c>
      <c r="B4275" s="2" t="inlineStr">
        <is>
          <t xml:space="preserve">2017-03</t>
        </is>
      </c>
      <c r="C4275" s="2" t="inlineStr">
        <is>
          <t xml:space="preserve">2016/17</t>
        </is>
      </c>
      <c r="D4275">
        <v>0.0</v>
      </c>
      <c r="E4275">
        <v>23.98</v>
      </c>
      <c r="F4275">
        <v>31.57</v>
      </c>
      <c r="G4275">
        <v>17.59</v>
      </c>
      <c r="H4275">
        <v>0.11</v>
      </c>
      <c r="I4275">
        <v>18.895</v>
      </c>
      <c r="J4275">
        <v>23.41</v>
      </c>
      <c r="K4275">
        <v>30.19</v>
      </c>
      <c r="L4275">
        <v>18.23</v>
      </c>
      <c r="M4275">
        <v>8.02</v>
      </c>
      <c r="N4275">
        <v>1.009</v>
      </c>
      <c r="O4275">
        <v>22.41</v>
      </c>
      <c r="P4275">
        <v>28.81</v>
      </c>
      <c r="Q4275">
        <v>18.1</v>
      </c>
      <c r="R4275">
        <v>1.75</v>
      </c>
    </row>
    <row r="4276">
      <c r="A4276" s="9">
        <v>42807</v>
      </c>
      <c r="B4276" s="2" t="inlineStr">
        <is>
          <t xml:space="preserve">2017-03</t>
        </is>
      </c>
      <c r="C4276" s="2" t="inlineStr">
        <is>
          <t xml:space="preserve">2016/17</t>
        </is>
      </c>
      <c r="D4276">
        <v>0.083</v>
      </c>
      <c r="E4276">
        <v>24.41</v>
      </c>
      <c r="F4276">
        <v>32.37</v>
      </c>
      <c r="G4276">
        <v>18.73</v>
      </c>
      <c r="H4276">
        <v>0.37</v>
      </c>
      <c r="I4276">
        <v>13.543</v>
      </c>
      <c r="J4276">
        <v>22.2</v>
      </c>
      <c r="K4276">
        <v>26.76</v>
      </c>
      <c r="L4276">
        <v>19.39</v>
      </c>
      <c r="M4276">
        <v>4.99</v>
      </c>
      <c r="N4276">
        <v>0.538</v>
      </c>
      <c r="O4276">
        <v>22.36</v>
      </c>
      <c r="P4276">
        <v>27.81</v>
      </c>
      <c r="Q4276">
        <v>18.87</v>
      </c>
      <c r="R4276">
        <v>0.99</v>
      </c>
    </row>
    <row r="4277">
      <c r="A4277" s="9">
        <v>42808</v>
      </c>
      <c r="B4277" s="2" t="inlineStr">
        <is>
          <t xml:space="preserve">2017-03</t>
        </is>
      </c>
      <c r="C4277" s="2" t="inlineStr">
        <is>
          <t xml:space="preserve">2016/17</t>
        </is>
      </c>
      <c r="D4277">
        <v>0.215</v>
      </c>
      <c r="E4277">
        <v>22.63</v>
      </c>
      <c r="F4277">
        <v>29.14</v>
      </c>
      <c r="G4277">
        <v>18.45</v>
      </c>
      <c r="H4277">
        <v>0.95</v>
      </c>
      <c r="I4277">
        <v>0.769</v>
      </c>
      <c r="J4277">
        <v>21.87</v>
      </c>
      <c r="K4277">
        <v>28.28</v>
      </c>
      <c r="L4277">
        <v>18.62</v>
      </c>
      <c r="M4277">
        <v>1.29</v>
      </c>
      <c r="N4277">
        <v>3.028</v>
      </c>
      <c r="O4277">
        <v>21.61</v>
      </c>
      <c r="P4277">
        <v>27.6</v>
      </c>
      <c r="Q4277">
        <v>18.57</v>
      </c>
      <c r="R4277">
        <v>1.77</v>
      </c>
    </row>
    <row r="4278">
      <c r="A4278" s="9">
        <v>42809</v>
      </c>
      <c r="B4278" s="2" t="inlineStr">
        <is>
          <t xml:space="preserve">2017-03</t>
        </is>
      </c>
      <c r="C4278" s="2" t="inlineStr">
        <is>
          <t xml:space="preserve">2016/17</t>
        </is>
      </c>
      <c r="D4278">
        <v>0.37</v>
      </c>
      <c r="E4278">
        <v>21.04</v>
      </c>
      <c r="F4278">
        <v>26.88</v>
      </c>
      <c r="G4278">
        <v>17.5</v>
      </c>
      <c r="H4278">
        <v>7.73</v>
      </c>
      <c r="I4278">
        <v>1.064</v>
      </c>
      <c r="J4278">
        <v>20.9</v>
      </c>
      <c r="K4278">
        <v>26.91</v>
      </c>
      <c r="L4278">
        <v>17.91</v>
      </c>
      <c r="M4278">
        <v>6.47</v>
      </c>
      <c r="N4278">
        <v>5.282</v>
      </c>
      <c r="O4278">
        <v>20.29</v>
      </c>
      <c r="P4278">
        <v>24.93</v>
      </c>
      <c r="Q4278">
        <v>18.04</v>
      </c>
      <c r="R4278">
        <v>20.54</v>
      </c>
    </row>
    <row r="4279">
      <c r="A4279" s="9">
        <v>42810</v>
      </c>
      <c r="B4279" s="2" t="inlineStr">
        <is>
          <t xml:space="preserve">2017-03</t>
        </is>
      </c>
      <c r="C4279" s="2" t="inlineStr">
        <is>
          <t xml:space="preserve">2016/17</t>
        </is>
      </c>
      <c r="D4279">
        <v>1.343</v>
      </c>
      <c r="E4279">
        <v>19.61</v>
      </c>
      <c r="F4279">
        <v>25.7</v>
      </c>
      <c r="G4279">
        <v>16.22</v>
      </c>
      <c r="H4279">
        <v>1.71</v>
      </c>
      <c r="I4279">
        <v>2.752</v>
      </c>
      <c r="J4279">
        <v>18.69</v>
      </c>
      <c r="K4279">
        <v>21.61</v>
      </c>
      <c r="L4279">
        <v>16.14</v>
      </c>
      <c r="M4279">
        <v>2.7</v>
      </c>
      <c r="N4279">
        <v>10.362</v>
      </c>
      <c r="O4279">
        <v>18.59</v>
      </c>
      <c r="P4279">
        <v>21.76</v>
      </c>
      <c r="Q4279">
        <v>16.29</v>
      </c>
      <c r="R4279">
        <v>4.18</v>
      </c>
    </row>
    <row r="4280">
      <c r="A4280" s="9">
        <v>42811</v>
      </c>
      <c r="B4280" s="2" t="inlineStr">
        <is>
          <t xml:space="preserve">2017-03</t>
        </is>
      </c>
      <c r="C4280" s="2" t="inlineStr">
        <is>
          <t xml:space="preserve">2016/17</t>
        </is>
      </c>
      <c r="D4280">
        <v>0.0</v>
      </c>
      <c r="E4280">
        <v>20.08</v>
      </c>
      <c r="F4280">
        <v>27.87</v>
      </c>
      <c r="G4280">
        <v>15.69</v>
      </c>
      <c r="H4280">
        <v>0.51</v>
      </c>
      <c r="I4280">
        <v>0.027</v>
      </c>
      <c r="J4280">
        <v>19.51</v>
      </c>
      <c r="K4280">
        <v>26.67</v>
      </c>
      <c r="L4280">
        <v>15.4</v>
      </c>
      <c r="M4280">
        <v>0.64</v>
      </c>
      <c r="N4280">
        <v>0.392</v>
      </c>
      <c r="O4280">
        <v>19.06</v>
      </c>
      <c r="P4280">
        <v>24.84</v>
      </c>
      <c r="Q4280">
        <v>15.97</v>
      </c>
      <c r="R4280">
        <v>1.85</v>
      </c>
    </row>
    <row r="4281">
      <c r="A4281" s="9">
        <v>42812</v>
      </c>
      <c r="B4281" s="2" t="inlineStr">
        <is>
          <t xml:space="preserve">2017-03</t>
        </is>
      </c>
      <c r="C4281" s="2" t="inlineStr">
        <is>
          <t xml:space="preserve">2016/17</t>
        </is>
      </c>
      <c r="D4281">
        <v>0.029</v>
      </c>
      <c r="E4281">
        <v>20.29</v>
      </c>
      <c r="F4281">
        <v>27.82</v>
      </c>
      <c r="G4281">
        <v>16.61</v>
      </c>
      <c r="H4281">
        <v>1.45</v>
      </c>
      <c r="I4281">
        <v>1.3</v>
      </c>
      <c r="J4281">
        <v>19.8</v>
      </c>
      <c r="K4281">
        <v>25.87</v>
      </c>
      <c r="L4281">
        <v>16.26</v>
      </c>
      <c r="M4281">
        <v>2.34</v>
      </c>
      <c r="N4281">
        <v>5.09</v>
      </c>
      <c r="O4281">
        <v>19.25</v>
      </c>
      <c r="P4281">
        <v>23.89</v>
      </c>
      <c r="Q4281">
        <v>16.97</v>
      </c>
      <c r="R4281">
        <v>4.02</v>
      </c>
    </row>
    <row r="4282">
      <c r="A4282" s="9">
        <v>42813</v>
      </c>
      <c r="B4282" s="2" t="inlineStr">
        <is>
          <t xml:space="preserve">2017-03</t>
        </is>
      </c>
      <c r="C4282" s="2" t="inlineStr">
        <is>
          <t xml:space="preserve">2016/17</t>
        </is>
      </c>
      <c r="D4282">
        <v>0.0</v>
      </c>
      <c r="E4282">
        <v>19.88</v>
      </c>
      <c r="F4282">
        <v>27.3</v>
      </c>
      <c r="G4282">
        <v>15.85</v>
      </c>
      <c r="H4282">
        <v>0.38</v>
      </c>
      <c r="I4282">
        <v>0.049</v>
      </c>
      <c r="J4282">
        <v>19.42</v>
      </c>
      <c r="K4282">
        <v>26.19</v>
      </c>
      <c r="L4282">
        <v>15.12</v>
      </c>
      <c r="M4282">
        <v>0.14</v>
      </c>
      <c r="N4282">
        <v>0.487</v>
      </c>
      <c r="O4282">
        <v>19.08</v>
      </c>
      <c r="P4282">
        <v>24.87</v>
      </c>
      <c r="Q4282">
        <v>15.28</v>
      </c>
      <c r="R4282">
        <v>0.48</v>
      </c>
    </row>
    <row r="4283">
      <c r="A4283" s="9">
        <v>42814</v>
      </c>
      <c r="B4283" s="2" t="inlineStr">
        <is>
          <t xml:space="preserve">2017-03</t>
        </is>
      </c>
      <c r="C4283" s="2" t="inlineStr">
        <is>
          <t xml:space="preserve">2016/17</t>
        </is>
      </c>
      <c r="D4283">
        <v>0.0</v>
      </c>
      <c r="E4283">
        <v>20.01</v>
      </c>
      <c r="F4283">
        <v>27.83</v>
      </c>
      <c r="G4283">
        <v>15.69</v>
      </c>
      <c r="H4283">
        <v>0.39</v>
      </c>
      <c r="I4283">
        <v>0.046</v>
      </c>
      <c r="J4283">
        <v>19.66</v>
      </c>
      <c r="K4283">
        <v>27.3</v>
      </c>
      <c r="L4283">
        <v>15.15</v>
      </c>
      <c r="M4283">
        <v>1.33</v>
      </c>
      <c r="N4283">
        <v>0.972</v>
      </c>
      <c r="O4283">
        <v>18.61</v>
      </c>
      <c r="P4283">
        <v>24.66</v>
      </c>
      <c r="Q4283">
        <v>14.38</v>
      </c>
      <c r="R4283">
        <v>3.11</v>
      </c>
    </row>
    <row r="4284">
      <c r="A4284" s="9">
        <v>42815</v>
      </c>
      <c r="B4284" s="2" t="inlineStr">
        <is>
          <t xml:space="preserve">2017-03</t>
        </is>
      </c>
      <c r="C4284" s="2" t="inlineStr">
        <is>
          <t xml:space="preserve">2016/17</t>
        </is>
      </c>
      <c r="D4284">
        <v>0.0</v>
      </c>
      <c r="E4284">
        <v>20.75</v>
      </c>
      <c r="F4284">
        <v>30.0</v>
      </c>
      <c r="G4284">
        <v>14.09</v>
      </c>
      <c r="H4284">
        <v>0.0</v>
      </c>
      <c r="I4284">
        <v>0.0</v>
      </c>
      <c r="J4284">
        <v>20.17</v>
      </c>
      <c r="K4284">
        <v>28.87</v>
      </c>
      <c r="L4284">
        <v>14.02</v>
      </c>
      <c r="M4284">
        <v>0.0</v>
      </c>
      <c r="N4284">
        <v>0.0</v>
      </c>
      <c r="O4284">
        <v>18.78</v>
      </c>
      <c r="P4284">
        <v>26.2</v>
      </c>
      <c r="Q4284">
        <v>13.29</v>
      </c>
      <c r="R4284">
        <v>0.0</v>
      </c>
    </row>
    <row r="4285">
      <c r="A4285" s="9">
        <v>42816</v>
      </c>
      <c r="B4285" s="2" t="inlineStr">
        <is>
          <t xml:space="preserve">2017-03</t>
        </is>
      </c>
      <c r="C4285" s="2" t="inlineStr">
        <is>
          <t xml:space="preserve">2016/17</t>
        </is>
      </c>
      <c r="D4285">
        <v>0.0</v>
      </c>
      <c r="E4285">
        <v>20.83</v>
      </c>
      <c r="F4285">
        <v>29.84</v>
      </c>
      <c r="G4285">
        <v>13.84</v>
      </c>
      <c r="H4285">
        <v>0.01</v>
      </c>
      <c r="I4285">
        <v>0.0</v>
      </c>
      <c r="J4285">
        <v>20.36</v>
      </c>
      <c r="K4285">
        <v>28.58</v>
      </c>
      <c r="L4285">
        <v>14.17</v>
      </c>
      <c r="M4285">
        <v>0.04</v>
      </c>
      <c r="N4285">
        <v>0.0</v>
      </c>
      <c r="O4285">
        <v>19.25</v>
      </c>
      <c r="P4285">
        <v>25.91</v>
      </c>
      <c r="Q4285">
        <v>13.69</v>
      </c>
      <c r="R4285">
        <v>0.07</v>
      </c>
    </row>
    <row r="4286">
      <c r="A4286" s="9">
        <v>42817</v>
      </c>
      <c r="B4286" s="2" t="inlineStr">
        <is>
          <t xml:space="preserve">2017-03</t>
        </is>
      </c>
      <c r="C4286" s="2" t="inlineStr">
        <is>
          <t xml:space="preserve">2016/17</t>
        </is>
      </c>
      <c r="D4286">
        <v>0.0</v>
      </c>
      <c r="E4286">
        <v>20.58</v>
      </c>
      <c r="F4286">
        <v>29.29</v>
      </c>
      <c r="G4286">
        <v>14.73</v>
      </c>
      <c r="H4286">
        <v>0.08</v>
      </c>
      <c r="I4286">
        <v>0.0</v>
      </c>
      <c r="J4286">
        <v>19.78</v>
      </c>
      <c r="K4286">
        <v>27.42</v>
      </c>
      <c r="L4286">
        <v>14.2</v>
      </c>
      <c r="M4286">
        <v>0.32</v>
      </c>
      <c r="N4286">
        <v>0.176</v>
      </c>
      <c r="O4286">
        <v>19.11</v>
      </c>
      <c r="P4286">
        <v>25.31</v>
      </c>
      <c r="Q4286">
        <v>14.9</v>
      </c>
      <c r="R4286">
        <v>0.82</v>
      </c>
    </row>
    <row r="4287">
      <c r="A4287" s="9">
        <v>42818</v>
      </c>
      <c r="B4287" s="2" t="inlineStr">
        <is>
          <t xml:space="preserve">2017-03</t>
        </is>
      </c>
      <c r="C4287" s="2" t="inlineStr">
        <is>
          <t xml:space="preserve">2016/17</t>
        </is>
      </c>
      <c r="D4287">
        <v>0.0</v>
      </c>
      <c r="E4287">
        <v>21.05</v>
      </c>
      <c r="F4287">
        <v>30.59</v>
      </c>
      <c r="G4287">
        <v>13.88</v>
      </c>
      <c r="H4287">
        <v>0.0</v>
      </c>
      <c r="I4287">
        <v>0.0</v>
      </c>
      <c r="J4287">
        <v>20.85</v>
      </c>
      <c r="K4287">
        <v>29.51</v>
      </c>
      <c r="L4287">
        <v>14.39</v>
      </c>
      <c r="M4287">
        <v>0.0</v>
      </c>
      <c r="N4287">
        <v>0.0</v>
      </c>
      <c r="O4287">
        <v>19.89</v>
      </c>
      <c r="P4287">
        <v>27.14</v>
      </c>
      <c r="Q4287">
        <v>14.65</v>
      </c>
      <c r="R4287">
        <v>0.0</v>
      </c>
    </row>
    <row r="4288">
      <c r="A4288" s="9">
        <v>42819</v>
      </c>
      <c r="B4288" s="2" t="inlineStr">
        <is>
          <t xml:space="preserve">2017-03</t>
        </is>
      </c>
      <c r="C4288" s="2" t="inlineStr">
        <is>
          <t xml:space="preserve">2016/17</t>
        </is>
      </c>
      <c r="D4288">
        <v>0.0</v>
      </c>
      <c r="E4288">
        <v>22.63</v>
      </c>
      <c r="F4288">
        <v>32.06</v>
      </c>
      <c r="G4288">
        <v>15.56</v>
      </c>
      <c r="H4288">
        <v>0.0</v>
      </c>
      <c r="I4288">
        <v>0.0</v>
      </c>
      <c r="J4288">
        <v>22.33</v>
      </c>
      <c r="K4288">
        <v>30.81</v>
      </c>
      <c r="L4288">
        <v>14.94</v>
      </c>
      <c r="M4288">
        <v>0.0</v>
      </c>
      <c r="N4288">
        <v>0.0</v>
      </c>
      <c r="O4288">
        <v>21.57</v>
      </c>
      <c r="P4288">
        <v>29.88</v>
      </c>
      <c r="Q4288">
        <v>15.83</v>
      </c>
      <c r="R4288">
        <v>0.0</v>
      </c>
    </row>
    <row r="4289">
      <c r="A4289" s="9">
        <v>42820</v>
      </c>
      <c r="B4289" s="2" t="inlineStr">
        <is>
          <t xml:space="preserve">2017-03</t>
        </is>
      </c>
      <c r="C4289" s="2" t="inlineStr">
        <is>
          <t xml:space="preserve">2016/17</t>
        </is>
      </c>
      <c r="D4289">
        <v>0.0</v>
      </c>
      <c r="E4289">
        <v>23.2</v>
      </c>
      <c r="F4289">
        <v>32.57</v>
      </c>
      <c r="G4289">
        <v>15.58</v>
      </c>
      <c r="H4289">
        <v>0.0</v>
      </c>
      <c r="I4289">
        <v>0.0</v>
      </c>
      <c r="J4289">
        <v>22.89</v>
      </c>
      <c r="K4289">
        <v>31.43</v>
      </c>
      <c r="L4289">
        <v>15.77</v>
      </c>
      <c r="M4289">
        <v>0.0</v>
      </c>
      <c r="N4289">
        <v>0.0</v>
      </c>
      <c r="O4289">
        <v>21.65</v>
      </c>
      <c r="P4289">
        <v>30.18</v>
      </c>
      <c r="Q4289">
        <v>15.95</v>
      </c>
      <c r="R4289">
        <v>0.0</v>
      </c>
    </row>
    <row r="4290">
      <c r="A4290" s="9">
        <v>42821</v>
      </c>
      <c r="B4290" s="2" t="inlineStr">
        <is>
          <t xml:space="preserve">2017-03</t>
        </is>
      </c>
      <c r="C4290" s="2" t="inlineStr">
        <is>
          <t xml:space="preserve">2016/17</t>
        </is>
      </c>
      <c r="D4290">
        <v>0.0</v>
      </c>
      <c r="E4290">
        <v>24.14</v>
      </c>
      <c r="F4290">
        <v>33.84</v>
      </c>
      <c r="G4290">
        <v>15.47</v>
      </c>
      <c r="H4290">
        <v>0.0</v>
      </c>
      <c r="I4290">
        <v>0.0</v>
      </c>
      <c r="J4290">
        <v>23.77</v>
      </c>
      <c r="K4290">
        <v>33.34</v>
      </c>
      <c r="L4290">
        <v>15.12</v>
      </c>
      <c r="M4290">
        <v>0.0</v>
      </c>
      <c r="N4290">
        <v>0.0</v>
      </c>
      <c r="O4290">
        <v>22.97</v>
      </c>
      <c r="P4290">
        <v>32.58</v>
      </c>
      <c r="Q4290">
        <v>15.12</v>
      </c>
      <c r="R4290">
        <v>0.0</v>
      </c>
    </row>
    <row r="4291">
      <c r="A4291" s="9">
        <v>42822</v>
      </c>
      <c r="B4291" s="2" t="inlineStr">
        <is>
          <t xml:space="preserve">2017-03</t>
        </is>
      </c>
      <c r="C4291" s="2" t="inlineStr">
        <is>
          <t xml:space="preserve">2016/17</t>
        </is>
      </c>
      <c r="D4291">
        <v>0.0</v>
      </c>
      <c r="E4291">
        <v>25.06</v>
      </c>
      <c r="F4291">
        <v>33.83</v>
      </c>
      <c r="G4291">
        <v>16.95</v>
      </c>
      <c r="H4291">
        <v>0.0</v>
      </c>
      <c r="I4291">
        <v>0.0</v>
      </c>
      <c r="J4291">
        <v>24.51</v>
      </c>
      <c r="K4291">
        <v>32.07</v>
      </c>
      <c r="L4291">
        <v>18.06</v>
      </c>
      <c r="M4291">
        <v>0.0</v>
      </c>
      <c r="N4291">
        <v>0.0</v>
      </c>
      <c r="O4291">
        <v>24.35</v>
      </c>
      <c r="P4291">
        <v>32.77</v>
      </c>
      <c r="Q4291">
        <v>17.24</v>
      </c>
      <c r="R4291">
        <v>0.0</v>
      </c>
    </row>
    <row r="4292">
      <c r="A4292" s="9">
        <v>42823</v>
      </c>
      <c r="B4292" s="2" t="inlineStr">
        <is>
          <t xml:space="preserve">2017-03</t>
        </is>
      </c>
      <c r="C4292" s="2" t="inlineStr">
        <is>
          <t xml:space="preserve">2016/17</t>
        </is>
      </c>
      <c r="D4292">
        <v>0.0</v>
      </c>
      <c r="E4292">
        <v>25.77</v>
      </c>
      <c r="F4292">
        <v>34.1</v>
      </c>
      <c r="G4292">
        <v>18.29</v>
      </c>
      <c r="H4292">
        <v>0.0</v>
      </c>
      <c r="I4292">
        <v>0.0</v>
      </c>
      <c r="J4292">
        <v>24.7</v>
      </c>
      <c r="K4292">
        <v>32.88</v>
      </c>
      <c r="L4292">
        <v>18.34</v>
      </c>
      <c r="M4292">
        <v>0.0</v>
      </c>
      <c r="N4292">
        <v>0.0</v>
      </c>
      <c r="O4292">
        <v>25.77</v>
      </c>
      <c r="P4292">
        <v>33.94</v>
      </c>
      <c r="Q4292">
        <v>19.08</v>
      </c>
      <c r="R4292">
        <v>0.0</v>
      </c>
    </row>
    <row r="4293">
      <c r="A4293" s="9">
        <v>42824</v>
      </c>
      <c r="B4293" s="2" t="inlineStr">
        <is>
          <t xml:space="preserve">2017-03</t>
        </is>
      </c>
      <c r="C4293" s="2" t="inlineStr">
        <is>
          <t xml:space="preserve">2016/17</t>
        </is>
      </c>
      <c r="D4293">
        <v>0.0</v>
      </c>
      <c r="E4293">
        <v>26.1</v>
      </c>
      <c r="F4293">
        <v>34.55</v>
      </c>
      <c r="G4293">
        <v>18.75</v>
      </c>
      <c r="H4293">
        <v>0.0</v>
      </c>
      <c r="I4293">
        <v>0.0</v>
      </c>
      <c r="J4293">
        <v>24.74</v>
      </c>
      <c r="K4293">
        <v>33.17</v>
      </c>
      <c r="L4293">
        <v>18.37</v>
      </c>
      <c r="M4293">
        <v>0.0</v>
      </c>
      <c r="N4293">
        <v>0.0</v>
      </c>
      <c r="O4293">
        <v>26.1</v>
      </c>
      <c r="P4293">
        <v>34.63</v>
      </c>
      <c r="Q4293">
        <v>19.19</v>
      </c>
      <c r="R4293">
        <v>0.0</v>
      </c>
    </row>
    <row r="4294">
      <c r="A4294" s="9">
        <v>42825</v>
      </c>
      <c r="B4294" s="2" t="inlineStr">
        <is>
          <t xml:space="preserve">2017-03</t>
        </is>
      </c>
      <c r="C4294" s="2" t="inlineStr">
        <is>
          <t xml:space="preserve">2016/17</t>
        </is>
      </c>
      <c r="D4294">
        <v>0.0</v>
      </c>
      <c r="E4294">
        <v>26.7</v>
      </c>
      <c r="F4294">
        <v>34.32</v>
      </c>
      <c r="G4294">
        <v>19.57</v>
      </c>
      <c r="H4294">
        <v>0.0</v>
      </c>
      <c r="I4294">
        <v>0.0</v>
      </c>
      <c r="J4294">
        <v>25.77</v>
      </c>
      <c r="K4294">
        <v>33.77</v>
      </c>
      <c r="L4294">
        <v>18.95</v>
      </c>
      <c r="M4294">
        <v>0.01</v>
      </c>
      <c r="N4294">
        <v>0.0</v>
      </c>
      <c r="O4294">
        <v>25.44</v>
      </c>
      <c r="P4294">
        <v>32.83</v>
      </c>
      <c r="Q4294">
        <v>19.77</v>
      </c>
      <c r="R4294">
        <v>0.0</v>
      </c>
    </row>
    <row r="4295">
      <c r="A4295" s="9">
        <v>42826</v>
      </c>
      <c r="B4295" s="2" t="inlineStr">
        <is>
          <t xml:space="preserve">2017-04</t>
        </is>
      </c>
      <c r="C4295" s="2" t="inlineStr">
        <is>
          <t xml:space="preserve">2016/17</t>
        </is>
      </c>
      <c r="D4295">
        <v>0.0</v>
      </c>
      <c r="E4295">
        <v>27.33</v>
      </c>
      <c r="F4295">
        <v>35.77</v>
      </c>
      <c r="G4295">
        <v>20.77</v>
      </c>
      <c r="H4295">
        <v>0.0</v>
      </c>
      <c r="I4295">
        <v>0.0</v>
      </c>
      <c r="J4295">
        <v>26.21</v>
      </c>
      <c r="K4295">
        <v>33.78</v>
      </c>
      <c r="L4295">
        <v>20.99</v>
      </c>
      <c r="M4295">
        <v>0.0</v>
      </c>
      <c r="N4295">
        <v>0.0</v>
      </c>
      <c r="O4295">
        <v>27.28</v>
      </c>
      <c r="P4295">
        <v>35.0</v>
      </c>
      <c r="Q4295">
        <v>20.61</v>
      </c>
      <c r="R4295">
        <v>0.0</v>
      </c>
    </row>
    <row r="4296">
      <c r="A4296" s="9">
        <v>42827</v>
      </c>
      <c r="B4296" s="2" t="inlineStr">
        <is>
          <t xml:space="preserve">2017-04</t>
        </is>
      </c>
      <c r="C4296" s="2" t="inlineStr">
        <is>
          <t xml:space="preserve">2016/17</t>
        </is>
      </c>
      <c r="D4296">
        <v>0.0</v>
      </c>
      <c r="E4296">
        <v>27.22</v>
      </c>
      <c r="F4296">
        <v>36.44</v>
      </c>
      <c r="G4296">
        <v>19.09</v>
      </c>
      <c r="H4296">
        <v>0.0</v>
      </c>
      <c r="I4296">
        <v>0.0</v>
      </c>
      <c r="J4296">
        <v>25.57</v>
      </c>
      <c r="K4296">
        <v>34.99</v>
      </c>
      <c r="L4296">
        <v>18.64</v>
      </c>
      <c r="M4296">
        <v>0.06</v>
      </c>
      <c r="N4296">
        <v>0.0</v>
      </c>
      <c r="O4296">
        <v>27.65</v>
      </c>
      <c r="P4296">
        <v>36.86</v>
      </c>
      <c r="Q4296">
        <v>19.85</v>
      </c>
      <c r="R4296">
        <v>0.07</v>
      </c>
    </row>
    <row r="4297">
      <c r="A4297" s="9">
        <v>42828</v>
      </c>
      <c r="B4297" s="2" t="inlineStr">
        <is>
          <t xml:space="preserve">2017-04</t>
        </is>
      </c>
      <c r="C4297" s="2" t="inlineStr">
        <is>
          <t xml:space="preserve">2016/17</t>
        </is>
      </c>
      <c r="D4297">
        <v>0.0</v>
      </c>
      <c r="E4297">
        <v>27.19</v>
      </c>
      <c r="F4297">
        <v>35.16</v>
      </c>
      <c r="G4297">
        <v>20.57</v>
      </c>
      <c r="H4297">
        <v>0.24</v>
      </c>
      <c r="I4297">
        <v>0.381</v>
      </c>
      <c r="J4297">
        <v>25.51</v>
      </c>
      <c r="K4297">
        <v>34.63</v>
      </c>
      <c r="L4297">
        <v>17.8</v>
      </c>
      <c r="M4297">
        <v>0.64</v>
      </c>
      <c r="N4297">
        <v>1.513</v>
      </c>
      <c r="O4297">
        <v>27.51</v>
      </c>
      <c r="P4297">
        <v>36.93</v>
      </c>
      <c r="Q4297">
        <v>19.83</v>
      </c>
      <c r="R4297">
        <v>0.62</v>
      </c>
    </row>
    <row r="4298">
      <c r="A4298" s="9">
        <v>42829</v>
      </c>
      <c r="B4298" s="2" t="inlineStr">
        <is>
          <t xml:space="preserve">2017-04</t>
        </is>
      </c>
      <c r="C4298" s="2" t="inlineStr">
        <is>
          <t xml:space="preserve">2016/17</t>
        </is>
      </c>
      <c r="D4298">
        <v>1.536</v>
      </c>
      <c r="E4298">
        <v>27.61</v>
      </c>
      <c r="F4298">
        <v>35.07</v>
      </c>
      <c r="G4298">
        <v>21.67</v>
      </c>
      <c r="H4298">
        <v>0.74</v>
      </c>
      <c r="I4298">
        <v>0.593</v>
      </c>
      <c r="J4298">
        <v>26.01</v>
      </c>
      <c r="K4298">
        <v>34.05</v>
      </c>
      <c r="L4298">
        <v>19.29</v>
      </c>
      <c r="M4298">
        <v>1.1</v>
      </c>
      <c r="N4298">
        <v>2.02</v>
      </c>
      <c r="O4298">
        <v>27.48</v>
      </c>
      <c r="P4298">
        <v>35.5</v>
      </c>
      <c r="Q4298">
        <v>22.03</v>
      </c>
      <c r="R4298">
        <v>1.21</v>
      </c>
    </row>
    <row r="4299">
      <c r="A4299" s="9">
        <v>42830</v>
      </c>
      <c r="B4299" s="2" t="inlineStr">
        <is>
          <t xml:space="preserve">2017-04</t>
        </is>
      </c>
      <c r="C4299" s="2" t="inlineStr">
        <is>
          <t xml:space="preserve">2016/17</t>
        </is>
      </c>
      <c r="D4299">
        <v>0.507</v>
      </c>
      <c r="E4299">
        <v>27.27</v>
      </c>
      <c r="F4299">
        <v>35.49</v>
      </c>
      <c r="G4299">
        <v>20.49</v>
      </c>
      <c r="H4299">
        <v>0.15</v>
      </c>
      <c r="I4299">
        <v>0.025</v>
      </c>
      <c r="J4299">
        <v>27.48</v>
      </c>
      <c r="K4299">
        <v>35.43</v>
      </c>
      <c r="L4299">
        <v>20.29</v>
      </c>
      <c r="M4299">
        <v>0.04</v>
      </c>
      <c r="N4299">
        <v>0.096</v>
      </c>
      <c r="O4299">
        <v>27.81</v>
      </c>
      <c r="P4299">
        <v>36.6</v>
      </c>
      <c r="Q4299">
        <v>20.85</v>
      </c>
      <c r="R4299">
        <v>0.04</v>
      </c>
    </row>
    <row r="4300">
      <c r="A4300" s="9">
        <v>42831</v>
      </c>
      <c r="B4300" s="2" t="inlineStr">
        <is>
          <t xml:space="preserve">2017-04</t>
        </is>
      </c>
      <c r="C4300" s="2" t="inlineStr">
        <is>
          <t xml:space="preserve">2016/17</t>
        </is>
      </c>
      <c r="D4300">
        <v>0.0</v>
      </c>
      <c r="E4300">
        <v>26.32</v>
      </c>
      <c r="F4300">
        <v>35.5</v>
      </c>
      <c r="G4300">
        <v>19.18</v>
      </c>
      <c r="H4300">
        <v>0.02</v>
      </c>
      <c r="I4300">
        <v>0.0</v>
      </c>
      <c r="J4300">
        <v>26.38</v>
      </c>
      <c r="K4300">
        <v>34.47</v>
      </c>
      <c r="L4300">
        <v>19.83</v>
      </c>
      <c r="M4300">
        <v>0.0</v>
      </c>
      <c r="N4300">
        <v>0.0</v>
      </c>
      <c r="O4300">
        <v>25.22</v>
      </c>
      <c r="P4300">
        <v>32.5</v>
      </c>
      <c r="Q4300">
        <v>20.19</v>
      </c>
      <c r="R4300">
        <v>0.07</v>
      </c>
    </row>
    <row r="4301">
      <c r="A4301" s="9">
        <v>42832</v>
      </c>
      <c r="B4301" s="2" t="inlineStr">
        <is>
          <t xml:space="preserve">2017-04</t>
        </is>
      </c>
      <c r="C4301" s="2" t="inlineStr">
        <is>
          <t xml:space="preserve">2016/17</t>
        </is>
      </c>
      <c r="D4301">
        <v>0.0</v>
      </c>
      <c r="E4301">
        <v>25.15</v>
      </c>
      <c r="F4301">
        <v>33.13</v>
      </c>
      <c r="G4301">
        <v>19.82</v>
      </c>
      <c r="H4301">
        <v>0.13</v>
      </c>
      <c r="I4301">
        <v>0.0</v>
      </c>
      <c r="J4301">
        <v>23.84</v>
      </c>
      <c r="K4301">
        <v>32.12</v>
      </c>
      <c r="L4301">
        <v>17.81</v>
      </c>
      <c r="M4301">
        <v>0.05</v>
      </c>
      <c r="N4301">
        <v>0.0</v>
      </c>
      <c r="O4301">
        <v>23.25</v>
      </c>
      <c r="P4301">
        <v>29.98</v>
      </c>
      <c r="Q4301">
        <v>18.36</v>
      </c>
      <c r="R4301">
        <v>0.41</v>
      </c>
    </row>
    <row r="4302">
      <c r="A4302" s="9">
        <v>42833</v>
      </c>
      <c r="B4302" s="2" t="inlineStr">
        <is>
          <t xml:space="preserve">2017-04</t>
        </is>
      </c>
      <c r="C4302" s="2" t="inlineStr">
        <is>
          <t xml:space="preserve">2016/17</t>
        </is>
      </c>
      <c r="D4302">
        <v>0.0</v>
      </c>
      <c r="E4302">
        <v>24.21</v>
      </c>
      <c r="F4302">
        <v>32.95</v>
      </c>
      <c r="G4302">
        <v>17.67</v>
      </c>
      <c r="H4302">
        <v>0.19</v>
      </c>
      <c r="I4302">
        <v>0.0</v>
      </c>
      <c r="J4302">
        <v>23.51</v>
      </c>
      <c r="K4302">
        <v>31.31</v>
      </c>
      <c r="L4302">
        <v>17.76</v>
      </c>
      <c r="M4302">
        <v>0.12</v>
      </c>
      <c r="N4302">
        <v>0.073</v>
      </c>
      <c r="O4302">
        <v>22.73</v>
      </c>
      <c r="P4302">
        <v>29.63</v>
      </c>
      <c r="Q4302">
        <v>17.83</v>
      </c>
      <c r="R4302">
        <v>0.33</v>
      </c>
    </row>
    <row r="4303">
      <c r="A4303" s="9">
        <v>42834</v>
      </c>
      <c r="B4303" s="2" t="inlineStr">
        <is>
          <t xml:space="preserve">2017-04</t>
        </is>
      </c>
      <c r="C4303" s="2" t="inlineStr">
        <is>
          <t xml:space="preserve">2016/17</t>
        </is>
      </c>
      <c r="D4303">
        <v>0.0</v>
      </c>
      <c r="E4303">
        <v>24.93</v>
      </c>
      <c r="F4303">
        <v>33.16</v>
      </c>
      <c r="G4303">
        <v>18.4</v>
      </c>
      <c r="H4303">
        <v>0.11</v>
      </c>
      <c r="I4303">
        <v>0.0</v>
      </c>
      <c r="J4303">
        <v>24.93</v>
      </c>
      <c r="K4303">
        <v>32.95</v>
      </c>
      <c r="L4303">
        <v>18.09</v>
      </c>
      <c r="M4303">
        <v>0.0</v>
      </c>
      <c r="N4303">
        <v>0.0</v>
      </c>
      <c r="O4303">
        <v>23.79</v>
      </c>
      <c r="P4303">
        <v>30.89</v>
      </c>
      <c r="Q4303">
        <v>18.33</v>
      </c>
      <c r="R4303">
        <v>0.0</v>
      </c>
    </row>
    <row r="4304">
      <c r="A4304" s="9">
        <v>42835</v>
      </c>
      <c r="B4304" s="2" t="inlineStr">
        <is>
          <t xml:space="preserve">2017-04</t>
        </is>
      </c>
      <c r="C4304" s="2" t="inlineStr">
        <is>
          <t xml:space="preserve">2016/17</t>
        </is>
      </c>
      <c r="D4304">
        <v>0.0</v>
      </c>
      <c r="E4304">
        <v>24.74</v>
      </c>
      <c r="F4304">
        <v>33.37</v>
      </c>
      <c r="G4304">
        <v>18.1</v>
      </c>
      <c r="H4304">
        <v>0.02</v>
      </c>
      <c r="I4304">
        <v>0.0</v>
      </c>
      <c r="J4304">
        <v>25.28</v>
      </c>
      <c r="K4304">
        <v>33.63</v>
      </c>
      <c r="L4304">
        <v>19.44</v>
      </c>
      <c r="M4304">
        <v>0.62</v>
      </c>
      <c r="N4304">
        <v>0.0</v>
      </c>
      <c r="O4304">
        <v>23.68</v>
      </c>
      <c r="P4304">
        <v>31.43</v>
      </c>
      <c r="Q4304">
        <v>18.83</v>
      </c>
      <c r="R4304">
        <v>0.06</v>
      </c>
    </row>
    <row r="4305">
      <c r="A4305" s="9">
        <v>42836</v>
      </c>
      <c r="B4305" s="2" t="inlineStr">
        <is>
          <t xml:space="preserve">2017-04</t>
        </is>
      </c>
      <c r="C4305" s="2" t="inlineStr">
        <is>
          <t xml:space="preserve">2016/17</t>
        </is>
      </c>
      <c r="D4305">
        <v>0.072</v>
      </c>
      <c r="E4305">
        <v>23.77</v>
      </c>
      <c r="F4305">
        <v>31.87</v>
      </c>
      <c r="G4305">
        <v>18.11</v>
      </c>
      <c r="H4305">
        <v>0.3</v>
      </c>
      <c r="I4305">
        <v>2.424</v>
      </c>
      <c r="J4305">
        <v>23.46</v>
      </c>
      <c r="K4305">
        <v>31.57</v>
      </c>
      <c r="L4305">
        <v>18.33</v>
      </c>
      <c r="M4305">
        <v>1.85</v>
      </c>
      <c r="N4305">
        <v>0.089</v>
      </c>
      <c r="O4305">
        <v>22.9</v>
      </c>
      <c r="P4305">
        <v>30.54</v>
      </c>
      <c r="Q4305">
        <v>18.0</v>
      </c>
      <c r="R4305">
        <v>0.63</v>
      </c>
    </row>
    <row r="4306">
      <c r="A4306" s="9">
        <v>42837</v>
      </c>
      <c r="B4306" s="2" t="inlineStr">
        <is>
          <t xml:space="preserve">2017-04</t>
        </is>
      </c>
      <c r="C4306" s="2" t="inlineStr">
        <is>
          <t xml:space="preserve">2016/17</t>
        </is>
      </c>
      <c r="D4306">
        <v>0.475</v>
      </c>
      <c r="E4306">
        <v>22.57</v>
      </c>
      <c r="F4306">
        <v>29.68</v>
      </c>
      <c r="G4306">
        <v>18.15</v>
      </c>
      <c r="H4306">
        <v>0.61</v>
      </c>
      <c r="I4306">
        <v>0.0</v>
      </c>
      <c r="J4306">
        <v>22.18</v>
      </c>
      <c r="K4306">
        <v>28.6</v>
      </c>
      <c r="L4306">
        <v>18.25</v>
      </c>
      <c r="M4306">
        <v>0.89</v>
      </c>
      <c r="N4306">
        <v>0.503</v>
      </c>
      <c r="O4306">
        <v>21.35</v>
      </c>
      <c r="P4306">
        <v>26.98</v>
      </c>
      <c r="Q4306">
        <v>17.86</v>
      </c>
      <c r="R4306">
        <v>2.17</v>
      </c>
    </row>
    <row r="4307">
      <c r="A4307" s="9">
        <v>42838</v>
      </c>
      <c r="B4307" s="2" t="inlineStr">
        <is>
          <t xml:space="preserve">2017-04</t>
        </is>
      </c>
      <c r="C4307" s="2" t="inlineStr">
        <is>
          <t xml:space="preserve">2016/17</t>
        </is>
      </c>
      <c r="D4307">
        <v>0.0</v>
      </c>
      <c r="E4307">
        <v>23.12</v>
      </c>
      <c r="F4307">
        <v>32.06</v>
      </c>
      <c r="G4307">
        <v>16.56</v>
      </c>
      <c r="H4307">
        <v>0.07</v>
      </c>
      <c r="I4307">
        <v>0.025</v>
      </c>
      <c r="J4307">
        <v>22.35</v>
      </c>
      <c r="K4307">
        <v>29.5</v>
      </c>
      <c r="L4307">
        <v>17.67</v>
      </c>
      <c r="M4307">
        <v>0.14</v>
      </c>
      <c r="N4307">
        <v>0.26</v>
      </c>
      <c r="O4307">
        <v>21.72</v>
      </c>
      <c r="P4307">
        <v>28.68</v>
      </c>
      <c r="Q4307">
        <v>17.05</v>
      </c>
      <c r="R4307">
        <v>0.3</v>
      </c>
    </row>
    <row r="4308">
      <c r="A4308" s="9">
        <v>42839</v>
      </c>
      <c r="B4308" s="2" t="inlineStr">
        <is>
          <t xml:space="preserve">2017-04</t>
        </is>
      </c>
      <c r="C4308" s="2" t="inlineStr">
        <is>
          <t xml:space="preserve">2016/17</t>
        </is>
      </c>
      <c r="D4308">
        <v>0.0</v>
      </c>
      <c r="E4308">
        <v>23.27</v>
      </c>
      <c r="F4308">
        <v>31.42</v>
      </c>
      <c r="G4308">
        <v>17.33</v>
      </c>
      <c r="H4308">
        <v>0.05</v>
      </c>
      <c r="I4308">
        <v>0.0</v>
      </c>
      <c r="J4308">
        <v>22.8</v>
      </c>
      <c r="K4308">
        <v>30.65</v>
      </c>
      <c r="L4308">
        <v>17.31</v>
      </c>
      <c r="M4308">
        <v>0.2</v>
      </c>
      <c r="N4308">
        <v>0.145</v>
      </c>
      <c r="O4308">
        <v>22.07</v>
      </c>
      <c r="P4308">
        <v>28.76</v>
      </c>
      <c r="Q4308">
        <v>17.3</v>
      </c>
      <c r="R4308">
        <v>0.44</v>
      </c>
    </row>
    <row r="4309">
      <c r="A4309" s="9">
        <v>42840</v>
      </c>
      <c r="B4309" s="2" t="inlineStr">
        <is>
          <t xml:space="preserve">2017-04</t>
        </is>
      </c>
      <c r="C4309" s="2" t="inlineStr">
        <is>
          <t xml:space="preserve">2016/17</t>
        </is>
      </c>
      <c r="D4309">
        <v>0.0</v>
      </c>
      <c r="E4309">
        <v>23.61</v>
      </c>
      <c r="F4309">
        <v>32.41</v>
      </c>
      <c r="G4309">
        <v>17.43</v>
      </c>
      <c r="H4309">
        <v>0.6</v>
      </c>
      <c r="I4309">
        <v>0.0</v>
      </c>
      <c r="J4309">
        <v>23.64</v>
      </c>
      <c r="K4309">
        <v>31.93</v>
      </c>
      <c r="L4309">
        <v>17.9</v>
      </c>
      <c r="M4309">
        <v>0.07</v>
      </c>
      <c r="N4309">
        <v>0.0</v>
      </c>
      <c r="O4309">
        <v>22.53</v>
      </c>
      <c r="P4309">
        <v>29.63</v>
      </c>
      <c r="Q4309">
        <v>17.61</v>
      </c>
      <c r="R4309">
        <v>0.15</v>
      </c>
    </row>
    <row r="4310">
      <c r="A4310" s="9">
        <v>42841</v>
      </c>
      <c r="B4310" s="2" t="inlineStr">
        <is>
          <t xml:space="preserve">2017-04</t>
        </is>
      </c>
      <c r="C4310" s="2" t="inlineStr">
        <is>
          <t xml:space="preserve">2016/17</t>
        </is>
      </c>
      <c r="D4310">
        <v>1.363</v>
      </c>
      <c r="E4310">
        <v>24.07</v>
      </c>
      <c r="F4310">
        <v>32.25</v>
      </c>
      <c r="G4310">
        <v>16.79</v>
      </c>
      <c r="H4310">
        <v>0.45</v>
      </c>
      <c r="I4310">
        <v>0.037</v>
      </c>
      <c r="J4310">
        <v>24.31</v>
      </c>
      <c r="K4310">
        <v>32.39</v>
      </c>
      <c r="L4310">
        <v>17.62</v>
      </c>
      <c r="M4310">
        <v>0.23</v>
      </c>
      <c r="N4310">
        <v>0.143</v>
      </c>
      <c r="O4310">
        <v>23.08</v>
      </c>
      <c r="P4310">
        <v>30.49</v>
      </c>
      <c r="Q4310">
        <v>17.25</v>
      </c>
      <c r="R4310">
        <v>0.27</v>
      </c>
    </row>
    <row r="4311">
      <c r="A4311" s="9">
        <v>42842</v>
      </c>
      <c r="B4311" s="2" t="inlineStr">
        <is>
          <t xml:space="preserve">2017-04</t>
        </is>
      </c>
      <c r="C4311" s="2" t="inlineStr">
        <is>
          <t xml:space="preserve">2016/17</t>
        </is>
      </c>
      <c r="D4311">
        <v>1.531</v>
      </c>
      <c r="E4311">
        <v>24.58</v>
      </c>
      <c r="F4311">
        <v>32.17</v>
      </c>
      <c r="G4311">
        <v>18.3</v>
      </c>
      <c r="H4311">
        <v>5.92</v>
      </c>
      <c r="I4311">
        <v>0.395</v>
      </c>
      <c r="J4311">
        <v>25.25</v>
      </c>
      <c r="K4311">
        <v>33.04</v>
      </c>
      <c r="L4311">
        <v>18.73</v>
      </c>
      <c r="M4311">
        <v>1.72</v>
      </c>
      <c r="N4311">
        <v>1.346</v>
      </c>
      <c r="O4311">
        <v>23.6</v>
      </c>
      <c r="P4311">
        <v>30.2</v>
      </c>
      <c r="Q4311">
        <v>18.93</v>
      </c>
      <c r="R4311">
        <v>1.48</v>
      </c>
    </row>
    <row r="4312">
      <c r="A4312" s="9">
        <v>42843</v>
      </c>
      <c r="B4312" s="2" t="inlineStr">
        <is>
          <t xml:space="preserve">2017-04</t>
        </is>
      </c>
      <c r="C4312" s="2" t="inlineStr">
        <is>
          <t xml:space="preserve">2016/17</t>
        </is>
      </c>
      <c r="D4312">
        <v>20.242</v>
      </c>
      <c r="E4312">
        <v>23.59</v>
      </c>
      <c r="F4312">
        <v>29.73</v>
      </c>
      <c r="G4312">
        <v>19.08</v>
      </c>
      <c r="H4312">
        <v>19.78</v>
      </c>
      <c r="I4312">
        <v>5.916</v>
      </c>
      <c r="J4312">
        <v>23.99</v>
      </c>
      <c r="K4312">
        <v>29.2</v>
      </c>
      <c r="L4312">
        <v>19.87</v>
      </c>
      <c r="M4312">
        <v>9.86</v>
      </c>
      <c r="N4312">
        <v>20.785</v>
      </c>
      <c r="O4312">
        <v>22.51</v>
      </c>
      <c r="P4312">
        <v>27.53</v>
      </c>
      <c r="Q4312">
        <v>19.78</v>
      </c>
      <c r="R4312">
        <v>12.59</v>
      </c>
    </row>
    <row r="4313">
      <c r="A4313" s="9">
        <v>42844</v>
      </c>
      <c r="B4313" s="2" t="inlineStr">
        <is>
          <t xml:space="preserve">2017-04</t>
        </is>
      </c>
      <c r="C4313" s="2" t="inlineStr">
        <is>
          <t xml:space="preserve">2016/17</t>
        </is>
      </c>
      <c r="D4313">
        <v>8.484</v>
      </c>
      <c r="E4313">
        <v>23.14</v>
      </c>
      <c r="F4313">
        <v>29.47</v>
      </c>
      <c r="G4313">
        <v>19.09</v>
      </c>
      <c r="H4313">
        <v>6.87</v>
      </c>
      <c r="I4313">
        <v>2.099</v>
      </c>
      <c r="J4313">
        <v>24.43</v>
      </c>
      <c r="K4313">
        <v>32.64</v>
      </c>
      <c r="L4313">
        <v>18.06</v>
      </c>
      <c r="M4313">
        <v>3.74</v>
      </c>
      <c r="N4313">
        <v>6.729</v>
      </c>
      <c r="O4313">
        <v>22.95</v>
      </c>
      <c r="P4313">
        <v>31.29</v>
      </c>
      <c r="Q4313">
        <v>17.83</v>
      </c>
      <c r="R4313">
        <v>5.16</v>
      </c>
    </row>
    <row r="4314">
      <c r="A4314" s="9">
        <v>42845</v>
      </c>
      <c r="B4314" s="2" t="inlineStr">
        <is>
          <t xml:space="preserve">2017-04</t>
        </is>
      </c>
      <c r="C4314" s="2" t="inlineStr">
        <is>
          <t xml:space="preserve">2016/17</t>
        </is>
      </c>
      <c r="D4314">
        <v>10.03</v>
      </c>
      <c r="E4314">
        <v>23.26</v>
      </c>
      <c r="F4314">
        <v>29.39</v>
      </c>
      <c r="G4314">
        <v>18.99</v>
      </c>
      <c r="H4314">
        <v>8.6</v>
      </c>
      <c r="I4314">
        <v>0.188</v>
      </c>
      <c r="J4314">
        <v>25.1</v>
      </c>
      <c r="K4314">
        <v>32.26</v>
      </c>
      <c r="L4314">
        <v>19.42</v>
      </c>
      <c r="M4314">
        <v>1.89</v>
      </c>
      <c r="N4314">
        <v>0.767</v>
      </c>
      <c r="O4314">
        <v>24.18</v>
      </c>
      <c r="P4314">
        <v>31.81</v>
      </c>
      <c r="Q4314">
        <v>19.64</v>
      </c>
      <c r="R4314">
        <v>2.75</v>
      </c>
    </row>
    <row r="4315">
      <c r="A4315" s="9">
        <v>42846</v>
      </c>
      <c r="B4315" s="2" t="inlineStr">
        <is>
          <t xml:space="preserve">2017-04</t>
        </is>
      </c>
      <c r="C4315" s="2" t="inlineStr">
        <is>
          <t xml:space="preserve">2016/17</t>
        </is>
      </c>
      <c r="D4315">
        <v>9.91</v>
      </c>
      <c r="E4315">
        <v>24.32</v>
      </c>
      <c r="F4315">
        <v>31.61</v>
      </c>
      <c r="G4315">
        <v>18.2</v>
      </c>
      <c r="H4315">
        <v>2.6</v>
      </c>
      <c r="I4315">
        <v>1.393</v>
      </c>
      <c r="J4315">
        <v>25.31</v>
      </c>
      <c r="K4315">
        <v>32.53</v>
      </c>
      <c r="L4315">
        <v>19.36</v>
      </c>
      <c r="M4315">
        <v>2.05</v>
      </c>
      <c r="N4315">
        <v>4.113</v>
      </c>
      <c r="O4315">
        <v>24.63</v>
      </c>
      <c r="P4315">
        <v>32.0</v>
      </c>
      <c r="Q4315">
        <v>18.81</v>
      </c>
      <c r="R4315">
        <v>2.15</v>
      </c>
    </row>
    <row r="4316">
      <c r="A4316" s="9">
        <v>42847</v>
      </c>
      <c r="B4316" s="2" t="inlineStr">
        <is>
          <t xml:space="preserve">2017-04</t>
        </is>
      </c>
      <c r="C4316" s="2" t="inlineStr">
        <is>
          <t xml:space="preserve">2016/17</t>
        </is>
      </c>
      <c r="D4316">
        <v>0.0</v>
      </c>
      <c r="E4316">
        <v>25.61</v>
      </c>
      <c r="F4316">
        <v>33.49</v>
      </c>
      <c r="G4316">
        <v>18.36</v>
      </c>
      <c r="H4316">
        <v>0.23</v>
      </c>
      <c r="I4316">
        <v>0.579</v>
      </c>
      <c r="J4316">
        <v>25.72</v>
      </c>
      <c r="K4316">
        <v>34.06</v>
      </c>
      <c r="L4316">
        <v>19.53</v>
      </c>
      <c r="M4316">
        <v>0.23</v>
      </c>
      <c r="N4316">
        <v>2.145</v>
      </c>
      <c r="O4316">
        <v>26.35</v>
      </c>
      <c r="P4316">
        <v>34.53</v>
      </c>
      <c r="Q4316">
        <v>18.9</v>
      </c>
      <c r="R4316">
        <v>0.35</v>
      </c>
    </row>
    <row r="4317">
      <c r="A4317" s="9">
        <v>42848</v>
      </c>
      <c r="B4317" s="2" t="inlineStr">
        <is>
          <t xml:space="preserve">2017-04</t>
        </is>
      </c>
      <c r="C4317" s="2" t="inlineStr">
        <is>
          <t xml:space="preserve">2016/17</t>
        </is>
      </c>
      <c r="D4317">
        <v>0.0</v>
      </c>
      <c r="E4317">
        <v>24.97</v>
      </c>
      <c r="F4317">
        <v>32.1</v>
      </c>
      <c r="G4317">
        <v>20.27</v>
      </c>
      <c r="H4317">
        <v>0.72</v>
      </c>
      <c r="I4317">
        <v>0.0</v>
      </c>
      <c r="J4317">
        <v>25.24</v>
      </c>
      <c r="K4317">
        <v>31.6</v>
      </c>
      <c r="L4317">
        <v>18.94</v>
      </c>
      <c r="M4317">
        <v>0.63</v>
      </c>
      <c r="N4317">
        <v>0.0</v>
      </c>
      <c r="O4317">
        <v>25.13</v>
      </c>
      <c r="P4317">
        <v>31.22</v>
      </c>
      <c r="Q4317">
        <v>20.1</v>
      </c>
      <c r="R4317">
        <v>0.33</v>
      </c>
    </row>
    <row r="4318">
      <c r="A4318" s="9">
        <v>42849</v>
      </c>
      <c r="B4318" s="2" t="inlineStr">
        <is>
          <t xml:space="preserve">2017-04</t>
        </is>
      </c>
      <c r="C4318" s="2" t="inlineStr">
        <is>
          <t xml:space="preserve">2016/17</t>
        </is>
      </c>
      <c r="D4318">
        <v>0.749</v>
      </c>
      <c r="E4318">
        <v>23.76</v>
      </c>
      <c r="F4318">
        <v>30.05</v>
      </c>
      <c r="G4318">
        <v>19.06</v>
      </c>
      <c r="H4318">
        <v>1.9</v>
      </c>
      <c r="I4318">
        <v>3.602</v>
      </c>
      <c r="J4318">
        <v>24.57</v>
      </c>
      <c r="K4318">
        <v>30.43</v>
      </c>
      <c r="L4318">
        <v>19.87</v>
      </c>
      <c r="M4318">
        <v>1.47</v>
      </c>
      <c r="N4318">
        <v>0.945</v>
      </c>
      <c r="O4318">
        <v>23.88</v>
      </c>
      <c r="P4318">
        <v>30.03</v>
      </c>
      <c r="Q4318">
        <v>19.53</v>
      </c>
      <c r="R4318">
        <v>2.48</v>
      </c>
    </row>
    <row r="4319">
      <c r="A4319" s="9">
        <v>42850</v>
      </c>
      <c r="B4319" s="2" t="inlineStr">
        <is>
          <t xml:space="preserve">2017-04</t>
        </is>
      </c>
      <c r="C4319" s="2" t="inlineStr">
        <is>
          <t xml:space="preserve">2016/17</t>
        </is>
      </c>
      <c r="D4319">
        <v>0.723</v>
      </c>
      <c r="E4319">
        <v>24.49</v>
      </c>
      <c r="F4319">
        <v>30.79</v>
      </c>
      <c r="G4319">
        <v>19.1</v>
      </c>
      <c r="H4319">
        <v>0.43</v>
      </c>
      <c r="I4319">
        <v>0.0</v>
      </c>
      <c r="J4319">
        <v>24.36</v>
      </c>
      <c r="K4319">
        <v>30.48</v>
      </c>
      <c r="L4319">
        <v>20.84</v>
      </c>
      <c r="M4319">
        <v>0.16</v>
      </c>
      <c r="N4319">
        <v>0.0</v>
      </c>
      <c r="O4319">
        <v>24.34</v>
      </c>
      <c r="P4319">
        <v>30.52</v>
      </c>
      <c r="Q4319">
        <v>19.51</v>
      </c>
      <c r="R4319">
        <v>0.01</v>
      </c>
    </row>
    <row r="4320">
      <c r="A4320" s="9">
        <v>42851</v>
      </c>
      <c r="B4320" s="2" t="inlineStr">
        <is>
          <t xml:space="preserve">2017-04</t>
        </is>
      </c>
      <c r="C4320" s="2" t="inlineStr">
        <is>
          <t xml:space="preserve">2016/17</t>
        </is>
      </c>
      <c r="D4320">
        <v>0.0</v>
      </c>
      <c r="E4320">
        <v>26.28</v>
      </c>
      <c r="F4320">
        <v>34.71</v>
      </c>
      <c r="G4320">
        <v>19.37</v>
      </c>
      <c r="H4320">
        <v>0.0</v>
      </c>
      <c r="I4320">
        <v>0.0</v>
      </c>
      <c r="J4320">
        <v>25.69</v>
      </c>
      <c r="K4320">
        <v>34.51</v>
      </c>
      <c r="L4320">
        <v>19.24</v>
      </c>
      <c r="M4320">
        <v>0.0</v>
      </c>
      <c r="N4320">
        <v>0.0</v>
      </c>
      <c r="O4320">
        <v>27.66</v>
      </c>
      <c r="P4320">
        <v>36.89</v>
      </c>
      <c r="Q4320">
        <v>20.18</v>
      </c>
      <c r="R4320">
        <v>0.0</v>
      </c>
    </row>
    <row r="4321">
      <c r="A4321" s="9">
        <v>42852</v>
      </c>
      <c r="B4321" s="2" t="inlineStr">
        <is>
          <t xml:space="preserve">2017-04</t>
        </is>
      </c>
      <c r="C4321" s="2" t="inlineStr">
        <is>
          <t xml:space="preserve">2016/17</t>
        </is>
      </c>
      <c r="D4321">
        <v>0.0</v>
      </c>
      <c r="E4321">
        <v>26.65</v>
      </c>
      <c r="F4321">
        <v>35.44</v>
      </c>
      <c r="G4321">
        <v>19.3</v>
      </c>
      <c r="H4321">
        <v>0.31</v>
      </c>
      <c r="I4321">
        <v>0.0</v>
      </c>
      <c r="J4321">
        <v>26.19</v>
      </c>
      <c r="K4321">
        <v>35.72</v>
      </c>
      <c r="L4321">
        <v>18.65</v>
      </c>
      <c r="M4321">
        <v>0.34</v>
      </c>
      <c r="N4321">
        <v>0.0</v>
      </c>
      <c r="O4321">
        <v>28.48</v>
      </c>
      <c r="P4321">
        <v>38.06</v>
      </c>
      <c r="Q4321">
        <v>20.45</v>
      </c>
      <c r="R4321">
        <v>0.31</v>
      </c>
    </row>
    <row r="4322">
      <c r="A4322" s="9">
        <v>42853</v>
      </c>
      <c r="B4322" s="2" t="inlineStr">
        <is>
          <t xml:space="preserve">2017-04</t>
        </is>
      </c>
      <c r="C4322" s="2" t="inlineStr">
        <is>
          <t xml:space="preserve">2016/17</t>
        </is>
      </c>
      <c r="D4322">
        <v>3.923</v>
      </c>
      <c r="E4322">
        <v>25.77</v>
      </c>
      <c r="F4322">
        <v>32.13</v>
      </c>
      <c r="G4322">
        <v>21.55</v>
      </c>
      <c r="H4322">
        <v>4.01</v>
      </c>
      <c r="I4322">
        <v>7.16</v>
      </c>
      <c r="J4322">
        <v>25.66</v>
      </c>
      <c r="K4322">
        <v>33.83</v>
      </c>
      <c r="L4322">
        <v>19.46</v>
      </c>
      <c r="M4322">
        <v>11.87</v>
      </c>
      <c r="N4322">
        <v>26.102</v>
      </c>
      <c r="O4322">
        <v>25.96</v>
      </c>
      <c r="P4322">
        <v>31.49</v>
      </c>
      <c r="Q4322">
        <v>20.96</v>
      </c>
      <c r="R4322">
        <v>10.86</v>
      </c>
    </row>
    <row r="4323">
      <c r="A4323" s="9">
        <v>42854</v>
      </c>
      <c r="B4323" s="2" t="inlineStr">
        <is>
          <t xml:space="preserve">2017-04</t>
        </is>
      </c>
      <c r="C4323" s="2" t="inlineStr">
        <is>
          <t xml:space="preserve">2016/17</t>
        </is>
      </c>
      <c r="D4323">
        <v>9.55</v>
      </c>
      <c r="E4323">
        <v>25.23</v>
      </c>
      <c r="F4323">
        <v>31.12</v>
      </c>
      <c r="G4323">
        <v>21.22</v>
      </c>
      <c r="H4323">
        <v>6.62</v>
      </c>
      <c r="I4323">
        <v>1.264</v>
      </c>
      <c r="J4323">
        <v>25.82</v>
      </c>
      <c r="K4323">
        <v>33.19</v>
      </c>
      <c r="L4323">
        <v>20.07</v>
      </c>
      <c r="M4323">
        <v>4.2</v>
      </c>
      <c r="N4323">
        <v>3.581</v>
      </c>
      <c r="O4323">
        <v>26.5</v>
      </c>
      <c r="P4323">
        <v>33.15</v>
      </c>
      <c r="Q4323">
        <v>21.13</v>
      </c>
      <c r="R4323">
        <v>6.2</v>
      </c>
    </row>
    <row r="4324">
      <c r="A4324" s="9">
        <v>42855</v>
      </c>
      <c r="B4324" s="2" t="inlineStr">
        <is>
          <t xml:space="preserve">2017-04</t>
        </is>
      </c>
      <c r="C4324" s="2" t="inlineStr">
        <is>
          <t xml:space="preserve">2016/17</t>
        </is>
      </c>
      <c r="D4324">
        <v>17.74</v>
      </c>
      <c r="E4324">
        <v>25.41</v>
      </c>
      <c r="F4324">
        <v>32.44</v>
      </c>
      <c r="G4324">
        <v>19.67</v>
      </c>
      <c r="H4324">
        <v>7.04</v>
      </c>
      <c r="I4324">
        <v>1.935</v>
      </c>
      <c r="J4324">
        <v>26.09</v>
      </c>
      <c r="K4324">
        <v>33.68</v>
      </c>
      <c r="L4324">
        <v>20.59</v>
      </c>
      <c r="M4324">
        <v>2.07</v>
      </c>
      <c r="N4324">
        <v>3.371</v>
      </c>
      <c r="O4324">
        <v>26.73</v>
      </c>
      <c r="P4324">
        <v>34.05</v>
      </c>
      <c r="Q4324">
        <v>21.32</v>
      </c>
      <c r="R4324">
        <v>3.56</v>
      </c>
    </row>
    <row r="4325">
      <c r="A4325" s="9">
        <v>42856</v>
      </c>
      <c r="B4325" s="2" t="inlineStr">
        <is>
          <t xml:space="preserve">2017-05</t>
        </is>
      </c>
      <c r="C4325" s="2" t="inlineStr">
        <is>
          <t xml:space="preserve">2016/17</t>
        </is>
      </c>
      <c r="D4325">
        <v>7.694</v>
      </c>
      <c r="E4325">
        <v>23.49</v>
      </c>
      <c r="F4325">
        <v>26.95</v>
      </c>
      <c r="G4325">
        <v>20.96</v>
      </c>
      <c r="H4325">
        <v>6.04</v>
      </c>
      <c r="I4325">
        <v>2.05</v>
      </c>
      <c r="J4325">
        <v>25.16</v>
      </c>
      <c r="K4325">
        <v>30.26</v>
      </c>
      <c r="L4325">
        <v>21.12</v>
      </c>
      <c r="M4325">
        <v>5.81</v>
      </c>
      <c r="N4325">
        <v>1.233</v>
      </c>
      <c r="O4325">
        <v>25.12</v>
      </c>
      <c r="P4325">
        <v>30.37</v>
      </c>
      <c r="Q4325">
        <v>21.56</v>
      </c>
      <c r="R4325">
        <v>3.05</v>
      </c>
    </row>
    <row r="4326">
      <c r="A4326" s="9">
        <v>42857</v>
      </c>
      <c r="B4326" s="2" t="inlineStr">
        <is>
          <t xml:space="preserve">2017-05</t>
        </is>
      </c>
      <c r="C4326" s="2" t="inlineStr">
        <is>
          <t xml:space="preserve">2016/17</t>
        </is>
      </c>
      <c r="D4326">
        <v>9.75</v>
      </c>
      <c r="E4326">
        <v>24.28</v>
      </c>
      <c r="F4326">
        <v>30.11</v>
      </c>
      <c r="G4326">
        <v>20.11</v>
      </c>
      <c r="H4326">
        <v>2.24</v>
      </c>
      <c r="I4326">
        <v>10.611</v>
      </c>
      <c r="J4326">
        <v>24.56</v>
      </c>
      <c r="K4326">
        <v>29.89</v>
      </c>
      <c r="L4326">
        <v>20.5</v>
      </c>
      <c r="M4326">
        <v>5.64</v>
      </c>
      <c r="N4326">
        <v>1.78</v>
      </c>
      <c r="O4326">
        <v>24.63</v>
      </c>
      <c r="P4326">
        <v>30.18</v>
      </c>
      <c r="Q4326">
        <v>21.13</v>
      </c>
      <c r="R4326">
        <v>2.18</v>
      </c>
    </row>
    <row r="4327">
      <c r="A4327" s="9">
        <v>42858</v>
      </c>
      <c r="B4327" s="2" t="inlineStr">
        <is>
          <t xml:space="preserve">2017-05</t>
        </is>
      </c>
      <c r="C4327" s="2" t="inlineStr">
        <is>
          <t xml:space="preserve">2016/17</t>
        </is>
      </c>
      <c r="D4327">
        <v>1.249</v>
      </c>
      <c r="E4327">
        <v>22.95</v>
      </c>
      <c r="F4327">
        <v>26.46</v>
      </c>
      <c r="G4327">
        <v>20.5</v>
      </c>
      <c r="H4327">
        <v>3.88</v>
      </c>
      <c r="I4327">
        <v>20.042</v>
      </c>
      <c r="J4327">
        <v>23.46</v>
      </c>
      <c r="K4327">
        <v>27.13</v>
      </c>
      <c r="L4327">
        <v>20.83</v>
      </c>
      <c r="M4327">
        <v>12.31</v>
      </c>
      <c r="N4327">
        <v>0.975</v>
      </c>
      <c r="O4327">
        <v>24.12</v>
      </c>
      <c r="P4327">
        <v>28.62</v>
      </c>
      <c r="Q4327">
        <v>21.07</v>
      </c>
      <c r="R4327">
        <v>6.68</v>
      </c>
    </row>
    <row r="4328">
      <c r="A4328" s="9">
        <v>42859</v>
      </c>
      <c r="B4328" s="2" t="inlineStr">
        <is>
          <t xml:space="preserve">2017-05</t>
        </is>
      </c>
      <c r="C4328" s="2" t="inlineStr">
        <is>
          <t xml:space="preserve">2016/17</t>
        </is>
      </c>
      <c r="D4328">
        <v>18.243</v>
      </c>
      <c r="E4328">
        <v>22.41</v>
      </c>
      <c r="F4328">
        <v>25.25</v>
      </c>
      <c r="G4328">
        <v>20.01</v>
      </c>
      <c r="H4328">
        <v>8.83</v>
      </c>
      <c r="I4328">
        <v>14.231</v>
      </c>
      <c r="J4328">
        <v>23.35</v>
      </c>
      <c r="K4328">
        <v>27.97</v>
      </c>
      <c r="L4328">
        <v>20.1</v>
      </c>
      <c r="M4328">
        <v>16.43</v>
      </c>
      <c r="N4328">
        <v>28.924</v>
      </c>
      <c r="O4328">
        <v>24.88</v>
      </c>
      <c r="P4328">
        <v>30.04</v>
      </c>
      <c r="Q4328">
        <v>20.87</v>
      </c>
      <c r="R4328">
        <v>11.59</v>
      </c>
    </row>
    <row r="4329">
      <c r="A4329" s="9">
        <v>42860</v>
      </c>
      <c r="B4329" s="2" t="inlineStr">
        <is>
          <t xml:space="preserve">2017-05</t>
        </is>
      </c>
      <c r="C4329" s="2" t="inlineStr">
        <is>
          <t xml:space="preserve">2016/17</t>
        </is>
      </c>
      <c r="D4329">
        <v>5.35</v>
      </c>
      <c r="E4329">
        <v>22.14</v>
      </c>
      <c r="F4329">
        <v>26.57</v>
      </c>
      <c r="G4329">
        <v>19.32</v>
      </c>
      <c r="H4329">
        <v>6.72</v>
      </c>
      <c r="I4329">
        <v>5.953</v>
      </c>
      <c r="J4329">
        <v>23.16</v>
      </c>
      <c r="K4329">
        <v>27.93</v>
      </c>
      <c r="L4329">
        <v>20.32</v>
      </c>
      <c r="M4329">
        <v>3.68</v>
      </c>
      <c r="N4329">
        <v>6.689</v>
      </c>
      <c r="O4329">
        <v>23.28</v>
      </c>
      <c r="P4329">
        <v>27.89</v>
      </c>
      <c r="Q4329">
        <v>20.57</v>
      </c>
      <c r="R4329">
        <v>2.9</v>
      </c>
    </row>
    <row r="4330">
      <c r="A4330" s="9">
        <v>42861</v>
      </c>
      <c r="B4330" s="2" t="inlineStr">
        <is>
          <t xml:space="preserve">2017-05</t>
        </is>
      </c>
      <c r="C4330" s="2" t="inlineStr">
        <is>
          <t xml:space="preserve">2016/17</t>
        </is>
      </c>
      <c r="D4330">
        <v>1.339</v>
      </c>
      <c r="E4330">
        <v>22.86</v>
      </c>
      <c r="F4330">
        <v>29.64</v>
      </c>
      <c r="G4330">
        <v>18.03</v>
      </c>
      <c r="H4330">
        <v>1.1</v>
      </c>
      <c r="I4330">
        <v>0.0</v>
      </c>
      <c r="J4330">
        <v>23.1</v>
      </c>
      <c r="K4330">
        <v>29.18</v>
      </c>
      <c r="L4330">
        <v>17.95</v>
      </c>
      <c r="M4330">
        <v>0.43</v>
      </c>
      <c r="N4330">
        <v>0.194</v>
      </c>
      <c r="O4330">
        <v>22.15</v>
      </c>
      <c r="P4330">
        <v>27.92</v>
      </c>
      <c r="Q4330">
        <v>17.61</v>
      </c>
      <c r="R4330">
        <v>1.69</v>
      </c>
    </row>
    <row r="4331">
      <c r="A4331" s="9">
        <v>42862</v>
      </c>
      <c r="B4331" s="2" t="inlineStr">
        <is>
          <t xml:space="preserve">2017-05</t>
        </is>
      </c>
      <c r="C4331" s="2" t="inlineStr">
        <is>
          <t xml:space="preserve">2016/17</t>
        </is>
      </c>
      <c r="D4331">
        <v>0.14</v>
      </c>
      <c r="E4331">
        <v>23.54</v>
      </c>
      <c r="F4331">
        <v>30.48</v>
      </c>
      <c r="G4331">
        <v>18.46</v>
      </c>
      <c r="H4331">
        <v>0.35</v>
      </c>
      <c r="I4331">
        <v>0.0</v>
      </c>
      <c r="J4331">
        <v>24.55</v>
      </c>
      <c r="K4331">
        <v>30.92</v>
      </c>
      <c r="L4331">
        <v>19.11</v>
      </c>
      <c r="M4331">
        <v>0.22</v>
      </c>
      <c r="N4331">
        <v>0.0</v>
      </c>
      <c r="O4331">
        <v>23.75</v>
      </c>
      <c r="P4331">
        <v>30.4</v>
      </c>
      <c r="Q4331">
        <v>19.02</v>
      </c>
      <c r="R4331">
        <v>0.29</v>
      </c>
    </row>
    <row r="4332">
      <c r="A4332" s="9">
        <v>42863</v>
      </c>
      <c r="B4332" s="2" t="inlineStr">
        <is>
          <t xml:space="preserve">2017-05</t>
        </is>
      </c>
      <c r="C4332" s="2" t="inlineStr">
        <is>
          <t xml:space="preserve">2016/17</t>
        </is>
      </c>
      <c r="D4332">
        <v>0.0</v>
      </c>
      <c r="E4332">
        <v>24.34</v>
      </c>
      <c r="F4332">
        <v>31.7</v>
      </c>
      <c r="G4332">
        <v>18.98</v>
      </c>
      <c r="H4332">
        <v>0.2</v>
      </c>
      <c r="I4332">
        <v>2.199</v>
      </c>
      <c r="J4332">
        <v>24.4</v>
      </c>
      <c r="K4332">
        <v>31.26</v>
      </c>
      <c r="L4332">
        <v>19.16</v>
      </c>
      <c r="M4332">
        <v>1.14</v>
      </c>
      <c r="N4332">
        <v>0.125</v>
      </c>
      <c r="O4332">
        <v>23.73</v>
      </c>
      <c r="P4332">
        <v>30.56</v>
      </c>
      <c r="Q4332">
        <v>19.03</v>
      </c>
      <c r="R4332">
        <v>0.28</v>
      </c>
    </row>
    <row r="4333">
      <c r="A4333" s="9">
        <v>42864</v>
      </c>
      <c r="B4333" s="2" t="inlineStr">
        <is>
          <t xml:space="preserve">2017-05</t>
        </is>
      </c>
      <c r="C4333" s="2" t="inlineStr">
        <is>
          <t xml:space="preserve">2016/17</t>
        </is>
      </c>
      <c r="D4333">
        <v>0.799</v>
      </c>
      <c r="E4333">
        <v>24.52</v>
      </c>
      <c r="F4333">
        <v>31.12</v>
      </c>
      <c r="G4333">
        <v>19.34</v>
      </c>
      <c r="H4333">
        <v>0.37</v>
      </c>
      <c r="I4333">
        <v>11.885</v>
      </c>
      <c r="J4333">
        <v>23.62</v>
      </c>
      <c r="K4333">
        <v>29.34</v>
      </c>
      <c r="L4333">
        <v>19.17</v>
      </c>
      <c r="M4333">
        <v>7.5</v>
      </c>
      <c r="N4333">
        <v>0.433</v>
      </c>
      <c r="O4333">
        <v>24.02</v>
      </c>
      <c r="P4333">
        <v>30.66</v>
      </c>
      <c r="Q4333">
        <v>19.47</v>
      </c>
      <c r="R4333">
        <v>0.76</v>
      </c>
    </row>
    <row r="4334">
      <c r="A4334" s="9">
        <v>42865</v>
      </c>
      <c r="B4334" s="2" t="inlineStr">
        <is>
          <t xml:space="preserve">2017-05</t>
        </is>
      </c>
      <c r="C4334" s="2" t="inlineStr">
        <is>
          <t xml:space="preserve">2016/17</t>
        </is>
      </c>
      <c r="D4334">
        <v>1.252</v>
      </c>
      <c r="E4334">
        <v>23.71</v>
      </c>
      <c r="F4334">
        <v>29.03</v>
      </c>
      <c r="G4334">
        <v>20.29</v>
      </c>
      <c r="H4334">
        <v>2.63</v>
      </c>
      <c r="I4334">
        <v>12.023</v>
      </c>
      <c r="J4334">
        <v>23.22</v>
      </c>
      <c r="K4334">
        <v>27.37</v>
      </c>
      <c r="L4334">
        <v>20.64</v>
      </c>
      <c r="M4334">
        <v>9.07</v>
      </c>
      <c r="N4334">
        <v>0.61</v>
      </c>
      <c r="O4334">
        <v>23.55</v>
      </c>
      <c r="P4334">
        <v>28.7</v>
      </c>
      <c r="Q4334">
        <v>20.79</v>
      </c>
      <c r="R4334">
        <v>4.25</v>
      </c>
    </row>
    <row r="4335">
      <c r="A4335" s="9">
        <v>42866</v>
      </c>
      <c r="B4335" s="2" t="inlineStr">
        <is>
          <t xml:space="preserve">2017-05</t>
        </is>
      </c>
      <c r="C4335" s="2" t="inlineStr">
        <is>
          <t xml:space="preserve">2016/17</t>
        </is>
      </c>
      <c r="D4335">
        <v>3.752</v>
      </c>
      <c r="E4335">
        <v>23.36</v>
      </c>
      <c r="F4335">
        <v>27.21</v>
      </c>
      <c r="G4335">
        <v>20.71</v>
      </c>
      <c r="H4335">
        <v>0.73</v>
      </c>
      <c r="I4335">
        <v>3.129</v>
      </c>
      <c r="J4335">
        <v>23.22</v>
      </c>
      <c r="K4335">
        <v>27.05</v>
      </c>
      <c r="L4335">
        <v>20.57</v>
      </c>
      <c r="M4335">
        <v>5.41</v>
      </c>
      <c r="N4335">
        <v>2.395</v>
      </c>
      <c r="O4335">
        <v>23.67</v>
      </c>
      <c r="P4335">
        <v>27.64</v>
      </c>
      <c r="Q4335">
        <v>21.02</v>
      </c>
      <c r="R4335">
        <v>1.82</v>
      </c>
    </row>
    <row r="4336">
      <c r="A4336" s="9">
        <v>42867</v>
      </c>
      <c r="B4336" s="2" t="inlineStr">
        <is>
          <t xml:space="preserve">2017-05</t>
        </is>
      </c>
      <c r="C4336" s="2" t="inlineStr">
        <is>
          <t xml:space="preserve">2016/17</t>
        </is>
      </c>
      <c r="D4336">
        <v>5.362</v>
      </c>
      <c r="E4336">
        <v>23.83</v>
      </c>
      <c r="F4336">
        <v>30.09</v>
      </c>
      <c r="G4336">
        <v>19.25</v>
      </c>
      <c r="H4336">
        <v>10.62</v>
      </c>
      <c r="I4336">
        <v>10.793</v>
      </c>
      <c r="J4336">
        <v>23.09</v>
      </c>
      <c r="K4336">
        <v>27.17</v>
      </c>
      <c r="L4336">
        <v>20.02</v>
      </c>
      <c r="M4336">
        <v>19.77</v>
      </c>
      <c r="N4336">
        <v>36.336</v>
      </c>
      <c r="O4336">
        <v>23.99</v>
      </c>
      <c r="P4336">
        <v>29.01</v>
      </c>
      <c r="Q4336">
        <v>20.58</v>
      </c>
      <c r="R4336">
        <v>20.16</v>
      </c>
    </row>
    <row r="4337">
      <c r="A4337" s="9">
        <v>42868</v>
      </c>
      <c r="B4337" s="2" t="inlineStr">
        <is>
          <t xml:space="preserve">2017-05</t>
        </is>
      </c>
      <c r="C4337" s="2" t="inlineStr">
        <is>
          <t xml:space="preserve">2016/17</t>
        </is>
      </c>
      <c r="D4337">
        <v>15.393</v>
      </c>
      <c r="E4337">
        <v>23.23</v>
      </c>
      <c r="F4337">
        <v>27.97</v>
      </c>
      <c r="G4337">
        <v>20.44</v>
      </c>
      <c r="H4337">
        <v>12.2</v>
      </c>
      <c r="I4337">
        <v>4.637</v>
      </c>
      <c r="J4337">
        <v>23.36</v>
      </c>
      <c r="K4337">
        <v>26.75</v>
      </c>
      <c r="L4337">
        <v>20.82</v>
      </c>
      <c r="M4337">
        <v>4.16</v>
      </c>
      <c r="N4337">
        <v>16.571</v>
      </c>
      <c r="O4337">
        <v>24.42</v>
      </c>
      <c r="P4337">
        <v>28.78</v>
      </c>
      <c r="Q4337">
        <v>21.18</v>
      </c>
      <c r="R4337">
        <v>5.08</v>
      </c>
    </row>
    <row r="4338">
      <c r="A4338" s="9">
        <v>42869</v>
      </c>
      <c r="B4338" s="2" t="inlineStr">
        <is>
          <t xml:space="preserve">2017-05</t>
        </is>
      </c>
      <c r="C4338" s="2" t="inlineStr">
        <is>
          <t xml:space="preserve">2016/17</t>
        </is>
      </c>
      <c r="D4338">
        <v>8.994</v>
      </c>
      <c r="E4338">
        <v>23.51</v>
      </c>
      <c r="F4338">
        <v>28.45</v>
      </c>
      <c r="G4338">
        <v>19.76</v>
      </c>
      <c r="H4338">
        <v>8.14</v>
      </c>
      <c r="I4338">
        <v>0.948</v>
      </c>
      <c r="J4338">
        <v>23.89</v>
      </c>
      <c r="K4338">
        <v>28.43</v>
      </c>
      <c r="L4338">
        <v>19.65</v>
      </c>
      <c r="M4338">
        <v>5.38</v>
      </c>
      <c r="N4338">
        <v>2.604</v>
      </c>
      <c r="O4338">
        <v>24.58</v>
      </c>
      <c r="P4338">
        <v>30.01</v>
      </c>
      <c r="Q4338">
        <v>20.74</v>
      </c>
      <c r="R4338">
        <v>4.38</v>
      </c>
    </row>
    <row r="4339">
      <c r="A4339" s="9">
        <v>42870</v>
      </c>
      <c r="B4339" s="2" t="inlineStr">
        <is>
          <t xml:space="preserve">2017-05</t>
        </is>
      </c>
      <c r="C4339" s="2" t="inlineStr">
        <is>
          <t xml:space="preserve">2016/17</t>
        </is>
      </c>
      <c r="D4339">
        <v>9.993</v>
      </c>
      <c r="E4339">
        <v>24.19</v>
      </c>
      <c r="F4339">
        <v>29.93</v>
      </c>
      <c r="G4339">
        <v>20.07</v>
      </c>
      <c r="H4339">
        <v>4.72</v>
      </c>
      <c r="I4339">
        <v>12.367</v>
      </c>
      <c r="J4339">
        <v>24.7</v>
      </c>
      <c r="K4339">
        <v>30.23</v>
      </c>
      <c r="L4339">
        <v>20.65</v>
      </c>
      <c r="M4339">
        <v>7.87</v>
      </c>
      <c r="N4339">
        <v>6.484</v>
      </c>
      <c r="O4339">
        <v>25.25</v>
      </c>
      <c r="P4339">
        <v>31.77</v>
      </c>
      <c r="Q4339">
        <v>21.26</v>
      </c>
      <c r="R4339">
        <v>6.18</v>
      </c>
    </row>
    <row r="4340">
      <c r="A4340" s="9">
        <v>42871</v>
      </c>
      <c r="B4340" s="2" t="inlineStr">
        <is>
          <t xml:space="preserve">2017-05</t>
        </is>
      </c>
      <c r="C4340" s="2" t="inlineStr">
        <is>
          <t xml:space="preserve">2016/17</t>
        </is>
      </c>
      <c r="D4340">
        <v>0.15</v>
      </c>
      <c r="E4340">
        <v>24.67</v>
      </c>
      <c r="F4340">
        <v>30.58</v>
      </c>
      <c r="G4340">
        <v>19.75</v>
      </c>
      <c r="H4340">
        <v>1.07</v>
      </c>
      <c r="I4340">
        <v>0.054</v>
      </c>
      <c r="J4340">
        <v>25.29</v>
      </c>
      <c r="K4340">
        <v>31.43</v>
      </c>
      <c r="L4340">
        <v>21.18</v>
      </c>
      <c r="M4340">
        <v>0.36</v>
      </c>
      <c r="N4340">
        <v>0.519</v>
      </c>
      <c r="O4340">
        <v>25.42</v>
      </c>
      <c r="P4340">
        <v>31.96</v>
      </c>
      <c r="Q4340">
        <v>20.86</v>
      </c>
      <c r="R4340">
        <v>0.36</v>
      </c>
    </row>
    <row r="4341">
      <c r="A4341" s="9">
        <v>42872</v>
      </c>
      <c r="B4341" s="2" t="inlineStr">
        <is>
          <t xml:space="preserve">2017-05</t>
        </is>
      </c>
      <c r="C4341" s="2" t="inlineStr">
        <is>
          <t xml:space="preserve">2016/17</t>
        </is>
      </c>
      <c r="D4341">
        <v>2.604</v>
      </c>
      <c r="E4341">
        <v>25.4</v>
      </c>
      <c r="F4341">
        <v>32.03</v>
      </c>
      <c r="G4341">
        <v>19.89</v>
      </c>
      <c r="H4341">
        <v>4.35</v>
      </c>
      <c r="I4341">
        <v>0.148</v>
      </c>
      <c r="J4341">
        <v>25.66</v>
      </c>
      <c r="K4341">
        <v>31.97</v>
      </c>
      <c r="L4341">
        <v>20.55</v>
      </c>
      <c r="M4341">
        <v>2.66</v>
      </c>
      <c r="N4341">
        <v>0.566</v>
      </c>
      <c r="O4341">
        <v>26.26</v>
      </c>
      <c r="P4341">
        <v>33.75</v>
      </c>
      <c r="Q4341">
        <v>19.92</v>
      </c>
      <c r="R4341">
        <v>2.99</v>
      </c>
    </row>
    <row r="4342">
      <c r="A4342" s="9">
        <v>42873</v>
      </c>
      <c r="B4342" s="2" t="inlineStr">
        <is>
          <t xml:space="preserve">2017-05</t>
        </is>
      </c>
      <c r="C4342" s="2" t="inlineStr">
        <is>
          <t xml:space="preserve">2016/17</t>
        </is>
      </c>
      <c r="D4342">
        <v>4.701</v>
      </c>
      <c r="E4342">
        <v>24.59</v>
      </c>
      <c r="F4342">
        <v>30.81</v>
      </c>
      <c r="G4342">
        <v>20.35</v>
      </c>
      <c r="H4342">
        <v>9.76</v>
      </c>
      <c r="I4342">
        <v>2.287</v>
      </c>
      <c r="J4342">
        <v>24.47</v>
      </c>
      <c r="K4342">
        <v>29.48</v>
      </c>
      <c r="L4342">
        <v>21.13</v>
      </c>
      <c r="M4342">
        <v>15.16</v>
      </c>
      <c r="N4342">
        <v>7.799</v>
      </c>
      <c r="O4342">
        <v>24.83</v>
      </c>
      <c r="P4342">
        <v>29.94</v>
      </c>
      <c r="Q4342">
        <v>21.79</v>
      </c>
      <c r="R4342">
        <v>16.7</v>
      </c>
    </row>
    <row r="4343">
      <c r="A4343" s="9">
        <v>42874</v>
      </c>
      <c r="B4343" s="2" t="inlineStr">
        <is>
          <t xml:space="preserve">2017-05</t>
        </is>
      </c>
      <c r="C4343" s="2" t="inlineStr">
        <is>
          <t xml:space="preserve">2016/17</t>
        </is>
      </c>
      <c r="D4343">
        <v>10.551</v>
      </c>
      <c r="E4343">
        <v>24.62</v>
      </c>
      <c r="F4343">
        <v>29.94</v>
      </c>
      <c r="G4343">
        <v>21.01</v>
      </c>
      <c r="H4343">
        <v>6.81</v>
      </c>
      <c r="I4343">
        <v>14.372</v>
      </c>
      <c r="J4343">
        <v>24.77</v>
      </c>
      <c r="K4343">
        <v>30.1</v>
      </c>
      <c r="L4343">
        <v>20.83</v>
      </c>
      <c r="M4343">
        <v>12.06</v>
      </c>
      <c r="N4343">
        <v>49.944</v>
      </c>
      <c r="O4343">
        <v>24.96</v>
      </c>
      <c r="P4343">
        <v>30.3</v>
      </c>
      <c r="Q4343">
        <v>21.64</v>
      </c>
      <c r="R4343">
        <v>6.75</v>
      </c>
    </row>
    <row r="4344">
      <c r="A4344" s="9">
        <v>42875</v>
      </c>
      <c r="B4344" s="2" t="inlineStr">
        <is>
          <t xml:space="preserve">2017-05</t>
        </is>
      </c>
      <c r="C4344" s="2" t="inlineStr">
        <is>
          <t xml:space="preserve">2016/17</t>
        </is>
      </c>
      <c r="D4344">
        <v>17.503</v>
      </c>
      <c r="E4344">
        <v>23.01</v>
      </c>
      <c r="F4344">
        <v>26.41</v>
      </c>
      <c r="G4344">
        <v>20.6</v>
      </c>
      <c r="H4344">
        <v>15.42</v>
      </c>
      <c r="I4344">
        <v>19.045</v>
      </c>
      <c r="J4344">
        <v>24.54</v>
      </c>
      <c r="K4344">
        <v>28.97</v>
      </c>
      <c r="L4344">
        <v>21.97</v>
      </c>
      <c r="M4344">
        <v>11.13</v>
      </c>
      <c r="N4344">
        <v>3.667</v>
      </c>
      <c r="O4344">
        <v>25.34</v>
      </c>
      <c r="P4344">
        <v>31.02</v>
      </c>
      <c r="Q4344">
        <v>21.57</v>
      </c>
      <c r="R4344">
        <v>9.78</v>
      </c>
    </row>
    <row r="4345">
      <c r="A4345" s="9">
        <v>42876</v>
      </c>
      <c r="B4345" s="2" t="inlineStr">
        <is>
          <t xml:space="preserve">2017-05</t>
        </is>
      </c>
      <c r="C4345" s="2" t="inlineStr">
        <is>
          <t xml:space="preserve">2016/17</t>
        </is>
      </c>
      <c r="D4345">
        <v>15.13</v>
      </c>
      <c r="E4345">
        <v>23.14</v>
      </c>
      <c r="F4345">
        <v>28.55</v>
      </c>
      <c r="G4345">
        <v>20.02</v>
      </c>
      <c r="H4345">
        <v>2.9</v>
      </c>
      <c r="I4345">
        <v>14.291</v>
      </c>
      <c r="J4345">
        <v>23.7</v>
      </c>
      <c r="K4345">
        <v>28.47</v>
      </c>
      <c r="L4345">
        <v>19.72</v>
      </c>
      <c r="M4345">
        <v>11.25</v>
      </c>
      <c r="N4345">
        <v>11.957</v>
      </c>
      <c r="O4345">
        <v>23.95</v>
      </c>
      <c r="P4345">
        <v>28.47</v>
      </c>
      <c r="Q4345">
        <v>20.87</v>
      </c>
      <c r="R4345">
        <v>4.89</v>
      </c>
    </row>
    <row r="4346">
      <c r="A4346" s="9">
        <v>42877</v>
      </c>
      <c r="B4346" s="2" t="inlineStr">
        <is>
          <t xml:space="preserve">2017-05</t>
        </is>
      </c>
      <c r="C4346" s="2" t="inlineStr">
        <is>
          <t xml:space="preserve">2016/17</t>
        </is>
      </c>
      <c r="D4346">
        <v>3.346</v>
      </c>
      <c r="E4346">
        <v>22.55</v>
      </c>
      <c r="F4346">
        <v>27.7</v>
      </c>
      <c r="G4346">
        <v>18.78</v>
      </c>
      <c r="H4346">
        <v>10.11</v>
      </c>
      <c r="I4346">
        <v>2.037</v>
      </c>
      <c r="J4346">
        <v>23.64</v>
      </c>
      <c r="K4346">
        <v>28.4</v>
      </c>
      <c r="L4346">
        <v>20.01</v>
      </c>
      <c r="M4346">
        <v>3.94</v>
      </c>
      <c r="N4346">
        <v>5.618</v>
      </c>
      <c r="O4346">
        <v>23.97</v>
      </c>
      <c r="P4346">
        <v>29.0</v>
      </c>
      <c r="Q4346">
        <v>20.22</v>
      </c>
      <c r="R4346">
        <v>6.0</v>
      </c>
    </row>
    <row r="4347">
      <c r="A4347" s="9">
        <v>42878</v>
      </c>
      <c r="B4347" s="2" t="inlineStr">
        <is>
          <t xml:space="preserve">2017-05</t>
        </is>
      </c>
      <c r="C4347" s="2" t="inlineStr">
        <is>
          <t xml:space="preserve">2016/17</t>
        </is>
      </c>
      <c r="D4347">
        <v>7.023</v>
      </c>
      <c r="E4347">
        <v>24.24</v>
      </c>
      <c r="F4347">
        <v>31.02</v>
      </c>
      <c r="G4347">
        <v>18.44</v>
      </c>
      <c r="H4347">
        <v>0.53</v>
      </c>
      <c r="I4347">
        <v>1.455</v>
      </c>
      <c r="J4347">
        <v>23.49</v>
      </c>
      <c r="K4347">
        <v>28.2</v>
      </c>
      <c r="L4347">
        <v>20.35</v>
      </c>
      <c r="M4347">
        <v>1.36</v>
      </c>
      <c r="N4347">
        <v>2.366</v>
      </c>
      <c r="O4347">
        <v>26.05</v>
      </c>
      <c r="P4347">
        <v>33.08</v>
      </c>
      <c r="Q4347">
        <v>20.94</v>
      </c>
      <c r="R4347">
        <v>1.42</v>
      </c>
    </row>
    <row r="4348">
      <c r="A4348" s="9">
        <v>42879</v>
      </c>
      <c r="B4348" s="2" t="inlineStr">
        <is>
          <t xml:space="preserve">2017-05</t>
        </is>
      </c>
      <c r="C4348" s="2" t="inlineStr">
        <is>
          <t xml:space="preserve">2016/17</t>
        </is>
      </c>
      <c r="D4348">
        <v>0.377</v>
      </c>
      <c r="E4348">
        <v>24.18</v>
      </c>
      <c r="F4348">
        <v>30.07</v>
      </c>
      <c r="G4348">
        <v>19.78</v>
      </c>
      <c r="H4348">
        <v>2.81</v>
      </c>
      <c r="I4348">
        <v>0.0</v>
      </c>
      <c r="J4348">
        <v>24.05</v>
      </c>
      <c r="K4348">
        <v>29.53</v>
      </c>
      <c r="L4348">
        <v>19.68</v>
      </c>
      <c r="M4348">
        <v>1.42</v>
      </c>
      <c r="N4348">
        <v>0.156</v>
      </c>
      <c r="O4348">
        <v>25.55</v>
      </c>
      <c r="P4348">
        <v>32.2</v>
      </c>
      <c r="Q4348">
        <v>20.4</v>
      </c>
      <c r="R4348">
        <v>4.21</v>
      </c>
    </row>
    <row r="4349">
      <c r="A4349" s="9">
        <v>42880</v>
      </c>
      <c r="B4349" s="2" t="inlineStr">
        <is>
          <t xml:space="preserve">2017-05</t>
        </is>
      </c>
      <c r="C4349" s="2" t="inlineStr">
        <is>
          <t xml:space="preserve">2016/17</t>
        </is>
      </c>
      <c r="D4349">
        <v>1.148</v>
      </c>
      <c r="E4349">
        <v>24.21</v>
      </c>
      <c r="F4349">
        <v>28.54</v>
      </c>
      <c r="G4349">
        <v>20.42</v>
      </c>
      <c r="H4349">
        <v>3.1</v>
      </c>
      <c r="I4349">
        <v>3.174</v>
      </c>
      <c r="J4349">
        <v>24.34</v>
      </c>
      <c r="K4349">
        <v>29.08</v>
      </c>
      <c r="L4349">
        <v>20.53</v>
      </c>
      <c r="M4349">
        <v>6.9</v>
      </c>
      <c r="N4349">
        <v>12.044</v>
      </c>
      <c r="O4349">
        <v>25.35</v>
      </c>
      <c r="P4349">
        <v>30.77</v>
      </c>
      <c r="Q4349">
        <v>21.61</v>
      </c>
      <c r="R4349">
        <v>6.26</v>
      </c>
    </row>
    <row r="4350">
      <c r="A4350" s="9">
        <v>42881</v>
      </c>
      <c r="B4350" s="2" t="inlineStr">
        <is>
          <t xml:space="preserve">2017-05</t>
        </is>
      </c>
      <c r="C4350" s="2" t="inlineStr">
        <is>
          <t xml:space="preserve">2016/17</t>
        </is>
      </c>
      <c r="D4350">
        <v>7.101</v>
      </c>
      <c r="E4350">
        <v>23.08</v>
      </c>
      <c r="F4350">
        <v>26.11</v>
      </c>
      <c r="G4350">
        <v>20.65</v>
      </c>
      <c r="H4350">
        <v>8.56</v>
      </c>
      <c r="I4350">
        <v>11.457</v>
      </c>
      <c r="J4350">
        <v>23.98</v>
      </c>
      <c r="K4350">
        <v>27.36</v>
      </c>
      <c r="L4350">
        <v>21.46</v>
      </c>
      <c r="M4350">
        <v>11.7</v>
      </c>
      <c r="N4350">
        <v>14.291</v>
      </c>
      <c r="O4350">
        <v>24.89</v>
      </c>
      <c r="P4350">
        <v>29.03</v>
      </c>
      <c r="Q4350">
        <v>21.85</v>
      </c>
      <c r="R4350">
        <v>7.91</v>
      </c>
    </row>
    <row r="4351">
      <c r="A4351" s="9">
        <v>42882</v>
      </c>
      <c r="B4351" s="2" t="inlineStr">
        <is>
          <t xml:space="preserve">2017-05</t>
        </is>
      </c>
      <c r="C4351" s="2" t="inlineStr">
        <is>
          <t xml:space="preserve">2016/17</t>
        </is>
      </c>
      <c r="D4351">
        <v>8.078</v>
      </c>
      <c r="E4351">
        <v>23.06</v>
      </c>
      <c r="F4351">
        <v>27.18</v>
      </c>
      <c r="G4351">
        <v>19.56</v>
      </c>
      <c r="H4351">
        <v>12.4</v>
      </c>
      <c r="I4351">
        <v>19.519</v>
      </c>
      <c r="J4351">
        <v>23.12</v>
      </c>
      <c r="K4351">
        <v>26.49</v>
      </c>
      <c r="L4351">
        <v>20.03</v>
      </c>
      <c r="M4351">
        <v>19.9</v>
      </c>
      <c r="N4351">
        <v>29.432</v>
      </c>
      <c r="O4351">
        <v>24.24</v>
      </c>
      <c r="P4351">
        <v>28.26</v>
      </c>
      <c r="Q4351">
        <v>21.35</v>
      </c>
      <c r="R4351">
        <v>17.46</v>
      </c>
    </row>
    <row r="4352">
      <c r="A4352" s="9">
        <v>42883</v>
      </c>
      <c r="B4352" s="2" t="inlineStr">
        <is>
          <t xml:space="preserve">2017-05</t>
        </is>
      </c>
      <c r="C4352" s="2" t="inlineStr">
        <is>
          <t xml:space="preserve">2016/17</t>
        </is>
      </c>
      <c r="D4352">
        <v>8.899</v>
      </c>
      <c r="E4352">
        <v>23.57</v>
      </c>
      <c r="F4352">
        <v>29.7</v>
      </c>
      <c r="G4352">
        <v>18.58</v>
      </c>
      <c r="H4352">
        <v>2.22</v>
      </c>
      <c r="I4352">
        <v>3.398</v>
      </c>
      <c r="J4352">
        <v>23.6</v>
      </c>
      <c r="K4352">
        <v>28.05</v>
      </c>
      <c r="L4352">
        <v>19.98</v>
      </c>
      <c r="M4352">
        <v>3.21</v>
      </c>
      <c r="N4352">
        <v>5.947</v>
      </c>
      <c r="O4352">
        <v>24.24</v>
      </c>
      <c r="P4352">
        <v>28.23</v>
      </c>
      <c r="Q4352">
        <v>21.33</v>
      </c>
      <c r="R4352">
        <v>3.43</v>
      </c>
    </row>
    <row r="4353">
      <c r="A4353" s="9">
        <v>42884</v>
      </c>
      <c r="B4353" s="2" t="inlineStr">
        <is>
          <t xml:space="preserve">2017-05</t>
        </is>
      </c>
      <c r="C4353" s="2" t="inlineStr">
        <is>
          <t xml:space="preserve">2016/17</t>
        </is>
      </c>
      <c r="D4353">
        <v>0.0</v>
      </c>
      <c r="E4353">
        <v>23.13</v>
      </c>
      <c r="F4353">
        <v>29.31</v>
      </c>
      <c r="G4353">
        <v>18.27</v>
      </c>
      <c r="H4353">
        <v>1.79</v>
      </c>
      <c r="I4353">
        <v>0.0</v>
      </c>
      <c r="J4353">
        <v>22.97</v>
      </c>
      <c r="K4353">
        <v>26.33</v>
      </c>
      <c r="L4353">
        <v>20.1</v>
      </c>
      <c r="M4353">
        <v>0.66</v>
      </c>
      <c r="N4353">
        <v>0.165</v>
      </c>
      <c r="O4353">
        <v>24.16</v>
      </c>
      <c r="P4353">
        <v>28.57</v>
      </c>
      <c r="Q4353">
        <v>20.28</v>
      </c>
      <c r="R4353">
        <v>1.21</v>
      </c>
    </row>
    <row r="4354">
      <c r="A4354" s="9">
        <v>42885</v>
      </c>
      <c r="B4354" s="2" t="inlineStr">
        <is>
          <t xml:space="preserve">2017-05</t>
        </is>
      </c>
      <c r="C4354" s="2" t="inlineStr">
        <is>
          <t xml:space="preserve">2016/17</t>
        </is>
      </c>
      <c r="D4354">
        <v>9.373</v>
      </c>
      <c r="E4354">
        <v>23.33</v>
      </c>
      <c r="F4354">
        <v>29.06</v>
      </c>
      <c r="G4354">
        <v>18.32</v>
      </c>
      <c r="H4354">
        <v>6.42</v>
      </c>
      <c r="I4354">
        <v>1.063</v>
      </c>
      <c r="J4354">
        <v>23.23</v>
      </c>
      <c r="K4354">
        <v>27.19</v>
      </c>
      <c r="L4354">
        <v>19.97</v>
      </c>
      <c r="M4354">
        <v>5.98</v>
      </c>
      <c r="N4354">
        <v>5.104</v>
      </c>
      <c r="O4354">
        <v>24.36</v>
      </c>
      <c r="P4354">
        <v>29.84</v>
      </c>
      <c r="Q4354">
        <v>20.74</v>
      </c>
      <c r="R4354">
        <v>6.0</v>
      </c>
    </row>
    <row r="4355">
      <c r="A4355" s="9">
        <v>42886</v>
      </c>
      <c r="B4355" s="2" t="inlineStr">
        <is>
          <t xml:space="preserve">2017-05</t>
        </is>
      </c>
      <c r="C4355" s="2" t="inlineStr">
        <is>
          <t xml:space="preserve">2016/17</t>
        </is>
      </c>
      <c r="D4355">
        <v>42.526</v>
      </c>
      <c r="E4355">
        <v>23.19</v>
      </c>
      <c r="F4355">
        <v>27.7</v>
      </c>
      <c r="G4355">
        <v>19.46</v>
      </c>
      <c r="H4355">
        <v>26.05</v>
      </c>
      <c r="I4355">
        <v>2.247</v>
      </c>
      <c r="J4355">
        <v>23.64</v>
      </c>
      <c r="K4355">
        <v>28.11</v>
      </c>
      <c r="L4355">
        <v>20.11</v>
      </c>
      <c r="M4355">
        <v>7.13</v>
      </c>
      <c r="N4355">
        <v>9.188</v>
      </c>
      <c r="O4355">
        <v>24.08</v>
      </c>
      <c r="P4355">
        <v>29.17</v>
      </c>
      <c r="Q4355">
        <v>20.21</v>
      </c>
      <c r="R4355">
        <v>15.85</v>
      </c>
    </row>
    <row r="4356">
      <c r="A4356" s="9">
        <v>42887</v>
      </c>
      <c r="B4356" s="2" t="inlineStr">
        <is>
          <t xml:space="preserve">2017-06</t>
        </is>
      </c>
      <c r="C4356" s="2" t="inlineStr">
        <is>
          <t xml:space="preserve">2016/17</t>
        </is>
      </c>
      <c r="D4356">
        <v>12.728</v>
      </c>
      <c r="E4356">
        <v>22.43</v>
      </c>
      <c r="F4356">
        <v>26.84</v>
      </c>
      <c r="G4356">
        <v>19.1</v>
      </c>
      <c r="H4356">
        <v>4.62</v>
      </c>
      <c r="I4356">
        <v>5.624</v>
      </c>
      <c r="J4356">
        <v>23.63</v>
      </c>
      <c r="K4356">
        <v>27.46</v>
      </c>
      <c r="L4356">
        <v>20.77</v>
      </c>
      <c r="M4356">
        <v>5.59</v>
      </c>
      <c r="N4356">
        <v>20.531</v>
      </c>
      <c r="O4356">
        <v>24.17</v>
      </c>
      <c r="P4356">
        <v>29.42</v>
      </c>
      <c r="Q4356">
        <v>20.9</v>
      </c>
      <c r="R4356">
        <v>6.37</v>
      </c>
    </row>
    <row r="4357">
      <c r="A4357" s="9">
        <v>42888</v>
      </c>
      <c r="B4357" s="2" t="inlineStr">
        <is>
          <t xml:space="preserve">2017-06</t>
        </is>
      </c>
      <c r="C4357" s="2" t="inlineStr">
        <is>
          <t xml:space="preserve">2016/17</t>
        </is>
      </c>
      <c r="D4357">
        <v>2.705</v>
      </c>
      <c r="E4357">
        <v>23.54</v>
      </c>
      <c r="F4357">
        <v>28.79</v>
      </c>
      <c r="G4357">
        <v>18.84</v>
      </c>
      <c r="H4357">
        <v>1.99</v>
      </c>
      <c r="I4357">
        <v>4.213</v>
      </c>
      <c r="J4357">
        <v>23.79</v>
      </c>
      <c r="K4357">
        <v>27.93</v>
      </c>
      <c r="L4357">
        <v>20.58</v>
      </c>
      <c r="M4357">
        <v>4.61</v>
      </c>
      <c r="N4357">
        <v>7.242</v>
      </c>
      <c r="O4357">
        <v>24.66</v>
      </c>
      <c r="P4357">
        <v>29.74</v>
      </c>
      <c r="Q4357">
        <v>21.05</v>
      </c>
      <c r="R4357">
        <v>3.15</v>
      </c>
    </row>
    <row r="4358">
      <c r="A4358" s="9">
        <v>42889</v>
      </c>
      <c r="B4358" s="2" t="inlineStr">
        <is>
          <t xml:space="preserve">2017-06</t>
        </is>
      </c>
      <c r="C4358" s="2" t="inlineStr">
        <is>
          <t xml:space="preserve">2016/17</t>
        </is>
      </c>
      <c r="D4358">
        <v>0.066</v>
      </c>
      <c r="E4358">
        <v>23.53</v>
      </c>
      <c r="F4358">
        <v>28.78</v>
      </c>
      <c r="G4358">
        <v>18.27</v>
      </c>
      <c r="H4358">
        <v>0.6</v>
      </c>
      <c r="I4358">
        <v>0.995</v>
      </c>
      <c r="J4358">
        <v>23.29</v>
      </c>
      <c r="K4358">
        <v>26.11</v>
      </c>
      <c r="L4358">
        <v>20.98</v>
      </c>
      <c r="M4358">
        <v>1.25</v>
      </c>
      <c r="N4358">
        <v>1.087</v>
      </c>
      <c r="O4358">
        <v>24.56</v>
      </c>
      <c r="P4358">
        <v>28.75</v>
      </c>
      <c r="Q4358">
        <v>21.77</v>
      </c>
      <c r="R4358">
        <v>0.65</v>
      </c>
    </row>
    <row r="4359">
      <c r="A4359" s="9">
        <v>42890</v>
      </c>
      <c r="B4359" s="2" t="inlineStr">
        <is>
          <t xml:space="preserve">2017-06</t>
        </is>
      </c>
      <c r="C4359" s="2" t="inlineStr">
        <is>
          <t xml:space="preserve">2016/17</t>
        </is>
      </c>
      <c r="D4359">
        <v>5.341</v>
      </c>
      <c r="E4359">
        <v>23.96</v>
      </c>
      <c r="F4359">
        <v>28.13</v>
      </c>
      <c r="G4359">
        <v>20.04</v>
      </c>
      <c r="H4359">
        <v>2.46</v>
      </c>
      <c r="I4359">
        <v>3.039</v>
      </c>
      <c r="J4359">
        <v>23.87</v>
      </c>
      <c r="K4359">
        <v>28.05</v>
      </c>
      <c r="L4359">
        <v>20.36</v>
      </c>
      <c r="M4359">
        <v>5.31</v>
      </c>
      <c r="N4359">
        <v>11.152</v>
      </c>
      <c r="O4359">
        <v>23.49</v>
      </c>
      <c r="P4359">
        <v>25.88</v>
      </c>
      <c r="Q4359">
        <v>21.53</v>
      </c>
      <c r="R4359">
        <v>4.84</v>
      </c>
    </row>
    <row r="4360">
      <c r="A4360" s="9">
        <v>42891</v>
      </c>
      <c r="B4360" s="2" t="inlineStr">
        <is>
          <t xml:space="preserve">2017-06</t>
        </is>
      </c>
      <c r="C4360" s="2" t="inlineStr">
        <is>
          <t xml:space="preserve">2016/17</t>
        </is>
      </c>
      <c r="D4360">
        <v>0.925</v>
      </c>
      <c r="E4360">
        <v>23.78</v>
      </c>
      <c r="F4360">
        <v>27.14</v>
      </c>
      <c r="G4360">
        <v>20.74</v>
      </c>
      <c r="H4360">
        <v>6.47</v>
      </c>
      <c r="I4360">
        <v>1.633</v>
      </c>
      <c r="J4360">
        <v>24.36</v>
      </c>
      <c r="K4360">
        <v>28.69</v>
      </c>
      <c r="L4360">
        <v>21.09</v>
      </c>
      <c r="M4360">
        <v>2.66</v>
      </c>
      <c r="N4360">
        <v>6.007</v>
      </c>
      <c r="O4360">
        <v>24.75</v>
      </c>
      <c r="P4360">
        <v>28.86</v>
      </c>
      <c r="Q4360">
        <v>21.67</v>
      </c>
      <c r="R4360">
        <v>2.77</v>
      </c>
    </row>
    <row r="4361">
      <c r="A4361" s="9">
        <v>42892</v>
      </c>
      <c r="B4361" s="2" t="inlineStr">
        <is>
          <t xml:space="preserve">2017-06</t>
        </is>
      </c>
      <c r="C4361" s="2" t="inlineStr">
        <is>
          <t xml:space="preserve">2016/17</t>
        </is>
      </c>
      <c r="D4361">
        <v>17.995</v>
      </c>
      <c r="E4361">
        <v>23.72</v>
      </c>
      <c r="F4361">
        <v>27.18</v>
      </c>
      <c r="G4361">
        <v>20.37</v>
      </c>
      <c r="H4361">
        <v>8.91</v>
      </c>
      <c r="I4361">
        <v>0.0</v>
      </c>
      <c r="J4361">
        <v>23.48</v>
      </c>
      <c r="K4361">
        <v>26.64</v>
      </c>
      <c r="L4361">
        <v>21.14</v>
      </c>
      <c r="M4361">
        <v>1.08</v>
      </c>
      <c r="N4361">
        <v>0.346</v>
      </c>
      <c r="O4361">
        <v>24.72</v>
      </c>
      <c r="P4361">
        <v>28.29</v>
      </c>
      <c r="Q4361">
        <v>21.52</v>
      </c>
      <c r="R4361">
        <v>1.74</v>
      </c>
    </row>
    <row r="4362">
      <c r="A4362" s="9">
        <v>42893</v>
      </c>
      <c r="B4362" s="2" t="inlineStr">
        <is>
          <t xml:space="preserve">2017-06</t>
        </is>
      </c>
      <c r="C4362" s="2" t="inlineStr">
        <is>
          <t xml:space="preserve">2016/17</t>
        </is>
      </c>
      <c r="D4362">
        <v>2.129</v>
      </c>
      <c r="E4362">
        <v>23.99</v>
      </c>
      <c r="F4362">
        <v>28.08</v>
      </c>
      <c r="G4362">
        <v>20.42</v>
      </c>
      <c r="H4362">
        <v>4.79</v>
      </c>
      <c r="I4362">
        <v>2.151</v>
      </c>
      <c r="J4362">
        <v>24.5</v>
      </c>
      <c r="K4362">
        <v>29.86</v>
      </c>
      <c r="L4362">
        <v>20.14</v>
      </c>
      <c r="M4362">
        <v>6.05</v>
      </c>
      <c r="N4362">
        <v>0.807</v>
      </c>
      <c r="O4362">
        <v>25.79</v>
      </c>
      <c r="P4362">
        <v>31.34</v>
      </c>
      <c r="Q4362">
        <v>21.12</v>
      </c>
      <c r="R4362">
        <v>4.34</v>
      </c>
    </row>
    <row r="4363">
      <c r="A4363" s="9">
        <v>42894</v>
      </c>
      <c r="B4363" s="2" t="inlineStr">
        <is>
          <t xml:space="preserve">2017-06</t>
        </is>
      </c>
      <c r="C4363" s="2" t="inlineStr">
        <is>
          <t xml:space="preserve">2016/17</t>
        </is>
      </c>
      <c r="D4363">
        <v>14.625</v>
      </c>
      <c r="E4363">
        <v>23.33</v>
      </c>
      <c r="F4363">
        <v>26.83</v>
      </c>
      <c r="G4363">
        <v>20.29</v>
      </c>
      <c r="H4363">
        <v>12.57</v>
      </c>
      <c r="I4363">
        <v>16.271</v>
      </c>
      <c r="J4363">
        <v>24.27</v>
      </c>
      <c r="K4363">
        <v>28.6</v>
      </c>
      <c r="L4363">
        <v>20.76</v>
      </c>
      <c r="M4363">
        <v>28.79</v>
      </c>
      <c r="N4363">
        <v>57.32</v>
      </c>
      <c r="O4363">
        <v>24.61</v>
      </c>
      <c r="P4363">
        <v>29.26</v>
      </c>
      <c r="Q4363">
        <v>21.0</v>
      </c>
      <c r="R4363">
        <v>27.4</v>
      </c>
    </row>
    <row r="4364">
      <c r="A4364" s="9">
        <v>42895</v>
      </c>
      <c r="B4364" s="2" t="inlineStr">
        <is>
          <t xml:space="preserve">2017-06</t>
        </is>
      </c>
      <c r="C4364" s="2" t="inlineStr">
        <is>
          <t xml:space="preserve">2016/17</t>
        </is>
      </c>
      <c r="D4364">
        <v>7.807</v>
      </c>
      <c r="E4364">
        <v>23.4</v>
      </c>
      <c r="F4364">
        <v>27.25</v>
      </c>
      <c r="G4364">
        <v>20.58</v>
      </c>
      <c r="H4364">
        <v>20.11</v>
      </c>
      <c r="I4364">
        <v>10.531</v>
      </c>
      <c r="J4364">
        <v>22.81</v>
      </c>
      <c r="K4364">
        <v>25.9</v>
      </c>
      <c r="L4364">
        <v>20.39</v>
      </c>
      <c r="M4364">
        <v>14.71</v>
      </c>
      <c r="N4364">
        <v>30.315</v>
      </c>
      <c r="O4364">
        <v>23.34</v>
      </c>
      <c r="P4364">
        <v>26.11</v>
      </c>
      <c r="Q4364">
        <v>21.2</v>
      </c>
      <c r="R4364">
        <v>15.37</v>
      </c>
    </row>
    <row r="4365">
      <c r="A4365" s="9">
        <v>42896</v>
      </c>
      <c r="B4365" s="2" t="inlineStr">
        <is>
          <t xml:space="preserve">2017-06</t>
        </is>
      </c>
      <c r="C4365" s="2" t="inlineStr">
        <is>
          <t xml:space="preserve">2016/17</t>
        </is>
      </c>
      <c r="D4365">
        <v>3.889</v>
      </c>
      <c r="E4365">
        <v>22.4</v>
      </c>
      <c r="F4365">
        <v>26.4</v>
      </c>
      <c r="G4365">
        <v>19.4</v>
      </c>
      <c r="H4365">
        <v>7.8</v>
      </c>
      <c r="I4365">
        <v>11.398</v>
      </c>
      <c r="J4365">
        <v>22.47</v>
      </c>
      <c r="K4365">
        <v>26.99</v>
      </c>
      <c r="L4365">
        <v>19.22</v>
      </c>
      <c r="M4365">
        <v>9.45</v>
      </c>
      <c r="N4365">
        <v>22.941</v>
      </c>
      <c r="O4365">
        <v>23.9</v>
      </c>
      <c r="P4365">
        <v>29.28</v>
      </c>
      <c r="Q4365">
        <v>19.62</v>
      </c>
      <c r="R4365">
        <v>6.98</v>
      </c>
    </row>
    <row r="4366">
      <c r="A4366" s="9">
        <v>42897</v>
      </c>
      <c r="B4366" s="2" t="inlineStr">
        <is>
          <t xml:space="preserve">2017-06</t>
        </is>
      </c>
      <c r="C4366" s="2" t="inlineStr">
        <is>
          <t xml:space="preserve">2016/17</t>
        </is>
      </c>
      <c r="D4366">
        <v>5.861</v>
      </c>
      <c r="E4366">
        <v>22.41</v>
      </c>
      <c r="F4366">
        <v>26.72</v>
      </c>
      <c r="G4366">
        <v>18.55</v>
      </c>
      <c r="H4366">
        <v>11.18</v>
      </c>
      <c r="I4366">
        <v>0.094</v>
      </c>
      <c r="J4366">
        <v>21.61</v>
      </c>
      <c r="K4366">
        <v>25.69</v>
      </c>
      <c r="L4366">
        <v>18.24</v>
      </c>
      <c r="M4366">
        <v>0.93</v>
      </c>
      <c r="N4366">
        <v>0.43</v>
      </c>
      <c r="O4366">
        <v>23.67</v>
      </c>
      <c r="P4366">
        <v>29.41</v>
      </c>
      <c r="Q4366">
        <v>19.03</v>
      </c>
      <c r="R4366">
        <v>1.94</v>
      </c>
    </row>
    <row r="4367">
      <c r="A4367" s="9">
        <v>42898</v>
      </c>
      <c r="B4367" s="2" t="inlineStr">
        <is>
          <t xml:space="preserve">2017-06</t>
        </is>
      </c>
      <c r="C4367" s="2" t="inlineStr">
        <is>
          <t xml:space="preserve">2016/17</t>
        </is>
      </c>
      <c r="D4367">
        <v>4.934</v>
      </c>
      <c r="E4367">
        <v>23.41</v>
      </c>
      <c r="F4367">
        <v>28.1</v>
      </c>
      <c r="G4367">
        <v>19.99</v>
      </c>
      <c r="H4367">
        <v>2.87</v>
      </c>
      <c r="I4367">
        <v>3.553</v>
      </c>
      <c r="J4367">
        <v>23.12</v>
      </c>
      <c r="K4367">
        <v>27.37</v>
      </c>
      <c r="L4367">
        <v>19.54</v>
      </c>
      <c r="M4367">
        <v>3.74</v>
      </c>
      <c r="N4367">
        <v>0.459</v>
      </c>
      <c r="O4367">
        <v>23.84</v>
      </c>
      <c r="P4367">
        <v>29.01</v>
      </c>
      <c r="Q4367">
        <v>20.01</v>
      </c>
      <c r="R4367">
        <v>1.96</v>
      </c>
    </row>
    <row r="4368">
      <c r="A4368" s="9">
        <v>42899</v>
      </c>
      <c r="B4368" s="2" t="inlineStr">
        <is>
          <t xml:space="preserve">2017-06</t>
        </is>
      </c>
      <c r="C4368" s="2" t="inlineStr">
        <is>
          <t xml:space="preserve">2016/17</t>
        </is>
      </c>
      <c r="D4368">
        <v>1.901</v>
      </c>
      <c r="E4368">
        <v>22.95</v>
      </c>
      <c r="F4368">
        <v>27.81</v>
      </c>
      <c r="G4368">
        <v>18.61</v>
      </c>
      <c r="H4368">
        <v>6.17</v>
      </c>
      <c r="I4368">
        <v>2.065</v>
      </c>
      <c r="J4368">
        <v>22.7</v>
      </c>
      <c r="K4368">
        <v>25.07</v>
      </c>
      <c r="L4368">
        <v>20.64</v>
      </c>
      <c r="M4368">
        <v>4.12</v>
      </c>
      <c r="N4368">
        <v>6.691</v>
      </c>
      <c r="O4368">
        <v>24.16</v>
      </c>
      <c r="P4368">
        <v>29.12</v>
      </c>
      <c r="Q4368">
        <v>20.92</v>
      </c>
      <c r="R4368">
        <v>4.13</v>
      </c>
    </row>
    <row r="4369">
      <c r="A4369" s="9">
        <v>42900</v>
      </c>
      <c r="B4369" s="2" t="inlineStr">
        <is>
          <t xml:space="preserve">2017-06</t>
        </is>
      </c>
      <c r="C4369" s="2" t="inlineStr">
        <is>
          <t xml:space="preserve">2016/17</t>
        </is>
      </c>
      <c r="D4369">
        <v>34.145</v>
      </c>
      <c r="E4369">
        <v>21.14</v>
      </c>
      <c r="F4369">
        <v>24.27</v>
      </c>
      <c r="G4369">
        <v>18.78</v>
      </c>
      <c r="H4369">
        <v>16.83</v>
      </c>
      <c r="I4369">
        <v>21.039</v>
      </c>
      <c r="J4369">
        <v>22.02</v>
      </c>
      <c r="K4369">
        <v>24.67</v>
      </c>
      <c r="L4369">
        <v>20.4</v>
      </c>
      <c r="M4369">
        <v>25.43</v>
      </c>
      <c r="N4369">
        <v>28.454</v>
      </c>
      <c r="O4369">
        <v>23.14</v>
      </c>
      <c r="P4369">
        <v>27.13</v>
      </c>
      <c r="Q4369">
        <v>21.2</v>
      </c>
      <c r="R4369">
        <v>16.42</v>
      </c>
    </row>
    <row r="4370">
      <c r="A4370" s="9">
        <v>42901</v>
      </c>
      <c r="B4370" s="2" t="inlineStr">
        <is>
          <t xml:space="preserve">2017-06</t>
        </is>
      </c>
      <c r="C4370" s="2" t="inlineStr">
        <is>
          <t xml:space="preserve">2016/17</t>
        </is>
      </c>
      <c r="D4370">
        <v>36.262</v>
      </c>
      <c r="E4370">
        <v>21.05</v>
      </c>
      <c r="F4370">
        <v>23.92</v>
      </c>
      <c r="G4370">
        <v>18.63</v>
      </c>
      <c r="H4370">
        <v>20.94</v>
      </c>
      <c r="I4370">
        <v>45.742</v>
      </c>
      <c r="J4370">
        <v>21.65</v>
      </c>
      <c r="K4370">
        <v>24.26</v>
      </c>
      <c r="L4370">
        <v>19.94</v>
      </c>
      <c r="M4370">
        <v>28.22</v>
      </c>
      <c r="N4370">
        <v>12.167</v>
      </c>
      <c r="O4370">
        <v>22.3</v>
      </c>
      <c r="P4370">
        <v>24.84</v>
      </c>
      <c r="Q4370">
        <v>20.83</v>
      </c>
      <c r="R4370">
        <v>12.27</v>
      </c>
    </row>
    <row r="4371">
      <c r="A4371" s="9">
        <v>42902</v>
      </c>
      <c r="B4371" s="2" t="inlineStr">
        <is>
          <t xml:space="preserve">2017-06</t>
        </is>
      </c>
      <c r="C4371" s="2" t="inlineStr">
        <is>
          <t xml:space="preserve">2016/17</t>
        </is>
      </c>
      <c r="D4371">
        <v>29.076</v>
      </c>
      <c r="E4371">
        <v>21.5</v>
      </c>
      <c r="F4371">
        <v>25.64</v>
      </c>
      <c r="G4371">
        <v>18.06</v>
      </c>
      <c r="H4371">
        <v>19.11</v>
      </c>
      <c r="I4371">
        <v>12.808</v>
      </c>
      <c r="J4371">
        <v>21.29</v>
      </c>
      <c r="K4371">
        <v>24.24</v>
      </c>
      <c r="L4371">
        <v>19.03</v>
      </c>
      <c r="M4371">
        <v>16.33</v>
      </c>
      <c r="N4371">
        <v>36.996</v>
      </c>
      <c r="O4371">
        <v>21.81</v>
      </c>
      <c r="P4371">
        <v>24.26</v>
      </c>
      <c r="Q4371">
        <v>20.28</v>
      </c>
      <c r="R4371">
        <v>19.61</v>
      </c>
    </row>
    <row r="4372">
      <c r="A4372" s="9">
        <v>42903</v>
      </c>
      <c r="B4372" s="2" t="inlineStr">
        <is>
          <t xml:space="preserve">2017-06</t>
        </is>
      </c>
      <c r="C4372" s="2" t="inlineStr">
        <is>
          <t xml:space="preserve">2016/17</t>
        </is>
      </c>
      <c r="D4372">
        <v>9.215</v>
      </c>
      <c r="E4372">
        <v>21.97</v>
      </c>
      <c r="F4372">
        <v>25.85</v>
      </c>
      <c r="G4372">
        <v>19.4</v>
      </c>
      <c r="H4372">
        <v>6.5</v>
      </c>
      <c r="I4372">
        <v>3.655</v>
      </c>
      <c r="J4372">
        <v>21.54</v>
      </c>
      <c r="K4372">
        <v>24.43</v>
      </c>
      <c r="L4372">
        <v>19.38</v>
      </c>
      <c r="M4372">
        <v>6.0</v>
      </c>
      <c r="N4372">
        <v>9.687</v>
      </c>
      <c r="O4372">
        <v>21.93</v>
      </c>
      <c r="P4372">
        <v>24.04</v>
      </c>
      <c r="Q4372">
        <v>20.18</v>
      </c>
      <c r="R4372">
        <v>6.58</v>
      </c>
    </row>
    <row r="4373">
      <c r="A4373" s="9">
        <v>42904</v>
      </c>
      <c r="B4373" s="2" t="inlineStr">
        <is>
          <t xml:space="preserve">2017-06</t>
        </is>
      </c>
      <c r="C4373" s="2" t="inlineStr">
        <is>
          <t xml:space="preserve">2016/17</t>
        </is>
      </c>
      <c r="D4373">
        <v>3.799</v>
      </c>
      <c r="E4373">
        <v>21.53</v>
      </c>
      <c r="F4373">
        <v>25.66</v>
      </c>
      <c r="G4373">
        <v>18.89</v>
      </c>
      <c r="H4373">
        <v>6.75</v>
      </c>
      <c r="I4373">
        <v>9.279</v>
      </c>
      <c r="J4373">
        <v>22.14</v>
      </c>
      <c r="K4373">
        <v>25.96</v>
      </c>
      <c r="L4373">
        <v>19.42</v>
      </c>
      <c r="M4373">
        <v>7.24</v>
      </c>
      <c r="N4373">
        <v>9.946</v>
      </c>
      <c r="O4373">
        <v>22.86</v>
      </c>
      <c r="P4373">
        <v>27.87</v>
      </c>
      <c r="Q4373">
        <v>19.32</v>
      </c>
      <c r="R4373">
        <v>6.72</v>
      </c>
    </row>
    <row r="4374">
      <c r="A4374" s="9">
        <v>42905</v>
      </c>
      <c r="B4374" s="2" t="inlineStr">
        <is>
          <t xml:space="preserve">2017-06</t>
        </is>
      </c>
      <c r="C4374" s="2" t="inlineStr">
        <is>
          <t xml:space="preserve">2016/17</t>
        </is>
      </c>
      <c r="D4374">
        <v>3.109</v>
      </c>
      <c r="E4374">
        <v>21.52</v>
      </c>
      <c r="F4374">
        <v>24.43</v>
      </c>
      <c r="G4374">
        <v>18.93</v>
      </c>
      <c r="H4374">
        <v>7.26</v>
      </c>
      <c r="I4374">
        <v>0.229</v>
      </c>
      <c r="J4374">
        <v>21.93</v>
      </c>
      <c r="K4374">
        <v>23.99</v>
      </c>
      <c r="L4374">
        <v>20.29</v>
      </c>
      <c r="M4374">
        <v>22.11</v>
      </c>
      <c r="N4374">
        <v>1.034</v>
      </c>
      <c r="O4374">
        <v>22.8</v>
      </c>
      <c r="P4374">
        <v>26.04</v>
      </c>
      <c r="Q4374">
        <v>20.23</v>
      </c>
      <c r="R4374">
        <v>22.53</v>
      </c>
    </row>
    <row r="4375">
      <c r="A4375" s="9">
        <v>42906</v>
      </c>
      <c r="B4375" s="2" t="inlineStr">
        <is>
          <t xml:space="preserve">2017-06</t>
        </is>
      </c>
      <c r="C4375" s="2" t="inlineStr">
        <is>
          <t xml:space="preserve">2016/17</t>
        </is>
      </c>
      <c r="D4375">
        <v>12.551</v>
      </c>
      <c r="E4375">
        <v>20.88</v>
      </c>
      <c r="F4375">
        <v>23.49</v>
      </c>
      <c r="G4375">
        <v>18.55</v>
      </c>
      <c r="H4375">
        <v>24.02</v>
      </c>
      <c r="I4375">
        <v>23.771</v>
      </c>
      <c r="J4375">
        <v>22.41</v>
      </c>
      <c r="K4375">
        <v>25.8</v>
      </c>
      <c r="L4375">
        <v>20.05</v>
      </c>
      <c r="M4375">
        <v>22.09</v>
      </c>
      <c r="N4375">
        <v>76.419</v>
      </c>
      <c r="O4375">
        <v>22.67</v>
      </c>
      <c r="P4375">
        <v>25.7</v>
      </c>
      <c r="Q4375">
        <v>20.63</v>
      </c>
      <c r="R4375">
        <v>19.83</v>
      </c>
    </row>
    <row r="4376">
      <c r="A4376" s="9">
        <v>42907</v>
      </c>
      <c r="B4376" s="2" t="inlineStr">
        <is>
          <t xml:space="preserve">2017-06</t>
        </is>
      </c>
      <c r="C4376" s="2" t="inlineStr">
        <is>
          <t xml:space="preserve">2016/17</t>
        </is>
      </c>
      <c r="D4376">
        <v>22.634</v>
      </c>
      <c r="E4376">
        <v>21.52</v>
      </c>
      <c r="F4376">
        <v>25.22</v>
      </c>
      <c r="G4376">
        <v>18.68</v>
      </c>
      <c r="H4376">
        <v>12.88</v>
      </c>
      <c r="I4376">
        <v>5.099</v>
      </c>
      <c r="J4376">
        <v>21.91</v>
      </c>
      <c r="K4376">
        <v>26.03</v>
      </c>
      <c r="L4376">
        <v>19.01</v>
      </c>
      <c r="M4376">
        <v>8.33</v>
      </c>
      <c r="N4376">
        <v>18.433</v>
      </c>
      <c r="O4376">
        <v>22.83</v>
      </c>
      <c r="P4376">
        <v>27.37</v>
      </c>
      <c r="Q4376">
        <v>19.03</v>
      </c>
      <c r="R4376">
        <v>10.0</v>
      </c>
    </row>
    <row r="4377">
      <c r="A4377" s="9">
        <v>42908</v>
      </c>
      <c r="B4377" s="2" t="inlineStr">
        <is>
          <t xml:space="preserve">2017-06</t>
        </is>
      </c>
      <c r="C4377" s="2" t="inlineStr">
        <is>
          <t xml:space="preserve">2016/17</t>
        </is>
      </c>
      <c r="D4377">
        <v>1.89</v>
      </c>
      <c r="E4377">
        <v>20.92</v>
      </c>
      <c r="F4377">
        <v>23.71</v>
      </c>
      <c r="G4377">
        <v>18.66</v>
      </c>
      <c r="H4377">
        <v>2.45</v>
      </c>
      <c r="I4377">
        <v>4.974</v>
      </c>
      <c r="J4377">
        <v>21.9</v>
      </c>
      <c r="K4377">
        <v>25.79</v>
      </c>
      <c r="L4377">
        <v>18.72</v>
      </c>
      <c r="M4377">
        <v>5.08</v>
      </c>
      <c r="N4377">
        <v>11.519</v>
      </c>
      <c r="O4377">
        <v>22.02</v>
      </c>
      <c r="P4377">
        <v>24.92</v>
      </c>
      <c r="Q4377">
        <v>19.38</v>
      </c>
      <c r="R4377">
        <v>3.79</v>
      </c>
    </row>
    <row r="4378">
      <c r="A4378" s="9">
        <v>42909</v>
      </c>
      <c r="B4378" s="2" t="inlineStr">
        <is>
          <t xml:space="preserve">2017-06</t>
        </is>
      </c>
      <c r="C4378" s="2" t="inlineStr">
        <is>
          <t xml:space="preserve">2016/17</t>
        </is>
      </c>
      <c r="D4378">
        <v>0.661</v>
      </c>
      <c r="E4378">
        <v>22.36</v>
      </c>
      <c r="F4378">
        <v>26.96</v>
      </c>
      <c r="G4378">
        <v>18.59</v>
      </c>
      <c r="H4378">
        <v>2.26</v>
      </c>
      <c r="I4378">
        <v>0.051</v>
      </c>
      <c r="J4378">
        <v>22.39</v>
      </c>
      <c r="K4378">
        <v>26.16</v>
      </c>
      <c r="L4378">
        <v>19.55</v>
      </c>
      <c r="M4378">
        <v>0.64</v>
      </c>
      <c r="N4378">
        <v>0.596</v>
      </c>
      <c r="O4378">
        <v>22.57</v>
      </c>
      <c r="P4378">
        <v>26.78</v>
      </c>
      <c r="Q4378">
        <v>19.26</v>
      </c>
      <c r="R4378">
        <v>1.88</v>
      </c>
    </row>
    <row r="4379">
      <c r="A4379" s="9">
        <v>42910</v>
      </c>
      <c r="B4379" s="2" t="inlineStr">
        <is>
          <t xml:space="preserve">2017-06</t>
        </is>
      </c>
      <c r="C4379" s="2" t="inlineStr">
        <is>
          <t xml:space="preserve">2016/17</t>
        </is>
      </c>
      <c r="D4379">
        <v>0.163</v>
      </c>
      <c r="E4379">
        <v>22.93</v>
      </c>
      <c r="F4379">
        <v>27.64</v>
      </c>
      <c r="G4379">
        <v>19.13</v>
      </c>
      <c r="H4379">
        <v>0.7</v>
      </c>
      <c r="I4379">
        <v>1.472</v>
      </c>
      <c r="J4379">
        <v>23.02</v>
      </c>
      <c r="K4379">
        <v>26.29</v>
      </c>
      <c r="L4379">
        <v>19.48</v>
      </c>
      <c r="M4379">
        <v>2.63</v>
      </c>
      <c r="N4379">
        <v>5.409</v>
      </c>
      <c r="O4379">
        <v>23.71</v>
      </c>
      <c r="P4379">
        <v>27.92</v>
      </c>
      <c r="Q4379">
        <v>20.29</v>
      </c>
      <c r="R4379">
        <v>2.45</v>
      </c>
    </row>
    <row r="4380">
      <c r="A4380" s="9">
        <v>42911</v>
      </c>
      <c r="B4380" s="2" t="inlineStr">
        <is>
          <t xml:space="preserve">2017-06</t>
        </is>
      </c>
      <c r="C4380" s="2" t="inlineStr">
        <is>
          <t xml:space="preserve">2016/17</t>
        </is>
      </c>
      <c r="D4380">
        <v>1.802</v>
      </c>
      <c r="E4380">
        <v>22.29</v>
      </c>
      <c r="F4380">
        <v>26.17</v>
      </c>
      <c r="G4380">
        <v>19.16</v>
      </c>
      <c r="H4380">
        <v>2.5</v>
      </c>
      <c r="I4380">
        <v>1.059</v>
      </c>
      <c r="J4380">
        <v>23.32</v>
      </c>
      <c r="K4380">
        <v>26.97</v>
      </c>
      <c r="L4380">
        <v>20.34</v>
      </c>
      <c r="M4380">
        <v>2.62</v>
      </c>
      <c r="N4380">
        <v>1.788</v>
      </c>
      <c r="O4380">
        <v>23.39</v>
      </c>
      <c r="P4380">
        <v>27.19</v>
      </c>
      <c r="Q4380">
        <v>20.94</v>
      </c>
      <c r="R4380">
        <v>2.04</v>
      </c>
    </row>
    <row r="4381">
      <c r="A4381" s="9">
        <v>42912</v>
      </c>
      <c r="B4381" s="2" t="inlineStr">
        <is>
          <t xml:space="preserve">2017-06</t>
        </is>
      </c>
      <c r="C4381" s="2" t="inlineStr">
        <is>
          <t xml:space="preserve">2016/17</t>
        </is>
      </c>
      <c r="D4381">
        <v>0.499</v>
      </c>
      <c r="E4381">
        <v>22.08</v>
      </c>
      <c r="F4381">
        <v>26.98</v>
      </c>
      <c r="G4381">
        <v>18.51</v>
      </c>
      <c r="H4381">
        <v>3.59</v>
      </c>
      <c r="I4381">
        <v>7.033</v>
      </c>
      <c r="J4381">
        <v>22.75</v>
      </c>
      <c r="K4381">
        <v>26.76</v>
      </c>
      <c r="L4381">
        <v>19.43</v>
      </c>
      <c r="M4381">
        <v>6.68</v>
      </c>
      <c r="N4381">
        <v>3.254</v>
      </c>
      <c r="O4381">
        <v>23.13</v>
      </c>
      <c r="P4381">
        <v>27.54</v>
      </c>
      <c r="Q4381">
        <v>20.27</v>
      </c>
      <c r="R4381">
        <v>4.08</v>
      </c>
    </row>
    <row r="4382">
      <c r="A4382" s="9">
        <v>42913</v>
      </c>
      <c r="B4382" s="2" t="inlineStr">
        <is>
          <t xml:space="preserve">2017-06</t>
        </is>
      </c>
      <c r="C4382" s="2" t="inlineStr">
        <is>
          <t xml:space="preserve">2016/17</t>
        </is>
      </c>
      <c r="D4382">
        <v>7.301</v>
      </c>
      <c r="E4382">
        <v>22.2</v>
      </c>
      <c r="F4382">
        <v>27.12</v>
      </c>
      <c r="G4382">
        <v>18.15</v>
      </c>
      <c r="H4382">
        <v>5.51</v>
      </c>
      <c r="I4382">
        <v>10.256</v>
      </c>
      <c r="J4382">
        <v>22.94</v>
      </c>
      <c r="K4382">
        <v>28.04</v>
      </c>
      <c r="L4382">
        <v>19.3</v>
      </c>
      <c r="M4382">
        <v>19.85</v>
      </c>
      <c r="N4382">
        <v>16.611</v>
      </c>
      <c r="O4382">
        <v>23.4</v>
      </c>
      <c r="P4382">
        <v>27.9</v>
      </c>
      <c r="Q4382">
        <v>20.71</v>
      </c>
      <c r="R4382">
        <v>10.5</v>
      </c>
    </row>
    <row r="4383">
      <c r="A4383" s="9">
        <v>42914</v>
      </c>
      <c r="B4383" s="2" t="inlineStr">
        <is>
          <t xml:space="preserve">2017-06</t>
        </is>
      </c>
      <c r="C4383" s="2" t="inlineStr">
        <is>
          <t xml:space="preserve">2016/17</t>
        </is>
      </c>
      <c r="D4383">
        <v>7.367</v>
      </c>
      <c r="E4383">
        <v>22.07</v>
      </c>
      <c r="F4383">
        <v>26.91</v>
      </c>
      <c r="G4383">
        <v>17.28</v>
      </c>
      <c r="H4383">
        <v>7.55</v>
      </c>
      <c r="I4383">
        <v>20.453</v>
      </c>
      <c r="J4383">
        <v>22.97</v>
      </c>
      <c r="K4383">
        <v>27.5</v>
      </c>
      <c r="L4383">
        <v>18.86</v>
      </c>
      <c r="M4383">
        <v>9.59</v>
      </c>
      <c r="N4383">
        <v>29.651</v>
      </c>
      <c r="O4383">
        <v>23.06</v>
      </c>
      <c r="P4383">
        <v>26.94</v>
      </c>
      <c r="Q4383">
        <v>20.41</v>
      </c>
      <c r="R4383">
        <v>8.6</v>
      </c>
    </row>
    <row r="4384">
      <c r="A4384" s="9">
        <v>42915</v>
      </c>
      <c r="B4384" s="2" t="inlineStr">
        <is>
          <t xml:space="preserve">2017-06</t>
        </is>
      </c>
      <c r="C4384" s="2" t="inlineStr">
        <is>
          <t xml:space="preserve">2016/17</t>
        </is>
      </c>
      <c r="D4384">
        <v>1.966</v>
      </c>
      <c r="E4384">
        <v>22.18</v>
      </c>
      <c r="F4384">
        <v>27.21</v>
      </c>
      <c r="G4384">
        <v>18.45</v>
      </c>
      <c r="H4384">
        <v>1.14</v>
      </c>
      <c r="I4384">
        <v>2.224</v>
      </c>
      <c r="J4384">
        <v>22.73</v>
      </c>
      <c r="K4384">
        <v>25.98</v>
      </c>
      <c r="L4384">
        <v>20.29</v>
      </c>
      <c r="M4384">
        <v>1.34</v>
      </c>
      <c r="N4384">
        <v>4.723</v>
      </c>
      <c r="O4384">
        <v>23.39</v>
      </c>
      <c r="P4384">
        <v>27.13</v>
      </c>
      <c r="Q4384">
        <v>21.2</v>
      </c>
      <c r="R4384">
        <v>1.14</v>
      </c>
    </row>
    <row r="4385">
      <c r="A4385" s="9">
        <v>42916</v>
      </c>
      <c r="B4385" s="2" t="inlineStr">
        <is>
          <t xml:space="preserve">2017-06</t>
        </is>
      </c>
      <c r="C4385" s="2" t="inlineStr">
        <is>
          <t xml:space="preserve">2016/17</t>
        </is>
      </c>
      <c r="D4385">
        <v>1.128</v>
      </c>
      <c r="E4385">
        <v>21.52</v>
      </c>
      <c r="F4385">
        <v>26.76</v>
      </c>
      <c r="G4385">
        <v>16.33</v>
      </c>
      <c r="H4385">
        <v>1.21</v>
      </c>
      <c r="I4385">
        <v>0.0</v>
      </c>
      <c r="J4385">
        <v>23.24</v>
      </c>
      <c r="K4385">
        <v>28.2</v>
      </c>
      <c r="L4385">
        <v>18.71</v>
      </c>
      <c r="M4385">
        <v>2.76</v>
      </c>
      <c r="N4385">
        <v>0.0</v>
      </c>
      <c r="O4385">
        <v>23.29</v>
      </c>
      <c r="P4385">
        <v>28.12</v>
      </c>
      <c r="Q4385">
        <v>19.38</v>
      </c>
      <c r="R4385">
        <v>2.81</v>
      </c>
    </row>
    <row r="4386">
      <c r="A4386" s="9">
        <v>42917</v>
      </c>
      <c r="B4386" s="2" t="inlineStr">
        <is>
          <t xml:space="preserve">2017-07</t>
        </is>
      </c>
      <c r="C4386" s="2" t="inlineStr">
        <is>
          <t xml:space="preserve">2017/18</t>
        </is>
      </c>
      <c r="D4386">
        <v>1.13</v>
      </c>
      <c r="E4386">
        <v>22.19</v>
      </c>
      <c r="F4386">
        <v>26.4</v>
      </c>
      <c r="G4386">
        <v>18.7</v>
      </c>
      <c r="H4386">
        <v>3.15</v>
      </c>
      <c r="I4386">
        <v>6.4</v>
      </c>
      <c r="J4386">
        <v>22.87</v>
      </c>
      <c r="K4386">
        <v>26.76</v>
      </c>
      <c r="L4386">
        <v>19.52</v>
      </c>
      <c r="M4386">
        <v>10.37</v>
      </c>
      <c r="N4386">
        <v>18.504</v>
      </c>
      <c r="O4386">
        <v>23.13</v>
      </c>
      <c r="P4386">
        <v>26.85</v>
      </c>
      <c r="Q4386">
        <v>20.66</v>
      </c>
      <c r="R4386">
        <v>7.13</v>
      </c>
    </row>
    <row r="4387">
      <c r="A4387" s="9">
        <v>42918</v>
      </c>
      <c r="B4387" s="2" t="inlineStr">
        <is>
          <t xml:space="preserve">2017-07</t>
        </is>
      </c>
      <c r="C4387" s="2" t="inlineStr">
        <is>
          <t xml:space="preserve">2017/18</t>
        </is>
      </c>
      <c r="D4387">
        <v>7.656</v>
      </c>
      <c r="E4387">
        <v>21.85</v>
      </c>
      <c r="F4387">
        <v>25.74</v>
      </c>
      <c r="G4387">
        <v>19.22</v>
      </c>
      <c r="H4387">
        <v>3.37</v>
      </c>
      <c r="I4387">
        <v>14.152</v>
      </c>
      <c r="J4387">
        <v>22.88</v>
      </c>
      <c r="K4387">
        <v>26.5</v>
      </c>
      <c r="L4387">
        <v>20.14</v>
      </c>
      <c r="M4387">
        <v>7.72</v>
      </c>
      <c r="N4387">
        <v>9.687</v>
      </c>
      <c r="O4387">
        <v>23.18</v>
      </c>
      <c r="P4387">
        <v>26.69</v>
      </c>
      <c r="Q4387">
        <v>20.91</v>
      </c>
      <c r="R4387">
        <v>4.42</v>
      </c>
    </row>
    <row r="4388">
      <c r="A4388" s="9">
        <v>42919</v>
      </c>
      <c r="B4388" s="2" t="inlineStr">
        <is>
          <t xml:space="preserve">2017-07</t>
        </is>
      </c>
      <c r="C4388" s="2" t="inlineStr">
        <is>
          <t xml:space="preserve">2017/18</t>
        </is>
      </c>
      <c r="D4388">
        <v>0.67</v>
      </c>
      <c r="E4388">
        <v>21.84</v>
      </c>
      <c r="F4388">
        <v>26.61</v>
      </c>
      <c r="G4388">
        <v>18.34</v>
      </c>
      <c r="H4388">
        <v>1.48</v>
      </c>
      <c r="I4388">
        <v>1.273</v>
      </c>
      <c r="J4388">
        <v>22.47</v>
      </c>
      <c r="K4388">
        <v>26.77</v>
      </c>
      <c r="L4388">
        <v>19.59</v>
      </c>
      <c r="M4388">
        <v>2.52</v>
      </c>
      <c r="N4388">
        <v>3.031</v>
      </c>
      <c r="O4388">
        <v>22.93</v>
      </c>
      <c r="P4388">
        <v>27.13</v>
      </c>
      <c r="Q4388">
        <v>20.6</v>
      </c>
      <c r="R4388">
        <v>4.07</v>
      </c>
    </row>
    <row r="4389">
      <c r="A4389" s="9">
        <v>42920</v>
      </c>
      <c r="B4389" s="2" t="inlineStr">
        <is>
          <t xml:space="preserve">2017-07</t>
        </is>
      </c>
      <c r="C4389" s="2" t="inlineStr">
        <is>
          <t xml:space="preserve">2017/18</t>
        </is>
      </c>
      <c r="D4389">
        <v>0.481</v>
      </c>
      <c r="E4389">
        <v>21.41</v>
      </c>
      <c r="F4389">
        <v>25.54</v>
      </c>
      <c r="G4389">
        <v>18.44</v>
      </c>
      <c r="H4389">
        <v>10.48</v>
      </c>
      <c r="I4389">
        <v>7.143</v>
      </c>
      <c r="J4389">
        <v>22.01</v>
      </c>
      <c r="K4389">
        <v>26.03</v>
      </c>
      <c r="L4389">
        <v>18.93</v>
      </c>
      <c r="M4389">
        <v>15.46</v>
      </c>
      <c r="N4389">
        <v>28.26</v>
      </c>
      <c r="O4389">
        <v>22.39</v>
      </c>
      <c r="P4389">
        <v>26.03</v>
      </c>
      <c r="Q4389">
        <v>19.83</v>
      </c>
      <c r="R4389">
        <v>22.77</v>
      </c>
    </row>
    <row r="4390">
      <c r="A4390" s="9">
        <v>42921</v>
      </c>
      <c r="B4390" s="2" t="inlineStr">
        <is>
          <t xml:space="preserve">2017-07</t>
        </is>
      </c>
      <c r="C4390" s="2" t="inlineStr">
        <is>
          <t xml:space="preserve">2017/18</t>
        </is>
      </c>
      <c r="D4390">
        <v>6.765</v>
      </c>
      <c r="E4390">
        <v>21.49</v>
      </c>
      <c r="F4390">
        <v>26.28</v>
      </c>
      <c r="G4390">
        <v>17.58</v>
      </c>
      <c r="H4390">
        <v>5.37</v>
      </c>
      <c r="I4390">
        <v>26.236</v>
      </c>
      <c r="J4390">
        <v>22.39</v>
      </c>
      <c r="K4390">
        <v>25.84</v>
      </c>
      <c r="L4390">
        <v>19.32</v>
      </c>
      <c r="M4390">
        <v>27.04</v>
      </c>
      <c r="N4390">
        <v>35.593</v>
      </c>
      <c r="O4390">
        <v>22.83</v>
      </c>
      <c r="P4390">
        <v>27.21</v>
      </c>
      <c r="Q4390">
        <v>19.96</v>
      </c>
      <c r="R4390">
        <v>17.15</v>
      </c>
    </row>
    <row r="4391">
      <c r="A4391" s="9">
        <v>42922</v>
      </c>
      <c r="B4391" s="2" t="inlineStr">
        <is>
          <t xml:space="preserve">2017-07</t>
        </is>
      </c>
      <c r="C4391" s="2" t="inlineStr">
        <is>
          <t xml:space="preserve">2017/18</t>
        </is>
      </c>
      <c r="D4391">
        <v>12.91</v>
      </c>
      <c r="E4391">
        <v>21.11</v>
      </c>
      <c r="F4391">
        <v>25.48</v>
      </c>
      <c r="G4391">
        <v>17.79</v>
      </c>
      <c r="H4391">
        <v>9.89</v>
      </c>
      <c r="I4391">
        <v>15.948</v>
      </c>
      <c r="J4391">
        <v>22.32</v>
      </c>
      <c r="K4391">
        <v>26.02</v>
      </c>
      <c r="L4391">
        <v>19.5</v>
      </c>
      <c r="M4391">
        <v>10.45</v>
      </c>
      <c r="N4391">
        <v>9.178</v>
      </c>
      <c r="O4391">
        <v>22.1</v>
      </c>
      <c r="P4391">
        <v>24.7</v>
      </c>
      <c r="Q4391">
        <v>20.27</v>
      </c>
      <c r="R4391">
        <v>8.06</v>
      </c>
    </row>
    <row r="4392">
      <c r="A4392" s="9">
        <v>42923</v>
      </c>
      <c r="B4392" s="2" t="inlineStr">
        <is>
          <t xml:space="preserve">2017-07</t>
        </is>
      </c>
      <c r="C4392" s="2" t="inlineStr">
        <is>
          <t xml:space="preserve">2017/18</t>
        </is>
      </c>
      <c r="D4392">
        <v>15.793</v>
      </c>
      <c r="E4392">
        <v>21.55</v>
      </c>
      <c r="F4392">
        <v>26.17</v>
      </c>
      <c r="G4392">
        <v>17.2</v>
      </c>
      <c r="H4392">
        <v>8.12</v>
      </c>
      <c r="I4392">
        <v>10.085</v>
      </c>
      <c r="J4392">
        <v>22.83</v>
      </c>
      <c r="K4392">
        <v>27.0</v>
      </c>
      <c r="L4392">
        <v>19.27</v>
      </c>
      <c r="M4392">
        <v>3.12</v>
      </c>
      <c r="N4392">
        <v>1.885</v>
      </c>
      <c r="O4392">
        <v>23.04</v>
      </c>
      <c r="P4392">
        <v>27.34</v>
      </c>
      <c r="Q4392">
        <v>20.04</v>
      </c>
      <c r="R4392">
        <v>2.9</v>
      </c>
    </row>
    <row r="4393">
      <c r="A4393" s="9">
        <v>42924</v>
      </c>
      <c r="B4393" s="2" t="inlineStr">
        <is>
          <t xml:space="preserve">2017-07</t>
        </is>
      </c>
      <c r="C4393" s="2" t="inlineStr">
        <is>
          <t xml:space="preserve">2017/18</t>
        </is>
      </c>
      <c r="D4393">
        <v>10.807</v>
      </c>
      <c r="E4393">
        <v>21.42</v>
      </c>
      <c r="F4393">
        <v>26.14</v>
      </c>
      <c r="G4393">
        <v>17.84</v>
      </c>
      <c r="H4393">
        <v>1.95</v>
      </c>
      <c r="I4393">
        <v>3.304</v>
      </c>
      <c r="J4393">
        <v>22.69</v>
      </c>
      <c r="K4393">
        <v>26.03</v>
      </c>
      <c r="L4393">
        <v>20.1</v>
      </c>
      <c r="M4393">
        <v>1.59</v>
      </c>
      <c r="N4393">
        <v>0.233</v>
      </c>
      <c r="O4393">
        <v>22.97</v>
      </c>
      <c r="P4393">
        <v>27.17</v>
      </c>
      <c r="Q4393">
        <v>20.56</v>
      </c>
      <c r="R4393">
        <v>0.62</v>
      </c>
    </row>
    <row r="4394">
      <c r="A4394" s="9">
        <v>42925</v>
      </c>
      <c r="B4394" s="2" t="inlineStr">
        <is>
          <t xml:space="preserve">2017-07</t>
        </is>
      </c>
      <c r="C4394" s="2" t="inlineStr">
        <is>
          <t xml:space="preserve">2017/18</t>
        </is>
      </c>
      <c r="D4394">
        <v>0.0</v>
      </c>
      <c r="E4394">
        <v>21.6</v>
      </c>
      <c r="F4394">
        <v>27.23</v>
      </c>
      <c r="G4394">
        <v>16.68</v>
      </c>
      <c r="H4394">
        <v>0.57</v>
      </c>
      <c r="I4394">
        <v>0.0</v>
      </c>
      <c r="J4394">
        <v>22.89</v>
      </c>
      <c r="K4394">
        <v>27.52</v>
      </c>
      <c r="L4394">
        <v>19.06</v>
      </c>
      <c r="M4394">
        <v>0.17</v>
      </c>
      <c r="N4394">
        <v>0.0</v>
      </c>
      <c r="O4394">
        <v>23.08</v>
      </c>
      <c r="P4394">
        <v>27.76</v>
      </c>
      <c r="Q4394">
        <v>19.76</v>
      </c>
      <c r="R4394">
        <v>1.41</v>
      </c>
    </row>
    <row r="4395">
      <c r="A4395" s="9">
        <v>42926</v>
      </c>
      <c r="B4395" s="2" t="inlineStr">
        <is>
          <t xml:space="preserve">2017-07</t>
        </is>
      </c>
      <c r="C4395" s="2" t="inlineStr">
        <is>
          <t xml:space="preserve">2017/18</t>
        </is>
      </c>
      <c r="D4395">
        <v>0.0</v>
      </c>
      <c r="E4395">
        <v>21.87</v>
      </c>
      <c r="F4395">
        <v>26.71</v>
      </c>
      <c r="G4395">
        <v>18.28</v>
      </c>
      <c r="H4395">
        <v>0.79</v>
      </c>
      <c r="I4395">
        <v>0.0</v>
      </c>
      <c r="J4395">
        <v>22.73</v>
      </c>
      <c r="K4395">
        <v>26.84</v>
      </c>
      <c r="L4395">
        <v>18.97</v>
      </c>
      <c r="M4395">
        <v>1.85</v>
      </c>
      <c r="N4395">
        <v>0.162</v>
      </c>
      <c r="O4395">
        <v>22.98</v>
      </c>
      <c r="P4395">
        <v>27.21</v>
      </c>
      <c r="Q4395">
        <v>20.28</v>
      </c>
      <c r="R4395">
        <v>2.62</v>
      </c>
    </row>
    <row r="4396">
      <c r="A4396" s="9">
        <v>42927</v>
      </c>
      <c r="B4396" s="2" t="inlineStr">
        <is>
          <t xml:space="preserve">2017-07</t>
        </is>
      </c>
      <c r="C4396" s="2" t="inlineStr">
        <is>
          <t xml:space="preserve">2017/18</t>
        </is>
      </c>
      <c r="D4396">
        <v>2.897</v>
      </c>
      <c r="E4396">
        <v>21.53</v>
      </c>
      <c r="F4396">
        <v>26.34</v>
      </c>
      <c r="G4396">
        <v>17.74</v>
      </c>
      <c r="H4396">
        <v>6.23</v>
      </c>
      <c r="I4396">
        <v>7.371</v>
      </c>
      <c r="J4396">
        <v>22.48</v>
      </c>
      <c r="K4396">
        <v>26.89</v>
      </c>
      <c r="L4396">
        <v>18.82</v>
      </c>
      <c r="M4396">
        <v>9.22</v>
      </c>
      <c r="N4396">
        <v>1.829</v>
      </c>
      <c r="O4396">
        <v>22.66</v>
      </c>
      <c r="P4396">
        <v>26.9</v>
      </c>
      <c r="Q4396">
        <v>19.69</v>
      </c>
      <c r="R4396">
        <v>7.35</v>
      </c>
    </row>
    <row r="4397">
      <c r="A4397" s="9">
        <v>42928</v>
      </c>
      <c r="B4397" s="2" t="inlineStr">
        <is>
          <t xml:space="preserve">2017-07</t>
        </is>
      </c>
      <c r="C4397" s="2" t="inlineStr">
        <is>
          <t xml:space="preserve">2017/18</t>
        </is>
      </c>
      <c r="D4397">
        <v>12.191</v>
      </c>
      <c r="E4397">
        <v>20.99</v>
      </c>
      <c r="F4397">
        <v>24.32</v>
      </c>
      <c r="G4397">
        <v>17.21</v>
      </c>
      <c r="H4397">
        <v>7.53</v>
      </c>
      <c r="I4397">
        <v>14.23</v>
      </c>
      <c r="J4397">
        <v>22.09</v>
      </c>
      <c r="K4397">
        <v>25.25</v>
      </c>
      <c r="L4397">
        <v>19.62</v>
      </c>
      <c r="M4397">
        <v>17.17</v>
      </c>
      <c r="N4397">
        <v>28.976</v>
      </c>
      <c r="O4397">
        <v>22.36</v>
      </c>
      <c r="P4397">
        <v>25.2</v>
      </c>
      <c r="Q4397">
        <v>20.27</v>
      </c>
      <c r="R4397">
        <v>16.18</v>
      </c>
    </row>
    <row r="4398">
      <c r="A4398" s="9">
        <v>42929</v>
      </c>
      <c r="B4398" s="2" t="inlineStr">
        <is>
          <t xml:space="preserve">2017-07</t>
        </is>
      </c>
      <c r="C4398" s="2" t="inlineStr">
        <is>
          <t xml:space="preserve">2017/18</t>
        </is>
      </c>
      <c r="D4398">
        <v>1.253</v>
      </c>
      <c r="E4398">
        <v>19.94</v>
      </c>
      <c r="F4398">
        <v>24.44</v>
      </c>
      <c r="G4398">
        <v>16.4</v>
      </c>
      <c r="H4398">
        <v>11.32</v>
      </c>
      <c r="I4398">
        <v>5.465</v>
      </c>
      <c r="J4398">
        <v>21.53</v>
      </c>
      <c r="K4398">
        <v>24.65</v>
      </c>
      <c r="L4398">
        <v>19.14</v>
      </c>
      <c r="M4398">
        <v>8.83</v>
      </c>
      <c r="N4398">
        <v>15.859</v>
      </c>
      <c r="O4398">
        <v>21.57</v>
      </c>
      <c r="P4398">
        <v>25.25</v>
      </c>
      <c r="Q4398">
        <v>18.94</v>
      </c>
      <c r="R4398">
        <v>9.76</v>
      </c>
    </row>
    <row r="4399">
      <c r="A4399" s="9">
        <v>42930</v>
      </c>
      <c r="B4399" s="2" t="inlineStr">
        <is>
          <t xml:space="preserve">2017-07</t>
        </is>
      </c>
      <c r="C4399" s="2" t="inlineStr">
        <is>
          <t xml:space="preserve">2017/18</t>
        </is>
      </c>
      <c r="D4399">
        <v>22.492</v>
      </c>
      <c r="E4399">
        <v>20.98</v>
      </c>
      <c r="F4399">
        <v>25.95</v>
      </c>
      <c r="G4399">
        <v>16.93</v>
      </c>
      <c r="H4399">
        <v>2.48</v>
      </c>
      <c r="I4399">
        <v>2.623</v>
      </c>
      <c r="J4399">
        <v>21.39</v>
      </c>
      <c r="K4399">
        <v>25.85</v>
      </c>
      <c r="L4399">
        <v>18.78</v>
      </c>
      <c r="M4399">
        <v>1.92</v>
      </c>
      <c r="N4399">
        <v>3.94</v>
      </c>
      <c r="O4399">
        <v>21.22</v>
      </c>
      <c r="P4399">
        <v>25.0</v>
      </c>
      <c r="Q4399">
        <v>19.34</v>
      </c>
      <c r="R4399">
        <v>1.41</v>
      </c>
    </row>
    <row r="4400">
      <c r="A4400" s="9">
        <v>42931</v>
      </c>
      <c r="B4400" s="2" t="inlineStr">
        <is>
          <t xml:space="preserve">2017-07</t>
        </is>
      </c>
      <c r="C4400" s="2" t="inlineStr">
        <is>
          <t xml:space="preserve">2017/18</t>
        </is>
      </c>
      <c r="D4400">
        <v>5.01</v>
      </c>
      <c r="E4400">
        <v>21.64</v>
      </c>
      <c r="F4400">
        <v>26.32</v>
      </c>
      <c r="G4400">
        <v>18.1</v>
      </c>
      <c r="H4400">
        <v>3.04</v>
      </c>
      <c r="I4400">
        <v>10.744</v>
      </c>
      <c r="J4400">
        <v>21.34</v>
      </c>
      <c r="K4400">
        <v>25.79</v>
      </c>
      <c r="L4400">
        <v>17.88</v>
      </c>
      <c r="M4400">
        <v>15.17</v>
      </c>
      <c r="N4400">
        <v>7.753</v>
      </c>
      <c r="O4400">
        <v>21.82</v>
      </c>
      <c r="P4400">
        <v>25.58</v>
      </c>
      <c r="Q4400">
        <v>19.46</v>
      </c>
      <c r="R4400">
        <v>5.68</v>
      </c>
    </row>
    <row r="4401">
      <c r="A4401" s="9">
        <v>42932</v>
      </c>
      <c r="B4401" s="2" t="inlineStr">
        <is>
          <t xml:space="preserve">2017-07</t>
        </is>
      </c>
      <c r="C4401" s="2" t="inlineStr">
        <is>
          <t xml:space="preserve">2017/18</t>
        </is>
      </c>
      <c r="D4401">
        <v>1.873</v>
      </c>
      <c r="E4401">
        <v>22.15</v>
      </c>
      <c r="F4401">
        <v>26.83</v>
      </c>
      <c r="G4401">
        <v>18.59</v>
      </c>
      <c r="H4401">
        <v>2.53</v>
      </c>
      <c r="I4401">
        <v>30.858</v>
      </c>
      <c r="J4401">
        <v>22.21</v>
      </c>
      <c r="K4401">
        <v>26.41</v>
      </c>
      <c r="L4401">
        <v>18.47</v>
      </c>
      <c r="M4401">
        <v>16.26</v>
      </c>
      <c r="N4401">
        <v>4.626</v>
      </c>
      <c r="O4401">
        <v>22.58</v>
      </c>
      <c r="P4401">
        <v>27.1</v>
      </c>
      <c r="Q4401">
        <v>19.02</v>
      </c>
      <c r="R4401">
        <v>9.01</v>
      </c>
    </row>
    <row r="4402">
      <c r="A4402" s="9">
        <v>42933</v>
      </c>
      <c r="B4402" s="2" t="inlineStr">
        <is>
          <t xml:space="preserve">2017-07</t>
        </is>
      </c>
      <c r="C4402" s="2" t="inlineStr">
        <is>
          <t xml:space="preserve">2017/18</t>
        </is>
      </c>
      <c r="D4402">
        <v>6.862</v>
      </c>
      <c r="E4402">
        <v>21.37</v>
      </c>
      <c r="F4402">
        <v>26.06</v>
      </c>
      <c r="G4402">
        <v>17.21</v>
      </c>
      <c r="H4402">
        <v>6.9</v>
      </c>
      <c r="I4402">
        <v>7.425</v>
      </c>
      <c r="J4402">
        <v>23.23</v>
      </c>
      <c r="K4402">
        <v>27.64</v>
      </c>
      <c r="L4402">
        <v>19.55</v>
      </c>
      <c r="M4402">
        <v>14.83</v>
      </c>
      <c r="N4402">
        <v>27.128</v>
      </c>
      <c r="O4402">
        <v>23.53</v>
      </c>
      <c r="P4402">
        <v>27.87</v>
      </c>
      <c r="Q4402">
        <v>20.54</v>
      </c>
      <c r="R4402">
        <v>13.09</v>
      </c>
    </row>
    <row r="4403">
      <c r="A4403" s="9">
        <v>42934</v>
      </c>
      <c r="B4403" s="2" t="inlineStr">
        <is>
          <t xml:space="preserve">2017-07</t>
        </is>
      </c>
      <c r="C4403" s="2" t="inlineStr">
        <is>
          <t xml:space="preserve">2017/18</t>
        </is>
      </c>
      <c r="D4403">
        <v>1.12</v>
      </c>
      <c r="E4403">
        <v>21.03</v>
      </c>
      <c r="F4403">
        <v>26.31</v>
      </c>
      <c r="G4403">
        <v>16.58</v>
      </c>
      <c r="H4403">
        <v>0.46</v>
      </c>
      <c r="I4403">
        <v>9.723</v>
      </c>
      <c r="J4403">
        <v>22.84</v>
      </c>
      <c r="K4403">
        <v>26.7</v>
      </c>
      <c r="L4403">
        <v>19.64</v>
      </c>
      <c r="M4403">
        <v>2.61</v>
      </c>
      <c r="N4403">
        <v>15.869</v>
      </c>
      <c r="O4403">
        <v>23.03</v>
      </c>
      <c r="P4403">
        <v>27.65</v>
      </c>
      <c r="Q4403">
        <v>19.59</v>
      </c>
      <c r="R4403">
        <v>1.46</v>
      </c>
    </row>
    <row r="4404">
      <c r="A4404" s="9">
        <v>42935</v>
      </c>
      <c r="B4404" s="2" t="inlineStr">
        <is>
          <t xml:space="preserve">2017-07</t>
        </is>
      </c>
      <c r="C4404" s="2" t="inlineStr">
        <is>
          <t xml:space="preserve">2017/18</t>
        </is>
      </c>
      <c r="D4404">
        <v>0.0</v>
      </c>
      <c r="E4404">
        <v>21.77</v>
      </c>
      <c r="F4404">
        <v>26.67</v>
      </c>
      <c r="G4404">
        <v>17.54</v>
      </c>
      <c r="H4404">
        <v>1.62</v>
      </c>
      <c r="I4404">
        <v>0.072</v>
      </c>
      <c r="J4404">
        <v>22.62</v>
      </c>
      <c r="K4404">
        <v>27.02</v>
      </c>
      <c r="L4404">
        <v>19.37</v>
      </c>
      <c r="M4404">
        <v>0.72</v>
      </c>
      <c r="N4404">
        <v>0.0</v>
      </c>
      <c r="O4404">
        <v>22.93</v>
      </c>
      <c r="P4404">
        <v>26.64</v>
      </c>
      <c r="Q4404">
        <v>20.51</v>
      </c>
      <c r="R4404">
        <v>1.7</v>
      </c>
    </row>
    <row r="4405">
      <c r="A4405" s="9">
        <v>42936</v>
      </c>
      <c r="B4405" s="2" t="inlineStr">
        <is>
          <t xml:space="preserve">2017-07</t>
        </is>
      </c>
      <c r="C4405" s="2" t="inlineStr">
        <is>
          <t xml:space="preserve">2017/18</t>
        </is>
      </c>
      <c r="D4405">
        <v>5.912</v>
      </c>
      <c r="E4405">
        <v>21.83</v>
      </c>
      <c r="F4405">
        <v>25.78</v>
      </c>
      <c r="G4405">
        <v>19.12</v>
      </c>
      <c r="H4405">
        <v>6.11</v>
      </c>
      <c r="I4405">
        <v>4.792</v>
      </c>
      <c r="J4405">
        <v>22.18</v>
      </c>
      <c r="K4405">
        <v>25.55</v>
      </c>
      <c r="L4405">
        <v>19.79</v>
      </c>
      <c r="M4405">
        <v>4.5</v>
      </c>
      <c r="N4405">
        <v>1.108</v>
      </c>
      <c r="O4405">
        <v>22.49</v>
      </c>
      <c r="P4405">
        <v>25.22</v>
      </c>
      <c r="Q4405">
        <v>20.67</v>
      </c>
      <c r="R4405">
        <v>5.73</v>
      </c>
    </row>
    <row r="4406">
      <c r="A4406" s="9">
        <v>42937</v>
      </c>
      <c r="B4406" s="2" t="inlineStr">
        <is>
          <t xml:space="preserve">2017-07</t>
        </is>
      </c>
      <c r="C4406" s="2" t="inlineStr">
        <is>
          <t xml:space="preserve">2017/18</t>
        </is>
      </c>
      <c r="D4406">
        <v>0.055</v>
      </c>
      <c r="E4406">
        <v>20.87</v>
      </c>
      <c r="F4406">
        <v>24.11</v>
      </c>
      <c r="G4406">
        <v>17.27</v>
      </c>
      <c r="H4406">
        <v>0.4</v>
      </c>
      <c r="I4406">
        <v>1.004</v>
      </c>
      <c r="J4406">
        <v>22.18</v>
      </c>
      <c r="K4406">
        <v>25.51</v>
      </c>
      <c r="L4406">
        <v>19.57</v>
      </c>
      <c r="M4406">
        <v>1.09</v>
      </c>
      <c r="N4406">
        <v>3.687</v>
      </c>
      <c r="O4406">
        <v>22.34</v>
      </c>
      <c r="P4406">
        <v>25.13</v>
      </c>
      <c r="Q4406">
        <v>20.59</v>
      </c>
      <c r="R4406">
        <v>0.69</v>
      </c>
    </row>
    <row r="4407">
      <c r="A4407" s="9">
        <v>42938</v>
      </c>
      <c r="B4407" s="2" t="inlineStr">
        <is>
          <t xml:space="preserve">2017-07</t>
        </is>
      </c>
      <c r="C4407" s="2" t="inlineStr">
        <is>
          <t xml:space="preserve">2017/18</t>
        </is>
      </c>
      <c r="D4407">
        <v>0.0</v>
      </c>
      <c r="E4407">
        <v>21.61</v>
      </c>
      <c r="F4407">
        <v>26.48</v>
      </c>
      <c r="G4407">
        <v>17.28</v>
      </c>
      <c r="H4407">
        <v>1.36</v>
      </c>
      <c r="I4407">
        <v>0.0</v>
      </c>
      <c r="J4407">
        <v>22.75</v>
      </c>
      <c r="K4407">
        <v>27.33</v>
      </c>
      <c r="L4407">
        <v>18.63</v>
      </c>
      <c r="M4407">
        <v>0.42</v>
      </c>
      <c r="N4407">
        <v>0.0</v>
      </c>
      <c r="O4407">
        <v>22.96</v>
      </c>
      <c r="P4407">
        <v>27.41</v>
      </c>
      <c r="Q4407">
        <v>19.57</v>
      </c>
      <c r="R4407">
        <v>0.55</v>
      </c>
    </row>
    <row r="4408">
      <c r="A4408" s="9">
        <v>42939</v>
      </c>
      <c r="B4408" s="2" t="inlineStr">
        <is>
          <t xml:space="preserve">2017-07</t>
        </is>
      </c>
      <c r="C4408" s="2" t="inlineStr">
        <is>
          <t xml:space="preserve">2017/18</t>
        </is>
      </c>
      <c r="D4408">
        <v>4.234</v>
      </c>
      <c r="E4408">
        <v>22.16</v>
      </c>
      <c r="F4408">
        <v>26.92</v>
      </c>
      <c r="G4408">
        <v>18.02</v>
      </c>
      <c r="H4408">
        <v>1.57</v>
      </c>
      <c r="I4408">
        <v>1.862</v>
      </c>
      <c r="J4408">
        <v>23.26</v>
      </c>
      <c r="K4408">
        <v>27.25</v>
      </c>
      <c r="L4408">
        <v>19.84</v>
      </c>
      <c r="M4408">
        <v>0.95</v>
      </c>
      <c r="N4408">
        <v>0.391</v>
      </c>
      <c r="O4408">
        <v>23.38</v>
      </c>
      <c r="P4408">
        <v>27.71</v>
      </c>
      <c r="Q4408">
        <v>20.32</v>
      </c>
      <c r="R4408">
        <v>0.74</v>
      </c>
    </row>
    <row r="4409">
      <c r="A4409" s="9">
        <v>42940</v>
      </c>
      <c r="B4409" s="2" t="inlineStr">
        <is>
          <t xml:space="preserve">2017-07</t>
        </is>
      </c>
      <c r="C4409" s="2" t="inlineStr">
        <is>
          <t xml:space="preserve">2017/18</t>
        </is>
      </c>
      <c r="D4409">
        <v>3.755</v>
      </c>
      <c r="E4409">
        <v>21.6</v>
      </c>
      <c r="F4409">
        <v>25.9</v>
      </c>
      <c r="G4409">
        <v>18.05</v>
      </c>
      <c r="H4409">
        <v>1.44</v>
      </c>
      <c r="I4409">
        <v>0.063</v>
      </c>
      <c r="J4409">
        <v>23.43</v>
      </c>
      <c r="K4409">
        <v>27.34</v>
      </c>
      <c r="L4409">
        <v>19.71</v>
      </c>
      <c r="M4409">
        <v>0.55</v>
      </c>
      <c r="N4409">
        <v>0.638</v>
      </c>
      <c r="O4409">
        <v>23.35</v>
      </c>
      <c r="P4409">
        <v>26.98</v>
      </c>
      <c r="Q4409">
        <v>20.62</v>
      </c>
      <c r="R4409">
        <v>0.97</v>
      </c>
    </row>
    <row r="4410">
      <c r="A4410" s="9">
        <v>42941</v>
      </c>
      <c r="B4410" s="2" t="inlineStr">
        <is>
          <t xml:space="preserve">2017-07</t>
        </is>
      </c>
      <c r="C4410" s="2" t="inlineStr">
        <is>
          <t xml:space="preserve">2017/18</t>
        </is>
      </c>
      <c r="D4410">
        <v>0.0</v>
      </c>
      <c r="E4410">
        <v>21.82</v>
      </c>
      <c r="F4410">
        <v>26.21</v>
      </c>
      <c r="G4410">
        <v>17.69</v>
      </c>
      <c r="H4410">
        <v>1.09</v>
      </c>
      <c r="I4410">
        <v>0.147</v>
      </c>
      <c r="J4410">
        <v>23.22</v>
      </c>
      <c r="K4410">
        <v>27.26</v>
      </c>
      <c r="L4410">
        <v>19.88</v>
      </c>
      <c r="M4410">
        <v>1.0</v>
      </c>
      <c r="N4410">
        <v>0.132</v>
      </c>
      <c r="O4410">
        <v>23.28</v>
      </c>
      <c r="P4410">
        <v>27.09</v>
      </c>
      <c r="Q4410">
        <v>20.59</v>
      </c>
      <c r="R4410">
        <v>2.19</v>
      </c>
    </row>
    <row r="4411">
      <c r="A4411" s="9">
        <v>42942</v>
      </c>
      <c r="B4411" s="2" t="inlineStr">
        <is>
          <t xml:space="preserve">2017-07</t>
        </is>
      </c>
      <c r="C4411" s="2" t="inlineStr">
        <is>
          <t xml:space="preserve">2017/18</t>
        </is>
      </c>
      <c r="D4411">
        <v>2.108</v>
      </c>
      <c r="E4411">
        <v>21.77</v>
      </c>
      <c r="F4411">
        <v>26.46</v>
      </c>
      <c r="G4411">
        <v>18.29</v>
      </c>
      <c r="H4411">
        <v>1.45</v>
      </c>
      <c r="I4411">
        <v>1.764</v>
      </c>
      <c r="J4411">
        <v>22.64</v>
      </c>
      <c r="K4411">
        <v>26.67</v>
      </c>
      <c r="L4411">
        <v>19.93</v>
      </c>
      <c r="M4411">
        <v>3.41</v>
      </c>
      <c r="N4411">
        <v>1.907</v>
      </c>
      <c r="O4411">
        <v>22.95</v>
      </c>
      <c r="P4411">
        <v>26.78</v>
      </c>
      <c r="Q4411">
        <v>20.68</v>
      </c>
      <c r="R4411">
        <v>3.24</v>
      </c>
    </row>
    <row r="4412">
      <c r="A4412" s="9">
        <v>42943</v>
      </c>
      <c r="B4412" s="2" t="inlineStr">
        <is>
          <t xml:space="preserve">2017-07</t>
        </is>
      </c>
      <c r="C4412" s="2" t="inlineStr">
        <is>
          <t xml:space="preserve">2017/18</t>
        </is>
      </c>
      <c r="D4412">
        <v>3.211</v>
      </c>
      <c r="E4412">
        <v>21.83</v>
      </c>
      <c r="F4412">
        <v>26.74</v>
      </c>
      <c r="G4412">
        <v>17.84</v>
      </c>
      <c r="H4412">
        <v>2.48</v>
      </c>
      <c r="I4412">
        <v>6.824</v>
      </c>
      <c r="J4412">
        <v>21.96</v>
      </c>
      <c r="K4412">
        <v>25.51</v>
      </c>
      <c r="L4412">
        <v>19.3</v>
      </c>
      <c r="M4412">
        <v>5.01</v>
      </c>
      <c r="N4412">
        <v>3.681</v>
      </c>
      <c r="O4412">
        <v>22.3</v>
      </c>
      <c r="P4412">
        <v>25.78</v>
      </c>
      <c r="Q4412">
        <v>20.07</v>
      </c>
      <c r="R4412">
        <v>5.52</v>
      </c>
    </row>
    <row r="4413">
      <c r="A4413" s="9">
        <v>42944</v>
      </c>
      <c r="B4413" s="2" t="inlineStr">
        <is>
          <t xml:space="preserve">2017-07</t>
        </is>
      </c>
      <c r="C4413" s="2" t="inlineStr">
        <is>
          <t xml:space="preserve">2017/18</t>
        </is>
      </c>
      <c r="D4413">
        <v>0.0</v>
      </c>
      <c r="E4413">
        <v>22.22</v>
      </c>
      <c r="F4413">
        <v>26.84</v>
      </c>
      <c r="G4413">
        <v>18.49</v>
      </c>
      <c r="H4413">
        <v>3.93</v>
      </c>
      <c r="I4413">
        <v>1.757</v>
      </c>
      <c r="J4413">
        <v>22.33</v>
      </c>
      <c r="K4413">
        <v>26.46</v>
      </c>
      <c r="L4413">
        <v>18.79</v>
      </c>
      <c r="M4413">
        <v>6.28</v>
      </c>
      <c r="N4413">
        <v>3.433</v>
      </c>
      <c r="O4413">
        <v>22.85</v>
      </c>
      <c r="P4413">
        <v>27.26</v>
      </c>
      <c r="Q4413">
        <v>19.47</v>
      </c>
      <c r="R4413">
        <v>3.89</v>
      </c>
    </row>
    <row r="4414">
      <c r="A4414" s="9">
        <v>42945</v>
      </c>
      <c r="B4414" s="2" t="inlineStr">
        <is>
          <t xml:space="preserve">2017-07</t>
        </is>
      </c>
      <c r="C4414" s="2" t="inlineStr">
        <is>
          <t xml:space="preserve">2017/18</t>
        </is>
      </c>
      <c r="D4414">
        <v>16.998</v>
      </c>
      <c r="E4414">
        <v>22.73</v>
      </c>
      <c r="F4414">
        <v>28.15</v>
      </c>
      <c r="G4414">
        <v>18.62</v>
      </c>
      <c r="H4414">
        <v>16.26</v>
      </c>
      <c r="I4414">
        <v>20.958</v>
      </c>
      <c r="J4414">
        <v>22.75</v>
      </c>
      <c r="K4414">
        <v>26.65</v>
      </c>
      <c r="L4414">
        <v>19.23</v>
      </c>
      <c r="M4414">
        <v>31.6</v>
      </c>
      <c r="N4414">
        <v>19.631</v>
      </c>
      <c r="O4414">
        <v>23.37</v>
      </c>
      <c r="P4414">
        <v>27.68</v>
      </c>
      <c r="Q4414">
        <v>20.16</v>
      </c>
      <c r="R4414">
        <v>27.15</v>
      </c>
    </row>
    <row r="4415">
      <c r="A4415" s="9">
        <v>42946</v>
      </c>
      <c r="B4415" s="2" t="inlineStr">
        <is>
          <t xml:space="preserve">2017-07</t>
        </is>
      </c>
      <c r="C4415" s="2" t="inlineStr">
        <is>
          <t xml:space="preserve">2017/18</t>
        </is>
      </c>
      <c r="D4415">
        <v>8.763</v>
      </c>
      <c r="E4415">
        <v>22.09</v>
      </c>
      <c r="F4415">
        <v>27.59</v>
      </c>
      <c r="G4415">
        <v>18.18</v>
      </c>
      <c r="H4415">
        <v>16.75</v>
      </c>
      <c r="I4415">
        <v>17.583</v>
      </c>
      <c r="J4415">
        <v>23.46</v>
      </c>
      <c r="K4415">
        <v>28.32</v>
      </c>
      <c r="L4415">
        <v>19.8</v>
      </c>
      <c r="M4415">
        <v>29.59</v>
      </c>
      <c r="N4415">
        <v>46.946</v>
      </c>
      <c r="O4415">
        <v>23.52</v>
      </c>
      <c r="P4415">
        <v>28.07</v>
      </c>
      <c r="Q4415">
        <v>20.98</v>
      </c>
      <c r="R4415">
        <v>25.99</v>
      </c>
    </row>
    <row r="4416">
      <c r="A4416" s="9">
        <v>42947</v>
      </c>
      <c r="B4416" s="2" t="inlineStr">
        <is>
          <t xml:space="preserve">2017-07</t>
        </is>
      </c>
      <c r="C4416" s="2" t="inlineStr">
        <is>
          <t xml:space="preserve">2017/18</t>
        </is>
      </c>
      <c r="D4416">
        <v>16.659</v>
      </c>
      <c r="E4416">
        <v>21.51</v>
      </c>
      <c r="F4416">
        <v>26.55</v>
      </c>
      <c r="G4416">
        <v>17.4</v>
      </c>
      <c r="H4416">
        <v>12.89</v>
      </c>
      <c r="I4416">
        <v>39.434</v>
      </c>
      <c r="J4416">
        <v>23.32</v>
      </c>
      <c r="K4416">
        <v>27.77</v>
      </c>
      <c r="L4416">
        <v>19.61</v>
      </c>
      <c r="M4416">
        <v>22.1</v>
      </c>
      <c r="N4416">
        <v>46.501</v>
      </c>
      <c r="O4416">
        <v>22.87</v>
      </c>
      <c r="P4416">
        <v>26.84</v>
      </c>
      <c r="Q4416">
        <v>19.54</v>
      </c>
      <c r="R4416">
        <v>16.0</v>
      </c>
    </row>
    <row r="4417">
      <c r="A4417" s="9">
        <v>42948</v>
      </c>
      <c r="B4417" s="2" t="inlineStr">
        <is>
          <t xml:space="preserve">2017-08</t>
        </is>
      </c>
      <c r="C4417" s="2" t="inlineStr">
        <is>
          <t xml:space="preserve">2017/18</t>
        </is>
      </c>
      <c r="D4417">
        <v>18.531</v>
      </c>
      <c r="E4417">
        <v>21.43</v>
      </c>
      <c r="F4417">
        <v>26.17</v>
      </c>
      <c r="G4417">
        <v>17.18</v>
      </c>
      <c r="H4417">
        <v>4.87</v>
      </c>
      <c r="I4417">
        <v>26.641</v>
      </c>
      <c r="J4417">
        <v>22.77</v>
      </c>
      <c r="K4417">
        <v>26.76</v>
      </c>
      <c r="L4417">
        <v>20.07</v>
      </c>
      <c r="M4417">
        <v>14.19</v>
      </c>
      <c r="N4417">
        <v>20.98</v>
      </c>
      <c r="O4417">
        <v>23.42</v>
      </c>
      <c r="P4417">
        <v>28.3</v>
      </c>
      <c r="Q4417">
        <v>19.47</v>
      </c>
      <c r="R4417">
        <v>6.16</v>
      </c>
    </row>
    <row r="4418">
      <c r="A4418" s="9">
        <v>42949</v>
      </c>
      <c r="B4418" s="2" t="inlineStr">
        <is>
          <t xml:space="preserve">2017-08</t>
        </is>
      </c>
      <c r="C4418" s="2" t="inlineStr">
        <is>
          <t xml:space="preserve">2017/18</t>
        </is>
      </c>
      <c r="D4418">
        <v>3.694</v>
      </c>
      <c r="E4418">
        <v>21.62</v>
      </c>
      <c r="F4418">
        <v>26.24</v>
      </c>
      <c r="G4418">
        <v>17.37</v>
      </c>
      <c r="H4418">
        <v>2.7</v>
      </c>
      <c r="I4418">
        <v>6.01</v>
      </c>
      <c r="J4418">
        <v>23.35</v>
      </c>
      <c r="K4418">
        <v>27.5</v>
      </c>
      <c r="L4418">
        <v>19.31</v>
      </c>
      <c r="M4418">
        <v>7.46</v>
      </c>
      <c r="N4418">
        <v>9.064</v>
      </c>
      <c r="O4418">
        <v>23.55</v>
      </c>
      <c r="P4418">
        <v>28.37</v>
      </c>
      <c r="Q4418">
        <v>19.34</v>
      </c>
      <c r="R4418">
        <v>5.66</v>
      </c>
    </row>
    <row r="4419">
      <c r="A4419" s="9">
        <v>42950</v>
      </c>
      <c r="B4419" s="2" t="inlineStr">
        <is>
          <t xml:space="preserve">2017-08</t>
        </is>
      </c>
      <c r="C4419" s="2" t="inlineStr">
        <is>
          <t xml:space="preserve">2017/18</t>
        </is>
      </c>
      <c r="D4419">
        <v>1.213</v>
      </c>
      <c r="E4419">
        <v>22.16</v>
      </c>
      <c r="F4419">
        <v>27.23</v>
      </c>
      <c r="G4419">
        <v>17.73</v>
      </c>
      <c r="H4419">
        <v>1.38</v>
      </c>
      <c r="I4419">
        <v>6.946</v>
      </c>
      <c r="J4419">
        <v>23.29</v>
      </c>
      <c r="K4419">
        <v>27.89</v>
      </c>
      <c r="L4419">
        <v>19.84</v>
      </c>
      <c r="M4419">
        <v>2.6</v>
      </c>
      <c r="N4419">
        <v>8.943</v>
      </c>
      <c r="O4419">
        <v>23.47</v>
      </c>
      <c r="P4419">
        <v>27.78</v>
      </c>
      <c r="Q4419">
        <v>20.75</v>
      </c>
      <c r="R4419">
        <v>2.37</v>
      </c>
    </row>
    <row r="4420">
      <c r="A4420" s="9">
        <v>42951</v>
      </c>
      <c r="B4420" s="2" t="inlineStr">
        <is>
          <t xml:space="preserve">2017-08</t>
        </is>
      </c>
      <c r="C4420" s="2" t="inlineStr">
        <is>
          <t xml:space="preserve">2017/18</t>
        </is>
      </c>
      <c r="D4420">
        <v>0.744</v>
      </c>
      <c r="E4420">
        <v>21.98</v>
      </c>
      <c r="F4420">
        <v>26.18</v>
      </c>
      <c r="G4420">
        <v>18.81</v>
      </c>
      <c r="H4420">
        <v>2.01</v>
      </c>
      <c r="I4420">
        <v>0.0</v>
      </c>
      <c r="J4420">
        <v>23.28</v>
      </c>
      <c r="K4420">
        <v>27.59</v>
      </c>
      <c r="L4420">
        <v>19.9</v>
      </c>
      <c r="M4420">
        <v>3.28</v>
      </c>
      <c r="N4420">
        <v>0.0</v>
      </c>
      <c r="O4420">
        <v>23.46</v>
      </c>
      <c r="P4420">
        <v>27.3</v>
      </c>
      <c r="Q4420">
        <v>20.67</v>
      </c>
      <c r="R4420">
        <v>3.37</v>
      </c>
    </row>
    <row r="4421">
      <c r="A4421" s="9">
        <v>42952</v>
      </c>
      <c r="B4421" s="2" t="inlineStr">
        <is>
          <t xml:space="preserve">2017-08</t>
        </is>
      </c>
      <c r="C4421" s="2" t="inlineStr">
        <is>
          <t xml:space="preserve">2017/18</t>
        </is>
      </c>
      <c r="D4421">
        <v>1.731</v>
      </c>
      <c r="E4421">
        <v>22.29</v>
      </c>
      <c r="F4421">
        <v>26.02</v>
      </c>
      <c r="G4421">
        <v>19.7</v>
      </c>
      <c r="H4421">
        <v>3.22</v>
      </c>
      <c r="I4421">
        <v>5.744</v>
      </c>
      <c r="J4421">
        <v>22.63</v>
      </c>
      <c r="K4421">
        <v>25.67</v>
      </c>
      <c r="L4421">
        <v>20.49</v>
      </c>
      <c r="M4421">
        <v>6.71</v>
      </c>
      <c r="N4421">
        <v>18.218</v>
      </c>
      <c r="O4421">
        <v>23.01</v>
      </c>
      <c r="P4421">
        <v>25.81</v>
      </c>
      <c r="Q4421">
        <v>21.23</v>
      </c>
      <c r="R4421">
        <v>7.44</v>
      </c>
    </row>
    <row r="4422">
      <c r="A4422" s="9">
        <v>42953</v>
      </c>
      <c r="B4422" s="2" t="inlineStr">
        <is>
          <t xml:space="preserve">2017-08</t>
        </is>
      </c>
      <c r="C4422" s="2" t="inlineStr">
        <is>
          <t xml:space="preserve">2017/18</t>
        </is>
      </c>
      <c r="D4422">
        <v>1.248</v>
      </c>
      <c r="E4422">
        <v>22.02</v>
      </c>
      <c r="F4422">
        <v>25.83</v>
      </c>
      <c r="G4422">
        <v>19.27</v>
      </c>
      <c r="H4422">
        <v>1.76</v>
      </c>
      <c r="I4422">
        <v>5.504</v>
      </c>
      <c r="J4422">
        <v>22.78</v>
      </c>
      <c r="K4422">
        <v>26.48</v>
      </c>
      <c r="L4422">
        <v>19.69</v>
      </c>
      <c r="M4422">
        <v>5.45</v>
      </c>
      <c r="N4422">
        <v>3.104</v>
      </c>
      <c r="O4422">
        <v>22.91</v>
      </c>
      <c r="P4422">
        <v>26.56</v>
      </c>
      <c r="Q4422">
        <v>20.56</v>
      </c>
      <c r="R4422">
        <v>2.66</v>
      </c>
    </row>
    <row r="4423">
      <c r="A4423" s="9">
        <v>42954</v>
      </c>
      <c r="B4423" s="2" t="inlineStr">
        <is>
          <t xml:space="preserve">2017-08</t>
        </is>
      </c>
      <c r="C4423" s="2" t="inlineStr">
        <is>
          <t xml:space="preserve">2017/18</t>
        </is>
      </c>
      <c r="D4423">
        <v>0.421</v>
      </c>
      <c r="E4423">
        <v>22.5</v>
      </c>
      <c r="F4423">
        <v>26.67</v>
      </c>
      <c r="G4423">
        <v>19.05</v>
      </c>
      <c r="H4423">
        <v>1.61</v>
      </c>
      <c r="I4423">
        <v>3.609</v>
      </c>
      <c r="J4423">
        <v>22.8</v>
      </c>
      <c r="K4423">
        <v>26.64</v>
      </c>
      <c r="L4423">
        <v>19.69</v>
      </c>
      <c r="M4423">
        <v>2.53</v>
      </c>
      <c r="N4423">
        <v>3.562</v>
      </c>
      <c r="O4423">
        <v>23.09</v>
      </c>
      <c r="P4423">
        <v>26.68</v>
      </c>
      <c r="Q4423">
        <v>20.42</v>
      </c>
      <c r="R4423">
        <v>2.68</v>
      </c>
    </row>
    <row r="4424">
      <c r="A4424" s="9">
        <v>42955</v>
      </c>
      <c r="B4424" s="2" t="inlineStr">
        <is>
          <t xml:space="preserve">2017-08</t>
        </is>
      </c>
      <c r="C4424" s="2" t="inlineStr">
        <is>
          <t xml:space="preserve">2017/18</t>
        </is>
      </c>
      <c r="D4424">
        <v>0.175</v>
      </c>
      <c r="E4424">
        <v>22.53</v>
      </c>
      <c r="F4424">
        <v>26.46</v>
      </c>
      <c r="G4424">
        <v>19.15</v>
      </c>
      <c r="H4424">
        <v>0.8</v>
      </c>
      <c r="I4424">
        <v>0.197</v>
      </c>
      <c r="J4424">
        <v>22.49</v>
      </c>
      <c r="K4424">
        <v>26.25</v>
      </c>
      <c r="L4424">
        <v>19.56</v>
      </c>
      <c r="M4424">
        <v>0.27</v>
      </c>
      <c r="N4424">
        <v>0.513</v>
      </c>
      <c r="O4424">
        <v>23.29</v>
      </c>
      <c r="P4424">
        <v>27.27</v>
      </c>
      <c r="Q4424">
        <v>19.97</v>
      </c>
      <c r="R4424">
        <v>0.46</v>
      </c>
    </row>
    <row r="4425">
      <c r="A4425" s="9">
        <v>42956</v>
      </c>
      <c r="B4425" s="2" t="inlineStr">
        <is>
          <t xml:space="preserve">2017-08</t>
        </is>
      </c>
      <c r="C4425" s="2" t="inlineStr">
        <is>
          <t xml:space="preserve">2017/18</t>
        </is>
      </c>
      <c r="D4425">
        <v>0.316</v>
      </c>
      <c r="E4425">
        <v>22.42</v>
      </c>
      <c r="F4425">
        <v>26.24</v>
      </c>
      <c r="G4425">
        <v>19.77</v>
      </c>
      <c r="H4425">
        <v>1.93</v>
      </c>
      <c r="I4425">
        <v>0.0</v>
      </c>
      <c r="J4425">
        <v>22.96</v>
      </c>
      <c r="K4425">
        <v>26.93</v>
      </c>
      <c r="L4425">
        <v>19.27</v>
      </c>
      <c r="M4425">
        <v>6.9</v>
      </c>
      <c r="N4425">
        <v>0.0</v>
      </c>
      <c r="O4425">
        <v>22.77</v>
      </c>
      <c r="P4425">
        <v>26.31</v>
      </c>
      <c r="Q4425">
        <v>19.95</v>
      </c>
      <c r="R4425">
        <v>3.83</v>
      </c>
    </row>
    <row r="4426">
      <c r="A4426" s="9">
        <v>42957</v>
      </c>
      <c r="B4426" s="2" t="inlineStr">
        <is>
          <t xml:space="preserve">2017-08</t>
        </is>
      </c>
      <c r="C4426" s="2" t="inlineStr">
        <is>
          <t xml:space="preserve">2017/18</t>
        </is>
      </c>
      <c r="D4426">
        <v>8.022</v>
      </c>
      <c r="E4426">
        <v>20.73</v>
      </c>
      <c r="F4426">
        <v>24.44</v>
      </c>
      <c r="G4426">
        <v>18.5</v>
      </c>
      <c r="H4426">
        <v>7.91</v>
      </c>
      <c r="I4426">
        <v>21.269</v>
      </c>
      <c r="J4426">
        <v>22.68</v>
      </c>
      <c r="K4426">
        <v>26.56</v>
      </c>
      <c r="L4426">
        <v>20.12</v>
      </c>
      <c r="M4426">
        <v>10.57</v>
      </c>
      <c r="N4426">
        <v>9.332</v>
      </c>
      <c r="O4426">
        <v>22.36</v>
      </c>
      <c r="P4426">
        <v>26.12</v>
      </c>
      <c r="Q4426">
        <v>19.48</v>
      </c>
      <c r="R4426">
        <v>5.34</v>
      </c>
    </row>
    <row r="4427">
      <c r="A4427" s="9">
        <v>42958</v>
      </c>
      <c r="B4427" s="2" t="inlineStr">
        <is>
          <t xml:space="preserve">2017-08</t>
        </is>
      </c>
      <c r="C4427" s="2" t="inlineStr">
        <is>
          <t xml:space="preserve">2017/18</t>
        </is>
      </c>
      <c r="D4427">
        <v>8.75</v>
      </c>
      <c r="E4427">
        <v>21.57</v>
      </c>
      <c r="F4427">
        <v>25.97</v>
      </c>
      <c r="G4427">
        <v>18.35</v>
      </c>
      <c r="H4427">
        <v>1.77</v>
      </c>
      <c r="I4427">
        <v>7.294</v>
      </c>
      <c r="J4427">
        <v>21.79</v>
      </c>
      <c r="K4427">
        <v>25.79</v>
      </c>
      <c r="L4427">
        <v>18.92</v>
      </c>
      <c r="M4427">
        <v>2.73</v>
      </c>
      <c r="N4427">
        <v>2.141</v>
      </c>
      <c r="O4427">
        <v>22.11</v>
      </c>
      <c r="P4427">
        <v>26.92</v>
      </c>
      <c r="Q4427">
        <v>18.74</v>
      </c>
      <c r="R4427">
        <v>1.53</v>
      </c>
    </row>
    <row r="4428">
      <c r="A4428" s="9">
        <v>42959</v>
      </c>
      <c r="B4428" s="2" t="inlineStr">
        <is>
          <t xml:space="preserve">2017-08</t>
        </is>
      </c>
      <c r="C4428" s="2" t="inlineStr">
        <is>
          <t xml:space="preserve">2017/18</t>
        </is>
      </c>
      <c r="D4428">
        <v>0.036</v>
      </c>
      <c r="E4428">
        <v>21.64</v>
      </c>
      <c r="F4428">
        <v>26.59</v>
      </c>
      <c r="G4428">
        <v>17.21</v>
      </c>
      <c r="H4428">
        <v>1.11</v>
      </c>
      <c r="I4428">
        <v>0.05</v>
      </c>
      <c r="J4428">
        <v>22.31</v>
      </c>
      <c r="K4428">
        <v>26.4</v>
      </c>
      <c r="L4428">
        <v>18.65</v>
      </c>
      <c r="M4428">
        <v>2.66</v>
      </c>
      <c r="N4428">
        <v>0.392</v>
      </c>
      <c r="O4428">
        <v>22.68</v>
      </c>
      <c r="P4428">
        <v>26.35</v>
      </c>
      <c r="Q4428">
        <v>19.87</v>
      </c>
      <c r="R4428">
        <v>1.21</v>
      </c>
    </row>
    <row r="4429">
      <c r="A4429" s="9">
        <v>42960</v>
      </c>
      <c r="B4429" s="2" t="inlineStr">
        <is>
          <t xml:space="preserve">2017-08</t>
        </is>
      </c>
      <c r="C4429" s="2" t="inlineStr">
        <is>
          <t xml:space="preserve">2017/18</t>
        </is>
      </c>
      <c r="D4429">
        <v>2.697</v>
      </c>
      <c r="E4429">
        <v>21.8</v>
      </c>
      <c r="F4429">
        <v>27.67</v>
      </c>
      <c r="G4429">
        <v>17.27</v>
      </c>
      <c r="H4429">
        <v>2.48</v>
      </c>
      <c r="I4429">
        <v>10.052</v>
      </c>
      <c r="J4429">
        <v>22.38</v>
      </c>
      <c r="K4429">
        <v>26.27</v>
      </c>
      <c r="L4429">
        <v>18.77</v>
      </c>
      <c r="M4429">
        <v>10.94</v>
      </c>
      <c r="N4429">
        <v>0.984</v>
      </c>
      <c r="O4429">
        <v>22.9</v>
      </c>
      <c r="P4429">
        <v>27.24</v>
      </c>
      <c r="Q4429">
        <v>19.78</v>
      </c>
      <c r="R4429">
        <v>5.77</v>
      </c>
    </row>
    <row r="4430">
      <c r="A4430" s="9">
        <v>42961</v>
      </c>
      <c r="B4430" s="2" t="inlineStr">
        <is>
          <t xml:space="preserve">2017-08</t>
        </is>
      </c>
      <c r="C4430" s="2" t="inlineStr">
        <is>
          <t xml:space="preserve">2017/18</t>
        </is>
      </c>
      <c r="D4430">
        <v>3.454</v>
      </c>
      <c r="E4430">
        <v>21.28</v>
      </c>
      <c r="F4430">
        <v>26.61</v>
      </c>
      <c r="G4430">
        <v>16.17</v>
      </c>
      <c r="H4430">
        <v>4.53</v>
      </c>
      <c r="I4430">
        <v>9.303</v>
      </c>
      <c r="J4430">
        <v>22.89</v>
      </c>
      <c r="K4430">
        <v>26.77</v>
      </c>
      <c r="L4430">
        <v>18.9</v>
      </c>
      <c r="M4430">
        <v>8.88</v>
      </c>
      <c r="N4430">
        <v>11.761</v>
      </c>
      <c r="O4430">
        <v>22.69</v>
      </c>
      <c r="P4430">
        <v>27.61</v>
      </c>
      <c r="Q4430">
        <v>18.54</v>
      </c>
      <c r="R4430">
        <v>10.51</v>
      </c>
    </row>
    <row r="4431">
      <c r="A4431" s="9">
        <v>42962</v>
      </c>
      <c r="B4431" s="2" t="inlineStr">
        <is>
          <t xml:space="preserve">2017-08</t>
        </is>
      </c>
      <c r="C4431" s="2" t="inlineStr">
        <is>
          <t xml:space="preserve">2017/18</t>
        </is>
      </c>
      <c r="D4431">
        <v>6.776</v>
      </c>
      <c r="E4431">
        <v>21.98</v>
      </c>
      <c r="F4431">
        <v>27.43</v>
      </c>
      <c r="G4431">
        <v>17.46</v>
      </c>
      <c r="H4431">
        <v>3.15</v>
      </c>
      <c r="I4431">
        <v>3.086</v>
      </c>
      <c r="J4431">
        <v>23.45</v>
      </c>
      <c r="K4431">
        <v>27.93</v>
      </c>
      <c r="L4431">
        <v>20.38</v>
      </c>
      <c r="M4431">
        <v>3.1</v>
      </c>
      <c r="N4431">
        <v>11.747</v>
      </c>
      <c r="O4431">
        <v>23.4</v>
      </c>
      <c r="P4431">
        <v>27.66</v>
      </c>
      <c r="Q4431">
        <v>20.63</v>
      </c>
      <c r="R4431">
        <v>3.57</v>
      </c>
    </row>
    <row r="4432">
      <c r="A4432" s="9">
        <v>42963</v>
      </c>
      <c r="B4432" s="2" t="inlineStr">
        <is>
          <t xml:space="preserve">2017-08</t>
        </is>
      </c>
      <c r="C4432" s="2" t="inlineStr">
        <is>
          <t xml:space="preserve">2017/18</t>
        </is>
      </c>
      <c r="D4432">
        <v>0.467</v>
      </c>
      <c r="E4432">
        <v>22.13</v>
      </c>
      <c r="F4432">
        <v>27.54</v>
      </c>
      <c r="G4432">
        <v>17.86</v>
      </c>
      <c r="H4432">
        <v>0.24</v>
      </c>
      <c r="I4432">
        <v>1.657</v>
      </c>
      <c r="J4432">
        <v>23.24</v>
      </c>
      <c r="K4432">
        <v>27.43</v>
      </c>
      <c r="L4432">
        <v>19.61</v>
      </c>
      <c r="M4432">
        <v>1.68</v>
      </c>
      <c r="N4432">
        <v>0.044</v>
      </c>
      <c r="O4432">
        <v>23.53</v>
      </c>
      <c r="P4432">
        <v>27.75</v>
      </c>
      <c r="Q4432">
        <v>20.47</v>
      </c>
      <c r="R4432">
        <v>0.36</v>
      </c>
    </row>
    <row r="4433">
      <c r="A4433" s="9">
        <v>42964</v>
      </c>
      <c r="B4433" s="2" t="inlineStr">
        <is>
          <t xml:space="preserve">2017-08</t>
        </is>
      </c>
      <c r="C4433" s="2" t="inlineStr">
        <is>
          <t xml:space="preserve">2017/18</t>
        </is>
      </c>
      <c r="D4433">
        <v>0.068</v>
      </c>
      <c r="E4433">
        <v>22.08</v>
      </c>
      <c r="F4433">
        <v>27.49</v>
      </c>
      <c r="G4433">
        <v>18.03</v>
      </c>
      <c r="H4433">
        <v>0.28</v>
      </c>
      <c r="I4433">
        <v>6.272</v>
      </c>
      <c r="J4433">
        <v>22.99</v>
      </c>
      <c r="K4433">
        <v>27.03</v>
      </c>
      <c r="L4433">
        <v>20.0</v>
      </c>
      <c r="M4433">
        <v>2.51</v>
      </c>
      <c r="N4433">
        <v>0.229</v>
      </c>
      <c r="O4433">
        <v>23.69</v>
      </c>
      <c r="P4433">
        <v>28.06</v>
      </c>
      <c r="Q4433">
        <v>20.86</v>
      </c>
      <c r="R4433">
        <v>0.57</v>
      </c>
    </row>
    <row r="4434">
      <c r="A4434" s="9">
        <v>42965</v>
      </c>
      <c r="B4434" s="2" t="inlineStr">
        <is>
          <t xml:space="preserve">2017-08</t>
        </is>
      </c>
      <c r="C4434" s="2" t="inlineStr">
        <is>
          <t xml:space="preserve">2017/18</t>
        </is>
      </c>
      <c r="D4434">
        <v>0.0</v>
      </c>
      <c r="E4434">
        <v>22.02</v>
      </c>
      <c r="F4434">
        <v>28.2</v>
      </c>
      <c r="G4434">
        <v>17.12</v>
      </c>
      <c r="H4434">
        <v>0.24</v>
      </c>
      <c r="I4434">
        <v>1.478</v>
      </c>
      <c r="J4434">
        <v>22.59</v>
      </c>
      <c r="K4434">
        <v>27.39</v>
      </c>
      <c r="L4434">
        <v>18.9</v>
      </c>
      <c r="M4434">
        <v>0.57</v>
      </c>
      <c r="N4434">
        <v>1.063</v>
      </c>
      <c r="O4434">
        <v>23.13</v>
      </c>
      <c r="P4434">
        <v>27.36</v>
      </c>
      <c r="Q4434">
        <v>19.8</v>
      </c>
      <c r="R4434">
        <v>0.69</v>
      </c>
    </row>
    <row r="4435">
      <c r="A4435" s="9">
        <v>42966</v>
      </c>
      <c r="B4435" s="2" t="inlineStr">
        <is>
          <t xml:space="preserve">2017-08</t>
        </is>
      </c>
      <c r="C4435" s="2" t="inlineStr">
        <is>
          <t xml:space="preserve">2017/18</t>
        </is>
      </c>
      <c r="D4435">
        <v>0.0</v>
      </c>
      <c r="E4435">
        <v>21.72</v>
      </c>
      <c r="F4435">
        <v>26.52</v>
      </c>
      <c r="G4435">
        <v>18.3</v>
      </c>
      <c r="H4435">
        <v>2.11</v>
      </c>
      <c r="I4435">
        <v>0.0</v>
      </c>
      <c r="J4435">
        <v>22.07</v>
      </c>
      <c r="K4435">
        <v>26.25</v>
      </c>
      <c r="L4435">
        <v>18.87</v>
      </c>
      <c r="M4435">
        <v>0.11</v>
      </c>
      <c r="N4435">
        <v>0.038</v>
      </c>
      <c r="O4435">
        <v>22.57</v>
      </c>
      <c r="P4435">
        <v>26.96</v>
      </c>
      <c r="Q4435">
        <v>19.69</v>
      </c>
      <c r="R4435">
        <v>1.33</v>
      </c>
    </row>
    <row r="4436">
      <c r="A4436" s="9">
        <v>42967</v>
      </c>
      <c r="B4436" s="2" t="inlineStr">
        <is>
          <t xml:space="preserve">2017-08</t>
        </is>
      </c>
      <c r="C4436" s="2" t="inlineStr">
        <is>
          <t xml:space="preserve">2017/18</t>
        </is>
      </c>
      <c r="D4436">
        <v>3.084</v>
      </c>
      <c r="E4436">
        <v>21.38</v>
      </c>
      <c r="F4436">
        <v>26.16</v>
      </c>
      <c r="G4436">
        <v>17.17</v>
      </c>
      <c r="H4436">
        <v>7.33</v>
      </c>
      <c r="I4436">
        <v>0.0</v>
      </c>
      <c r="J4436">
        <v>21.97</v>
      </c>
      <c r="K4436">
        <v>26.73</v>
      </c>
      <c r="L4436">
        <v>17.7</v>
      </c>
      <c r="M4436">
        <v>20.12</v>
      </c>
      <c r="N4436">
        <v>0.208</v>
      </c>
      <c r="O4436">
        <v>22.06</v>
      </c>
      <c r="P4436">
        <v>26.7</v>
      </c>
      <c r="Q4436">
        <v>18.36</v>
      </c>
      <c r="R4436">
        <v>9.74</v>
      </c>
    </row>
    <row r="4437">
      <c r="A4437" s="9">
        <v>42968</v>
      </c>
      <c r="B4437" s="2" t="inlineStr">
        <is>
          <t xml:space="preserve">2017-08</t>
        </is>
      </c>
      <c r="C4437" s="2" t="inlineStr">
        <is>
          <t xml:space="preserve">2017/18</t>
        </is>
      </c>
      <c r="D4437">
        <v>1.331</v>
      </c>
      <c r="E4437">
        <v>22.05</v>
      </c>
      <c r="F4437">
        <v>27.17</v>
      </c>
      <c r="G4437">
        <v>17.78</v>
      </c>
      <c r="H4437">
        <v>2.11</v>
      </c>
      <c r="I4437">
        <v>28.805</v>
      </c>
      <c r="J4437">
        <v>22.89</v>
      </c>
      <c r="K4437">
        <v>27.44</v>
      </c>
      <c r="L4437">
        <v>18.87</v>
      </c>
      <c r="M4437">
        <v>4.26</v>
      </c>
      <c r="N4437">
        <v>21.833</v>
      </c>
      <c r="O4437">
        <v>23.03</v>
      </c>
      <c r="P4437">
        <v>27.7</v>
      </c>
      <c r="Q4437">
        <v>19.53</v>
      </c>
      <c r="R4437">
        <v>3.2</v>
      </c>
    </row>
    <row r="4438">
      <c r="A4438" s="9">
        <v>42969</v>
      </c>
      <c r="B4438" s="2" t="inlineStr">
        <is>
          <t xml:space="preserve">2017-08</t>
        </is>
      </c>
      <c r="C4438" s="2" t="inlineStr">
        <is>
          <t xml:space="preserve">2017/18</t>
        </is>
      </c>
      <c r="D4438">
        <v>0.082</v>
      </c>
      <c r="E4438">
        <v>22.98</v>
      </c>
      <c r="F4438">
        <v>28.76</v>
      </c>
      <c r="G4438">
        <v>18.0</v>
      </c>
      <c r="H4438">
        <v>2.84</v>
      </c>
      <c r="I4438">
        <v>0.089</v>
      </c>
      <c r="J4438">
        <v>23.15</v>
      </c>
      <c r="K4438">
        <v>26.97</v>
      </c>
      <c r="L4438">
        <v>20.06</v>
      </c>
      <c r="M4438">
        <v>0.59</v>
      </c>
      <c r="N4438">
        <v>0.862</v>
      </c>
      <c r="O4438">
        <v>23.31</v>
      </c>
      <c r="P4438">
        <v>27.7</v>
      </c>
      <c r="Q4438">
        <v>20.12</v>
      </c>
      <c r="R4438">
        <v>1.1</v>
      </c>
    </row>
    <row r="4439">
      <c r="A4439" s="9">
        <v>42970</v>
      </c>
      <c r="B4439" s="2" t="inlineStr">
        <is>
          <t xml:space="preserve">2017-08</t>
        </is>
      </c>
      <c r="C4439" s="2" t="inlineStr">
        <is>
          <t xml:space="preserve">2017/18</t>
        </is>
      </c>
      <c r="D4439">
        <v>3.781</v>
      </c>
      <c r="E4439">
        <v>22.36</v>
      </c>
      <c r="F4439">
        <v>26.88</v>
      </c>
      <c r="G4439">
        <v>19.25</v>
      </c>
      <c r="H4439">
        <v>9.6</v>
      </c>
      <c r="I4439">
        <v>1.105</v>
      </c>
      <c r="J4439">
        <v>23.1</v>
      </c>
      <c r="K4439">
        <v>26.51</v>
      </c>
      <c r="L4439">
        <v>20.31</v>
      </c>
      <c r="M4439">
        <v>15.52</v>
      </c>
      <c r="N4439">
        <v>3.991</v>
      </c>
      <c r="O4439">
        <v>23.68</v>
      </c>
      <c r="P4439">
        <v>27.46</v>
      </c>
      <c r="Q4439">
        <v>21.09</v>
      </c>
      <c r="R4439">
        <v>8.45</v>
      </c>
    </row>
    <row r="4440">
      <c r="A4440" s="9">
        <v>42971</v>
      </c>
      <c r="B4440" s="2" t="inlineStr">
        <is>
          <t xml:space="preserve">2017-08</t>
        </is>
      </c>
      <c r="C4440" s="2" t="inlineStr">
        <is>
          <t xml:space="preserve">2017/18</t>
        </is>
      </c>
      <c r="D4440">
        <v>12.394</v>
      </c>
      <c r="E4440">
        <v>21.61</v>
      </c>
      <c r="F4440">
        <v>25.65</v>
      </c>
      <c r="G4440">
        <v>18.03</v>
      </c>
      <c r="H4440">
        <v>7.41</v>
      </c>
      <c r="I4440">
        <v>33.961</v>
      </c>
      <c r="J4440">
        <v>22.9</v>
      </c>
      <c r="K4440">
        <v>27.36</v>
      </c>
      <c r="L4440">
        <v>20.04</v>
      </c>
      <c r="M4440">
        <v>11.34</v>
      </c>
      <c r="N4440">
        <v>10.27</v>
      </c>
      <c r="O4440">
        <v>23.75</v>
      </c>
      <c r="P4440">
        <v>28.24</v>
      </c>
      <c r="Q4440">
        <v>20.35</v>
      </c>
      <c r="R4440">
        <v>5.13</v>
      </c>
    </row>
    <row r="4441">
      <c r="A4441" s="9">
        <v>42972</v>
      </c>
      <c r="B4441" s="2" t="inlineStr">
        <is>
          <t xml:space="preserve">2017-08</t>
        </is>
      </c>
      <c r="C4441" s="2" t="inlineStr">
        <is>
          <t xml:space="preserve">2017/18</t>
        </is>
      </c>
      <c r="D4441">
        <v>10.901</v>
      </c>
      <c r="E4441">
        <v>21.76</v>
      </c>
      <c r="F4441">
        <v>26.96</v>
      </c>
      <c r="G4441">
        <v>17.41</v>
      </c>
      <c r="H4441">
        <v>4.14</v>
      </c>
      <c r="I4441">
        <v>11.284</v>
      </c>
      <c r="J4441">
        <v>21.77</v>
      </c>
      <c r="K4441">
        <v>25.86</v>
      </c>
      <c r="L4441">
        <v>19.04</v>
      </c>
      <c r="M4441">
        <v>4.23</v>
      </c>
      <c r="N4441">
        <v>4.327</v>
      </c>
      <c r="O4441">
        <v>23.73</v>
      </c>
      <c r="P4441">
        <v>28.22</v>
      </c>
      <c r="Q4441">
        <v>20.34</v>
      </c>
      <c r="R4441">
        <v>2.9</v>
      </c>
    </row>
    <row r="4442">
      <c r="A4442" s="9">
        <v>42973</v>
      </c>
      <c r="B4442" s="2" t="inlineStr">
        <is>
          <t xml:space="preserve">2017-08</t>
        </is>
      </c>
      <c r="C4442" s="2" t="inlineStr">
        <is>
          <t xml:space="preserve">2017/18</t>
        </is>
      </c>
      <c r="D4442">
        <v>0.412</v>
      </c>
      <c r="E4442">
        <v>22.73</v>
      </c>
      <c r="F4442">
        <v>27.64</v>
      </c>
      <c r="G4442">
        <v>19.09</v>
      </c>
      <c r="H4442">
        <v>0.79</v>
      </c>
      <c r="I4442">
        <v>0.308</v>
      </c>
      <c r="J4442">
        <v>22.44</v>
      </c>
      <c r="K4442">
        <v>27.03</v>
      </c>
      <c r="L4442">
        <v>18.77</v>
      </c>
      <c r="M4442">
        <v>0.48</v>
      </c>
      <c r="N4442">
        <v>0.57</v>
      </c>
      <c r="O4442">
        <v>23.27</v>
      </c>
      <c r="P4442">
        <v>27.84</v>
      </c>
      <c r="Q4442">
        <v>19.13</v>
      </c>
      <c r="R4442">
        <v>0.8</v>
      </c>
    </row>
    <row r="4443">
      <c r="A4443" s="9">
        <v>42974</v>
      </c>
      <c r="B4443" s="2" t="inlineStr">
        <is>
          <t xml:space="preserve">2017-08</t>
        </is>
      </c>
      <c r="C4443" s="2" t="inlineStr">
        <is>
          <t xml:space="preserve">2017/18</t>
        </is>
      </c>
      <c r="D4443">
        <v>0.783</v>
      </c>
      <c r="E4443">
        <v>22.29</v>
      </c>
      <c r="F4443">
        <v>28.12</v>
      </c>
      <c r="G4443">
        <v>17.09</v>
      </c>
      <c r="H4443">
        <v>0.45</v>
      </c>
      <c r="I4443">
        <v>0.069</v>
      </c>
      <c r="J4443">
        <v>22.96</v>
      </c>
      <c r="K4443">
        <v>27.84</v>
      </c>
      <c r="L4443">
        <v>18.74</v>
      </c>
      <c r="M4443">
        <v>0.81</v>
      </c>
      <c r="N4443">
        <v>0.311</v>
      </c>
      <c r="O4443">
        <v>24.41</v>
      </c>
      <c r="P4443">
        <v>30.03</v>
      </c>
      <c r="Q4443">
        <v>19.19</v>
      </c>
      <c r="R4443">
        <v>0.84</v>
      </c>
    </row>
    <row r="4444">
      <c r="A4444" s="9">
        <v>42975</v>
      </c>
      <c r="B4444" s="2" t="inlineStr">
        <is>
          <t xml:space="preserve">2017-08</t>
        </is>
      </c>
      <c r="C4444" s="2" t="inlineStr">
        <is>
          <t xml:space="preserve">2017/18</t>
        </is>
      </c>
      <c r="D4444">
        <v>0.0</v>
      </c>
      <c r="E4444">
        <v>22.41</v>
      </c>
      <c r="F4444">
        <v>28.07</v>
      </c>
      <c r="G4444">
        <v>17.58</v>
      </c>
      <c r="H4444">
        <v>0.29</v>
      </c>
      <c r="I4444">
        <v>0.256</v>
      </c>
      <c r="J4444">
        <v>23.14</v>
      </c>
      <c r="K4444">
        <v>27.72</v>
      </c>
      <c r="L4444">
        <v>18.87</v>
      </c>
      <c r="M4444">
        <v>0.34</v>
      </c>
      <c r="N4444">
        <v>2.481</v>
      </c>
      <c r="O4444">
        <v>23.92</v>
      </c>
      <c r="P4444">
        <v>29.32</v>
      </c>
      <c r="Q4444">
        <v>19.24</v>
      </c>
      <c r="R4444">
        <v>0.27</v>
      </c>
    </row>
    <row r="4445">
      <c r="A4445" s="9">
        <v>42976</v>
      </c>
      <c r="B4445" s="2" t="inlineStr">
        <is>
          <t xml:space="preserve">2017-08</t>
        </is>
      </c>
      <c r="C4445" s="2" t="inlineStr">
        <is>
          <t xml:space="preserve">2017/18</t>
        </is>
      </c>
      <c r="D4445">
        <v>0.799</v>
      </c>
      <c r="E4445">
        <v>21.63</v>
      </c>
      <c r="F4445">
        <v>25.4</v>
      </c>
      <c r="G4445">
        <v>18.28</v>
      </c>
      <c r="H4445">
        <v>4.65</v>
      </c>
      <c r="I4445">
        <v>0.052</v>
      </c>
      <c r="J4445">
        <v>22.94</v>
      </c>
      <c r="K4445">
        <v>26.57</v>
      </c>
      <c r="L4445">
        <v>19.68</v>
      </c>
      <c r="M4445">
        <v>3.18</v>
      </c>
      <c r="N4445">
        <v>0.365</v>
      </c>
      <c r="O4445">
        <v>23.43</v>
      </c>
      <c r="P4445">
        <v>28.59</v>
      </c>
      <c r="Q4445">
        <v>19.68</v>
      </c>
      <c r="R4445">
        <v>4.47</v>
      </c>
    </row>
    <row r="4446">
      <c r="A4446" s="9">
        <v>42977</v>
      </c>
      <c r="B4446" s="2" t="inlineStr">
        <is>
          <t xml:space="preserve">2017-08</t>
        </is>
      </c>
      <c r="C4446" s="2" t="inlineStr">
        <is>
          <t xml:space="preserve">2017/18</t>
        </is>
      </c>
      <c r="D4446">
        <v>11.42</v>
      </c>
      <c r="E4446">
        <v>22.24</v>
      </c>
      <c r="F4446">
        <v>27.58</v>
      </c>
      <c r="G4446">
        <v>18.03</v>
      </c>
      <c r="H4446">
        <v>18.95</v>
      </c>
      <c r="I4446">
        <v>2.511</v>
      </c>
      <c r="J4446">
        <v>23.07</v>
      </c>
      <c r="K4446">
        <v>26.79</v>
      </c>
      <c r="L4446">
        <v>20.75</v>
      </c>
      <c r="M4446">
        <v>6.35</v>
      </c>
      <c r="N4446">
        <v>9.864</v>
      </c>
      <c r="O4446">
        <v>23.78</v>
      </c>
      <c r="P4446">
        <v>28.43</v>
      </c>
      <c r="Q4446">
        <v>20.93</v>
      </c>
      <c r="R4446">
        <v>8.08</v>
      </c>
    </row>
    <row r="4447">
      <c r="A4447" s="9">
        <v>42978</v>
      </c>
      <c r="B4447" s="2" t="inlineStr">
        <is>
          <t xml:space="preserve">2017-08</t>
        </is>
      </c>
      <c r="C4447" s="2" t="inlineStr">
        <is>
          <t xml:space="preserve">2017/18</t>
        </is>
      </c>
      <c r="D4447">
        <v>19.274</v>
      </c>
      <c r="E4447">
        <v>21.74</v>
      </c>
      <c r="F4447">
        <v>26.54</v>
      </c>
      <c r="G4447">
        <v>18.3</v>
      </c>
      <c r="H4447">
        <v>12.55</v>
      </c>
      <c r="I4447">
        <v>13.844</v>
      </c>
      <c r="J4447">
        <v>23.15</v>
      </c>
      <c r="K4447">
        <v>27.22</v>
      </c>
      <c r="L4447">
        <v>19.73</v>
      </c>
      <c r="M4447">
        <v>16.49</v>
      </c>
      <c r="N4447">
        <v>12.009</v>
      </c>
      <c r="O4447">
        <v>23.03</v>
      </c>
      <c r="P4447">
        <v>27.06</v>
      </c>
      <c r="Q4447">
        <v>19.82</v>
      </c>
      <c r="R4447">
        <v>9.27</v>
      </c>
    </row>
    <row r="4448">
      <c r="A4448" s="9">
        <v>42979</v>
      </c>
      <c r="B4448" s="2" t="inlineStr">
        <is>
          <t xml:space="preserve">2017-09</t>
        </is>
      </c>
      <c r="C4448" s="2" t="inlineStr">
        <is>
          <t xml:space="preserve">2017/18</t>
        </is>
      </c>
      <c r="D4448">
        <v>19.392</v>
      </c>
      <c r="E4448">
        <v>21.67</v>
      </c>
      <c r="F4448">
        <v>27.27</v>
      </c>
      <c r="G4448">
        <v>16.0</v>
      </c>
      <c r="H4448">
        <v>10.4</v>
      </c>
      <c r="I4448">
        <v>19.944</v>
      </c>
      <c r="J4448">
        <v>22.76</v>
      </c>
      <c r="K4448">
        <v>26.22</v>
      </c>
      <c r="L4448">
        <v>19.38</v>
      </c>
      <c r="M4448">
        <v>8.56</v>
      </c>
      <c r="N4448">
        <v>3.909</v>
      </c>
      <c r="O4448">
        <v>23.42</v>
      </c>
      <c r="P4448">
        <v>28.16</v>
      </c>
      <c r="Q4448">
        <v>19.82</v>
      </c>
      <c r="R4448">
        <v>7.21</v>
      </c>
    </row>
    <row r="4449">
      <c r="A4449" s="9">
        <v>42980</v>
      </c>
      <c r="B4449" s="2" t="inlineStr">
        <is>
          <t xml:space="preserve">2017-09</t>
        </is>
      </c>
      <c r="C4449" s="2" t="inlineStr">
        <is>
          <t xml:space="preserve">2017/18</t>
        </is>
      </c>
      <c r="D4449">
        <v>5.564</v>
      </c>
      <c r="E4449">
        <v>21.88</v>
      </c>
      <c r="F4449">
        <v>25.96</v>
      </c>
      <c r="G4449">
        <v>18.62</v>
      </c>
      <c r="H4449">
        <v>7.28</v>
      </c>
      <c r="I4449">
        <v>5.783</v>
      </c>
      <c r="J4449">
        <v>23.11</v>
      </c>
      <c r="K4449">
        <v>27.26</v>
      </c>
      <c r="L4449">
        <v>19.08</v>
      </c>
      <c r="M4449">
        <v>8.34</v>
      </c>
      <c r="N4449">
        <v>13.534</v>
      </c>
      <c r="O4449">
        <v>23.41</v>
      </c>
      <c r="P4449">
        <v>27.27</v>
      </c>
      <c r="Q4449">
        <v>20.68</v>
      </c>
      <c r="R4449">
        <v>7.0</v>
      </c>
    </row>
    <row r="4450">
      <c r="A4450" s="9">
        <v>42981</v>
      </c>
      <c r="B4450" s="2" t="inlineStr">
        <is>
          <t xml:space="preserve">2017-09</t>
        </is>
      </c>
      <c r="C4450" s="2" t="inlineStr">
        <is>
          <t xml:space="preserve">2017/18</t>
        </is>
      </c>
      <c r="D4450">
        <v>26.516</v>
      </c>
      <c r="E4450">
        <v>21.7</v>
      </c>
      <c r="F4450">
        <v>25.98</v>
      </c>
      <c r="G4450">
        <v>18.67</v>
      </c>
      <c r="H4450">
        <v>18.04</v>
      </c>
      <c r="I4450">
        <v>9.627</v>
      </c>
      <c r="J4450">
        <v>22.48</v>
      </c>
      <c r="K4450">
        <v>26.33</v>
      </c>
      <c r="L4450">
        <v>19.92</v>
      </c>
      <c r="M4450">
        <v>10.73</v>
      </c>
      <c r="N4450">
        <v>21.494</v>
      </c>
      <c r="O4450">
        <v>22.31</v>
      </c>
      <c r="P4450">
        <v>25.02</v>
      </c>
      <c r="Q4450">
        <v>20.5</v>
      </c>
      <c r="R4450">
        <v>11.05</v>
      </c>
    </row>
    <row r="4451">
      <c r="A4451" s="9">
        <v>42982</v>
      </c>
      <c r="B4451" s="2" t="inlineStr">
        <is>
          <t xml:space="preserve">2017-09</t>
        </is>
      </c>
      <c r="C4451" s="2" t="inlineStr">
        <is>
          <t xml:space="preserve">2017/18</t>
        </is>
      </c>
      <c r="D4451">
        <v>26.173</v>
      </c>
      <c r="E4451">
        <v>21.87</v>
      </c>
      <c r="F4451">
        <v>27.37</v>
      </c>
      <c r="G4451">
        <v>17.32</v>
      </c>
      <c r="H4451">
        <v>6.53</v>
      </c>
      <c r="I4451">
        <v>2.628</v>
      </c>
      <c r="J4451">
        <v>23.15</v>
      </c>
      <c r="K4451">
        <v>27.75</v>
      </c>
      <c r="L4451">
        <v>18.81</v>
      </c>
      <c r="M4451">
        <v>0.77</v>
      </c>
      <c r="N4451">
        <v>1.043</v>
      </c>
      <c r="O4451">
        <v>23.32</v>
      </c>
      <c r="P4451">
        <v>28.12</v>
      </c>
      <c r="Q4451">
        <v>19.86</v>
      </c>
      <c r="R4451">
        <v>2.6</v>
      </c>
    </row>
    <row r="4452">
      <c r="A4452" s="9">
        <v>42983</v>
      </c>
      <c r="B4452" s="2" t="inlineStr">
        <is>
          <t xml:space="preserve">2017-09</t>
        </is>
      </c>
      <c r="C4452" s="2" t="inlineStr">
        <is>
          <t xml:space="preserve">2017/18</t>
        </is>
      </c>
      <c r="D4452">
        <v>13.583</v>
      </c>
      <c r="E4452">
        <v>22.42</v>
      </c>
      <c r="F4452">
        <v>27.13</v>
      </c>
      <c r="G4452">
        <v>18.02</v>
      </c>
      <c r="H4452">
        <v>7.68</v>
      </c>
      <c r="I4452">
        <v>0.0</v>
      </c>
      <c r="J4452">
        <v>23.49</v>
      </c>
      <c r="K4452">
        <v>27.29</v>
      </c>
      <c r="L4452">
        <v>20.4</v>
      </c>
      <c r="M4452">
        <v>0.51</v>
      </c>
      <c r="N4452">
        <v>0.051</v>
      </c>
      <c r="O4452">
        <v>23.93</v>
      </c>
      <c r="P4452">
        <v>28.3</v>
      </c>
      <c r="Q4452">
        <v>20.43</v>
      </c>
      <c r="R4452">
        <v>1.88</v>
      </c>
    </row>
    <row r="4453">
      <c r="A4453" s="9">
        <v>42984</v>
      </c>
      <c r="B4453" s="2" t="inlineStr">
        <is>
          <t xml:space="preserve">2017-09</t>
        </is>
      </c>
      <c r="C4453" s="2" t="inlineStr">
        <is>
          <t xml:space="preserve">2017/18</t>
        </is>
      </c>
      <c r="D4453">
        <v>1.998</v>
      </c>
      <c r="E4453">
        <v>23.07</v>
      </c>
      <c r="F4453">
        <v>27.86</v>
      </c>
      <c r="G4453">
        <v>18.6</v>
      </c>
      <c r="H4453">
        <v>2.54</v>
      </c>
      <c r="I4453">
        <v>0.272</v>
      </c>
      <c r="J4453">
        <v>23.75</v>
      </c>
      <c r="K4453">
        <v>27.8</v>
      </c>
      <c r="L4453">
        <v>20.09</v>
      </c>
      <c r="M4453">
        <v>1.21</v>
      </c>
      <c r="N4453">
        <v>1.911</v>
      </c>
      <c r="O4453">
        <v>24.57</v>
      </c>
      <c r="P4453">
        <v>29.17</v>
      </c>
      <c r="Q4453">
        <v>20.87</v>
      </c>
      <c r="R4453">
        <v>1.86</v>
      </c>
    </row>
    <row r="4454">
      <c r="A4454" s="9">
        <v>42985</v>
      </c>
      <c r="B4454" s="2" t="inlineStr">
        <is>
          <t xml:space="preserve">2017-09</t>
        </is>
      </c>
      <c r="C4454" s="2" t="inlineStr">
        <is>
          <t xml:space="preserve">2017/18</t>
        </is>
      </c>
      <c r="D4454">
        <v>4.472</v>
      </c>
      <c r="E4454">
        <v>22.98</v>
      </c>
      <c r="F4454">
        <v>27.88</v>
      </c>
      <c r="G4454">
        <v>18.83</v>
      </c>
      <c r="H4454">
        <v>2.52</v>
      </c>
      <c r="I4454">
        <v>1.575</v>
      </c>
      <c r="J4454">
        <v>23.04</v>
      </c>
      <c r="K4454">
        <v>26.44</v>
      </c>
      <c r="L4454">
        <v>20.58</v>
      </c>
      <c r="M4454">
        <v>7.18</v>
      </c>
      <c r="N4454">
        <v>1.131</v>
      </c>
      <c r="O4454">
        <v>23.95</v>
      </c>
      <c r="P4454">
        <v>28.1</v>
      </c>
      <c r="Q4454">
        <v>21.08</v>
      </c>
      <c r="R4454">
        <v>1.93</v>
      </c>
    </row>
    <row r="4455">
      <c r="A4455" s="9">
        <v>42986</v>
      </c>
      <c r="B4455" s="2" t="inlineStr">
        <is>
          <t xml:space="preserve">2017-09</t>
        </is>
      </c>
      <c r="C4455" s="2" t="inlineStr">
        <is>
          <t xml:space="preserve">2017/18</t>
        </is>
      </c>
      <c r="D4455">
        <v>1.304</v>
      </c>
      <c r="E4455">
        <v>22.77</v>
      </c>
      <c r="F4455">
        <v>27.93</v>
      </c>
      <c r="G4455">
        <v>18.27</v>
      </c>
      <c r="H4455">
        <v>0.24</v>
      </c>
      <c r="I4455">
        <v>29.024</v>
      </c>
      <c r="J4455">
        <v>23.36</v>
      </c>
      <c r="K4455">
        <v>27.26</v>
      </c>
      <c r="L4455">
        <v>20.55</v>
      </c>
      <c r="M4455">
        <v>14.01</v>
      </c>
      <c r="N4455">
        <v>0.985</v>
      </c>
      <c r="O4455">
        <v>23.83</v>
      </c>
      <c r="P4455">
        <v>28.4</v>
      </c>
      <c r="Q4455">
        <v>20.68</v>
      </c>
      <c r="R4455">
        <v>1.35</v>
      </c>
    </row>
    <row r="4456">
      <c r="A4456" s="9">
        <v>42987</v>
      </c>
      <c r="B4456" s="2" t="inlineStr">
        <is>
          <t xml:space="preserve">2017-09</t>
        </is>
      </c>
      <c r="C4456" s="2" t="inlineStr">
        <is>
          <t xml:space="preserve">2017/18</t>
        </is>
      </c>
      <c r="D4456">
        <v>1.205</v>
      </c>
      <c r="E4456">
        <v>23.06</v>
      </c>
      <c r="F4456">
        <v>27.69</v>
      </c>
      <c r="G4456">
        <v>19.34</v>
      </c>
      <c r="H4456">
        <v>1.82</v>
      </c>
      <c r="I4456">
        <v>27.871</v>
      </c>
      <c r="J4456">
        <v>22.94</v>
      </c>
      <c r="K4456">
        <v>26.46</v>
      </c>
      <c r="L4456">
        <v>20.29</v>
      </c>
      <c r="M4456">
        <v>11.15</v>
      </c>
      <c r="N4456">
        <v>0.875</v>
      </c>
      <c r="O4456">
        <v>23.83</v>
      </c>
      <c r="P4456">
        <v>28.32</v>
      </c>
      <c r="Q4456">
        <v>20.48</v>
      </c>
      <c r="R4456">
        <v>1.37</v>
      </c>
    </row>
    <row r="4457">
      <c r="A4457" s="9">
        <v>42988</v>
      </c>
      <c r="B4457" s="2" t="inlineStr">
        <is>
          <t xml:space="preserve">2017-09</t>
        </is>
      </c>
      <c r="C4457" s="2" t="inlineStr">
        <is>
          <t xml:space="preserve">2017/18</t>
        </is>
      </c>
      <c r="D4457">
        <v>2.604</v>
      </c>
      <c r="E4457">
        <v>21.38</v>
      </c>
      <c r="F4457">
        <v>24.87</v>
      </c>
      <c r="G4457">
        <v>18.89</v>
      </c>
      <c r="H4457">
        <v>5.63</v>
      </c>
      <c r="I4457">
        <v>13.13</v>
      </c>
      <c r="J4457">
        <v>22.94</v>
      </c>
      <c r="K4457">
        <v>27.1</v>
      </c>
      <c r="L4457">
        <v>19.83</v>
      </c>
      <c r="M4457">
        <v>5.64</v>
      </c>
      <c r="N4457">
        <v>0.5</v>
      </c>
      <c r="O4457">
        <v>23.95</v>
      </c>
      <c r="P4457">
        <v>28.0</v>
      </c>
      <c r="Q4457">
        <v>20.19</v>
      </c>
      <c r="R4457">
        <v>3.26</v>
      </c>
    </row>
    <row r="4458">
      <c r="A4458" s="9">
        <v>42989</v>
      </c>
      <c r="B4458" s="2" t="inlineStr">
        <is>
          <t xml:space="preserve">2017-09</t>
        </is>
      </c>
      <c r="C4458" s="2" t="inlineStr">
        <is>
          <t xml:space="preserve">2017/18</t>
        </is>
      </c>
      <c r="D4458">
        <v>22.959</v>
      </c>
      <c r="E4458">
        <v>21.8</v>
      </c>
      <c r="F4458">
        <v>26.14</v>
      </c>
      <c r="G4458">
        <v>18.83</v>
      </c>
      <c r="H4458">
        <v>15.79</v>
      </c>
      <c r="I4458">
        <v>5.741</v>
      </c>
      <c r="J4458">
        <v>22.16</v>
      </c>
      <c r="K4458">
        <v>24.42</v>
      </c>
      <c r="L4458">
        <v>20.44</v>
      </c>
      <c r="M4458">
        <v>13.96</v>
      </c>
      <c r="N4458">
        <v>15.321</v>
      </c>
      <c r="O4458">
        <v>21.82</v>
      </c>
      <c r="P4458">
        <v>23.39</v>
      </c>
      <c r="Q4458">
        <v>20.46</v>
      </c>
      <c r="R4458">
        <v>19.01</v>
      </c>
    </row>
    <row r="4459">
      <c r="A4459" s="9">
        <v>42990</v>
      </c>
      <c r="B4459" s="2" t="inlineStr">
        <is>
          <t xml:space="preserve">2017-09</t>
        </is>
      </c>
      <c r="C4459" s="2" t="inlineStr">
        <is>
          <t xml:space="preserve">2017/18</t>
        </is>
      </c>
      <c r="D4459">
        <v>12.325</v>
      </c>
      <c r="E4459">
        <v>22.16</v>
      </c>
      <c r="F4459">
        <v>25.73</v>
      </c>
      <c r="G4459">
        <v>19.84</v>
      </c>
      <c r="H4459">
        <v>15.36</v>
      </c>
      <c r="I4459">
        <v>8.403</v>
      </c>
      <c r="J4459">
        <v>22.24</v>
      </c>
      <c r="K4459">
        <v>25.98</v>
      </c>
      <c r="L4459">
        <v>19.11</v>
      </c>
      <c r="M4459">
        <v>14.03</v>
      </c>
      <c r="N4459">
        <v>29.53</v>
      </c>
      <c r="O4459">
        <v>22.0</v>
      </c>
      <c r="P4459">
        <v>24.74</v>
      </c>
      <c r="Q4459">
        <v>19.77</v>
      </c>
      <c r="R4459">
        <v>24.69</v>
      </c>
    </row>
    <row r="4460">
      <c r="A4460" s="9">
        <v>42991</v>
      </c>
      <c r="B4460" s="2" t="inlineStr">
        <is>
          <t xml:space="preserve">2017-09</t>
        </is>
      </c>
      <c r="C4460" s="2" t="inlineStr">
        <is>
          <t xml:space="preserve">2017/18</t>
        </is>
      </c>
      <c r="D4460">
        <v>14.158</v>
      </c>
      <c r="E4460">
        <v>21.99</v>
      </c>
      <c r="F4460">
        <v>24.92</v>
      </c>
      <c r="G4460">
        <v>19.48</v>
      </c>
      <c r="H4460">
        <v>10.48</v>
      </c>
      <c r="I4460">
        <v>3.19</v>
      </c>
      <c r="J4460">
        <v>22.7</v>
      </c>
      <c r="K4460">
        <v>27.1</v>
      </c>
      <c r="L4460">
        <v>19.82</v>
      </c>
      <c r="M4460">
        <v>4.29</v>
      </c>
      <c r="N4460">
        <v>10.689</v>
      </c>
      <c r="O4460">
        <v>23.7</v>
      </c>
      <c r="P4460">
        <v>27.96</v>
      </c>
      <c r="Q4460">
        <v>20.66</v>
      </c>
      <c r="R4460">
        <v>13.4</v>
      </c>
    </row>
    <row r="4461">
      <c r="A4461" s="9">
        <v>42992</v>
      </c>
      <c r="B4461" s="2" t="inlineStr">
        <is>
          <t xml:space="preserve">2017-09</t>
        </is>
      </c>
      <c r="C4461" s="2" t="inlineStr">
        <is>
          <t xml:space="preserve">2017/18</t>
        </is>
      </c>
      <c r="D4461">
        <v>1.961</v>
      </c>
      <c r="E4461">
        <v>22.74</v>
      </c>
      <c r="F4461">
        <v>26.49</v>
      </c>
      <c r="G4461">
        <v>19.27</v>
      </c>
      <c r="H4461">
        <v>2.33</v>
      </c>
      <c r="I4461">
        <v>0.047</v>
      </c>
      <c r="J4461">
        <v>23.14</v>
      </c>
      <c r="K4461">
        <v>26.83</v>
      </c>
      <c r="L4461">
        <v>19.63</v>
      </c>
      <c r="M4461">
        <v>0.27</v>
      </c>
      <c r="N4461">
        <v>0.5</v>
      </c>
      <c r="O4461">
        <v>23.68</v>
      </c>
      <c r="P4461">
        <v>26.92</v>
      </c>
      <c r="Q4461">
        <v>20.38</v>
      </c>
      <c r="R4461">
        <v>0.16</v>
      </c>
    </row>
    <row r="4462">
      <c r="A4462" s="9">
        <v>42993</v>
      </c>
      <c r="B4462" s="2" t="inlineStr">
        <is>
          <t xml:space="preserve">2017-09</t>
        </is>
      </c>
      <c r="C4462" s="2" t="inlineStr">
        <is>
          <t xml:space="preserve">2017/18</t>
        </is>
      </c>
      <c r="D4462">
        <v>0.023</v>
      </c>
      <c r="E4462">
        <v>21.77</v>
      </c>
      <c r="F4462">
        <v>26.49</v>
      </c>
      <c r="G4462">
        <v>18.41</v>
      </c>
      <c r="H4462">
        <v>0.22</v>
      </c>
      <c r="I4462">
        <v>0.0</v>
      </c>
      <c r="J4462">
        <v>23.77</v>
      </c>
      <c r="K4462">
        <v>27.86</v>
      </c>
      <c r="L4462">
        <v>20.41</v>
      </c>
      <c r="M4462">
        <v>1.54</v>
      </c>
      <c r="N4462">
        <v>0.0</v>
      </c>
      <c r="O4462">
        <v>24.52</v>
      </c>
      <c r="P4462">
        <v>29.14</v>
      </c>
      <c r="Q4462">
        <v>21.06</v>
      </c>
      <c r="R4462">
        <v>0.91</v>
      </c>
    </row>
    <row r="4463">
      <c r="A4463" s="9">
        <v>42994</v>
      </c>
      <c r="B4463" s="2" t="inlineStr">
        <is>
          <t xml:space="preserve">2017-09</t>
        </is>
      </c>
      <c r="C4463" s="2" t="inlineStr">
        <is>
          <t xml:space="preserve">2017/18</t>
        </is>
      </c>
      <c r="D4463">
        <v>2.425</v>
      </c>
      <c r="E4463">
        <v>22.59</v>
      </c>
      <c r="F4463">
        <v>27.71</v>
      </c>
      <c r="G4463">
        <v>17.77</v>
      </c>
      <c r="H4463">
        <v>3.66</v>
      </c>
      <c r="I4463">
        <v>1.991</v>
      </c>
      <c r="J4463">
        <v>23.96</v>
      </c>
      <c r="K4463">
        <v>28.55</v>
      </c>
      <c r="L4463">
        <v>20.96</v>
      </c>
      <c r="M4463">
        <v>1.8</v>
      </c>
      <c r="N4463">
        <v>7.336</v>
      </c>
      <c r="O4463">
        <v>24.08</v>
      </c>
      <c r="P4463">
        <v>28.69</v>
      </c>
      <c r="Q4463">
        <v>20.36</v>
      </c>
      <c r="R4463">
        <v>2.9</v>
      </c>
    </row>
    <row r="4464">
      <c r="A4464" s="9">
        <v>42995</v>
      </c>
      <c r="B4464" s="2" t="inlineStr">
        <is>
          <t xml:space="preserve">2017-09</t>
        </is>
      </c>
      <c r="C4464" s="2" t="inlineStr">
        <is>
          <t xml:space="preserve">2017/18</t>
        </is>
      </c>
      <c r="D4464">
        <v>3.344</v>
      </c>
      <c r="E4464">
        <v>22.38</v>
      </c>
      <c r="F4464">
        <v>27.0</v>
      </c>
      <c r="G4464">
        <v>18.92</v>
      </c>
      <c r="H4464">
        <v>11.84</v>
      </c>
      <c r="I4464">
        <v>1.66</v>
      </c>
      <c r="J4464">
        <v>22.77</v>
      </c>
      <c r="K4464">
        <v>26.67</v>
      </c>
      <c r="L4464">
        <v>19.81</v>
      </c>
      <c r="M4464">
        <v>4.62</v>
      </c>
      <c r="N4464">
        <v>0.342</v>
      </c>
      <c r="O4464">
        <v>23.48</v>
      </c>
      <c r="P4464">
        <v>27.32</v>
      </c>
      <c r="Q4464">
        <v>21.03</v>
      </c>
      <c r="R4464">
        <v>4.01</v>
      </c>
    </row>
    <row r="4465">
      <c r="A4465" s="9">
        <v>42996</v>
      </c>
      <c r="B4465" s="2" t="inlineStr">
        <is>
          <t xml:space="preserve">2017-09</t>
        </is>
      </c>
      <c r="C4465" s="2" t="inlineStr">
        <is>
          <t xml:space="preserve">2017/18</t>
        </is>
      </c>
      <c r="D4465">
        <v>32.527</v>
      </c>
      <c r="E4465">
        <v>21.77</v>
      </c>
      <c r="F4465">
        <v>26.29</v>
      </c>
      <c r="G4465">
        <v>18.71</v>
      </c>
      <c r="H4465">
        <v>25.64</v>
      </c>
      <c r="I4465">
        <v>5.018</v>
      </c>
      <c r="J4465">
        <v>22.85</v>
      </c>
      <c r="K4465">
        <v>26.55</v>
      </c>
      <c r="L4465">
        <v>20.74</v>
      </c>
      <c r="M4465">
        <v>6.96</v>
      </c>
      <c r="N4465">
        <v>10.328</v>
      </c>
      <c r="O4465">
        <v>23.01</v>
      </c>
      <c r="P4465">
        <v>25.85</v>
      </c>
      <c r="Q4465">
        <v>21.65</v>
      </c>
      <c r="R4465">
        <v>9.41</v>
      </c>
    </row>
    <row r="4466">
      <c r="A4466" s="9">
        <v>42997</v>
      </c>
      <c r="B4466" s="2" t="inlineStr">
        <is>
          <t xml:space="preserve">2017-09</t>
        </is>
      </c>
      <c r="C4466" s="2" t="inlineStr">
        <is>
          <t xml:space="preserve">2017/18</t>
        </is>
      </c>
      <c r="D4466">
        <v>16.035</v>
      </c>
      <c r="E4466">
        <v>21.44</v>
      </c>
      <c r="F4466">
        <v>25.04</v>
      </c>
      <c r="G4466">
        <v>18.27</v>
      </c>
      <c r="H4466">
        <v>5.79</v>
      </c>
      <c r="I4466">
        <v>7.373</v>
      </c>
      <c r="J4466">
        <v>21.59</v>
      </c>
      <c r="K4466">
        <v>24.13</v>
      </c>
      <c r="L4466">
        <v>19.15</v>
      </c>
      <c r="M4466">
        <v>4.18</v>
      </c>
      <c r="N4466">
        <v>8.339</v>
      </c>
      <c r="O4466">
        <v>22.79</v>
      </c>
      <c r="P4466">
        <v>25.96</v>
      </c>
      <c r="Q4466">
        <v>20.27</v>
      </c>
      <c r="R4466">
        <v>3.12</v>
      </c>
    </row>
    <row r="4467">
      <c r="A4467" s="9">
        <v>42998</v>
      </c>
      <c r="B4467" s="2" t="inlineStr">
        <is>
          <t xml:space="preserve">2017-09</t>
        </is>
      </c>
      <c r="C4467" s="2" t="inlineStr">
        <is>
          <t xml:space="preserve">2017/18</t>
        </is>
      </c>
      <c r="D4467">
        <v>4.15</v>
      </c>
      <c r="E4467">
        <v>22.42</v>
      </c>
      <c r="F4467">
        <v>27.36</v>
      </c>
      <c r="G4467">
        <v>18.15</v>
      </c>
      <c r="H4467">
        <v>16.49</v>
      </c>
      <c r="I4467">
        <v>0.183</v>
      </c>
      <c r="J4467">
        <v>22.57</v>
      </c>
      <c r="K4467">
        <v>27.73</v>
      </c>
      <c r="L4467">
        <v>17.9</v>
      </c>
      <c r="M4467">
        <v>7.73</v>
      </c>
      <c r="N4467">
        <v>0.658</v>
      </c>
      <c r="O4467">
        <v>23.31</v>
      </c>
      <c r="P4467">
        <v>28.79</v>
      </c>
      <c r="Q4467">
        <v>18.28</v>
      </c>
      <c r="R4467">
        <v>5.84</v>
      </c>
    </row>
    <row r="4468">
      <c r="A4468" s="9">
        <v>42999</v>
      </c>
      <c r="B4468" s="2" t="inlineStr">
        <is>
          <t xml:space="preserve">2017-09</t>
        </is>
      </c>
      <c r="C4468" s="2" t="inlineStr">
        <is>
          <t xml:space="preserve">2017/18</t>
        </is>
      </c>
      <c r="D4468">
        <v>25.902</v>
      </c>
      <c r="E4468">
        <v>22.4</v>
      </c>
      <c r="F4468">
        <v>27.26</v>
      </c>
      <c r="G4468">
        <v>18.7</v>
      </c>
      <c r="H4468">
        <v>7.46</v>
      </c>
      <c r="I4468">
        <v>21.958</v>
      </c>
      <c r="J4468">
        <v>23.36</v>
      </c>
      <c r="K4468">
        <v>28.11</v>
      </c>
      <c r="L4468">
        <v>19.59</v>
      </c>
      <c r="M4468">
        <v>11.11</v>
      </c>
      <c r="N4468">
        <v>11.38</v>
      </c>
      <c r="O4468">
        <v>23.73</v>
      </c>
      <c r="P4468">
        <v>28.61</v>
      </c>
      <c r="Q4468">
        <v>20.63</v>
      </c>
      <c r="R4468">
        <v>7.11</v>
      </c>
    </row>
    <row r="4469">
      <c r="A4469" s="9">
        <v>43000</v>
      </c>
      <c r="B4469" s="2" t="inlineStr">
        <is>
          <t xml:space="preserve">2017-09</t>
        </is>
      </c>
      <c r="C4469" s="2" t="inlineStr">
        <is>
          <t xml:space="preserve">2017/18</t>
        </is>
      </c>
      <c r="D4469">
        <v>26.078</v>
      </c>
      <c r="E4469">
        <v>21.32</v>
      </c>
      <c r="F4469">
        <v>25.82</v>
      </c>
      <c r="G4469">
        <v>18.17</v>
      </c>
      <c r="H4469">
        <v>18.52</v>
      </c>
      <c r="I4469">
        <v>41.538</v>
      </c>
      <c r="J4469">
        <v>22.47</v>
      </c>
      <c r="K4469">
        <v>26.4</v>
      </c>
      <c r="L4469">
        <v>19.64</v>
      </c>
      <c r="M4469">
        <v>31.06</v>
      </c>
      <c r="N4469">
        <v>25.448</v>
      </c>
      <c r="O4469">
        <v>23.39</v>
      </c>
      <c r="P4469">
        <v>28.34</v>
      </c>
      <c r="Q4469">
        <v>20.39</v>
      </c>
      <c r="R4469">
        <v>15.69</v>
      </c>
    </row>
    <row r="4470">
      <c r="A4470" s="9">
        <v>43001</v>
      </c>
      <c r="B4470" s="2" t="inlineStr">
        <is>
          <t xml:space="preserve">2017-09</t>
        </is>
      </c>
      <c r="C4470" s="2" t="inlineStr">
        <is>
          <t xml:space="preserve">2017/18</t>
        </is>
      </c>
      <c r="D4470">
        <v>18.821</v>
      </c>
      <c r="E4470">
        <v>21.36</v>
      </c>
      <c r="F4470">
        <v>25.51</v>
      </c>
      <c r="G4470">
        <v>17.92</v>
      </c>
      <c r="H4470">
        <v>8.79</v>
      </c>
      <c r="I4470">
        <v>5.698</v>
      </c>
      <c r="J4470">
        <v>22.37</v>
      </c>
      <c r="K4470">
        <v>26.03</v>
      </c>
      <c r="L4470">
        <v>19.34</v>
      </c>
      <c r="M4470">
        <v>8.98</v>
      </c>
      <c r="N4470">
        <v>6.707</v>
      </c>
      <c r="O4470">
        <v>22.85</v>
      </c>
      <c r="P4470">
        <v>26.12</v>
      </c>
      <c r="Q4470">
        <v>20.11</v>
      </c>
      <c r="R4470">
        <v>8.1</v>
      </c>
    </row>
    <row r="4471">
      <c r="A4471" s="9">
        <v>43002</v>
      </c>
      <c r="B4471" s="2" t="inlineStr">
        <is>
          <t xml:space="preserve">2017-09</t>
        </is>
      </c>
      <c r="C4471" s="2" t="inlineStr">
        <is>
          <t xml:space="preserve">2017/18</t>
        </is>
      </c>
      <c r="D4471">
        <v>21.907</v>
      </c>
      <c r="E4471">
        <v>21.53</v>
      </c>
      <c r="F4471">
        <v>24.36</v>
      </c>
      <c r="G4471">
        <v>19.61</v>
      </c>
      <c r="H4471">
        <v>18.08</v>
      </c>
      <c r="I4471">
        <v>7.086</v>
      </c>
      <c r="J4471">
        <v>21.67</v>
      </c>
      <c r="K4471">
        <v>24.79</v>
      </c>
      <c r="L4471">
        <v>19.27</v>
      </c>
      <c r="M4471">
        <v>9.21</v>
      </c>
      <c r="N4471">
        <v>20.058</v>
      </c>
      <c r="O4471">
        <v>22.74</v>
      </c>
      <c r="P4471">
        <v>26.18</v>
      </c>
      <c r="Q4471">
        <v>20.54</v>
      </c>
      <c r="R4471">
        <v>15.35</v>
      </c>
    </row>
    <row r="4472">
      <c r="A4472" s="9">
        <v>43003</v>
      </c>
      <c r="B4472" s="2" t="inlineStr">
        <is>
          <t xml:space="preserve">2017-09</t>
        </is>
      </c>
      <c r="C4472" s="2" t="inlineStr">
        <is>
          <t xml:space="preserve">2017/18</t>
        </is>
      </c>
      <c r="D4472">
        <v>11.781</v>
      </c>
      <c r="E4472">
        <v>21.02</v>
      </c>
      <c r="F4472">
        <v>24.7</v>
      </c>
      <c r="G4472">
        <v>18.38</v>
      </c>
      <c r="H4472">
        <v>7.74</v>
      </c>
      <c r="I4472">
        <v>3.324</v>
      </c>
      <c r="J4472">
        <v>21.56</v>
      </c>
      <c r="K4472">
        <v>24.83</v>
      </c>
      <c r="L4472">
        <v>19.43</v>
      </c>
      <c r="M4472">
        <v>3.64</v>
      </c>
      <c r="N4472">
        <v>0.914</v>
      </c>
      <c r="O4472">
        <v>22.38</v>
      </c>
      <c r="P4472">
        <v>26.42</v>
      </c>
      <c r="Q4472">
        <v>19.64</v>
      </c>
      <c r="R4472">
        <v>4.01</v>
      </c>
    </row>
    <row r="4473">
      <c r="A4473" s="9">
        <v>43004</v>
      </c>
      <c r="B4473" s="2" t="inlineStr">
        <is>
          <t xml:space="preserve">2017-09</t>
        </is>
      </c>
      <c r="C4473" s="2" t="inlineStr">
        <is>
          <t xml:space="preserve">2017/18</t>
        </is>
      </c>
      <c r="D4473">
        <v>2.045</v>
      </c>
      <c r="E4473">
        <v>21.62</v>
      </c>
      <c r="F4473">
        <v>26.63</v>
      </c>
      <c r="G4473">
        <v>17.09</v>
      </c>
      <c r="H4473">
        <v>1.1</v>
      </c>
      <c r="I4473">
        <v>3.979</v>
      </c>
      <c r="J4473">
        <v>21.93</v>
      </c>
      <c r="K4473">
        <v>26.17</v>
      </c>
      <c r="L4473">
        <v>18.65</v>
      </c>
      <c r="M4473">
        <v>2.02</v>
      </c>
      <c r="N4473">
        <v>0.286</v>
      </c>
      <c r="O4473">
        <v>23.12</v>
      </c>
      <c r="P4473">
        <v>28.33</v>
      </c>
      <c r="Q4473">
        <v>18.96</v>
      </c>
      <c r="R4473">
        <v>0.55</v>
      </c>
    </row>
    <row r="4474">
      <c r="A4474" s="9">
        <v>43005</v>
      </c>
      <c r="B4474" s="2" t="inlineStr">
        <is>
          <t xml:space="preserve">2017-09</t>
        </is>
      </c>
      <c r="C4474" s="2" t="inlineStr">
        <is>
          <t xml:space="preserve">2017/18</t>
        </is>
      </c>
      <c r="D4474">
        <v>0.748</v>
      </c>
      <c r="E4474">
        <v>21.56</v>
      </c>
      <c r="F4474">
        <v>24.74</v>
      </c>
      <c r="G4474">
        <v>19.16</v>
      </c>
      <c r="H4474">
        <v>1.08</v>
      </c>
      <c r="I4474">
        <v>0.0</v>
      </c>
      <c r="J4474">
        <v>21.42</v>
      </c>
      <c r="K4474">
        <v>25.09</v>
      </c>
      <c r="L4474">
        <v>18.72</v>
      </c>
      <c r="M4474">
        <v>0.51</v>
      </c>
      <c r="N4474">
        <v>0.0</v>
      </c>
      <c r="O4474">
        <v>22.71</v>
      </c>
      <c r="P4474">
        <v>26.6</v>
      </c>
      <c r="Q4474">
        <v>19.72</v>
      </c>
      <c r="R4474">
        <v>0.42</v>
      </c>
    </row>
    <row r="4475">
      <c r="A4475" s="9">
        <v>43006</v>
      </c>
      <c r="B4475" s="2" t="inlineStr">
        <is>
          <t xml:space="preserve">2017-09</t>
        </is>
      </c>
      <c r="C4475" s="2" t="inlineStr">
        <is>
          <t xml:space="preserve">2017/18</t>
        </is>
      </c>
      <c r="D4475">
        <v>0.0</v>
      </c>
      <c r="E4475">
        <v>21.77</v>
      </c>
      <c r="F4475">
        <v>25.74</v>
      </c>
      <c r="G4475">
        <v>18.91</v>
      </c>
      <c r="H4475">
        <v>1.5</v>
      </c>
      <c r="I4475">
        <v>0.928</v>
      </c>
      <c r="J4475">
        <v>22.02</v>
      </c>
      <c r="K4475">
        <v>26.07</v>
      </c>
      <c r="L4475">
        <v>18.87</v>
      </c>
      <c r="M4475">
        <v>5.9</v>
      </c>
      <c r="N4475">
        <v>0.503</v>
      </c>
      <c r="O4475">
        <v>23.16</v>
      </c>
      <c r="P4475">
        <v>27.4</v>
      </c>
      <c r="Q4475">
        <v>19.88</v>
      </c>
      <c r="R4475">
        <v>3.51</v>
      </c>
    </row>
    <row r="4476">
      <c r="A4476" s="9">
        <v>43007</v>
      </c>
      <c r="B4476" s="2" t="inlineStr">
        <is>
          <t xml:space="preserve">2017-09</t>
        </is>
      </c>
      <c r="C4476" s="2" t="inlineStr">
        <is>
          <t xml:space="preserve">2017/18</t>
        </is>
      </c>
      <c r="D4476">
        <v>1.14</v>
      </c>
      <c r="E4476">
        <v>21.56</v>
      </c>
      <c r="F4476">
        <v>25.02</v>
      </c>
      <c r="G4476">
        <v>19.13</v>
      </c>
      <c r="H4476">
        <v>23.55</v>
      </c>
      <c r="I4476">
        <v>13.548</v>
      </c>
      <c r="J4476">
        <v>21.87</v>
      </c>
      <c r="K4476">
        <v>25.03</v>
      </c>
      <c r="L4476">
        <v>19.83</v>
      </c>
      <c r="M4476">
        <v>34.65</v>
      </c>
      <c r="N4476">
        <v>21.349</v>
      </c>
      <c r="O4476">
        <v>23.03</v>
      </c>
      <c r="P4476">
        <v>26.18</v>
      </c>
      <c r="Q4476">
        <v>20.82</v>
      </c>
      <c r="R4476">
        <v>28.92</v>
      </c>
    </row>
    <row r="4477">
      <c r="A4477" s="9">
        <v>43008</v>
      </c>
      <c r="B4477" s="2" t="inlineStr">
        <is>
          <t xml:space="preserve">2017-09</t>
        </is>
      </c>
      <c r="C4477" s="2" t="inlineStr">
        <is>
          <t xml:space="preserve">2017/18</t>
        </is>
      </c>
      <c r="D4477">
        <v>30.723</v>
      </c>
      <c r="E4477">
        <v>21.07</v>
      </c>
      <c r="F4477">
        <v>23.94</v>
      </c>
      <c r="G4477">
        <v>18.91</v>
      </c>
      <c r="H4477">
        <v>12.04</v>
      </c>
      <c r="I4477">
        <v>19.816</v>
      </c>
      <c r="J4477">
        <v>22.09</v>
      </c>
      <c r="K4477">
        <v>26.08</v>
      </c>
      <c r="L4477">
        <v>19.13</v>
      </c>
      <c r="M4477">
        <v>23.08</v>
      </c>
      <c r="N4477">
        <v>68.744</v>
      </c>
      <c r="O4477">
        <v>22.44</v>
      </c>
      <c r="P4477">
        <v>26.13</v>
      </c>
      <c r="Q4477">
        <v>19.28</v>
      </c>
      <c r="R4477">
        <v>23.99</v>
      </c>
    </row>
    <row r="4478">
      <c r="A4478" s="9">
        <v>43009</v>
      </c>
      <c r="B4478" s="2" t="inlineStr">
        <is>
          <t xml:space="preserve">2017-10</t>
        </is>
      </c>
      <c r="C4478" s="2" t="inlineStr">
        <is>
          <t xml:space="preserve">2017/18</t>
        </is>
      </c>
      <c r="D4478">
        <v>1.282</v>
      </c>
      <c r="E4478">
        <v>21.26</v>
      </c>
      <c r="F4478">
        <v>25.33</v>
      </c>
      <c r="G4478">
        <v>17.39</v>
      </c>
      <c r="H4478">
        <v>9.24</v>
      </c>
      <c r="I4478">
        <v>18.931</v>
      </c>
      <c r="J4478">
        <v>21.87</v>
      </c>
      <c r="K4478">
        <v>25.75</v>
      </c>
      <c r="L4478">
        <v>19.22</v>
      </c>
      <c r="M4478">
        <v>9.04</v>
      </c>
      <c r="N4478">
        <v>35.341</v>
      </c>
      <c r="O4478">
        <v>22.23</v>
      </c>
      <c r="P4478">
        <v>24.99</v>
      </c>
      <c r="Q4478">
        <v>19.88</v>
      </c>
      <c r="R4478">
        <v>7.42</v>
      </c>
    </row>
    <row r="4479">
      <c r="A4479" s="9">
        <v>43010</v>
      </c>
      <c r="B4479" s="2" t="inlineStr">
        <is>
          <t xml:space="preserve">2017-10</t>
        </is>
      </c>
      <c r="C4479" s="2" t="inlineStr">
        <is>
          <t xml:space="preserve">2017/18</t>
        </is>
      </c>
      <c r="D4479">
        <v>3.343</v>
      </c>
      <c r="E4479">
        <v>21.39</v>
      </c>
      <c r="F4479">
        <v>25.32</v>
      </c>
      <c r="G4479">
        <v>18.27</v>
      </c>
      <c r="H4479">
        <v>29.33</v>
      </c>
      <c r="I4479">
        <v>1.83</v>
      </c>
      <c r="J4479">
        <v>21.7</v>
      </c>
      <c r="K4479">
        <v>25.82</v>
      </c>
      <c r="L4479">
        <v>18.56</v>
      </c>
      <c r="M4479">
        <v>13.0</v>
      </c>
      <c r="N4479">
        <v>1.513</v>
      </c>
      <c r="O4479">
        <v>22.38</v>
      </c>
      <c r="P4479">
        <v>26.82</v>
      </c>
      <c r="Q4479">
        <v>19.66</v>
      </c>
      <c r="R4479">
        <v>34.2</v>
      </c>
    </row>
    <row r="4480">
      <c r="A4480" s="9">
        <v>43011</v>
      </c>
      <c r="B4480" s="2" t="inlineStr">
        <is>
          <t xml:space="preserve">2017-10</t>
        </is>
      </c>
      <c r="C4480" s="2" t="inlineStr">
        <is>
          <t xml:space="preserve">2017/18</t>
        </is>
      </c>
      <c r="D4480">
        <v>10.15</v>
      </c>
      <c r="E4480">
        <v>22.19</v>
      </c>
      <c r="F4480">
        <v>27.02</v>
      </c>
      <c r="G4480">
        <v>18.39</v>
      </c>
      <c r="H4480">
        <v>16.8</v>
      </c>
      <c r="I4480">
        <v>27.218</v>
      </c>
      <c r="J4480">
        <v>22.02</v>
      </c>
      <c r="K4480">
        <v>26.08</v>
      </c>
      <c r="L4480">
        <v>18.18</v>
      </c>
      <c r="M4480">
        <v>16.44</v>
      </c>
      <c r="N4480">
        <v>90.26</v>
      </c>
      <c r="O4480">
        <v>22.86</v>
      </c>
      <c r="P4480">
        <v>27.25</v>
      </c>
      <c r="Q4480">
        <v>18.92</v>
      </c>
      <c r="R4480">
        <v>45.98</v>
      </c>
    </row>
    <row r="4481">
      <c r="A4481" s="9">
        <v>43012</v>
      </c>
      <c r="B4481" s="2" t="inlineStr">
        <is>
          <t xml:space="preserve">2017-10</t>
        </is>
      </c>
      <c r="C4481" s="2" t="inlineStr">
        <is>
          <t xml:space="preserve">2017/18</t>
        </is>
      </c>
      <c r="D4481">
        <v>2.736</v>
      </c>
      <c r="E4481">
        <v>21.56</v>
      </c>
      <c r="F4481">
        <v>24.99</v>
      </c>
      <c r="G4481">
        <v>19.18</v>
      </c>
      <c r="H4481">
        <v>9.2</v>
      </c>
      <c r="I4481">
        <v>10.255</v>
      </c>
      <c r="J4481">
        <v>22.54</v>
      </c>
      <c r="K4481">
        <v>26.35</v>
      </c>
      <c r="L4481">
        <v>19.5</v>
      </c>
      <c r="M4481">
        <v>11.84</v>
      </c>
      <c r="N4481">
        <v>3.734</v>
      </c>
      <c r="O4481">
        <v>22.53</v>
      </c>
      <c r="P4481">
        <v>25.84</v>
      </c>
      <c r="Q4481">
        <v>19.91</v>
      </c>
      <c r="R4481">
        <v>9.72</v>
      </c>
    </row>
    <row r="4482">
      <c r="A4482" s="9">
        <v>43013</v>
      </c>
      <c r="B4482" s="2" t="inlineStr">
        <is>
          <t xml:space="preserve">2017-10</t>
        </is>
      </c>
      <c r="C4482" s="2" t="inlineStr">
        <is>
          <t xml:space="preserve">2017/18</t>
        </is>
      </c>
      <c r="D4482">
        <v>17.2</v>
      </c>
      <c r="E4482">
        <v>21.04</v>
      </c>
      <c r="F4482">
        <v>24.69</v>
      </c>
      <c r="G4482">
        <v>18.49</v>
      </c>
      <c r="H4482">
        <v>13.0</v>
      </c>
      <c r="I4482">
        <v>14.265</v>
      </c>
      <c r="J4482">
        <v>21.25</v>
      </c>
      <c r="K4482">
        <v>24.59</v>
      </c>
      <c r="L4482">
        <v>19.31</v>
      </c>
      <c r="M4482">
        <v>10.49</v>
      </c>
      <c r="N4482">
        <v>10.753</v>
      </c>
      <c r="O4482">
        <v>21.93</v>
      </c>
      <c r="P4482">
        <v>25.13</v>
      </c>
      <c r="Q4482">
        <v>20.33</v>
      </c>
      <c r="R4482">
        <v>14.12</v>
      </c>
    </row>
    <row r="4483">
      <c r="A4483" s="9">
        <v>43014</v>
      </c>
      <c r="B4483" s="2" t="inlineStr">
        <is>
          <t xml:space="preserve">2017-10</t>
        </is>
      </c>
      <c r="C4483" s="2" t="inlineStr">
        <is>
          <t xml:space="preserve">2017/18</t>
        </is>
      </c>
      <c r="D4483">
        <v>13.706</v>
      </c>
      <c r="E4483">
        <v>20.83</v>
      </c>
      <c r="F4483">
        <v>24.69</v>
      </c>
      <c r="G4483">
        <v>18.14</v>
      </c>
      <c r="H4483">
        <v>9.62</v>
      </c>
      <c r="I4483">
        <v>8.281</v>
      </c>
      <c r="J4483">
        <v>21.28</v>
      </c>
      <c r="K4483">
        <v>25.07</v>
      </c>
      <c r="L4483">
        <v>18.49</v>
      </c>
      <c r="M4483">
        <v>10.76</v>
      </c>
      <c r="N4483">
        <v>17.803</v>
      </c>
      <c r="O4483">
        <v>21.89</v>
      </c>
      <c r="P4483">
        <v>25.25</v>
      </c>
      <c r="Q4483">
        <v>19.57</v>
      </c>
      <c r="R4483">
        <v>15.23</v>
      </c>
    </row>
    <row r="4484">
      <c r="A4484" s="9">
        <v>43015</v>
      </c>
      <c r="B4484" s="2" t="inlineStr">
        <is>
          <t xml:space="preserve">2017-10</t>
        </is>
      </c>
      <c r="C4484" s="2" t="inlineStr">
        <is>
          <t xml:space="preserve">2017/18</t>
        </is>
      </c>
      <c r="D4484">
        <v>4.817</v>
      </c>
      <c r="E4484">
        <v>21.86</v>
      </c>
      <c r="F4484">
        <v>26.12</v>
      </c>
      <c r="G4484">
        <v>19.46</v>
      </c>
      <c r="H4484">
        <v>4.89</v>
      </c>
      <c r="I4484">
        <v>9.71</v>
      </c>
      <c r="J4484">
        <v>21.52</v>
      </c>
      <c r="K4484">
        <v>25.3</v>
      </c>
      <c r="L4484">
        <v>18.95</v>
      </c>
      <c r="M4484">
        <v>5.55</v>
      </c>
      <c r="N4484">
        <v>1.07</v>
      </c>
      <c r="O4484">
        <v>22.68</v>
      </c>
      <c r="P4484">
        <v>27.21</v>
      </c>
      <c r="Q4484">
        <v>19.63</v>
      </c>
      <c r="R4484">
        <v>1.76</v>
      </c>
    </row>
    <row r="4485">
      <c r="A4485" s="9">
        <v>43016</v>
      </c>
      <c r="B4485" s="2" t="inlineStr">
        <is>
          <t xml:space="preserve">2017-10</t>
        </is>
      </c>
      <c r="C4485" s="2" t="inlineStr">
        <is>
          <t xml:space="preserve">2017/18</t>
        </is>
      </c>
      <c r="D4485">
        <v>0.623</v>
      </c>
      <c r="E4485">
        <v>22.01</v>
      </c>
      <c r="F4485">
        <v>26.39</v>
      </c>
      <c r="G4485">
        <v>18.57</v>
      </c>
      <c r="H4485">
        <v>1.21</v>
      </c>
      <c r="I4485">
        <v>0.624</v>
      </c>
      <c r="J4485">
        <v>21.88</v>
      </c>
      <c r="K4485">
        <v>25.84</v>
      </c>
      <c r="L4485">
        <v>19.16</v>
      </c>
      <c r="M4485">
        <v>0.58</v>
      </c>
      <c r="N4485">
        <v>0.0</v>
      </c>
      <c r="O4485">
        <v>23.18</v>
      </c>
      <c r="P4485">
        <v>27.42</v>
      </c>
      <c r="Q4485">
        <v>19.99</v>
      </c>
      <c r="R4485">
        <v>0.23</v>
      </c>
    </row>
    <row r="4486">
      <c r="A4486" s="9">
        <v>43017</v>
      </c>
      <c r="B4486" s="2" t="inlineStr">
        <is>
          <t xml:space="preserve">2017-10</t>
        </is>
      </c>
      <c r="C4486" s="2" t="inlineStr">
        <is>
          <t xml:space="preserve">2017/18</t>
        </is>
      </c>
      <c r="D4486">
        <v>4.39</v>
      </c>
      <c r="E4486">
        <v>22.35</v>
      </c>
      <c r="F4486">
        <v>26.88</v>
      </c>
      <c r="G4486">
        <v>18.74</v>
      </c>
      <c r="H4486">
        <v>7.52</v>
      </c>
      <c r="I4486">
        <v>0.045</v>
      </c>
      <c r="J4486">
        <v>22.03</v>
      </c>
      <c r="K4486">
        <v>25.27</v>
      </c>
      <c r="L4486">
        <v>19.32</v>
      </c>
      <c r="M4486">
        <v>0.81</v>
      </c>
      <c r="N4486">
        <v>0.4</v>
      </c>
      <c r="O4486">
        <v>22.89</v>
      </c>
      <c r="P4486">
        <v>26.24</v>
      </c>
      <c r="Q4486">
        <v>20.14</v>
      </c>
      <c r="R4486">
        <v>1.46</v>
      </c>
    </row>
    <row r="4487">
      <c r="A4487" s="9">
        <v>43018</v>
      </c>
      <c r="B4487" s="2" t="inlineStr">
        <is>
          <t xml:space="preserve">2017-10</t>
        </is>
      </c>
      <c r="C4487" s="2" t="inlineStr">
        <is>
          <t xml:space="preserve">2017/18</t>
        </is>
      </c>
      <c r="D4487">
        <v>7.55</v>
      </c>
      <c r="E4487">
        <v>20.73</v>
      </c>
      <c r="F4487">
        <v>24.05</v>
      </c>
      <c r="G4487">
        <v>18.49</v>
      </c>
      <c r="H4487">
        <v>8.75</v>
      </c>
      <c r="I4487">
        <v>2.59</v>
      </c>
      <c r="J4487">
        <v>21.79</v>
      </c>
      <c r="K4487">
        <v>25.8</v>
      </c>
      <c r="L4487">
        <v>19.18</v>
      </c>
      <c r="M4487">
        <v>5.25</v>
      </c>
      <c r="N4487">
        <v>1.675</v>
      </c>
      <c r="O4487">
        <v>22.37</v>
      </c>
      <c r="P4487">
        <v>25.67</v>
      </c>
      <c r="Q4487">
        <v>19.52</v>
      </c>
      <c r="R4487">
        <v>7.32</v>
      </c>
    </row>
    <row r="4488">
      <c r="A4488" s="9">
        <v>43019</v>
      </c>
      <c r="B4488" s="2" t="inlineStr">
        <is>
          <t xml:space="preserve">2017-10</t>
        </is>
      </c>
      <c r="C4488" s="2" t="inlineStr">
        <is>
          <t xml:space="preserve">2017/18</t>
        </is>
      </c>
      <c r="D4488">
        <v>12.489</v>
      </c>
      <c r="E4488">
        <v>20.69</v>
      </c>
      <c r="F4488">
        <v>25.11</v>
      </c>
      <c r="G4488">
        <v>17.77</v>
      </c>
      <c r="H4488">
        <v>15.82</v>
      </c>
      <c r="I4488">
        <v>2.889</v>
      </c>
      <c r="J4488">
        <v>20.56</v>
      </c>
      <c r="K4488">
        <v>24.72</v>
      </c>
      <c r="L4488">
        <v>17.08</v>
      </c>
      <c r="M4488">
        <v>10.46</v>
      </c>
      <c r="N4488">
        <v>8.088</v>
      </c>
      <c r="O4488">
        <v>21.17</v>
      </c>
      <c r="P4488">
        <v>25.39</v>
      </c>
      <c r="Q4488">
        <v>18.2</v>
      </c>
      <c r="R4488">
        <v>13.3</v>
      </c>
    </row>
    <row r="4489">
      <c r="A4489" s="9">
        <v>43020</v>
      </c>
      <c r="B4489" s="2" t="inlineStr">
        <is>
          <t xml:space="preserve">2017-10</t>
        </is>
      </c>
      <c r="C4489" s="2" t="inlineStr">
        <is>
          <t xml:space="preserve">2017/18</t>
        </is>
      </c>
      <c r="D4489">
        <v>5.84</v>
      </c>
      <c r="E4489">
        <v>20.92</v>
      </c>
      <c r="F4489">
        <v>25.66</v>
      </c>
      <c r="G4489">
        <v>17.1</v>
      </c>
      <c r="H4489">
        <v>2.91</v>
      </c>
      <c r="I4489">
        <v>14.09</v>
      </c>
      <c r="J4489">
        <v>21.26</v>
      </c>
      <c r="K4489">
        <v>25.52</v>
      </c>
      <c r="L4489">
        <v>17.92</v>
      </c>
      <c r="M4489">
        <v>6.68</v>
      </c>
      <c r="N4489">
        <v>15.953</v>
      </c>
      <c r="O4489">
        <v>21.62</v>
      </c>
      <c r="P4489">
        <v>26.02</v>
      </c>
      <c r="Q4489">
        <v>18.37</v>
      </c>
      <c r="R4489">
        <v>2.82</v>
      </c>
    </row>
    <row r="4490">
      <c r="A4490" s="9">
        <v>43021</v>
      </c>
      <c r="B4490" s="2" t="inlineStr">
        <is>
          <t xml:space="preserve">2017-10</t>
        </is>
      </c>
      <c r="C4490" s="2" t="inlineStr">
        <is>
          <t xml:space="preserve">2017/18</t>
        </is>
      </c>
      <c r="D4490">
        <v>0.046</v>
      </c>
      <c r="E4490">
        <v>21.03</v>
      </c>
      <c r="F4490">
        <v>25.36</v>
      </c>
      <c r="G4490">
        <v>17.93</v>
      </c>
      <c r="H4490">
        <v>0.4</v>
      </c>
      <c r="I4490">
        <v>2.455</v>
      </c>
      <c r="J4490">
        <v>21.34</v>
      </c>
      <c r="K4490">
        <v>25.7</v>
      </c>
      <c r="L4490">
        <v>17.97</v>
      </c>
      <c r="M4490">
        <v>2.18</v>
      </c>
      <c r="N4490">
        <v>3.279</v>
      </c>
      <c r="O4490">
        <v>21.7</v>
      </c>
      <c r="P4490">
        <v>26.1</v>
      </c>
      <c r="Q4490">
        <v>18.52</v>
      </c>
      <c r="R4490">
        <v>1.19</v>
      </c>
    </row>
    <row r="4491">
      <c r="A4491" s="9">
        <v>43022</v>
      </c>
      <c r="B4491" s="2" t="inlineStr">
        <is>
          <t xml:space="preserve">2017-10</t>
        </is>
      </c>
      <c r="C4491" s="2" t="inlineStr">
        <is>
          <t xml:space="preserve">2017/18</t>
        </is>
      </c>
      <c r="D4491">
        <v>0.0</v>
      </c>
      <c r="E4491">
        <v>21.67</v>
      </c>
      <c r="F4491">
        <v>26.21</v>
      </c>
      <c r="G4491">
        <v>18.1</v>
      </c>
      <c r="H4491">
        <v>0.17</v>
      </c>
      <c r="I4491">
        <v>0.0</v>
      </c>
      <c r="J4491">
        <v>21.84</v>
      </c>
      <c r="K4491">
        <v>26.33</v>
      </c>
      <c r="L4491">
        <v>18.31</v>
      </c>
      <c r="M4491">
        <v>0.45</v>
      </c>
      <c r="N4491">
        <v>0.0</v>
      </c>
      <c r="O4491">
        <v>22.11</v>
      </c>
      <c r="P4491">
        <v>26.31</v>
      </c>
      <c r="Q4491">
        <v>19.1</v>
      </c>
      <c r="R4491">
        <v>0.81</v>
      </c>
    </row>
    <row r="4492">
      <c r="A4492" s="9">
        <v>43023</v>
      </c>
      <c r="B4492" s="2" t="inlineStr">
        <is>
          <t xml:space="preserve">2017-10</t>
        </is>
      </c>
      <c r="C4492" s="2" t="inlineStr">
        <is>
          <t xml:space="preserve">2017/18</t>
        </is>
      </c>
      <c r="D4492">
        <v>0.248</v>
      </c>
      <c r="E4492">
        <v>21.84</v>
      </c>
      <c r="F4492">
        <v>26.3</v>
      </c>
      <c r="G4492">
        <v>18.46</v>
      </c>
      <c r="H4492">
        <v>0.4</v>
      </c>
      <c r="I4492">
        <v>0.055</v>
      </c>
      <c r="J4492">
        <v>22.22</v>
      </c>
      <c r="K4492">
        <v>26.6</v>
      </c>
      <c r="L4492">
        <v>18.79</v>
      </c>
      <c r="M4492">
        <v>0.87</v>
      </c>
      <c r="N4492">
        <v>0.595</v>
      </c>
      <c r="O4492">
        <v>22.55</v>
      </c>
      <c r="P4492">
        <v>26.41</v>
      </c>
      <c r="Q4492">
        <v>20.23</v>
      </c>
      <c r="R4492">
        <v>2.44</v>
      </c>
    </row>
    <row r="4493">
      <c r="A4493" s="9">
        <v>43024</v>
      </c>
      <c r="B4493" s="2" t="inlineStr">
        <is>
          <t xml:space="preserve">2017-10</t>
        </is>
      </c>
      <c r="C4493" s="2" t="inlineStr">
        <is>
          <t xml:space="preserve">2017/18</t>
        </is>
      </c>
      <c r="D4493">
        <v>0.0</v>
      </c>
      <c r="E4493">
        <v>22.0</v>
      </c>
      <c r="F4493">
        <v>26.2</v>
      </c>
      <c r="G4493">
        <v>18.8</v>
      </c>
      <c r="H4493">
        <v>0.6</v>
      </c>
      <c r="I4493">
        <v>0.0</v>
      </c>
      <c r="J4493">
        <v>22.15</v>
      </c>
      <c r="K4493">
        <v>26.48</v>
      </c>
      <c r="L4493">
        <v>19.12</v>
      </c>
      <c r="M4493">
        <v>0.17</v>
      </c>
      <c r="N4493">
        <v>0.081</v>
      </c>
      <c r="O4493">
        <v>22.38</v>
      </c>
      <c r="P4493">
        <v>25.99</v>
      </c>
      <c r="Q4493">
        <v>20.17</v>
      </c>
      <c r="R4493">
        <v>1.57</v>
      </c>
    </row>
    <row r="4494">
      <c r="A4494" s="9">
        <v>43025</v>
      </c>
      <c r="B4494" s="2" t="inlineStr">
        <is>
          <t xml:space="preserve">2017-10</t>
        </is>
      </c>
      <c r="C4494" s="2" t="inlineStr">
        <is>
          <t xml:space="preserve">2017/18</t>
        </is>
      </c>
      <c r="D4494">
        <v>0.0</v>
      </c>
      <c r="E4494">
        <v>22.2</v>
      </c>
      <c r="F4494">
        <v>26.31</v>
      </c>
      <c r="G4494">
        <v>18.87</v>
      </c>
      <c r="H4494">
        <v>2.71</v>
      </c>
      <c r="I4494">
        <v>0.156</v>
      </c>
      <c r="J4494">
        <v>22.39</v>
      </c>
      <c r="K4494">
        <v>26.98</v>
      </c>
      <c r="L4494">
        <v>18.86</v>
      </c>
      <c r="M4494">
        <v>0.86</v>
      </c>
      <c r="N4494">
        <v>0.849</v>
      </c>
      <c r="O4494">
        <v>22.67</v>
      </c>
      <c r="P4494">
        <v>27.14</v>
      </c>
      <c r="Q4494">
        <v>19.79</v>
      </c>
      <c r="R4494">
        <v>3.97</v>
      </c>
    </row>
    <row r="4495">
      <c r="A4495" s="9">
        <v>43026</v>
      </c>
      <c r="B4495" s="2" t="inlineStr">
        <is>
          <t xml:space="preserve">2017-10</t>
        </is>
      </c>
      <c r="C4495" s="2" t="inlineStr">
        <is>
          <t xml:space="preserve">2017/18</t>
        </is>
      </c>
      <c r="D4495">
        <v>3.473</v>
      </c>
      <c r="E4495">
        <v>22.12</v>
      </c>
      <c r="F4495">
        <v>26.26</v>
      </c>
      <c r="G4495">
        <v>19.34</v>
      </c>
      <c r="H4495">
        <v>4.13</v>
      </c>
      <c r="I4495">
        <v>0.487</v>
      </c>
      <c r="J4495">
        <v>22.14</v>
      </c>
      <c r="K4495">
        <v>26.45</v>
      </c>
      <c r="L4495">
        <v>19.14</v>
      </c>
      <c r="M4495">
        <v>3.01</v>
      </c>
      <c r="N4495">
        <v>3.323</v>
      </c>
      <c r="O4495">
        <v>22.41</v>
      </c>
      <c r="P4495">
        <v>26.6</v>
      </c>
      <c r="Q4495">
        <v>19.82</v>
      </c>
      <c r="R4495">
        <v>8.07</v>
      </c>
    </row>
    <row r="4496">
      <c r="A4496" s="9">
        <v>43027</v>
      </c>
      <c r="B4496" s="2" t="inlineStr">
        <is>
          <t xml:space="preserve">2017-10</t>
        </is>
      </c>
      <c r="C4496" s="2" t="inlineStr">
        <is>
          <t xml:space="preserve">2017/18</t>
        </is>
      </c>
      <c r="D4496">
        <v>0.0</v>
      </c>
      <c r="E4496">
        <v>21.39</v>
      </c>
      <c r="F4496">
        <v>25.44</v>
      </c>
      <c r="G4496">
        <v>18.6</v>
      </c>
      <c r="H4496">
        <v>2.27</v>
      </c>
      <c r="I4496">
        <v>0.026</v>
      </c>
      <c r="J4496">
        <v>22.13</v>
      </c>
      <c r="K4496">
        <v>25.91</v>
      </c>
      <c r="L4496">
        <v>19.69</v>
      </c>
      <c r="M4496">
        <v>2.25</v>
      </c>
      <c r="N4496">
        <v>0.258</v>
      </c>
      <c r="O4496">
        <v>22.6</v>
      </c>
      <c r="P4496">
        <v>26.08</v>
      </c>
      <c r="Q4496">
        <v>20.47</v>
      </c>
      <c r="R4496">
        <v>3.53</v>
      </c>
    </row>
    <row r="4497">
      <c r="A4497" s="9">
        <v>43028</v>
      </c>
      <c r="B4497" s="2" t="inlineStr">
        <is>
          <t xml:space="preserve">2017-10</t>
        </is>
      </c>
      <c r="C4497" s="2" t="inlineStr">
        <is>
          <t xml:space="preserve">2017/18</t>
        </is>
      </c>
      <c r="D4497">
        <v>2.621</v>
      </c>
      <c r="E4497">
        <v>21.31</v>
      </c>
      <c r="F4497">
        <v>25.63</v>
      </c>
      <c r="G4497">
        <v>18.34</v>
      </c>
      <c r="H4497">
        <v>6.25</v>
      </c>
      <c r="I4497">
        <v>5.021</v>
      </c>
      <c r="J4497">
        <v>21.8</v>
      </c>
      <c r="K4497">
        <v>26.12</v>
      </c>
      <c r="L4497">
        <v>19.1</v>
      </c>
      <c r="M4497">
        <v>1.98</v>
      </c>
      <c r="N4497">
        <v>0.523</v>
      </c>
      <c r="O4497">
        <v>22.31</v>
      </c>
      <c r="P4497">
        <v>26.27</v>
      </c>
      <c r="Q4497">
        <v>19.93</v>
      </c>
      <c r="R4497">
        <v>2.67</v>
      </c>
    </row>
    <row r="4498">
      <c r="A4498" s="9">
        <v>43029</v>
      </c>
      <c r="B4498" s="2" t="inlineStr">
        <is>
          <t xml:space="preserve">2017-10</t>
        </is>
      </c>
      <c r="C4498" s="2" t="inlineStr">
        <is>
          <t xml:space="preserve">2017/18</t>
        </is>
      </c>
      <c r="D4498">
        <v>2.548</v>
      </c>
      <c r="E4498">
        <v>21.26</v>
      </c>
      <c r="F4498">
        <v>25.08</v>
      </c>
      <c r="G4498">
        <v>18.1</v>
      </c>
      <c r="H4498">
        <v>5.78</v>
      </c>
      <c r="I4498">
        <v>4.233</v>
      </c>
      <c r="J4498">
        <v>22.15</v>
      </c>
      <c r="K4498">
        <v>26.61</v>
      </c>
      <c r="L4498">
        <v>19.17</v>
      </c>
      <c r="M4498">
        <v>2.89</v>
      </c>
      <c r="N4498">
        <v>0.539</v>
      </c>
      <c r="O4498">
        <v>22.09</v>
      </c>
      <c r="P4498">
        <v>26.19</v>
      </c>
      <c r="Q4498">
        <v>19.69</v>
      </c>
      <c r="R4498">
        <v>3.79</v>
      </c>
    </row>
    <row r="4499">
      <c r="A4499" s="9">
        <v>43030</v>
      </c>
      <c r="B4499" s="2" t="inlineStr">
        <is>
          <t xml:space="preserve">2017-10</t>
        </is>
      </c>
      <c r="C4499" s="2" t="inlineStr">
        <is>
          <t xml:space="preserve">2017/18</t>
        </is>
      </c>
      <c r="D4499">
        <v>4.52</v>
      </c>
      <c r="E4499">
        <v>21.46</v>
      </c>
      <c r="F4499">
        <v>25.83</v>
      </c>
      <c r="G4499">
        <v>18.77</v>
      </c>
      <c r="H4499">
        <v>8.73</v>
      </c>
      <c r="I4499">
        <v>6.665</v>
      </c>
      <c r="J4499">
        <v>21.51</v>
      </c>
      <c r="K4499">
        <v>23.99</v>
      </c>
      <c r="L4499">
        <v>19.67</v>
      </c>
      <c r="M4499">
        <v>3.71</v>
      </c>
      <c r="N4499">
        <v>0.928</v>
      </c>
      <c r="O4499">
        <v>22.37</v>
      </c>
      <c r="P4499">
        <v>26.03</v>
      </c>
      <c r="Q4499">
        <v>19.85</v>
      </c>
      <c r="R4499">
        <v>6.32</v>
      </c>
    </row>
    <row r="4500">
      <c r="A4500" s="9">
        <v>43031</v>
      </c>
      <c r="B4500" s="2" t="inlineStr">
        <is>
          <t xml:space="preserve">2017-10</t>
        </is>
      </c>
      <c r="C4500" s="2" t="inlineStr">
        <is>
          <t xml:space="preserve">2017/18</t>
        </is>
      </c>
      <c r="D4500">
        <v>0.186</v>
      </c>
      <c r="E4500">
        <v>21.25</v>
      </c>
      <c r="F4500">
        <v>25.78</v>
      </c>
      <c r="G4500">
        <v>17.46</v>
      </c>
      <c r="H4500">
        <v>7.54</v>
      </c>
      <c r="I4500">
        <v>1.124</v>
      </c>
      <c r="J4500">
        <v>21.68</v>
      </c>
      <c r="K4500">
        <v>25.6</v>
      </c>
      <c r="L4500">
        <v>19.23</v>
      </c>
      <c r="M4500">
        <v>1.81</v>
      </c>
      <c r="N4500">
        <v>2.811</v>
      </c>
      <c r="O4500">
        <v>22.07</v>
      </c>
      <c r="P4500">
        <v>25.6</v>
      </c>
      <c r="Q4500">
        <v>19.9</v>
      </c>
      <c r="R4500">
        <v>4.87</v>
      </c>
    </row>
    <row r="4501">
      <c r="A4501" s="9">
        <v>43032</v>
      </c>
      <c r="B4501" s="2" t="inlineStr">
        <is>
          <t xml:space="preserve">2017-10</t>
        </is>
      </c>
      <c r="C4501" s="2" t="inlineStr">
        <is>
          <t xml:space="preserve">2017/18</t>
        </is>
      </c>
      <c r="D4501">
        <v>2.389</v>
      </c>
      <c r="E4501">
        <v>20.84</v>
      </c>
      <c r="F4501">
        <v>25.2</v>
      </c>
      <c r="G4501">
        <v>18.04</v>
      </c>
      <c r="H4501">
        <v>5.69</v>
      </c>
      <c r="I4501">
        <v>3.701</v>
      </c>
      <c r="J4501">
        <v>20.71</v>
      </c>
      <c r="K4501">
        <v>24.72</v>
      </c>
      <c r="L4501">
        <v>18.16</v>
      </c>
      <c r="M4501">
        <v>5.21</v>
      </c>
      <c r="N4501">
        <v>0.921</v>
      </c>
      <c r="O4501">
        <v>21.45</v>
      </c>
      <c r="P4501">
        <v>24.91</v>
      </c>
      <c r="Q4501">
        <v>18.98</v>
      </c>
      <c r="R4501">
        <v>6.36</v>
      </c>
    </row>
    <row r="4502">
      <c r="A4502" s="9">
        <v>43033</v>
      </c>
      <c r="B4502" s="2" t="inlineStr">
        <is>
          <t xml:space="preserve">2017-10</t>
        </is>
      </c>
      <c r="C4502" s="2" t="inlineStr">
        <is>
          <t xml:space="preserve">2017/18</t>
        </is>
      </c>
      <c r="D4502">
        <v>8.334</v>
      </c>
      <c r="E4502">
        <v>20.43</v>
      </c>
      <c r="F4502">
        <v>22.84</v>
      </c>
      <c r="G4502">
        <v>19.13</v>
      </c>
      <c r="H4502">
        <v>26.08</v>
      </c>
      <c r="I4502">
        <v>6.463</v>
      </c>
      <c r="J4502">
        <v>20.24</v>
      </c>
      <c r="K4502">
        <v>24.1</v>
      </c>
      <c r="L4502">
        <v>17.78</v>
      </c>
      <c r="M4502">
        <v>12.74</v>
      </c>
      <c r="N4502">
        <v>22.026</v>
      </c>
      <c r="O4502">
        <v>20.58</v>
      </c>
      <c r="P4502">
        <v>23.4</v>
      </c>
      <c r="Q4502">
        <v>18.88</v>
      </c>
      <c r="R4502">
        <v>34.73</v>
      </c>
    </row>
    <row r="4503">
      <c r="A4503" s="9">
        <v>43034</v>
      </c>
      <c r="B4503" s="2" t="inlineStr">
        <is>
          <t xml:space="preserve">2017-10</t>
        </is>
      </c>
      <c r="C4503" s="2" t="inlineStr">
        <is>
          <t xml:space="preserve">2017/18</t>
        </is>
      </c>
      <c r="D4503">
        <v>2.505</v>
      </c>
      <c r="E4503">
        <v>18.43</v>
      </c>
      <c r="F4503">
        <v>20.95</v>
      </c>
      <c r="G4503">
        <v>15.16</v>
      </c>
      <c r="H4503">
        <v>8.28</v>
      </c>
      <c r="I4503">
        <v>2.178</v>
      </c>
      <c r="J4503">
        <v>18.55</v>
      </c>
      <c r="K4503">
        <v>21.76</v>
      </c>
      <c r="L4503">
        <v>16.35</v>
      </c>
      <c r="M4503">
        <v>2.72</v>
      </c>
      <c r="N4503">
        <v>8.105</v>
      </c>
      <c r="O4503">
        <v>18.3</v>
      </c>
      <c r="P4503">
        <v>20.72</v>
      </c>
      <c r="Q4503">
        <v>16.14</v>
      </c>
      <c r="R4503">
        <v>6.92</v>
      </c>
    </row>
    <row r="4504">
      <c r="A4504" s="9">
        <v>43035</v>
      </c>
      <c r="B4504" s="2" t="inlineStr">
        <is>
          <t xml:space="preserve">2017-10</t>
        </is>
      </c>
      <c r="C4504" s="2" t="inlineStr">
        <is>
          <t xml:space="preserve">2017/18</t>
        </is>
      </c>
      <c r="D4504">
        <v>2.267</v>
      </c>
      <c r="E4504">
        <v>18.19</v>
      </c>
      <c r="F4504">
        <v>21.66</v>
      </c>
      <c r="G4504">
        <v>14.96</v>
      </c>
      <c r="H4504">
        <v>4.34</v>
      </c>
      <c r="I4504">
        <v>0.18</v>
      </c>
      <c r="J4504">
        <v>20.28</v>
      </c>
      <c r="K4504">
        <v>25.97</v>
      </c>
      <c r="L4504">
        <v>15.53</v>
      </c>
      <c r="M4504">
        <v>1.47</v>
      </c>
      <c r="N4504">
        <v>0.808</v>
      </c>
      <c r="O4504">
        <v>19.91</v>
      </c>
      <c r="P4504">
        <v>25.26</v>
      </c>
      <c r="Q4504">
        <v>16.06</v>
      </c>
      <c r="R4504">
        <v>2.38</v>
      </c>
    </row>
    <row r="4505">
      <c r="A4505" s="9">
        <v>43036</v>
      </c>
      <c r="B4505" s="2" t="inlineStr">
        <is>
          <t xml:space="preserve">2017-10</t>
        </is>
      </c>
      <c r="C4505" s="2" t="inlineStr">
        <is>
          <t xml:space="preserve">2017/18</t>
        </is>
      </c>
      <c r="D4505">
        <v>21.003</v>
      </c>
      <c r="E4505">
        <v>20.04</v>
      </c>
      <c r="F4505">
        <v>24.53</v>
      </c>
      <c r="G4505">
        <v>17.35</v>
      </c>
      <c r="H4505">
        <v>21.41</v>
      </c>
      <c r="I4505">
        <v>7.595</v>
      </c>
      <c r="J4505">
        <v>21.06</v>
      </c>
      <c r="K4505">
        <v>24.6</v>
      </c>
      <c r="L4505">
        <v>18.82</v>
      </c>
      <c r="M4505">
        <v>10.79</v>
      </c>
      <c r="N4505">
        <v>11.453</v>
      </c>
      <c r="O4505">
        <v>21.12</v>
      </c>
      <c r="P4505">
        <v>24.96</v>
      </c>
      <c r="Q4505">
        <v>18.88</v>
      </c>
      <c r="R4505">
        <v>11.43</v>
      </c>
    </row>
    <row r="4506">
      <c r="A4506" s="9">
        <v>43037</v>
      </c>
      <c r="B4506" s="2" t="inlineStr">
        <is>
          <t xml:space="preserve">2017-10</t>
        </is>
      </c>
      <c r="C4506" s="2" t="inlineStr">
        <is>
          <t xml:space="preserve">2017/18</t>
        </is>
      </c>
      <c r="D4506">
        <v>1.378</v>
      </c>
      <c r="E4506">
        <v>19.37</v>
      </c>
      <c r="F4506">
        <v>23.69</v>
      </c>
      <c r="G4506">
        <v>16.63</v>
      </c>
      <c r="H4506">
        <v>1.53</v>
      </c>
      <c r="I4506">
        <v>1.303</v>
      </c>
      <c r="J4506">
        <v>19.34</v>
      </c>
      <c r="K4506">
        <v>24.21</v>
      </c>
      <c r="L4506">
        <v>15.89</v>
      </c>
      <c r="M4506">
        <v>1.17</v>
      </c>
      <c r="N4506">
        <v>5.104</v>
      </c>
      <c r="O4506">
        <v>20.08</v>
      </c>
      <c r="P4506">
        <v>23.97</v>
      </c>
      <c r="Q4506">
        <v>17.69</v>
      </c>
      <c r="R4506">
        <v>1.77</v>
      </c>
    </row>
    <row r="4507">
      <c r="A4507" s="9">
        <v>43038</v>
      </c>
      <c r="B4507" s="2" t="inlineStr">
        <is>
          <t xml:space="preserve">2017-10</t>
        </is>
      </c>
      <c r="C4507" s="2" t="inlineStr">
        <is>
          <t xml:space="preserve">2017/18</t>
        </is>
      </c>
      <c r="D4507">
        <v>0.0</v>
      </c>
      <c r="E4507">
        <v>19.42</v>
      </c>
      <c r="F4507">
        <v>24.27</v>
      </c>
      <c r="G4507">
        <v>15.53</v>
      </c>
      <c r="H4507">
        <v>0.28</v>
      </c>
      <c r="I4507">
        <v>0.0</v>
      </c>
      <c r="J4507">
        <v>19.59</v>
      </c>
      <c r="K4507">
        <v>24.65</v>
      </c>
      <c r="L4507">
        <v>15.62</v>
      </c>
      <c r="M4507">
        <v>0.38</v>
      </c>
      <c r="N4507">
        <v>0.148</v>
      </c>
      <c r="O4507">
        <v>19.84</v>
      </c>
      <c r="P4507">
        <v>24.16</v>
      </c>
      <c r="Q4507">
        <v>16.59</v>
      </c>
      <c r="R4507">
        <v>1.55</v>
      </c>
    </row>
    <row r="4508">
      <c r="A4508" s="9">
        <v>43039</v>
      </c>
      <c r="B4508" s="2" t="inlineStr">
        <is>
          <t xml:space="preserve">2017-10</t>
        </is>
      </c>
      <c r="C4508" s="2" t="inlineStr">
        <is>
          <t xml:space="preserve">2017/18</t>
        </is>
      </c>
      <c r="D4508">
        <v>0.0</v>
      </c>
      <c r="E4508">
        <v>19.94</v>
      </c>
      <c r="F4508">
        <v>24.26</v>
      </c>
      <c r="G4508">
        <v>16.84</v>
      </c>
      <c r="H4508">
        <v>0.13</v>
      </c>
      <c r="I4508">
        <v>0.063</v>
      </c>
      <c r="J4508">
        <v>20.62</v>
      </c>
      <c r="K4508">
        <v>25.78</v>
      </c>
      <c r="L4508">
        <v>16.87</v>
      </c>
      <c r="M4508">
        <v>0.41</v>
      </c>
      <c r="N4508">
        <v>0.383</v>
      </c>
      <c r="O4508">
        <v>20.8</v>
      </c>
      <c r="P4508">
        <v>25.42</v>
      </c>
      <c r="Q4508">
        <v>17.66</v>
      </c>
      <c r="R4508">
        <v>0.48</v>
      </c>
    </row>
    <row r="4509">
      <c r="A4509" s="9">
        <v>43040</v>
      </c>
      <c r="B4509" s="2" t="inlineStr">
        <is>
          <t xml:space="preserve">2017-11</t>
        </is>
      </c>
      <c r="C4509" s="2" t="inlineStr">
        <is>
          <t xml:space="preserve">2017/18</t>
        </is>
      </c>
      <c r="D4509">
        <v>0.0</v>
      </c>
      <c r="E4509">
        <v>20.57</v>
      </c>
      <c r="F4509">
        <v>25.15</v>
      </c>
      <c r="G4509">
        <v>17.1</v>
      </c>
      <c r="H4509">
        <v>0.02</v>
      </c>
      <c r="I4509">
        <v>1.114</v>
      </c>
      <c r="J4509">
        <v>20.19</v>
      </c>
      <c r="K4509">
        <v>24.13</v>
      </c>
      <c r="L4509">
        <v>17.59</v>
      </c>
      <c r="M4509">
        <v>0.4</v>
      </c>
      <c r="N4509">
        <v>0.058</v>
      </c>
      <c r="O4509">
        <v>20.94</v>
      </c>
      <c r="P4509">
        <v>25.79</v>
      </c>
      <c r="Q4509">
        <v>18.15</v>
      </c>
      <c r="R4509">
        <v>0.12</v>
      </c>
    </row>
    <row r="4510">
      <c r="A4510" s="9">
        <v>43041</v>
      </c>
      <c r="B4510" s="2" t="inlineStr">
        <is>
          <t xml:space="preserve">2017-11</t>
        </is>
      </c>
      <c r="C4510" s="2" t="inlineStr">
        <is>
          <t xml:space="preserve">2017/18</t>
        </is>
      </c>
      <c r="D4510">
        <v>0.025</v>
      </c>
      <c r="E4510">
        <v>21.04</v>
      </c>
      <c r="F4510">
        <v>25.76</v>
      </c>
      <c r="G4510">
        <v>17.86</v>
      </c>
      <c r="H4510">
        <v>0.11</v>
      </c>
      <c r="I4510">
        <v>0.0</v>
      </c>
      <c r="J4510">
        <v>21.69</v>
      </c>
      <c r="K4510">
        <v>26.85</v>
      </c>
      <c r="L4510">
        <v>17.59</v>
      </c>
      <c r="M4510">
        <v>0.06</v>
      </c>
      <c r="N4510">
        <v>0.0</v>
      </c>
      <c r="O4510">
        <v>21.97</v>
      </c>
      <c r="P4510">
        <v>26.7</v>
      </c>
      <c r="Q4510">
        <v>18.82</v>
      </c>
      <c r="R4510">
        <v>0.28</v>
      </c>
    </row>
    <row r="4511">
      <c r="A4511" s="9">
        <v>43042</v>
      </c>
      <c r="B4511" s="2" t="inlineStr">
        <is>
          <t xml:space="preserve">2017-11</t>
        </is>
      </c>
      <c r="C4511" s="2" t="inlineStr">
        <is>
          <t xml:space="preserve">2017/18</t>
        </is>
      </c>
      <c r="D4511">
        <v>0.0</v>
      </c>
      <c r="E4511">
        <v>20.65</v>
      </c>
      <c r="F4511">
        <v>25.31</v>
      </c>
      <c r="G4511">
        <v>17.73</v>
      </c>
      <c r="H4511">
        <v>0.11</v>
      </c>
      <c r="I4511">
        <v>0.034</v>
      </c>
      <c r="J4511">
        <v>20.98</v>
      </c>
      <c r="K4511">
        <v>25.1</v>
      </c>
      <c r="L4511">
        <v>17.72</v>
      </c>
      <c r="M4511">
        <v>0.45</v>
      </c>
      <c r="N4511">
        <v>0.355</v>
      </c>
      <c r="O4511">
        <v>21.25</v>
      </c>
      <c r="P4511">
        <v>24.65</v>
      </c>
      <c r="Q4511">
        <v>18.61</v>
      </c>
      <c r="R4511">
        <v>0.81</v>
      </c>
    </row>
    <row r="4512">
      <c r="A4512" s="9">
        <v>43043</v>
      </c>
      <c r="B4512" s="2" t="inlineStr">
        <is>
          <t xml:space="preserve">2017-11</t>
        </is>
      </c>
      <c r="C4512" s="2" t="inlineStr">
        <is>
          <t xml:space="preserve">2017/18</t>
        </is>
      </c>
      <c r="D4512">
        <v>0.0</v>
      </c>
      <c r="E4512">
        <v>19.66</v>
      </c>
      <c r="F4512">
        <v>24.75</v>
      </c>
      <c r="G4512">
        <v>16.59</v>
      </c>
      <c r="H4512">
        <v>0.2</v>
      </c>
      <c r="I4512">
        <v>0.413</v>
      </c>
      <c r="J4512">
        <v>21.16</v>
      </c>
      <c r="K4512">
        <v>26.21</v>
      </c>
      <c r="L4512">
        <v>16.65</v>
      </c>
      <c r="M4512">
        <v>0.56</v>
      </c>
      <c r="N4512">
        <v>1.617</v>
      </c>
      <c r="O4512">
        <v>20.98</v>
      </c>
      <c r="P4512">
        <v>25.54</v>
      </c>
      <c r="Q4512">
        <v>17.65</v>
      </c>
      <c r="R4512">
        <v>0.96</v>
      </c>
    </row>
    <row r="4513">
      <c r="A4513" s="9">
        <v>43044</v>
      </c>
      <c r="B4513" s="2" t="inlineStr">
        <is>
          <t xml:space="preserve">2017-11</t>
        </is>
      </c>
      <c r="C4513" s="2" t="inlineStr">
        <is>
          <t xml:space="preserve">2017/18</t>
        </is>
      </c>
      <c r="D4513">
        <v>0.0</v>
      </c>
      <c r="E4513">
        <v>19.85</v>
      </c>
      <c r="F4513">
        <v>25.02</v>
      </c>
      <c r="G4513">
        <v>16.05</v>
      </c>
      <c r="H4513">
        <v>1.1</v>
      </c>
      <c r="I4513">
        <v>0.376</v>
      </c>
      <c r="J4513">
        <v>20.07</v>
      </c>
      <c r="K4513">
        <v>25.38</v>
      </c>
      <c r="L4513">
        <v>16.22</v>
      </c>
      <c r="M4513">
        <v>0.81</v>
      </c>
      <c r="N4513">
        <v>1.511</v>
      </c>
      <c r="O4513">
        <v>20.18</v>
      </c>
      <c r="P4513">
        <v>24.82</v>
      </c>
      <c r="Q4513">
        <v>17.27</v>
      </c>
      <c r="R4513">
        <v>3.4</v>
      </c>
    </row>
    <row r="4514">
      <c r="A4514" s="9">
        <v>43045</v>
      </c>
      <c r="B4514" s="2" t="inlineStr">
        <is>
          <t xml:space="preserve">2017-11</t>
        </is>
      </c>
      <c r="C4514" s="2" t="inlineStr">
        <is>
          <t xml:space="preserve">2017/18</t>
        </is>
      </c>
      <c r="D4514">
        <v>0.0</v>
      </c>
      <c r="E4514">
        <v>20.61</v>
      </c>
      <c r="F4514">
        <v>25.32</v>
      </c>
      <c r="G4514">
        <v>17.24</v>
      </c>
      <c r="H4514">
        <v>1.93</v>
      </c>
      <c r="I4514">
        <v>0.025</v>
      </c>
      <c r="J4514">
        <v>20.74</v>
      </c>
      <c r="K4514">
        <v>26.07</v>
      </c>
      <c r="L4514">
        <v>16.92</v>
      </c>
      <c r="M4514">
        <v>0.65</v>
      </c>
      <c r="N4514">
        <v>0.361</v>
      </c>
      <c r="O4514">
        <v>20.89</v>
      </c>
      <c r="P4514">
        <v>25.7</v>
      </c>
      <c r="Q4514">
        <v>17.76</v>
      </c>
      <c r="R4514">
        <v>2.17</v>
      </c>
    </row>
    <row r="4515">
      <c r="A4515" s="9">
        <v>43046</v>
      </c>
      <c r="B4515" s="2" t="inlineStr">
        <is>
          <t xml:space="preserve">2017-11</t>
        </is>
      </c>
      <c r="C4515" s="2" t="inlineStr">
        <is>
          <t xml:space="preserve">2017/18</t>
        </is>
      </c>
      <c r="D4515">
        <v>1.105</v>
      </c>
      <c r="E4515">
        <v>20.42</v>
      </c>
      <c r="F4515">
        <v>24.92</v>
      </c>
      <c r="G4515">
        <v>17.21</v>
      </c>
      <c r="H4515">
        <v>3.92</v>
      </c>
      <c r="I4515">
        <v>0.993</v>
      </c>
      <c r="J4515">
        <v>20.78</v>
      </c>
      <c r="K4515">
        <v>25.1</v>
      </c>
      <c r="L4515">
        <v>17.96</v>
      </c>
      <c r="M4515">
        <v>2.42</v>
      </c>
      <c r="N4515">
        <v>3.918</v>
      </c>
      <c r="O4515">
        <v>21.15</v>
      </c>
      <c r="P4515">
        <v>24.78</v>
      </c>
      <c r="Q4515">
        <v>19.18</v>
      </c>
      <c r="R4515">
        <v>5.42</v>
      </c>
    </row>
    <row r="4516">
      <c r="A4516" s="9">
        <v>43047</v>
      </c>
      <c r="B4516" s="2" t="inlineStr">
        <is>
          <t xml:space="preserve">2017-11</t>
        </is>
      </c>
      <c r="C4516" s="2" t="inlineStr">
        <is>
          <t xml:space="preserve">2017/18</t>
        </is>
      </c>
      <c r="D4516">
        <v>0.834</v>
      </c>
      <c r="E4516">
        <v>18.98</v>
      </c>
      <c r="F4516">
        <v>23.76</v>
      </c>
      <c r="G4516">
        <v>15.28</v>
      </c>
      <c r="H4516">
        <v>0.96</v>
      </c>
      <c r="I4516">
        <v>0.798</v>
      </c>
      <c r="J4516">
        <v>20.11</v>
      </c>
      <c r="K4516">
        <v>24.83</v>
      </c>
      <c r="L4516">
        <v>16.76</v>
      </c>
      <c r="M4516">
        <v>1.0</v>
      </c>
      <c r="N4516">
        <v>3.054</v>
      </c>
      <c r="O4516">
        <v>20.31</v>
      </c>
      <c r="P4516">
        <v>24.51</v>
      </c>
      <c r="Q4516">
        <v>17.03</v>
      </c>
      <c r="R4516">
        <v>1.96</v>
      </c>
    </row>
    <row r="4517">
      <c r="A4517" s="9">
        <v>43048</v>
      </c>
      <c r="B4517" s="2" t="inlineStr">
        <is>
          <t xml:space="preserve">2017-11</t>
        </is>
      </c>
      <c r="C4517" s="2" t="inlineStr">
        <is>
          <t xml:space="preserve">2017/18</t>
        </is>
      </c>
      <c r="D4517">
        <v>0.0</v>
      </c>
      <c r="E4517">
        <v>18.47</v>
      </c>
      <c r="F4517">
        <v>23.63</v>
      </c>
      <c r="G4517">
        <v>14.54</v>
      </c>
      <c r="H4517">
        <v>0.34</v>
      </c>
      <c r="I4517">
        <v>0.0</v>
      </c>
      <c r="J4517">
        <v>18.85</v>
      </c>
      <c r="K4517">
        <v>23.77</v>
      </c>
      <c r="L4517">
        <v>15.1</v>
      </c>
      <c r="M4517">
        <v>0.11</v>
      </c>
      <c r="N4517">
        <v>0.162</v>
      </c>
      <c r="O4517">
        <v>19.3</v>
      </c>
      <c r="P4517">
        <v>23.68</v>
      </c>
      <c r="Q4517">
        <v>16.05</v>
      </c>
      <c r="R4517">
        <v>0.5</v>
      </c>
    </row>
    <row r="4518">
      <c r="A4518" s="9">
        <v>43049</v>
      </c>
      <c r="B4518" s="2" t="inlineStr">
        <is>
          <t xml:space="preserve">2017-11</t>
        </is>
      </c>
      <c r="C4518" s="2" t="inlineStr">
        <is>
          <t xml:space="preserve">2017/18</t>
        </is>
      </c>
      <c r="D4518">
        <v>0.0</v>
      </c>
      <c r="E4518">
        <v>19.56</v>
      </c>
      <c r="F4518">
        <v>23.85</v>
      </c>
      <c r="G4518">
        <v>16.31</v>
      </c>
      <c r="H4518">
        <v>2.33</v>
      </c>
      <c r="I4518">
        <v>0.103</v>
      </c>
      <c r="J4518">
        <v>19.43</v>
      </c>
      <c r="K4518">
        <v>23.68</v>
      </c>
      <c r="L4518">
        <v>16.41</v>
      </c>
      <c r="M4518">
        <v>0.81</v>
      </c>
      <c r="N4518">
        <v>1.03</v>
      </c>
      <c r="O4518">
        <v>19.6</v>
      </c>
      <c r="P4518">
        <v>23.78</v>
      </c>
      <c r="Q4518">
        <v>16.58</v>
      </c>
      <c r="R4518">
        <v>4.22</v>
      </c>
    </row>
    <row r="4519">
      <c r="A4519" s="9">
        <v>43050</v>
      </c>
      <c r="B4519" s="2" t="inlineStr">
        <is>
          <t xml:space="preserve">2017-11</t>
        </is>
      </c>
      <c r="C4519" s="2" t="inlineStr">
        <is>
          <t xml:space="preserve">2017/18</t>
        </is>
      </c>
      <c r="D4519">
        <v>0.466</v>
      </c>
      <c r="E4519">
        <v>19.81</v>
      </c>
      <c r="F4519">
        <v>24.44</v>
      </c>
      <c r="G4519">
        <v>16.42</v>
      </c>
      <c r="H4519">
        <v>2.7</v>
      </c>
      <c r="I4519">
        <v>1.197</v>
      </c>
      <c r="J4519">
        <v>20.23</v>
      </c>
      <c r="K4519">
        <v>24.44</v>
      </c>
      <c r="L4519">
        <v>17.63</v>
      </c>
      <c r="M4519">
        <v>2.18</v>
      </c>
      <c r="N4519">
        <v>4.636</v>
      </c>
      <c r="O4519">
        <v>20.43</v>
      </c>
      <c r="P4519">
        <v>24.52</v>
      </c>
      <c r="Q4519">
        <v>18.12</v>
      </c>
      <c r="R4519">
        <v>7.83</v>
      </c>
    </row>
    <row r="4520">
      <c r="A4520" s="9">
        <v>43051</v>
      </c>
      <c r="B4520" s="2" t="inlineStr">
        <is>
          <t xml:space="preserve">2017-11</t>
        </is>
      </c>
      <c r="C4520" s="2" t="inlineStr">
        <is>
          <t xml:space="preserve">2017/18</t>
        </is>
      </c>
      <c r="D4520">
        <v>0.042</v>
      </c>
      <c r="E4520">
        <v>20.77</v>
      </c>
      <c r="F4520">
        <v>25.74</v>
      </c>
      <c r="G4520">
        <v>17.46</v>
      </c>
      <c r="H4520">
        <v>3.87</v>
      </c>
      <c r="I4520">
        <v>0.765</v>
      </c>
      <c r="J4520">
        <v>21.3</v>
      </c>
      <c r="K4520">
        <v>25.98</v>
      </c>
      <c r="L4520">
        <v>18.09</v>
      </c>
      <c r="M4520">
        <v>2.59</v>
      </c>
      <c r="N4520">
        <v>3.179</v>
      </c>
      <c r="O4520">
        <v>21.4</v>
      </c>
      <c r="P4520">
        <v>25.44</v>
      </c>
      <c r="Q4520">
        <v>18.44</v>
      </c>
      <c r="R4520">
        <v>8.31</v>
      </c>
    </row>
    <row r="4521">
      <c r="A4521" s="9">
        <v>43052</v>
      </c>
      <c r="B4521" s="2" t="inlineStr">
        <is>
          <t xml:space="preserve">2017-11</t>
        </is>
      </c>
      <c r="C4521" s="2" t="inlineStr">
        <is>
          <t xml:space="preserve">2017/18</t>
        </is>
      </c>
      <c r="D4521">
        <v>0.031</v>
      </c>
      <c r="E4521">
        <v>20.17</v>
      </c>
      <c r="F4521">
        <v>24.7</v>
      </c>
      <c r="G4521">
        <v>17.42</v>
      </c>
      <c r="H4521">
        <v>9.23</v>
      </c>
      <c r="I4521">
        <v>2.038</v>
      </c>
      <c r="J4521">
        <v>20.47</v>
      </c>
      <c r="K4521">
        <v>23.31</v>
      </c>
      <c r="L4521">
        <v>17.44</v>
      </c>
      <c r="M4521">
        <v>5.61</v>
      </c>
      <c r="N4521">
        <v>7.553</v>
      </c>
      <c r="O4521">
        <v>20.31</v>
      </c>
      <c r="P4521">
        <v>22.77</v>
      </c>
      <c r="Q4521">
        <v>17.62</v>
      </c>
      <c r="R4521">
        <v>19.08</v>
      </c>
    </row>
    <row r="4522">
      <c r="A4522" s="9">
        <v>43053</v>
      </c>
      <c r="B4522" s="2" t="inlineStr">
        <is>
          <t xml:space="preserve">2017-11</t>
        </is>
      </c>
      <c r="C4522" s="2" t="inlineStr">
        <is>
          <t xml:space="preserve">2017/18</t>
        </is>
      </c>
      <c r="D4522">
        <v>0.034</v>
      </c>
      <c r="E4522">
        <v>19.47</v>
      </c>
      <c r="F4522">
        <v>23.64</v>
      </c>
      <c r="G4522">
        <v>16.71</v>
      </c>
      <c r="H4522">
        <v>2.77</v>
      </c>
      <c r="I4522">
        <v>4.185</v>
      </c>
      <c r="J4522">
        <v>20.07</v>
      </c>
      <c r="K4522">
        <v>24.06</v>
      </c>
      <c r="L4522">
        <v>17.22</v>
      </c>
      <c r="M4522">
        <v>5.35</v>
      </c>
      <c r="N4522">
        <v>16.305</v>
      </c>
      <c r="O4522">
        <v>19.98</v>
      </c>
      <c r="P4522">
        <v>23.63</v>
      </c>
      <c r="Q4522">
        <v>17.14</v>
      </c>
      <c r="R4522">
        <v>9.33</v>
      </c>
    </row>
    <row r="4523">
      <c r="A4523" s="9">
        <v>43054</v>
      </c>
      <c r="B4523" s="2" t="inlineStr">
        <is>
          <t xml:space="preserve">2017-11</t>
        </is>
      </c>
      <c r="C4523" s="2" t="inlineStr">
        <is>
          <t xml:space="preserve">2017/18</t>
        </is>
      </c>
      <c r="D4523">
        <v>0.224</v>
      </c>
      <c r="E4523">
        <v>19.89</v>
      </c>
      <c r="F4523">
        <v>24.05</v>
      </c>
      <c r="G4523">
        <v>17.37</v>
      </c>
      <c r="H4523">
        <v>2.79</v>
      </c>
      <c r="I4523">
        <v>0.563</v>
      </c>
      <c r="J4523">
        <v>20.32</v>
      </c>
      <c r="K4523">
        <v>25.05</v>
      </c>
      <c r="L4523">
        <v>17.63</v>
      </c>
      <c r="M4523">
        <v>1.07</v>
      </c>
      <c r="N4523">
        <v>2.202</v>
      </c>
      <c r="O4523">
        <v>20.34</v>
      </c>
      <c r="P4523">
        <v>24.45</v>
      </c>
      <c r="Q4523">
        <v>17.83</v>
      </c>
      <c r="R4523">
        <v>4.98</v>
      </c>
    </row>
    <row r="4524">
      <c r="A4524" s="9">
        <v>43055</v>
      </c>
      <c r="B4524" s="2" t="inlineStr">
        <is>
          <t xml:space="preserve">2017-11</t>
        </is>
      </c>
      <c r="C4524" s="2" t="inlineStr">
        <is>
          <t xml:space="preserve">2017/18</t>
        </is>
      </c>
      <c r="D4524">
        <v>0.0</v>
      </c>
      <c r="E4524">
        <v>19.33</v>
      </c>
      <c r="F4524">
        <v>24.03</v>
      </c>
      <c r="G4524">
        <v>16.39</v>
      </c>
      <c r="H4524">
        <v>1.52</v>
      </c>
      <c r="I4524">
        <v>0.74</v>
      </c>
      <c r="J4524">
        <v>19.87</v>
      </c>
      <c r="K4524">
        <v>24.51</v>
      </c>
      <c r="L4524">
        <v>16.58</v>
      </c>
      <c r="M4524">
        <v>1.4</v>
      </c>
      <c r="N4524">
        <v>2.959</v>
      </c>
      <c r="O4524">
        <v>19.96</v>
      </c>
      <c r="P4524">
        <v>24.14</v>
      </c>
      <c r="Q4524">
        <v>17.41</v>
      </c>
      <c r="R4524">
        <v>3.65</v>
      </c>
    </row>
    <row r="4525">
      <c r="A4525" s="9">
        <v>43056</v>
      </c>
      <c r="B4525" s="2" t="inlineStr">
        <is>
          <t xml:space="preserve">2017-11</t>
        </is>
      </c>
      <c r="C4525" s="2" t="inlineStr">
        <is>
          <t xml:space="preserve">2017/18</t>
        </is>
      </c>
      <c r="D4525">
        <v>0.063</v>
      </c>
      <c r="E4525">
        <v>18.69</v>
      </c>
      <c r="F4525">
        <v>23.6</v>
      </c>
      <c r="G4525">
        <v>15.75</v>
      </c>
      <c r="H4525">
        <v>0.74</v>
      </c>
      <c r="I4525">
        <v>0.026</v>
      </c>
      <c r="J4525">
        <v>19.27</v>
      </c>
      <c r="K4525">
        <v>24.41</v>
      </c>
      <c r="L4525">
        <v>15.59</v>
      </c>
      <c r="M4525">
        <v>0.47</v>
      </c>
      <c r="N4525">
        <v>0.44</v>
      </c>
      <c r="O4525">
        <v>19.27</v>
      </c>
      <c r="P4525">
        <v>23.62</v>
      </c>
      <c r="Q4525">
        <v>16.43</v>
      </c>
      <c r="R4525">
        <v>2.5</v>
      </c>
    </row>
    <row r="4526">
      <c r="A4526" s="9">
        <v>43057</v>
      </c>
      <c r="B4526" s="2" t="inlineStr">
        <is>
          <t xml:space="preserve">2017-11</t>
        </is>
      </c>
      <c r="C4526" s="2" t="inlineStr">
        <is>
          <t xml:space="preserve">2017/18</t>
        </is>
      </c>
      <c r="D4526">
        <v>0.0</v>
      </c>
      <c r="E4526">
        <v>17.91</v>
      </c>
      <c r="F4526">
        <v>23.62</v>
      </c>
      <c r="G4526">
        <v>13.98</v>
      </c>
      <c r="H4526">
        <v>0.01</v>
      </c>
      <c r="I4526">
        <v>0.0</v>
      </c>
      <c r="J4526">
        <v>18.75</v>
      </c>
      <c r="K4526">
        <v>24.35</v>
      </c>
      <c r="L4526">
        <v>14.84</v>
      </c>
      <c r="M4526">
        <v>0.0</v>
      </c>
      <c r="N4526">
        <v>0.0</v>
      </c>
      <c r="O4526">
        <v>19.02</v>
      </c>
      <c r="P4526">
        <v>24.24</v>
      </c>
      <c r="Q4526">
        <v>15.4</v>
      </c>
      <c r="R4526">
        <v>0.04</v>
      </c>
    </row>
    <row r="4527">
      <c r="A4527" s="9">
        <v>43058</v>
      </c>
      <c r="B4527" s="2" t="inlineStr">
        <is>
          <t xml:space="preserve">2017-11</t>
        </is>
      </c>
      <c r="C4527" s="2" t="inlineStr">
        <is>
          <t xml:space="preserve">2017/18</t>
        </is>
      </c>
      <c r="D4527">
        <v>0.0</v>
      </c>
      <c r="E4527">
        <v>18.06</v>
      </c>
      <c r="F4527">
        <v>24.11</v>
      </c>
      <c r="G4527">
        <v>13.76</v>
      </c>
      <c r="H4527">
        <v>0.06</v>
      </c>
      <c r="I4527">
        <v>0.0</v>
      </c>
      <c r="J4527">
        <v>18.92</v>
      </c>
      <c r="K4527">
        <v>24.33</v>
      </c>
      <c r="L4527">
        <v>14.23</v>
      </c>
      <c r="M4527">
        <v>0.2</v>
      </c>
      <c r="N4527">
        <v>0.0</v>
      </c>
      <c r="O4527">
        <v>19.17</v>
      </c>
      <c r="P4527">
        <v>23.95</v>
      </c>
      <c r="Q4527">
        <v>15.19</v>
      </c>
      <c r="R4527">
        <v>0.24</v>
      </c>
    </row>
    <row r="4528">
      <c r="A4528" s="9">
        <v>43059</v>
      </c>
      <c r="B4528" s="2" t="inlineStr">
        <is>
          <t xml:space="preserve">2017-11</t>
        </is>
      </c>
      <c r="C4528" s="2" t="inlineStr">
        <is>
          <t xml:space="preserve">2017/18</t>
        </is>
      </c>
      <c r="D4528">
        <v>0.029</v>
      </c>
      <c r="E4528">
        <v>17.61</v>
      </c>
      <c r="F4528">
        <v>22.82</v>
      </c>
      <c r="G4528">
        <v>13.65</v>
      </c>
      <c r="H4528">
        <v>0.22</v>
      </c>
      <c r="I4528">
        <v>0.336</v>
      </c>
      <c r="J4528">
        <v>18.93</v>
      </c>
      <c r="K4528">
        <v>23.77</v>
      </c>
      <c r="L4528">
        <v>15.02</v>
      </c>
      <c r="M4528">
        <v>0.47</v>
      </c>
      <c r="N4528">
        <v>1.316</v>
      </c>
      <c r="O4528">
        <v>19.07</v>
      </c>
      <c r="P4528">
        <v>23.59</v>
      </c>
      <c r="Q4528">
        <v>15.74</v>
      </c>
      <c r="R4528">
        <v>1.0</v>
      </c>
    </row>
    <row r="4529">
      <c r="A4529" s="9">
        <v>43060</v>
      </c>
      <c r="B4529" s="2" t="inlineStr">
        <is>
          <t xml:space="preserve">2017-11</t>
        </is>
      </c>
      <c r="C4529" s="2" t="inlineStr">
        <is>
          <t xml:space="preserve">2017/18</t>
        </is>
      </c>
      <c r="D4529">
        <v>0.0</v>
      </c>
      <c r="E4529">
        <v>18.78</v>
      </c>
      <c r="F4529">
        <v>24.51</v>
      </c>
      <c r="G4529">
        <v>13.95</v>
      </c>
      <c r="H4529">
        <v>0.01</v>
      </c>
      <c r="I4529">
        <v>0.0</v>
      </c>
      <c r="J4529">
        <v>20.0</v>
      </c>
      <c r="K4529">
        <v>25.78</v>
      </c>
      <c r="L4529">
        <v>15.12</v>
      </c>
      <c r="M4529">
        <v>0.0</v>
      </c>
      <c r="N4529">
        <v>0.0</v>
      </c>
      <c r="O4529">
        <v>19.9</v>
      </c>
      <c r="P4529">
        <v>25.2</v>
      </c>
      <c r="Q4529">
        <v>16.13</v>
      </c>
      <c r="R4529">
        <v>0.0</v>
      </c>
    </row>
    <row r="4530">
      <c r="A4530" s="9">
        <v>43061</v>
      </c>
      <c r="B4530" s="2" t="inlineStr">
        <is>
          <t xml:space="preserve">2017-11</t>
        </is>
      </c>
      <c r="C4530" s="2" t="inlineStr">
        <is>
          <t xml:space="preserve">2017/18</t>
        </is>
      </c>
      <c r="D4530">
        <v>0.504</v>
      </c>
      <c r="E4530">
        <v>20.07</v>
      </c>
      <c r="F4530">
        <v>25.74</v>
      </c>
      <c r="G4530">
        <v>15.15</v>
      </c>
      <c r="H4530">
        <v>1.19</v>
      </c>
      <c r="I4530">
        <v>0.0</v>
      </c>
      <c r="J4530">
        <v>21.02</v>
      </c>
      <c r="K4530">
        <v>26.53</v>
      </c>
      <c r="L4530">
        <v>16.4</v>
      </c>
      <c r="M4530">
        <v>0.33</v>
      </c>
      <c r="N4530">
        <v>0.0</v>
      </c>
      <c r="O4530">
        <v>20.96</v>
      </c>
      <c r="P4530">
        <v>26.54</v>
      </c>
      <c r="Q4530">
        <v>16.55</v>
      </c>
      <c r="R4530">
        <v>0.27</v>
      </c>
    </row>
    <row r="4531">
      <c r="A4531" s="9">
        <v>43062</v>
      </c>
      <c r="B4531" s="2" t="inlineStr">
        <is>
          <t xml:space="preserve">2017-11</t>
        </is>
      </c>
      <c r="C4531" s="2" t="inlineStr">
        <is>
          <t xml:space="preserve">2017/18</t>
        </is>
      </c>
      <c r="D4531">
        <v>0.316</v>
      </c>
      <c r="E4531">
        <v>18.31</v>
      </c>
      <c r="F4531">
        <v>21.42</v>
      </c>
      <c r="G4531">
        <v>15.76</v>
      </c>
      <c r="H4531">
        <v>0.58</v>
      </c>
      <c r="I4531">
        <v>0.434</v>
      </c>
      <c r="J4531">
        <v>18.57</v>
      </c>
      <c r="K4531">
        <v>22.63</v>
      </c>
      <c r="L4531">
        <v>16.2</v>
      </c>
      <c r="M4531">
        <v>0.53</v>
      </c>
      <c r="N4531">
        <v>1.714</v>
      </c>
      <c r="O4531">
        <v>18.99</v>
      </c>
      <c r="P4531">
        <v>22.58</v>
      </c>
      <c r="Q4531">
        <v>16.61</v>
      </c>
      <c r="R4531">
        <v>1.0</v>
      </c>
    </row>
    <row r="4532">
      <c r="A4532" s="9">
        <v>43063</v>
      </c>
      <c r="B4532" s="2" t="inlineStr">
        <is>
          <t xml:space="preserve">2017-11</t>
        </is>
      </c>
      <c r="C4532" s="2" t="inlineStr">
        <is>
          <t xml:space="preserve">2017/18</t>
        </is>
      </c>
      <c r="D4532">
        <v>0.0</v>
      </c>
      <c r="E4532">
        <v>17.73</v>
      </c>
      <c r="F4532">
        <v>22.55</v>
      </c>
      <c r="G4532">
        <v>15.11</v>
      </c>
      <c r="H4532">
        <v>0.01</v>
      </c>
      <c r="I4532">
        <v>0.024</v>
      </c>
      <c r="J4532">
        <v>17.78</v>
      </c>
      <c r="K4532">
        <v>22.42</v>
      </c>
      <c r="L4532">
        <v>15.1</v>
      </c>
      <c r="M4532">
        <v>0.07</v>
      </c>
      <c r="N4532">
        <v>0.251</v>
      </c>
      <c r="O4532">
        <v>17.87</v>
      </c>
      <c r="P4532">
        <v>22.07</v>
      </c>
      <c r="Q4532">
        <v>15.16</v>
      </c>
      <c r="R4532">
        <v>0.06</v>
      </c>
    </row>
    <row r="4533">
      <c r="A4533" s="9">
        <v>43064</v>
      </c>
      <c r="B4533" s="2" t="inlineStr">
        <is>
          <t xml:space="preserve">2017-11</t>
        </is>
      </c>
      <c r="C4533" s="2" t="inlineStr">
        <is>
          <t xml:space="preserve">2017/18</t>
        </is>
      </c>
      <c r="D4533">
        <v>0.0</v>
      </c>
      <c r="E4533">
        <v>18.63</v>
      </c>
      <c r="F4533">
        <v>24.64</v>
      </c>
      <c r="G4533">
        <v>13.84</v>
      </c>
      <c r="H4533">
        <v>0.0</v>
      </c>
      <c r="I4533">
        <v>0.0</v>
      </c>
      <c r="J4533">
        <v>18.97</v>
      </c>
      <c r="K4533">
        <v>25.51</v>
      </c>
      <c r="L4533">
        <v>13.8</v>
      </c>
      <c r="M4533">
        <v>0.0</v>
      </c>
      <c r="N4533">
        <v>0.0</v>
      </c>
      <c r="O4533">
        <v>18.56</v>
      </c>
      <c r="P4533">
        <v>24.38</v>
      </c>
      <c r="Q4533">
        <v>13.57</v>
      </c>
      <c r="R4533">
        <v>0.0</v>
      </c>
    </row>
    <row r="4534">
      <c r="A4534" s="9">
        <v>43065</v>
      </c>
      <c r="B4534" s="2" t="inlineStr">
        <is>
          <t xml:space="preserve">2017-11</t>
        </is>
      </c>
      <c r="C4534" s="2" t="inlineStr">
        <is>
          <t xml:space="preserve">2017/18</t>
        </is>
      </c>
      <c r="D4534">
        <v>0.0</v>
      </c>
      <c r="E4534">
        <v>19.22</v>
      </c>
      <c r="F4534">
        <v>24.32</v>
      </c>
      <c r="G4534">
        <v>15.38</v>
      </c>
      <c r="H4534">
        <v>0.32</v>
      </c>
      <c r="I4534">
        <v>0.0</v>
      </c>
      <c r="J4534">
        <v>19.03</v>
      </c>
      <c r="K4534">
        <v>24.21</v>
      </c>
      <c r="L4534">
        <v>15.47</v>
      </c>
      <c r="M4534">
        <v>0.19</v>
      </c>
      <c r="N4534">
        <v>0.0</v>
      </c>
      <c r="O4534">
        <v>19.29</v>
      </c>
      <c r="P4534">
        <v>24.18</v>
      </c>
      <c r="Q4534">
        <v>15.77</v>
      </c>
      <c r="R4534">
        <v>0.41</v>
      </c>
    </row>
    <row r="4535">
      <c r="A4535" s="9">
        <v>43066</v>
      </c>
      <c r="B4535" s="2" t="inlineStr">
        <is>
          <t xml:space="preserve">2017-11</t>
        </is>
      </c>
      <c r="C4535" s="2" t="inlineStr">
        <is>
          <t xml:space="preserve">2017/18</t>
        </is>
      </c>
      <c r="D4535">
        <v>0.0</v>
      </c>
      <c r="E4535">
        <v>17.64</v>
      </c>
      <c r="F4535">
        <v>22.04</v>
      </c>
      <c r="G4535">
        <v>14.45</v>
      </c>
      <c r="H4535">
        <v>0.62</v>
      </c>
      <c r="I4535">
        <v>0.435</v>
      </c>
      <c r="J4535">
        <v>17.29</v>
      </c>
      <c r="K4535">
        <v>21.1</v>
      </c>
      <c r="L4535">
        <v>13.63</v>
      </c>
      <c r="M4535">
        <v>0.7</v>
      </c>
      <c r="N4535">
        <v>1.74</v>
      </c>
      <c r="O4535">
        <v>17.64</v>
      </c>
      <c r="P4535">
        <v>21.35</v>
      </c>
      <c r="Q4535">
        <v>14.88</v>
      </c>
      <c r="R4535">
        <v>1.44</v>
      </c>
    </row>
    <row r="4536">
      <c r="A4536" s="9">
        <v>43067</v>
      </c>
      <c r="B4536" s="2" t="inlineStr">
        <is>
          <t xml:space="preserve">2017-11</t>
        </is>
      </c>
      <c r="C4536" s="2" t="inlineStr">
        <is>
          <t xml:space="preserve">2017/18</t>
        </is>
      </c>
      <c r="D4536">
        <v>0.0</v>
      </c>
      <c r="E4536">
        <v>17.9</v>
      </c>
      <c r="F4536">
        <v>23.54</v>
      </c>
      <c r="G4536">
        <v>13.49</v>
      </c>
      <c r="H4536">
        <v>0.01</v>
      </c>
      <c r="I4536">
        <v>0.0</v>
      </c>
      <c r="J4536">
        <v>17.13</v>
      </c>
      <c r="K4536">
        <v>22.88</v>
      </c>
      <c r="L4536">
        <v>12.44</v>
      </c>
      <c r="M4536">
        <v>0.01</v>
      </c>
      <c r="N4536">
        <v>0.0</v>
      </c>
      <c r="O4536">
        <v>17.43</v>
      </c>
      <c r="P4536">
        <v>22.64</v>
      </c>
      <c r="Q4536">
        <v>13.43</v>
      </c>
      <c r="R4536">
        <v>0.01</v>
      </c>
    </row>
    <row r="4537">
      <c r="A4537" s="9">
        <v>43068</v>
      </c>
      <c r="B4537" s="2" t="inlineStr">
        <is>
          <t xml:space="preserve">2017-11</t>
        </is>
      </c>
      <c r="C4537" s="2" t="inlineStr">
        <is>
          <t xml:space="preserve">2017/18</t>
        </is>
      </c>
      <c r="D4537">
        <v>0.0</v>
      </c>
      <c r="E4537">
        <v>19.18</v>
      </c>
      <c r="F4537">
        <v>24.33</v>
      </c>
      <c r="G4537">
        <v>15.4</v>
      </c>
      <c r="H4537">
        <v>0.13</v>
      </c>
      <c r="I4537">
        <v>0.024</v>
      </c>
      <c r="J4537">
        <v>18.7</v>
      </c>
      <c r="K4537">
        <v>23.87</v>
      </c>
      <c r="L4537">
        <v>14.93</v>
      </c>
      <c r="M4537">
        <v>0.24</v>
      </c>
      <c r="N4537">
        <v>0.25</v>
      </c>
      <c r="O4537">
        <v>18.9</v>
      </c>
      <c r="P4537">
        <v>23.67</v>
      </c>
      <c r="Q4537">
        <v>15.5</v>
      </c>
      <c r="R4537">
        <v>0.23</v>
      </c>
    </row>
    <row r="4538">
      <c r="A4538" s="9">
        <v>43069</v>
      </c>
      <c r="B4538" s="2" t="inlineStr">
        <is>
          <t xml:space="preserve">2017-11</t>
        </is>
      </c>
      <c r="C4538" s="2" t="inlineStr">
        <is>
          <t xml:space="preserve">2017/18</t>
        </is>
      </c>
      <c r="D4538">
        <v>0.0</v>
      </c>
      <c r="E4538">
        <v>18.81</v>
      </c>
      <c r="F4538">
        <v>23.28</v>
      </c>
      <c r="G4538">
        <v>15.79</v>
      </c>
      <c r="H4538">
        <v>0.44</v>
      </c>
      <c r="I4538">
        <v>0.48</v>
      </c>
      <c r="J4538">
        <v>18.7</v>
      </c>
      <c r="K4538">
        <v>22.51</v>
      </c>
      <c r="L4538">
        <v>16.15</v>
      </c>
      <c r="M4538">
        <v>0.79</v>
      </c>
      <c r="N4538">
        <v>1.928</v>
      </c>
      <c r="O4538">
        <v>18.81</v>
      </c>
      <c r="P4538">
        <v>22.07</v>
      </c>
      <c r="Q4538">
        <v>16.03</v>
      </c>
      <c r="R4538">
        <v>1.26</v>
      </c>
    </row>
    <row r="4539">
      <c r="A4539" s="9">
        <v>43070</v>
      </c>
      <c r="B4539" s="2" t="inlineStr">
        <is>
          <t xml:space="preserve">2017-12</t>
        </is>
      </c>
      <c r="C4539" s="2" t="inlineStr">
        <is>
          <t xml:space="preserve">2017/18</t>
        </is>
      </c>
      <c r="D4539">
        <v>0.0</v>
      </c>
      <c r="E4539">
        <v>19.23</v>
      </c>
      <c r="F4539">
        <v>24.37</v>
      </c>
      <c r="G4539">
        <v>15.6</v>
      </c>
      <c r="H4539">
        <v>0.39</v>
      </c>
      <c r="I4539">
        <v>0.032</v>
      </c>
      <c r="J4539">
        <v>19.4</v>
      </c>
      <c r="K4539">
        <v>23.48</v>
      </c>
      <c r="L4539">
        <v>16.87</v>
      </c>
      <c r="M4539">
        <v>1.24</v>
      </c>
      <c r="N4539">
        <v>0.381</v>
      </c>
      <c r="O4539">
        <v>20.04</v>
      </c>
      <c r="P4539">
        <v>23.79</v>
      </c>
      <c r="Q4539">
        <v>18.03</v>
      </c>
      <c r="R4539">
        <v>1.76</v>
      </c>
    </row>
    <row r="4540">
      <c r="A4540" s="9">
        <v>43071</v>
      </c>
      <c r="B4540" s="2" t="inlineStr">
        <is>
          <t xml:space="preserve">2017-12</t>
        </is>
      </c>
      <c r="C4540" s="2" t="inlineStr">
        <is>
          <t xml:space="preserve">2017/18</t>
        </is>
      </c>
      <c r="D4540">
        <v>0.0</v>
      </c>
      <c r="E4540">
        <v>18.81</v>
      </c>
      <c r="F4540">
        <v>23.58</v>
      </c>
      <c r="G4540">
        <v>15.57</v>
      </c>
      <c r="H4540">
        <v>0.77</v>
      </c>
      <c r="I4540">
        <v>1.919</v>
      </c>
      <c r="J4540">
        <v>19.75</v>
      </c>
      <c r="K4540">
        <v>23.88</v>
      </c>
      <c r="L4540">
        <v>16.96</v>
      </c>
      <c r="M4540">
        <v>2.57</v>
      </c>
      <c r="N4540">
        <v>7.732</v>
      </c>
      <c r="O4540">
        <v>19.7</v>
      </c>
      <c r="P4540">
        <v>23.81</v>
      </c>
      <c r="Q4540">
        <v>17.03</v>
      </c>
      <c r="R4540">
        <v>3.34</v>
      </c>
    </row>
    <row r="4541">
      <c r="A4541" s="9">
        <v>43072</v>
      </c>
      <c r="B4541" s="2" t="inlineStr">
        <is>
          <t xml:space="preserve">2017-12</t>
        </is>
      </c>
      <c r="C4541" s="2" t="inlineStr">
        <is>
          <t xml:space="preserve">2017/18</t>
        </is>
      </c>
      <c r="D4541">
        <v>0.0</v>
      </c>
      <c r="E4541">
        <v>18.68</v>
      </c>
      <c r="F4541">
        <v>23.5</v>
      </c>
      <c r="G4541">
        <v>15.27</v>
      </c>
      <c r="H4541">
        <v>0.63</v>
      </c>
      <c r="I4541">
        <v>0.028</v>
      </c>
      <c r="J4541">
        <v>19.25</v>
      </c>
      <c r="K4541">
        <v>23.66</v>
      </c>
      <c r="L4541">
        <v>16.26</v>
      </c>
      <c r="M4541">
        <v>0.33</v>
      </c>
      <c r="N4541">
        <v>0.409</v>
      </c>
      <c r="O4541">
        <v>19.54</v>
      </c>
      <c r="P4541">
        <v>23.58</v>
      </c>
      <c r="Q4541">
        <v>16.93</v>
      </c>
      <c r="R4541">
        <v>1.89</v>
      </c>
    </row>
    <row r="4542">
      <c r="A4542" s="9">
        <v>43073</v>
      </c>
      <c r="B4542" s="2" t="inlineStr">
        <is>
          <t xml:space="preserve">2017-12</t>
        </is>
      </c>
      <c r="C4542" s="2" t="inlineStr">
        <is>
          <t xml:space="preserve">2017/18</t>
        </is>
      </c>
      <c r="D4542">
        <v>0.0</v>
      </c>
      <c r="E4542">
        <v>19.4</v>
      </c>
      <c r="F4542">
        <v>24.47</v>
      </c>
      <c r="G4542">
        <v>15.67</v>
      </c>
      <c r="H4542">
        <v>0.03</v>
      </c>
      <c r="I4542">
        <v>0.039</v>
      </c>
      <c r="J4542">
        <v>19.74</v>
      </c>
      <c r="K4542">
        <v>25.01</v>
      </c>
      <c r="L4542">
        <v>15.39</v>
      </c>
      <c r="M4542">
        <v>0.21</v>
      </c>
      <c r="N4542">
        <v>0.418</v>
      </c>
      <c r="O4542">
        <v>20.01</v>
      </c>
      <c r="P4542">
        <v>24.69</v>
      </c>
      <c r="Q4542">
        <v>16.45</v>
      </c>
      <c r="R4542">
        <v>0.19</v>
      </c>
    </row>
    <row r="4543">
      <c r="A4543" s="9">
        <v>43074</v>
      </c>
      <c r="B4543" s="2" t="inlineStr">
        <is>
          <t xml:space="preserve">2017-12</t>
        </is>
      </c>
      <c r="C4543" s="2" t="inlineStr">
        <is>
          <t xml:space="preserve">2017/18</t>
        </is>
      </c>
      <c r="D4543">
        <v>0.0</v>
      </c>
      <c r="E4543">
        <v>19.51</v>
      </c>
      <c r="F4543">
        <v>24.65</v>
      </c>
      <c r="G4543">
        <v>15.55</v>
      </c>
      <c r="H4543">
        <v>0.02</v>
      </c>
      <c r="I4543">
        <v>0.031</v>
      </c>
      <c r="J4543">
        <v>20.25</v>
      </c>
      <c r="K4543">
        <v>25.32</v>
      </c>
      <c r="L4543">
        <v>16.69</v>
      </c>
      <c r="M4543">
        <v>0.09</v>
      </c>
      <c r="N4543">
        <v>0.335</v>
      </c>
      <c r="O4543">
        <v>20.44</v>
      </c>
      <c r="P4543">
        <v>25.05</v>
      </c>
      <c r="Q4543">
        <v>17.14</v>
      </c>
      <c r="R4543">
        <v>0.12</v>
      </c>
    </row>
    <row r="4544">
      <c r="A4544" s="9">
        <v>43075</v>
      </c>
      <c r="B4544" s="2" t="inlineStr">
        <is>
          <t xml:space="preserve">2017-12</t>
        </is>
      </c>
      <c r="C4544" s="2" t="inlineStr">
        <is>
          <t xml:space="preserve">2017/18</t>
        </is>
      </c>
      <c r="D4544">
        <v>0.0</v>
      </c>
      <c r="E4544">
        <v>20.02</v>
      </c>
      <c r="F4544">
        <v>24.33</v>
      </c>
      <c r="G4544">
        <v>16.71</v>
      </c>
      <c r="H4544">
        <v>0.55</v>
      </c>
      <c r="I4544">
        <v>0.039</v>
      </c>
      <c r="J4544">
        <v>20.55</v>
      </c>
      <c r="K4544">
        <v>25.36</v>
      </c>
      <c r="L4544">
        <v>17.04</v>
      </c>
      <c r="M4544">
        <v>0.23</v>
      </c>
      <c r="N4544">
        <v>0.432</v>
      </c>
      <c r="O4544">
        <v>20.79</v>
      </c>
      <c r="P4544">
        <v>25.21</v>
      </c>
      <c r="Q4544">
        <v>17.63</v>
      </c>
      <c r="R4544">
        <v>0.58</v>
      </c>
    </row>
    <row r="4545">
      <c r="A4545" s="9">
        <v>43076</v>
      </c>
      <c r="B4545" s="2" t="inlineStr">
        <is>
          <t xml:space="preserve">2017-12</t>
        </is>
      </c>
      <c r="C4545" s="2" t="inlineStr">
        <is>
          <t xml:space="preserve">2017/18</t>
        </is>
      </c>
      <c r="D4545">
        <v>1.052</v>
      </c>
      <c r="E4545">
        <v>19.78</v>
      </c>
      <c r="F4545">
        <v>23.96</v>
      </c>
      <c r="G4545">
        <v>16.99</v>
      </c>
      <c r="H4545">
        <v>4.94</v>
      </c>
      <c r="I4545">
        <v>0.053</v>
      </c>
      <c r="J4545">
        <v>20.57</v>
      </c>
      <c r="K4545">
        <v>24.8</v>
      </c>
      <c r="L4545">
        <v>17.93</v>
      </c>
      <c r="M4545">
        <v>4.28</v>
      </c>
      <c r="N4545">
        <v>0.587</v>
      </c>
      <c r="O4545">
        <v>20.79</v>
      </c>
      <c r="P4545">
        <v>24.4</v>
      </c>
      <c r="Q4545">
        <v>18.7</v>
      </c>
      <c r="R4545">
        <v>4.61</v>
      </c>
    </row>
    <row r="4546">
      <c r="A4546" s="9">
        <v>43077</v>
      </c>
      <c r="B4546" s="2" t="inlineStr">
        <is>
          <t xml:space="preserve">2017-12</t>
        </is>
      </c>
      <c r="C4546" s="2" t="inlineStr">
        <is>
          <t xml:space="preserve">2017/18</t>
        </is>
      </c>
      <c r="D4546">
        <v>16.662</v>
      </c>
      <c r="E4546">
        <v>20.3</v>
      </c>
      <c r="F4546">
        <v>25.08</v>
      </c>
      <c r="G4546">
        <v>17.03</v>
      </c>
      <c r="H4546">
        <v>8.25</v>
      </c>
      <c r="I4546">
        <v>3.355</v>
      </c>
      <c r="J4546">
        <v>20.98</v>
      </c>
      <c r="K4546">
        <v>25.71</v>
      </c>
      <c r="L4546">
        <v>17.36</v>
      </c>
      <c r="M4546">
        <v>3.84</v>
      </c>
      <c r="N4546">
        <v>6.009</v>
      </c>
      <c r="O4546">
        <v>21.35</v>
      </c>
      <c r="P4546">
        <v>26.03</v>
      </c>
      <c r="Q4546">
        <v>18.07</v>
      </c>
      <c r="R4546">
        <v>7.01</v>
      </c>
    </row>
    <row r="4547">
      <c r="A4547" s="9">
        <v>43078</v>
      </c>
      <c r="B4547" s="2" t="inlineStr">
        <is>
          <t xml:space="preserve">2017-12</t>
        </is>
      </c>
      <c r="C4547" s="2" t="inlineStr">
        <is>
          <t xml:space="preserve">2017/18</t>
        </is>
      </c>
      <c r="D4547">
        <v>0.048</v>
      </c>
      <c r="E4547">
        <v>17.29</v>
      </c>
      <c r="F4547">
        <v>20.25</v>
      </c>
      <c r="G4547">
        <v>13.84</v>
      </c>
      <c r="H4547">
        <v>2.55</v>
      </c>
      <c r="I4547">
        <v>2.031</v>
      </c>
      <c r="J4547">
        <v>16.71</v>
      </c>
      <c r="K4547">
        <v>19.93</v>
      </c>
      <c r="L4547">
        <v>12.62</v>
      </c>
      <c r="M4547">
        <v>3.6</v>
      </c>
      <c r="N4547">
        <v>7.762</v>
      </c>
      <c r="O4547">
        <v>17.12</v>
      </c>
      <c r="P4547">
        <v>19.8</v>
      </c>
      <c r="Q4547">
        <v>13.45</v>
      </c>
      <c r="R4547">
        <v>7.18</v>
      </c>
    </row>
    <row r="4548">
      <c r="A4548" s="9">
        <v>43079</v>
      </c>
      <c r="B4548" s="2" t="inlineStr">
        <is>
          <t xml:space="preserve">2017-12</t>
        </is>
      </c>
      <c r="C4548" s="2" t="inlineStr">
        <is>
          <t xml:space="preserve">2017/18</t>
        </is>
      </c>
      <c r="D4548">
        <v>0.0</v>
      </c>
      <c r="E4548">
        <v>13.19</v>
      </c>
      <c r="F4548">
        <v>15.45</v>
      </c>
      <c r="G4548">
        <v>11.81</v>
      </c>
      <c r="H4548">
        <v>0.26</v>
      </c>
      <c r="I4548">
        <v>0.834</v>
      </c>
      <c r="J4548">
        <v>12.27</v>
      </c>
      <c r="K4548">
        <v>14.85</v>
      </c>
      <c r="L4548">
        <v>10.68</v>
      </c>
      <c r="M4548">
        <v>1.08</v>
      </c>
      <c r="N4548">
        <v>3.36</v>
      </c>
      <c r="O4548">
        <v>12.82</v>
      </c>
      <c r="P4548">
        <v>15.11</v>
      </c>
      <c r="Q4548">
        <v>11.02</v>
      </c>
      <c r="R4548">
        <v>1.24</v>
      </c>
    </row>
    <row r="4549">
      <c r="A4549" s="9">
        <v>43080</v>
      </c>
      <c r="B4549" s="2" t="inlineStr">
        <is>
          <t xml:space="preserve">2017-12</t>
        </is>
      </c>
      <c r="C4549" s="2" t="inlineStr">
        <is>
          <t xml:space="preserve">2017/18</t>
        </is>
      </c>
      <c r="D4549">
        <v>0.0</v>
      </c>
      <c r="E4549">
        <v>13.97</v>
      </c>
      <c r="F4549">
        <v>17.04</v>
      </c>
      <c r="G4549">
        <v>12.1</v>
      </c>
      <c r="H4549">
        <v>0.01</v>
      </c>
      <c r="I4549">
        <v>0.0</v>
      </c>
      <c r="J4549">
        <v>13.2</v>
      </c>
      <c r="K4549">
        <v>16.6</v>
      </c>
      <c r="L4549">
        <v>11.07</v>
      </c>
      <c r="M4549">
        <v>0.0</v>
      </c>
      <c r="N4549">
        <v>0.0</v>
      </c>
      <c r="O4549">
        <v>13.6</v>
      </c>
      <c r="P4549">
        <v>16.28</v>
      </c>
      <c r="Q4549">
        <v>11.86</v>
      </c>
      <c r="R4549">
        <v>0.06</v>
      </c>
    </row>
    <row r="4550">
      <c r="A4550" s="9">
        <v>43081</v>
      </c>
      <c r="B4550" s="2" t="inlineStr">
        <is>
          <t xml:space="preserve">2017-12</t>
        </is>
      </c>
      <c r="C4550" s="2" t="inlineStr">
        <is>
          <t xml:space="preserve">2017/18</t>
        </is>
      </c>
      <c r="D4550">
        <v>0.0</v>
      </c>
      <c r="E4550">
        <v>15.47</v>
      </c>
      <c r="F4550">
        <v>20.46</v>
      </c>
      <c r="G4550">
        <v>11.87</v>
      </c>
      <c r="H4550">
        <v>0.06</v>
      </c>
      <c r="I4550">
        <v>0.0</v>
      </c>
      <c r="J4550">
        <v>13.98</v>
      </c>
      <c r="K4550">
        <v>18.08</v>
      </c>
      <c r="L4550">
        <v>10.75</v>
      </c>
      <c r="M4550">
        <v>0.3</v>
      </c>
      <c r="N4550">
        <v>0.167</v>
      </c>
      <c r="O4550">
        <v>14.4</v>
      </c>
      <c r="P4550">
        <v>18.01</v>
      </c>
      <c r="Q4550">
        <v>11.98</v>
      </c>
      <c r="R4550">
        <v>0.33</v>
      </c>
    </row>
    <row r="4551">
      <c r="A4551" s="9">
        <v>43082</v>
      </c>
      <c r="B4551" s="2" t="inlineStr">
        <is>
          <t xml:space="preserve">2017-12</t>
        </is>
      </c>
      <c r="C4551" s="2" t="inlineStr">
        <is>
          <t xml:space="preserve">2017/18</t>
        </is>
      </c>
      <c r="D4551">
        <v>0.0</v>
      </c>
      <c r="E4551">
        <v>15.39</v>
      </c>
      <c r="F4551">
        <v>19.73</v>
      </c>
      <c r="G4551">
        <v>12.83</v>
      </c>
      <c r="H4551">
        <v>0.05</v>
      </c>
      <c r="I4551">
        <v>0.412</v>
      </c>
      <c r="J4551">
        <v>14.74</v>
      </c>
      <c r="K4551">
        <v>19.1</v>
      </c>
      <c r="L4551">
        <v>12.1</v>
      </c>
      <c r="M4551">
        <v>0.5</v>
      </c>
      <c r="N4551">
        <v>1.603</v>
      </c>
      <c r="O4551">
        <v>14.61</v>
      </c>
      <c r="P4551">
        <v>18.76</v>
      </c>
      <c r="Q4551">
        <v>12.11</v>
      </c>
      <c r="R4551">
        <v>0.4</v>
      </c>
    </row>
    <row r="4552">
      <c r="A4552" s="9">
        <v>43083</v>
      </c>
      <c r="B4552" s="2" t="inlineStr">
        <is>
          <t xml:space="preserve">2017-12</t>
        </is>
      </c>
      <c r="C4552" s="2" t="inlineStr">
        <is>
          <t xml:space="preserve">2017/18</t>
        </is>
      </c>
      <c r="D4552">
        <v>0.0</v>
      </c>
      <c r="E4552">
        <v>17.44</v>
      </c>
      <c r="F4552">
        <v>24.41</v>
      </c>
      <c r="G4552">
        <v>12.19</v>
      </c>
      <c r="H4552">
        <v>0.0</v>
      </c>
      <c r="I4552">
        <v>0.0</v>
      </c>
      <c r="J4552">
        <v>17.38</v>
      </c>
      <c r="K4552">
        <v>25.28</v>
      </c>
      <c r="L4552">
        <v>10.77</v>
      </c>
      <c r="M4552">
        <v>0.02</v>
      </c>
      <c r="N4552">
        <v>0.0</v>
      </c>
      <c r="O4552">
        <v>16.96</v>
      </c>
      <c r="P4552">
        <v>23.98</v>
      </c>
      <c r="Q4552">
        <v>11.11</v>
      </c>
      <c r="R4552">
        <v>0.02</v>
      </c>
    </row>
    <row r="4553">
      <c r="A4553" s="9">
        <v>43084</v>
      </c>
      <c r="B4553" s="2" t="inlineStr">
        <is>
          <t xml:space="preserve">2017-12</t>
        </is>
      </c>
      <c r="C4553" s="2" t="inlineStr">
        <is>
          <t xml:space="preserve">2017/18</t>
        </is>
      </c>
      <c r="D4553">
        <v>0.0</v>
      </c>
      <c r="E4553">
        <v>19.42</v>
      </c>
      <c r="F4553">
        <v>25.32</v>
      </c>
      <c r="G4553">
        <v>14.86</v>
      </c>
      <c r="H4553">
        <v>0.0</v>
      </c>
      <c r="I4553">
        <v>0.0</v>
      </c>
      <c r="J4553">
        <v>19.92</v>
      </c>
      <c r="K4553">
        <v>26.69</v>
      </c>
      <c r="L4553">
        <v>14.21</v>
      </c>
      <c r="M4553">
        <v>0.04</v>
      </c>
      <c r="N4553">
        <v>0.167</v>
      </c>
      <c r="O4553">
        <v>19.92</v>
      </c>
      <c r="P4553">
        <v>25.83</v>
      </c>
      <c r="Q4553">
        <v>15.33</v>
      </c>
      <c r="R4553">
        <v>0.03</v>
      </c>
    </row>
    <row r="4554">
      <c r="A4554" s="9">
        <v>43085</v>
      </c>
      <c r="B4554" s="2" t="inlineStr">
        <is>
          <t xml:space="preserve">2017-12</t>
        </is>
      </c>
      <c r="C4554" s="2" t="inlineStr">
        <is>
          <t xml:space="preserve">2017/18</t>
        </is>
      </c>
      <c r="D4554">
        <v>0.0</v>
      </c>
      <c r="E4554">
        <v>19.35</v>
      </c>
      <c r="F4554">
        <v>24.66</v>
      </c>
      <c r="G4554">
        <v>15.62</v>
      </c>
      <c r="H4554">
        <v>0.0</v>
      </c>
      <c r="I4554">
        <v>0.0</v>
      </c>
      <c r="J4554">
        <v>20.56</v>
      </c>
      <c r="K4554">
        <v>25.99</v>
      </c>
      <c r="L4554">
        <v>16.37</v>
      </c>
      <c r="M4554">
        <v>0.04</v>
      </c>
      <c r="N4554">
        <v>0.083</v>
      </c>
      <c r="O4554">
        <v>20.7</v>
      </c>
      <c r="P4554">
        <v>25.57</v>
      </c>
      <c r="Q4554">
        <v>17.21</v>
      </c>
      <c r="R4554">
        <v>0.02</v>
      </c>
    </row>
    <row r="4555">
      <c r="A4555" s="9">
        <v>43086</v>
      </c>
      <c r="B4555" s="2" t="inlineStr">
        <is>
          <t xml:space="preserve">2017-12</t>
        </is>
      </c>
      <c r="C4555" s="2" t="inlineStr">
        <is>
          <t xml:space="preserve">2017/18</t>
        </is>
      </c>
      <c r="D4555">
        <v>0.0</v>
      </c>
      <c r="E4555">
        <v>18.67</v>
      </c>
      <c r="F4555">
        <v>24.47</v>
      </c>
      <c r="G4555">
        <v>13.86</v>
      </c>
      <c r="H4555">
        <v>0.09</v>
      </c>
      <c r="I4555">
        <v>0.0</v>
      </c>
      <c r="J4555">
        <v>19.71</v>
      </c>
      <c r="K4555">
        <v>24.63</v>
      </c>
      <c r="L4555">
        <v>16.41</v>
      </c>
      <c r="M4555">
        <v>0.0</v>
      </c>
      <c r="N4555">
        <v>0.0</v>
      </c>
      <c r="O4555">
        <v>20.02</v>
      </c>
      <c r="P4555">
        <v>24.37</v>
      </c>
      <c r="Q4555">
        <v>16.42</v>
      </c>
      <c r="R4555">
        <v>0.13</v>
      </c>
    </row>
    <row r="4556">
      <c r="A4556" s="9">
        <v>43087</v>
      </c>
      <c r="B4556" s="2" t="inlineStr">
        <is>
          <t xml:space="preserve">2017-12</t>
        </is>
      </c>
      <c r="C4556" s="2" t="inlineStr">
        <is>
          <t xml:space="preserve">2017/18</t>
        </is>
      </c>
      <c r="D4556">
        <v>0.134</v>
      </c>
      <c r="E4556">
        <v>19.58</v>
      </c>
      <c r="F4556">
        <v>24.98</v>
      </c>
      <c r="G4556">
        <v>15.71</v>
      </c>
      <c r="H4556">
        <v>0.43</v>
      </c>
      <c r="I4556">
        <v>0.0</v>
      </c>
      <c r="J4556">
        <v>20.43</v>
      </c>
      <c r="K4556">
        <v>25.53</v>
      </c>
      <c r="L4556">
        <v>16.45</v>
      </c>
      <c r="M4556">
        <v>0.08</v>
      </c>
      <c r="N4556">
        <v>0.0</v>
      </c>
      <c r="O4556">
        <v>20.67</v>
      </c>
      <c r="P4556">
        <v>25.06</v>
      </c>
      <c r="Q4556">
        <v>17.35</v>
      </c>
      <c r="R4556">
        <v>0.62</v>
      </c>
    </row>
    <row r="4557">
      <c r="A4557" s="9">
        <v>43088</v>
      </c>
      <c r="B4557" s="2" t="inlineStr">
        <is>
          <t xml:space="preserve">2017-12</t>
        </is>
      </c>
      <c r="C4557" s="2" t="inlineStr">
        <is>
          <t xml:space="preserve">2017/18</t>
        </is>
      </c>
      <c r="D4557">
        <v>0.0</v>
      </c>
      <c r="E4557">
        <v>19.41</v>
      </c>
      <c r="F4557">
        <v>24.85</v>
      </c>
      <c r="G4557">
        <v>15.08</v>
      </c>
      <c r="H4557">
        <v>0.58</v>
      </c>
      <c r="I4557">
        <v>0.033</v>
      </c>
      <c r="J4557">
        <v>20.41</v>
      </c>
      <c r="K4557">
        <v>24.96</v>
      </c>
      <c r="L4557">
        <v>16.8</v>
      </c>
      <c r="M4557">
        <v>0.34</v>
      </c>
      <c r="N4557">
        <v>0.361</v>
      </c>
      <c r="O4557">
        <v>20.76</v>
      </c>
      <c r="P4557">
        <v>24.69</v>
      </c>
      <c r="Q4557">
        <v>17.66</v>
      </c>
      <c r="R4557">
        <v>0.73</v>
      </c>
    </row>
    <row r="4558">
      <c r="A4558" s="9">
        <v>43089</v>
      </c>
      <c r="B4558" s="2" t="inlineStr">
        <is>
          <t xml:space="preserve">2017-12</t>
        </is>
      </c>
      <c r="C4558" s="2" t="inlineStr">
        <is>
          <t xml:space="preserve">2017/18</t>
        </is>
      </c>
      <c r="D4558">
        <v>0.05</v>
      </c>
      <c r="E4558">
        <v>18.55</v>
      </c>
      <c r="F4558">
        <v>24.04</v>
      </c>
      <c r="G4558">
        <v>14.41</v>
      </c>
      <c r="H4558">
        <v>0.14</v>
      </c>
      <c r="I4558">
        <v>0.109</v>
      </c>
      <c r="J4558">
        <v>19.72</v>
      </c>
      <c r="K4558">
        <v>25.01</v>
      </c>
      <c r="L4558">
        <v>16.41</v>
      </c>
      <c r="M4558">
        <v>0.16</v>
      </c>
      <c r="N4558">
        <v>0.788</v>
      </c>
      <c r="O4558">
        <v>20.1</v>
      </c>
      <c r="P4558">
        <v>24.46</v>
      </c>
      <c r="Q4558">
        <v>17.04</v>
      </c>
      <c r="R4558">
        <v>0.19</v>
      </c>
    </row>
    <row r="4559">
      <c r="A4559" s="9">
        <v>43090</v>
      </c>
      <c r="B4559" s="2" t="inlineStr">
        <is>
          <t xml:space="preserve">2017-12</t>
        </is>
      </c>
      <c r="C4559" s="2" t="inlineStr">
        <is>
          <t xml:space="preserve">2017/18</t>
        </is>
      </c>
      <c r="D4559">
        <v>0.0</v>
      </c>
      <c r="E4559">
        <v>18.96</v>
      </c>
      <c r="F4559">
        <v>24.27</v>
      </c>
      <c r="G4559">
        <v>14.92</v>
      </c>
      <c r="H4559">
        <v>0.0</v>
      </c>
      <c r="I4559">
        <v>0.0</v>
      </c>
      <c r="J4559">
        <v>19.72</v>
      </c>
      <c r="K4559">
        <v>25.25</v>
      </c>
      <c r="L4559">
        <v>15.98</v>
      </c>
      <c r="M4559">
        <v>0.0</v>
      </c>
      <c r="N4559">
        <v>0.0</v>
      </c>
      <c r="O4559">
        <v>20.23</v>
      </c>
      <c r="P4559">
        <v>24.77</v>
      </c>
      <c r="Q4559">
        <v>16.99</v>
      </c>
      <c r="R4559">
        <v>0.0</v>
      </c>
    </row>
    <row r="4560">
      <c r="A4560" s="9">
        <v>43091</v>
      </c>
      <c r="B4560" s="2" t="inlineStr">
        <is>
          <t xml:space="preserve">2017-12</t>
        </is>
      </c>
      <c r="C4560" s="2" t="inlineStr">
        <is>
          <t xml:space="preserve">2017/18</t>
        </is>
      </c>
      <c r="D4560">
        <v>0.0</v>
      </c>
      <c r="E4560">
        <v>18.84</v>
      </c>
      <c r="F4560">
        <v>24.13</v>
      </c>
      <c r="G4560">
        <v>14.36</v>
      </c>
      <c r="H4560">
        <v>0.04</v>
      </c>
      <c r="I4560">
        <v>0.0</v>
      </c>
      <c r="J4560">
        <v>20.13</v>
      </c>
      <c r="K4560">
        <v>25.67</v>
      </c>
      <c r="L4560">
        <v>16.14</v>
      </c>
      <c r="M4560">
        <v>0.0</v>
      </c>
      <c r="N4560">
        <v>0.0</v>
      </c>
      <c r="O4560">
        <v>20.24</v>
      </c>
      <c r="P4560">
        <v>24.93</v>
      </c>
      <c r="Q4560">
        <v>16.98</v>
      </c>
      <c r="R4560">
        <v>0.01</v>
      </c>
    </row>
    <row r="4561">
      <c r="A4561" s="9">
        <v>43092</v>
      </c>
      <c r="B4561" s="2" t="inlineStr">
        <is>
          <t xml:space="preserve">2017-12</t>
        </is>
      </c>
      <c r="C4561" s="2" t="inlineStr">
        <is>
          <t xml:space="preserve">2017/18</t>
        </is>
      </c>
      <c r="D4561">
        <v>0.0</v>
      </c>
      <c r="E4561">
        <v>18.99</v>
      </c>
      <c r="F4561">
        <v>24.15</v>
      </c>
      <c r="G4561">
        <v>15.46</v>
      </c>
      <c r="H4561">
        <v>0.05</v>
      </c>
      <c r="I4561">
        <v>0.0</v>
      </c>
      <c r="J4561">
        <v>20.12</v>
      </c>
      <c r="K4561">
        <v>25.58</v>
      </c>
      <c r="L4561">
        <v>16.66</v>
      </c>
      <c r="M4561">
        <v>0.0</v>
      </c>
      <c r="N4561">
        <v>0.0</v>
      </c>
      <c r="O4561">
        <v>20.51</v>
      </c>
      <c r="P4561">
        <v>25.16</v>
      </c>
      <c r="Q4561">
        <v>17.77</v>
      </c>
      <c r="R4561">
        <v>0.09</v>
      </c>
    </row>
    <row r="4562">
      <c r="A4562" s="9">
        <v>43093</v>
      </c>
      <c r="B4562" s="2" t="inlineStr">
        <is>
          <t xml:space="preserve">2017-12</t>
        </is>
      </c>
      <c r="C4562" s="2" t="inlineStr">
        <is>
          <t xml:space="preserve">2017/18</t>
        </is>
      </c>
      <c r="D4562">
        <v>0.0</v>
      </c>
      <c r="E4562">
        <v>18.84</v>
      </c>
      <c r="F4562">
        <v>23.53</v>
      </c>
      <c r="G4562">
        <v>15.35</v>
      </c>
      <c r="H4562">
        <v>0.2</v>
      </c>
      <c r="I4562">
        <v>0.0</v>
      </c>
      <c r="J4562">
        <v>19.58</v>
      </c>
      <c r="K4562">
        <v>24.34</v>
      </c>
      <c r="L4562">
        <v>16.34</v>
      </c>
      <c r="M4562">
        <v>0.23</v>
      </c>
      <c r="N4562">
        <v>0.0</v>
      </c>
      <c r="O4562">
        <v>20.05</v>
      </c>
      <c r="P4562">
        <v>24.34</v>
      </c>
      <c r="Q4562">
        <v>17.02</v>
      </c>
      <c r="R4562">
        <v>0.64</v>
      </c>
    </row>
    <row r="4563">
      <c r="A4563" s="9">
        <v>43094</v>
      </c>
      <c r="B4563" s="2" t="inlineStr">
        <is>
          <t xml:space="preserve">2017-12</t>
        </is>
      </c>
      <c r="C4563" s="2" t="inlineStr">
        <is>
          <t xml:space="preserve">2017/18</t>
        </is>
      </c>
      <c r="D4563">
        <v>0.0</v>
      </c>
      <c r="E4563">
        <v>18.37</v>
      </c>
      <c r="F4563">
        <v>23.22</v>
      </c>
      <c r="G4563">
        <v>15.42</v>
      </c>
      <c r="H4563">
        <v>0.94</v>
      </c>
      <c r="I4563">
        <v>0.653</v>
      </c>
      <c r="J4563">
        <v>18.35</v>
      </c>
      <c r="K4563">
        <v>22.74</v>
      </c>
      <c r="L4563">
        <v>15.81</v>
      </c>
      <c r="M4563">
        <v>1.36</v>
      </c>
      <c r="N4563">
        <v>2.654</v>
      </c>
      <c r="O4563">
        <v>18.67</v>
      </c>
      <c r="P4563">
        <v>22.71</v>
      </c>
      <c r="Q4563">
        <v>16.52</v>
      </c>
      <c r="R4563">
        <v>2.99</v>
      </c>
    </row>
    <row r="4564">
      <c r="A4564" s="9">
        <v>43095</v>
      </c>
      <c r="B4564" s="2" t="inlineStr">
        <is>
          <t xml:space="preserve">2017-12</t>
        </is>
      </c>
      <c r="C4564" s="2" t="inlineStr">
        <is>
          <t xml:space="preserve">2017/18</t>
        </is>
      </c>
      <c r="D4564">
        <v>0.0</v>
      </c>
      <c r="E4564">
        <v>18.79</v>
      </c>
      <c r="F4564">
        <v>24.07</v>
      </c>
      <c r="G4564">
        <v>15.33</v>
      </c>
      <c r="H4564">
        <v>0.5</v>
      </c>
      <c r="I4564">
        <v>0.563</v>
      </c>
      <c r="J4564">
        <v>18.64</v>
      </c>
      <c r="K4564">
        <v>23.28</v>
      </c>
      <c r="L4564">
        <v>15.65</v>
      </c>
      <c r="M4564">
        <v>1.01</v>
      </c>
      <c r="N4564">
        <v>2.194</v>
      </c>
      <c r="O4564">
        <v>19.27</v>
      </c>
      <c r="P4564">
        <v>23.49</v>
      </c>
      <c r="Q4564">
        <v>16.44</v>
      </c>
      <c r="R4564">
        <v>2.02</v>
      </c>
    </row>
    <row r="4565">
      <c r="A4565" s="9">
        <v>43096</v>
      </c>
      <c r="B4565" s="2" t="inlineStr">
        <is>
          <t xml:space="preserve">2017-12</t>
        </is>
      </c>
      <c r="C4565" s="2" t="inlineStr">
        <is>
          <t xml:space="preserve">2017/18</t>
        </is>
      </c>
      <c r="D4565">
        <v>0.0</v>
      </c>
      <c r="E4565">
        <v>18.27</v>
      </c>
      <c r="F4565">
        <v>23.25</v>
      </c>
      <c r="G4565">
        <v>14.67</v>
      </c>
      <c r="H4565">
        <v>0.38</v>
      </c>
      <c r="I4565">
        <v>0.032</v>
      </c>
      <c r="J4565">
        <v>19.05</v>
      </c>
      <c r="K4565">
        <v>23.91</v>
      </c>
      <c r="L4565">
        <v>15.28</v>
      </c>
      <c r="M4565">
        <v>0.25</v>
      </c>
      <c r="N4565">
        <v>0.408</v>
      </c>
      <c r="O4565">
        <v>19.32</v>
      </c>
      <c r="P4565">
        <v>23.59</v>
      </c>
      <c r="Q4565">
        <v>16.19</v>
      </c>
      <c r="R4565">
        <v>1.25</v>
      </c>
    </row>
    <row r="4566">
      <c r="A4566" s="9">
        <v>43097</v>
      </c>
      <c r="B4566" s="2" t="inlineStr">
        <is>
          <t xml:space="preserve">2017-12</t>
        </is>
      </c>
      <c r="C4566" s="2" t="inlineStr">
        <is>
          <t xml:space="preserve">2017/18</t>
        </is>
      </c>
      <c r="D4566">
        <v>0.0</v>
      </c>
      <c r="E4566">
        <v>18.74</v>
      </c>
      <c r="F4566">
        <v>23.83</v>
      </c>
      <c r="G4566">
        <v>15.34</v>
      </c>
      <c r="H4566">
        <v>0.31</v>
      </c>
      <c r="I4566">
        <v>0.26</v>
      </c>
      <c r="J4566">
        <v>18.96</v>
      </c>
      <c r="K4566">
        <v>23.67</v>
      </c>
      <c r="L4566">
        <v>15.72</v>
      </c>
      <c r="M4566">
        <v>0.42</v>
      </c>
      <c r="N4566">
        <v>1.028</v>
      </c>
      <c r="O4566">
        <v>19.3</v>
      </c>
      <c r="P4566">
        <v>23.29</v>
      </c>
      <c r="Q4566">
        <v>16.7</v>
      </c>
      <c r="R4566">
        <v>1.0</v>
      </c>
    </row>
    <row r="4567">
      <c r="A4567" s="9">
        <v>43098</v>
      </c>
      <c r="B4567" s="2" t="inlineStr">
        <is>
          <t xml:space="preserve">2017-12</t>
        </is>
      </c>
      <c r="C4567" s="2" t="inlineStr">
        <is>
          <t xml:space="preserve">2017/18</t>
        </is>
      </c>
      <c r="D4567">
        <v>0.0</v>
      </c>
      <c r="E4567">
        <v>19.08</v>
      </c>
      <c r="F4567">
        <v>23.81</v>
      </c>
      <c r="G4567">
        <v>15.63</v>
      </c>
      <c r="H4567">
        <v>0.44</v>
      </c>
      <c r="I4567">
        <v>0.0</v>
      </c>
      <c r="J4567">
        <v>18.96</v>
      </c>
      <c r="K4567">
        <v>23.32</v>
      </c>
      <c r="L4567">
        <v>15.99</v>
      </c>
      <c r="M4567">
        <v>0.55</v>
      </c>
      <c r="N4567">
        <v>0.0</v>
      </c>
      <c r="O4567">
        <v>19.45</v>
      </c>
      <c r="P4567">
        <v>22.89</v>
      </c>
      <c r="Q4567">
        <v>17.34</v>
      </c>
      <c r="R4567">
        <v>1.98</v>
      </c>
    </row>
    <row r="4568">
      <c r="A4568" s="9">
        <v>43099</v>
      </c>
      <c r="B4568" s="2" t="inlineStr">
        <is>
          <t xml:space="preserve">2017-12</t>
        </is>
      </c>
      <c r="C4568" s="2" t="inlineStr">
        <is>
          <t xml:space="preserve">2017/18</t>
        </is>
      </c>
      <c r="D4568">
        <v>0.0</v>
      </c>
      <c r="E4568">
        <v>18.98</v>
      </c>
      <c r="F4568">
        <v>24.19</v>
      </c>
      <c r="G4568">
        <v>15.27</v>
      </c>
      <c r="H4568">
        <v>0.12</v>
      </c>
      <c r="I4568">
        <v>0.542</v>
      </c>
      <c r="J4568">
        <v>19.06</v>
      </c>
      <c r="K4568">
        <v>24.17</v>
      </c>
      <c r="L4568">
        <v>15.72</v>
      </c>
      <c r="M4568">
        <v>0.56</v>
      </c>
      <c r="N4568">
        <v>2.116</v>
      </c>
      <c r="O4568">
        <v>19.02</v>
      </c>
      <c r="P4568">
        <v>23.78</v>
      </c>
      <c r="Q4568">
        <v>16.02</v>
      </c>
      <c r="R4568">
        <v>0.55</v>
      </c>
    </row>
    <row r="4569">
      <c r="A4569" s="9">
        <v>43100</v>
      </c>
      <c r="B4569" s="2" t="inlineStr">
        <is>
          <t xml:space="preserve">2017-12</t>
        </is>
      </c>
      <c r="C4569" s="2" t="inlineStr">
        <is>
          <t xml:space="preserve">2017/18</t>
        </is>
      </c>
      <c r="D4569">
        <v>0.0</v>
      </c>
      <c r="E4569">
        <v>18.6</v>
      </c>
      <c r="F4569">
        <v>23.64</v>
      </c>
      <c r="G4569">
        <v>15.42</v>
      </c>
      <c r="H4569">
        <v>0.01</v>
      </c>
      <c r="I4569">
        <v>0.039</v>
      </c>
      <c r="J4569">
        <v>18.66</v>
      </c>
      <c r="K4569">
        <v>23.94</v>
      </c>
      <c r="L4569">
        <v>15.46</v>
      </c>
      <c r="M4569">
        <v>0.08</v>
      </c>
      <c r="N4569">
        <v>0.418</v>
      </c>
      <c r="O4569">
        <v>18.76</v>
      </c>
      <c r="P4569">
        <v>23.34</v>
      </c>
      <c r="Q4569">
        <v>15.78</v>
      </c>
      <c r="R4569">
        <v>0.07</v>
      </c>
    </row>
    <row r="4570">
      <c r="A4570" s="9">
        <v>43101</v>
      </c>
      <c r="B4570" s="2" t="inlineStr">
        <is>
          <t xml:space="preserve">2018-01</t>
        </is>
      </c>
      <c r="C4570" s="2" t="inlineStr">
        <is>
          <t xml:space="preserve">2017/18</t>
        </is>
      </c>
      <c r="D4570">
        <v>0.0</v>
      </c>
      <c r="E4570">
        <v>19.15</v>
      </c>
      <c r="F4570">
        <v>24.25</v>
      </c>
      <c r="G4570">
        <v>15.54</v>
      </c>
      <c r="H4570">
        <v>0.14</v>
      </c>
      <c r="I4570">
        <v>0.0</v>
      </c>
      <c r="J4570">
        <v>19.22</v>
      </c>
      <c r="K4570">
        <v>24.47</v>
      </c>
      <c r="L4570">
        <v>15.71</v>
      </c>
      <c r="M4570">
        <v>0.77</v>
      </c>
      <c r="N4570">
        <v>0.0</v>
      </c>
      <c r="O4570">
        <v>19.39</v>
      </c>
      <c r="P4570">
        <v>24.12</v>
      </c>
      <c r="Q4570">
        <v>16.29</v>
      </c>
      <c r="R4570">
        <v>0.75</v>
      </c>
    </row>
    <row r="4571">
      <c r="A4571" s="9">
        <v>43102</v>
      </c>
      <c r="B4571" s="2" t="inlineStr">
        <is>
          <t xml:space="preserve">2018-01</t>
        </is>
      </c>
      <c r="C4571" s="2" t="inlineStr">
        <is>
          <t xml:space="preserve">2017/18</t>
        </is>
      </c>
      <c r="D4571">
        <v>0.0</v>
      </c>
      <c r="E4571">
        <v>18.04</v>
      </c>
      <c r="F4571">
        <v>22.29</v>
      </c>
      <c r="G4571">
        <v>15.07</v>
      </c>
      <c r="H4571">
        <v>1.04</v>
      </c>
      <c r="I4571">
        <v>1.822</v>
      </c>
      <c r="J4571">
        <v>18.67</v>
      </c>
      <c r="K4571">
        <v>23.17</v>
      </c>
      <c r="L4571">
        <v>15.79</v>
      </c>
      <c r="M4571">
        <v>3.62</v>
      </c>
      <c r="N4571">
        <v>7.132</v>
      </c>
      <c r="O4571">
        <v>18.73</v>
      </c>
      <c r="P4571">
        <v>22.26</v>
      </c>
      <c r="Q4571">
        <v>16.26</v>
      </c>
      <c r="R4571">
        <v>4.73</v>
      </c>
    </row>
    <row r="4572">
      <c r="A4572" s="9">
        <v>43103</v>
      </c>
      <c r="B4572" s="2" t="inlineStr">
        <is>
          <t xml:space="preserve">2018-01</t>
        </is>
      </c>
      <c r="C4572" s="2" t="inlineStr">
        <is>
          <t xml:space="preserve">2017/18</t>
        </is>
      </c>
      <c r="D4572">
        <v>0.0</v>
      </c>
      <c r="E4572">
        <v>17.74</v>
      </c>
      <c r="F4572">
        <v>22.95</v>
      </c>
      <c r="G4572">
        <v>14.0</v>
      </c>
      <c r="H4572">
        <v>2.21</v>
      </c>
      <c r="I4572">
        <v>1.628</v>
      </c>
      <c r="J4572">
        <v>17.97</v>
      </c>
      <c r="K4572">
        <v>22.29</v>
      </c>
      <c r="L4572">
        <v>15.35</v>
      </c>
      <c r="M4572">
        <v>2.48</v>
      </c>
      <c r="N4572">
        <v>6.434</v>
      </c>
      <c r="O4572">
        <v>17.81</v>
      </c>
      <c r="P4572">
        <v>21.31</v>
      </c>
      <c r="Q4572">
        <v>15.15</v>
      </c>
      <c r="R4572">
        <v>6.15</v>
      </c>
    </row>
    <row r="4573">
      <c r="A4573" s="9">
        <v>43104</v>
      </c>
      <c r="B4573" s="2" t="inlineStr">
        <is>
          <t xml:space="preserve">2018-01</t>
        </is>
      </c>
      <c r="C4573" s="2" t="inlineStr">
        <is>
          <t xml:space="preserve">2017/18</t>
        </is>
      </c>
      <c r="D4573">
        <v>0.0</v>
      </c>
      <c r="E4573">
        <v>16.71</v>
      </c>
      <c r="F4573">
        <v>21.85</v>
      </c>
      <c r="G4573">
        <v>13.69</v>
      </c>
      <c r="H4573">
        <v>0.96</v>
      </c>
      <c r="I4573">
        <v>1.303</v>
      </c>
      <c r="J4573">
        <v>17.49</v>
      </c>
      <c r="K4573">
        <v>21.83</v>
      </c>
      <c r="L4573">
        <v>14.66</v>
      </c>
      <c r="M4573">
        <v>2.38</v>
      </c>
      <c r="N4573">
        <v>5.133</v>
      </c>
      <c r="O4573">
        <v>17.19</v>
      </c>
      <c r="P4573">
        <v>21.19</v>
      </c>
      <c r="Q4573">
        <v>14.43</v>
      </c>
      <c r="R4573">
        <v>3.31</v>
      </c>
    </row>
    <row r="4574">
      <c r="A4574" s="9">
        <v>43105</v>
      </c>
      <c r="B4574" s="2" t="inlineStr">
        <is>
          <t xml:space="preserve">2018-01</t>
        </is>
      </c>
      <c r="C4574" s="2" t="inlineStr">
        <is>
          <t xml:space="preserve">2017/18</t>
        </is>
      </c>
      <c r="D4574">
        <v>0.0</v>
      </c>
      <c r="E4574">
        <v>15.84</v>
      </c>
      <c r="F4574">
        <v>20.8</v>
      </c>
      <c r="G4574">
        <v>13.17</v>
      </c>
      <c r="H4574">
        <v>0.7</v>
      </c>
      <c r="I4574">
        <v>0.435</v>
      </c>
      <c r="J4574">
        <v>16.58</v>
      </c>
      <c r="K4574">
        <v>21.2</v>
      </c>
      <c r="L4574">
        <v>13.99</v>
      </c>
      <c r="M4574">
        <v>0.86</v>
      </c>
      <c r="N4574">
        <v>1.735</v>
      </c>
      <c r="O4574">
        <v>16.14</v>
      </c>
      <c r="P4574">
        <v>20.09</v>
      </c>
      <c r="Q4574">
        <v>13.87</v>
      </c>
      <c r="R4574">
        <v>2.51</v>
      </c>
    </row>
    <row r="4575">
      <c r="A4575" s="9">
        <v>43106</v>
      </c>
      <c r="B4575" s="2" t="inlineStr">
        <is>
          <t xml:space="preserve">2018-01</t>
        </is>
      </c>
      <c r="C4575" s="2" t="inlineStr">
        <is>
          <t xml:space="preserve">2017/18</t>
        </is>
      </c>
      <c r="D4575">
        <v>0.0</v>
      </c>
      <c r="E4575">
        <v>16.37</v>
      </c>
      <c r="F4575">
        <v>21.69</v>
      </c>
      <c r="G4575">
        <v>12.91</v>
      </c>
      <c r="H4575">
        <v>0.24</v>
      </c>
      <c r="I4575">
        <v>0.055</v>
      </c>
      <c r="J4575">
        <v>15.7</v>
      </c>
      <c r="K4575">
        <v>20.18</v>
      </c>
      <c r="L4575">
        <v>13.36</v>
      </c>
      <c r="M4575">
        <v>0.19</v>
      </c>
      <c r="N4575">
        <v>0.586</v>
      </c>
      <c r="O4575">
        <v>15.77</v>
      </c>
      <c r="P4575">
        <v>19.91</v>
      </c>
      <c r="Q4575">
        <v>13.49</v>
      </c>
      <c r="R4575">
        <v>0.64</v>
      </c>
    </row>
    <row r="4576">
      <c r="A4576" s="9">
        <v>43107</v>
      </c>
      <c r="B4576" s="2" t="inlineStr">
        <is>
          <t xml:space="preserve">2018-01</t>
        </is>
      </c>
      <c r="C4576" s="2" t="inlineStr">
        <is>
          <t xml:space="preserve">2017/18</t>
        </is>
      </c>
      <c r="D4576">
        <v>0.0</v>
      </c>
      <c r="E4576">
        <v>16.16</v>
      </c>
      <c r="F4576">
        <v>21.77</v>
      </c>
      <c r="G4576">
        <v>12.91</v>
      </c>
      <c r="H4576">
        <v>0.37</v>
      </c>
      <c r="I4576">
        <v>0.196</v>
      </c>
      <c r="J4576">
        <v>16.42</v>
      </c>
      <c r="K4576">
        <v>21.99</v>
      </c>
      <c r="L4576">
        <v>13.09</v>
      </c>
      <c r="M4576">
        <v>0.41</v>
      </c>
      <c r="N4576">
        <v>0.814</v>
      </c>
      <c r="O4576">
        <v>16.85</v>
      </c>
      <c r="P4576">
        <v>21.33</v>
      </c>
      <c r="Q4576">
        <v>13.9</v>
      </c>
      <c r="R4576">
        <v>1.24</v>
      </c>
    </row>
    <row r="4577">
      <c r="A4577" s="9">
        <v>43108</v>
      </c>
      <c r="B4577" s="2" t="inlineStr">
        <is>
          <t xml:space="preserve">2018-01</t>
        </is>
      </c>
      <c r="C4577" s="2" t="inlineStr">
        <is>
          <t xml:space="preserve">2017/18</t>
        </is>
      </c>
      <c r="D4577">
        <v>0.0</v>
      </c>
      <c r="E4577">
        <v>18.0</v>
      </c>
      <c r="F4577">
        <v>24.94</v>
      </c>
      <c r="G4577">
        <v>12.38</v>
      </c>
      <c r="H4577">
        <v>0.01</v>
      </c>
      <c r="I4577">
        <v>0.024</v>
      </c>
      <c r="J4577">
        <v>17.89</v>
      </c>
      <c r="K4577">
        <v>25.59</v>
      </c>
      <c r="L4577">
        <v>12.24</v>
      </c>
      <c r="M4577">
        <v>0.07</v>
      </c>
      <c r="N4577">
        <v>0.251</v>
      </c>
      <c r="O4577">
        <v>17.94</v>
      </c>
      <c r="P4577">
        <v>24.3</v>
      </c>
      <c r="Q4577">
        <v>13.64</v>
      </c>
      <c r="R4577">
        <v>0.07</v>
      </c>
    </row>
    <row r="4578">
      <c r="A4578" s="9">
        <v>43109</v>
      </c>
      <c r="B4578" s="2" t="inlineStr">
        <is>
          <t xml:space="preserve">2018-01</t>
        </is>
      </c>
      <c r="C4578" s="2" t="inlineStr">
        <is>
          <t xml:space="preserve">2017/18</t>
        </is>
      </c>
      <c r="D4578">
        <v>0.0</v>
      </c>
      <c r="E4578">
        <v>18.74</v>
      </c>
      <c r="F4578">
        <v>24.09</v>
      </c>
      <c r="G4578">
        <v>15.15</v>
      </c>
      <c r="H4578">
        <v>0.06</v>
      </c>
      <c r="I4578">
        <v>0.0</v>
      </c>
      <c r="J4578">
        <v>17.5</v>
      </c>
      <c r="K4578">
        <v>22.42</v>
      </c>
      <c r="L4578">
        <v>13.66</v>
      </c>
      <c r="M4578">
        <v>0.0</v>
      </c>
      <c r="N4578">
        <v>0.0</v>
      </c>
      <c r="O4578">
        <v>17.84</v>
      </c>
      <c r="P4578">
        <v>22.17</v>
      </c>
      <c r="Q4578">
        <v>15.02</v>
      </c>
      <c r="R4578">
        <v>0.03</v>
      </c>
    </row>
    <row r="4579">
      <c r="A4579" s="9">
        <v>43110</v>
      </c>
      <c r="B4579" s="2" t="inlineStr">
        <is>
          <t xml:space="preserve">2018-01</t>
        </is>
      </c>
      <c r="C4579" s="2" t="inlineStr">
        <is>
          <t xml:space="preserve">2017/18</t>
        </is>
      </c>
      <c r="D4579">
        <v>0.0</v>
      </c>
      <c r="E4579">
        <v>18.52</v>
      </c>
      <c r="F4579">
        <v>24.6</v>
      </c>
      <c r="G4579">
        <v>13.84</v>
      </c>
      <c r="H4579">
        <v>0.0</v>
      </c>
      <c r="I4579">
        <v>0.0</v>
      </c>
      <c r="J4579">
        <v>17.77</v>
      </c>
      <c r="K4579">
        <v>24.63</v>
      </c>
      <c r="L4579">
        <v>12.97</v>
      </c>
      <c r="M4579">
        <v>0.0</v>
      </c>
      <c r="N4579">
        <v>0.0</v>
      </c>
      <c r="O4579">
        <v>18.07</v>
      </c>
      <c r="P4579">
        <v>23.79</v>
      </c>
      <c r="Q4579">
        <v>14.43</v>
      </c>
      <c r="R4579">
        <v>0.0</v>
      </c>
    </row>
    <row r="4580">
      <c r="A4580" s="9">
        <v>43111</v>
      </c>
      <c r="B4580" s="2" t="inlineStr">
        <is>
          <t xml:space="preserve">2018-01</t>
        </is>
      </c>
      <c r="C4580" s="2" t="inlineStr">
        <is>
          <t xml:space="preserve">2017/18</t>
        </is>
      </c>
      <c r="D4580">
        <v>0.0</v>
      </c>
      <c r="E4580">
        <v>20.28</v>
      </c>
      <c r="F4580">
        <v>27.2</v>
      </c>
      <c r="G4580">
        <v>14.7</v>
      </c>
      <c r="H4580">
        <v>0.0</v>
      </c>
      <c r="I4580">
        <v>0.0</v>
      </c>
      <c r="J4580">
        <v>18.79</v>
      </c>
      <c r="K4580">
        <v>26.37</v>
      </c>
      <c r="L4580">
        <v>13.35</v>
      </c>
      <c r="M4580">
        <v>0.0</v>
      </c>
      <c r="N4580">
        <v>0.0</v>
      </c>
      <c r="O4580">
        <v>19.57</v>
      </c>
      <c r="P4580">
        <v>26.04</v>
      </c>
      <c r="Q4580">
        <v>14.0</v>
      </c>
      <c r="R4580">
        <v>0.0</v>
      </c>
    </row>
    <row r="4581">
      <c r="A4581" s="9">
        <v>43112</v>
      </c>
      <c r="B4581" s="2" t="inlineStr">
        <is>
          <t xml:space="preserve">2018-01</t>
        </is>
      </c>
      <c r="C4581" s="2" t="inlineStr">
        <is>
          <t xml:space="preserve">2017/18</t>
        </is>
      </c>
      <c r="D4581">
        <v>0.0</v>
      </c>
      <c r="E4581">
        <v>18.89</v>
      </c>
      <c r="F4581">
        <v>25.52</v>
      </c>
      <c r="G4581">
        <v>14.7</v>
      </c>
      <c r="H4581">
        <v>0.01</v>
      </c>
      <c r="I4581">
        <v>0.0</v>
      </c>
      <c r="J4581">
        <v>18.64</v>
      </c>
      <c r="K4581">
        <v>24.7</v>
      </c>
      <c r="L4581">
        <v>13.19</v>
      </c>
      <c r="M4581">
        <v>0.32</v>
      </c>
      <c r="N4581">
        <v>0.0</v>
      </c>
      <c r="O4581">
        <v>18.54</v>
      </c>
      <c r="P4581">
        <v>24.06</v>
      </c>
      <c r="Q4581">
        <v>13.95</v>
      </c>
      <c r="R4581">
        <v>0.2</v>
      </c>
    </row>
    <row r="4582">
      <c r="A4582" s="9">
        <v>43113</v>
      </c>
      <c r="B4582" s="2" t="inlineStr">
        <is>
          <t xml:space="preserve">2018-01</t>
        </is>
      </c>
      <c r="C4582" s="2" t="inlineStr">
        <is>
          <t xml:space="preserve">2017/18</t>
        </is>
      </c>
      <c r="D4582">
        <v>0.0</v>
      </c>
      <c r="E4582">
        <v>15.65</v>
      </c>
      <c r="F4582">
        <v>20.75</v>
      </c>
      <c r="G4582">
        <v>12.29</v>
      </c>
      <c r="H4582">
        <v>0.55</v>
      </c>
      <c r="I4582">
        <v>1.171</v>
      </c>
      <c r="J4582">
        <v>15.66</v>
      </c>
      <c r="K4582">
        <v>18.56</v>
      </c>
      <c r="L4582">
        <v>13.12</v>
      </c>
      <c r="M4582">
        <v>1.86</v>
      </c>
      <c r="N4582">
        <v>4.555</v>
      </c>
      <c r="O4582">
        <v>15.93</v>
      </c>
      <c r="P4582">
        <v>17.22</v>
      </c>
      <c r="Q4582">
        <v>14.55</v>
      </c>
      <c r="R4582">
        <v>2.05</v>
      </c>
    </row>
    <row r="4583">
      <c r="A4583" s="9">
        <v>43114</v>
      </c>
      <c r="B4583" s="2" t="inlineStr">
        <is>
          <t xml:space="preserve">2018-01</t>
        </is>
      </c>
      <c r="C4583" s="2" t="inlineStr">
        <is>
          <t xml:space="preserve">2017/18</t>
        </is>
      </c>
      <c r="D4583">
        <v>0.0</v>
      </c>
      <c r="E4583">
        <v>13.48</v>
      </c>
      <c r="F4583">
        <v>16.52</v>
      </c>
      <c r="G4583">
        <v>11.92</v>
      </c>
      <c r="H4583">
        <v>0.07</v>
      </c>
      <c r="I4583">
        <v>0.045</v>
      </c>
      <c r="J4583">
        <v>13.46</v>
      </c>
      <c r="K4583">
        <v>17.2</v>
      </c>
      <c r="L4583">
        <v>11.16</v>
      </c>
      <c r="M4583">
        <v>0.12</v>
      </c>
      <c r="N4583">
        <v>0.503</v>
      </c>
      <c r="O4583">
        <v>13.59</v>
      </c>
      <c r="P4583">
        <v>16.41</v>
      </c>
      <c r="Q4583">
        <v>11.65</v>
      </c>
      <c r="R4583">
        <v>0.18</v>
      </c>
    </row>
    <row r="4584">
      <c r="A4584" s="9">
        <v>43115</v>
      </c>
      <c r="B4584" s="2" t="inlineStr">
        <is>
          <t xml:space="preserve">2018-01</t>
        </is>
      </c>
      <c r="C4584" s="2" t="inlineStr">
        <is>
          <t xml:space="preserve">2017/18</t>
        </is>
      </c>
      <c r="D4584">
        <v>0.0</v>
      </c>
      <c r="E4584">
        <v>15.24</v>
      </c>
      <c r="F4584">
        <v>19.12</v>
      </c>
      <c r="G4584">
        <v>12.1</v>
      </c>
      <c r="H4584">
        <v>0.08</v>
      </c>
      <c r="I4584">
        <v>0.0</v>
      </c>
      <c r="J4584">
        <v>14.08</v>
      </c>
      <c r="K4584">
        <v>17.94</v>
      </c>
      <c r="L4584">
        <v>10.98</v>
      </c>
      <c r="M4584">
        <v>0.0</v>
      </c>
      <c r="N4584">
        <v>0.0</v>
      </c>
      <c r="O4584">
        <v>14.02</v>
      </c>
      <c r="P4584">
        <v>16.65</v>
      </c>
      <c r="Q4584">
        <v>11.81</v>
      </c>
      <c r="R4584">
        <v>0.12</v>
      </c>
    </row>
    <row r="4585">
      <c r="A4585" s="9">
        <v>43116</v>
      </c>
      <c r="B4585" s="2" t="inlineStr">
        <is>
          <t xml:space="preserve">2018-01</t>
        </is>
      </c>
      <c r="C4585" s="2" t="inlineStr">
        <is>
          <t xml:space="preserve">2017/18</t>
        </is>
      </c>
      <c r="D4585">
        <v>0.0</v>
      </c>
      <c r="E4585">
        <v>15.81</v>
      </c>
      <c r="F4585">
        <v>19.42</v>
      </c>
      <c r="G4585">
        <v>13.5</v>
      </c>
      <c r="H4585">
        <v>0.75</v>
      </c>
      <c r="I4585">
        <v>0.0</v>
      </c>
      <c r="J4585">
        <v>15.5</v>
      </c>
      <c r="K4585">
        <v>19.49</v>
      </c>
      <c r="L4585">
        <v>12.28</v>
      </c>
      <c r="M4585">
        <v>0.39</v>
      </c>
      <c r="N4585">
        <v>0.0</v>
      </c>
      <c r="O4585">
        <v>15.05</v>
      </c>
      <c r="P4585">
        <v>17.2</v>
      </c>
      <c r="Q4585">
        <v>12.98</v>
      </c>
      <c r="R4585">
        <v>1.72</v>
      </c>
    </row>
    <row r="4586">
      <c r="A4586" s="9">
        <v>43117</v>
      </c>
      <c r="B4586" s="2" t="inlineStr">
        <is>
          <t xml:space="preserve">2018-01</t>
        </is>
      </c>
      <c r="C4586" s="2" t="inlineStr">
        <is>
          <t xml:space="preserve">2017/18</t>
        </is>
      </c>
      <c r="D4586">
        <v>0.0</v>
      </c>
      <c r="E4586">
        <v>14.71</v>
      </c>
      <c r="F4586">
        <v>17.56</v>
      </c>
      <c r="G4586">
        <v>12.46</v>
      </c>
      <c r="H4586">
        <v>1.06</v>
      </c>
      <c r="I4586">
        <v>0.521</v>
      </c>
      <c r="J4586">
        <v>15.29</v>
      </c>
      <c r="K4586">
        <v>19.33</v>
      </c>
      <c r="L4586">
        <v>13.1</v>
      </c>
      <c r="M4586">
        <v>0.47</v>
      </c>
      <c r="N4586">
        <v>1.929</v>
      </c>
      <c r="O4586">
        <v>14.49</v>
      </c>
      <c r="P4586">
        <v>17.59</v>
      </c>
      <c r="Q4586">
        <v>12.62</v>
      </c>
      <c r="R4586">
        <v>1.1</v>
      </c>
    </row>
    <row r="4587">
      <c r="A4587" s="9">
        <v>43118</v>
      </c>
      <c r="B4587" s="2" t="inlineStr">
        <is>
          <t xml:space="preserve">2018-01</t>
        </is>
      </c>
      <c r="C4587" s="2" t="inlineStr">
        <is>
          <t xml:space="preserve">2017/18</t>
        </is>
      </c>
      <c r="D4587">
        <v>0.0</v>
      </c>
      <c r="E4587">
        <v>14.83</v>
      </c>
      <c r="F4587">
        <v>19.08</v>
      </c>
      <c r="G4587">
        <v>11.9</v>
      </c>
      <c r="H4587">
        <v>3.76</v>
      </c>
      <c r="I4587">
        <v>0.043</v>
      </c>
      <c r="J4587">
        <v>15.99</v>
      </c>
      <c r="K4587">
        <v>19.92</v>
      </c>
      <c r="L4587">
        <v>13.13</v>
      </c>
      <c r="M4587">
        <v>0.93</v>
      </c>
      <c r="N4587">
        <v>0.491</v>
      </c>
      <c r="O4587">
        <v>15.37</v>
      </c>
      <c r="P4587">
        <v>18.47</v>
      </c>
      <c r="Q4587">
        <v>12.85</v>
      </c>
      <c r="R4587">
        <v>6.7</v>
      </c>
    </row>
    <row r="4588">
      <c r="A4588" s="9">
        <v>43119</v>
      </c>
      <c r="B4588" s="2" t="inlineStr">
        <is>
          <t xml:space="preserve">2018-01</t>
        </is>
      </c>
      <c r="C4588" s="2" t="inlineStr">
        <is>
          <t xml:space="preserve">2017/18</t>
        </is>
      </c>
      <c r="D4588">
        <v>0.026</v>
      </c>
      <c r="E4588">
        <v>17.53</v>
      </c>
      <c r="F4588">
        <v>23.21</v>
      </c>
      <c r="G4588">
        <v>13.94</v>
      </c>
      <c r="H4588">
        <v>1.37</v>
      </c>
      <c r="I4588">
        <v>0.825</v>
      </c>
      <c r="J4588">
        <v>17.8</v>
      </c>
      <c r="K4588">
        <v>23.21</v>
      </c>
      <c r="L4588">
        <v>14.9</v>
      </c>
      <c r="M4588">
        <v>1.04</v>
      </c>
      <c r="N4588">
        <v>3.255</v>
      </c>
      <c r="O4588">
        <v>17.75</v>
      </c>
      <c r="P4588">
        <v>22.18</v>
      </c>
      <c r="Q4588">
        <v>15.61</v>
      </c>
      <c r="R4588">
        <v>1.66</v>
      </c>
    </row>
    <row r="4589">
      <c r="A4589" s="9">
        <v>43120</v>
      </c>
      <c r="B4589" s="2" t="inlineStr">
        <is>
          <t xml:space="preserve">2018-01</t>
        </is>
      </c>
      <c r="C4589" s="2" t="inlineStr">
        <is>
          <t xml:space="preserve">2017/18</t>
        </is>
      </c>
      <c r="D4589">
        <v>0.0</v>
      </c>
      <c r="E4589">
        <v>19.17</v>
      </c>
      <c r="F4589">
        <v>24.92</v>
      </c>
      <c r="G4589">
        <v>15.01</v>
      </c>
      <c r="H4589">
        <v>1.15</v>
      </c>
      <c r="I4589">
        <v>0.0</v>
      </c>
      <c r="J4589">
        <v>18.63</v>
      </c>
      <c r="K4589">
        <v>24.13</v>
      </c>
      <c r="L4589">
        <v>14.58</v>
      </c>
      <c r="M4589">
        <v>0.44</v>
      </c>
      <c r="N4589">
        <v>0.183</v>
      </c>
      <c r="O4589">
        <v>18.2</v>
      </c>
      <c r="P4589">
        <v>22.25</v>
      </c>
      <c r="Q4589">
        <v>15.12</v>
      </c>
      <c r="R4589">
        <v>2.17</v>
      </c>
    </row>
    <row r="4590">
      <c r="A4590" s="9">
        <v>43121</v>
      </c>
      <c r="B4590" s="2" t="inlineStr">
        <is>
          <t xml:space="preserve">2018-01</t>
        </is>
      </c>
      <c r="C4590" s="2" t="inlineStr">
        <is>
          <t xml:space="preserve">2017/18</t>
        </is>
      </c>
      <c r="D4590">
        <v>0.0</v>
      </c>
      <c r="E4590">
        <v>19.91</v>
      </c>
      <c r="F4590">
        <v>25.86</v>
      </c>
      <c r="G4590">
        <v>15.66</v>
      </c>
      <c r="H4590">
        <v>0.17</v>
      </c>
      <c r="I4590">
        <v>0.315</v>
      </c>
      <c r="J4590">
        <v>20.51</v>
      </c>
      <c r="K4590">
        <v>26.63</v>
      </c>
      <c r="L4590">
        <v>16.41</v>
      </c>
      <c r="M4590">
        <v>0.29</v>
      </c>
      <c r="N4590">
        <v>1.284</v>
      </c>
      <c r="O4590">
        <v>20.02</v>
      </c>
      <c r="P4590">
        <v>25.19</v>
      </c>
      <c r="Q4590">
        <v>16.7</v>
      </c>
      <c r="R4590">
        <v>0.33</v>
      </c>
    </row>
    <row r="4591">
      <c r="A4591" s="9">
        <v>43122</v>
      </c>
      <c r="B4591" s="2" t="inlineStr">
        <is>
          <t xml:space="preserve">2018-01</t>
        </is>
      </c>
      <c r="C4591" s="2" t="inlineStr">
        <is>
          <t xml:space="preserve">2017/18</t>
        </is>
      </c>
      <c r="D4591">
        <v>0.0</v>
      </c>
      <c r="E4591">
        <v>20.12</v>
      </c>
      <c r="F4591">
        <v>26.44</v>
      </c>
      <c r="G4591">
        <v>15.48</v>
      </c>
      <c r="H4591">
        <v>0.07</v>
      </c>
      <c r="I4591">
        <v>0.0</v>
      </c>
      <c r="J4591">
        <v>20.55</v>
      </c>
      <c r="K4591">
        <v>26.52</v>
      </c>
      <c r="L4591">
        <v>16.29</v>
      </c>
      <c r="M4591">
        <v>0.02</v>
      </c>
      <c r="N4591">
        <v>0.0</v>
      </c>
      <c r="O4591">
        <v>20.43</v>
      </c>
      <c r="P4591">
        <v>25.62</v>
      </c>
      <c r="Q4591">
        <v>17.27</v>
      </c>
      <c r="R4591">
        <v>0.15</v>
      </c>
    </row>
    <row r="4592">
      <c r="A4592" s="9">
        <v>43123</v>
      </c>
      <c r="B4592" s="2" t="inlineStr">
        <is>
          <t xml:space="preserve">2018-01</t>
        </is>
      </c>
      <c r="C4592" s="2" t="inlineStr">
        <is>
          <t xml:space="preserve">2017/18</t>
        </is>
      </c>
      <c r="D4592">
        <v>0.0</v>
      </c>
      <c r="E4592">
        <v>19.68</v>
      </c>
      <c r="F4592">
        <v>25.33</v>
      </c>
      <c r="G4592">
        <v>16.04</v>
      </c>
      <c r="H4592">
        <v>0.81</v>
      </c>
      <c r="I4592">
        <v>0.0</v>
      </c>
      <c r="J4592">
        <v>20.39</v>
      </c>
      <c r="K4592">
        <v>25.9</v>
      </c>
      <c r="L4592">
        <v>16.28</v>
      </c>
      <c r="M4592">
        <v>1.5</v>
      </c>
      <c r="N4592">
        <v>0.084</v>
      </c>
      <c r="O4592">
        <v>20.22</v>
      </c>
      <c r="P4592">
        <v>25.04</v>
      </c>
      <c r="Q4592">
        <v>16.93</v>
      </c>
      <c r="R4592">
        <v>2.36</v>
      </c>
    </row>
    <row r="4593">
      <c r="A4593" s="9">
        <v>43124</v>
      </c>
      <c r="B4593" s="2" t="inlineStr">
        <is>
          <t xml:space="preserve">2018-01</t>
        </is>
      </c>
      <c r="C4593" s="2" t="inlineStr">
        <is>
          <t xml:space="preserve">2017/18</t>
        </is>
      </c>
      <c r="D4593">
        <v>0.0</v>
      </c>
      <c r="E4593">
        <v>19.36</v>
      </c>
      <c r="F4593">
        <v>25.03</v>
      </c>
      <c r="G4593">
        <v>15.3</v>
      </c>
      <c r="H4593">
        <v>1.11</v>
      </c>
      <c r="I4593">
        <v>5.209</v>
      </c>
      <c r="J4593">
        <v>19.72</v>
      </c>
      <c r="K4593">
        <v>24.63</v>
      </c>
      <c r="L4593">
        <v>16.65</v>
      </c>
      <c r="M4593">
        <v>2.68</v>
      </c>
      <c r="N4593">
        <v>3.124</v>
      </c>
      <c r="O4593">
        <v>19.67</v>
      </c>
      <c r="P4593">
        <v>23.8</v>
      </c>
      <c r="Q4593">
        <v>17.22</v>
      </c>
      <c r="R4593">
        <v>3.78</v>
      </c>
    </row>
    <row r="4594">
      <c r="A4594" s="9">
        <v>43125</v>
      </c>
      <c r="B4594" s="2" t="inlineStr">
        <is>
          <t xml:space="preserve">2018-01</t>
        </is>
      </c>
      <c r="C4594" s="2" t="inlineStr">
        <is>
          <t xml:space="preserve">2017/18</t>
        </is>
      </c>
      <c r="D4594">
        <v>0.0</v>
      </c>
      <c r="E4594">
        <v>19.4</v>
      </c>
      <c r="F4594">
        <v>25.28</v>
      </c>
      <c r="G4594">
        <v>15.32</v>
      </c>
      <c r="H4594">
        <v>0.23</v>
      </c>
      <c r="I4594">
        <v>0.033</v>
      </c>
      <c r="J4594">
        <v>19.77</v>
      </c>
      <c r="K4594">
        <v>24.61</v>
      </c>
      <c r="L4594">
        <v>16.62</v>
      </c>
      <c r="M4594">
        <v>0.57</v>
      </c>
      <c r="N4594">
        <v>0.179</v>
      </c>
      <c r="O4594">
        <v>19.76</v>
      </c>
      <c r="P4594">
        <v>23.78</v>
      </c>
      <c r="Q4594">
        <v>17.26</v>
      </c>
      <c r="R4594">
        <v>0.91</v>
      </c>
    </row>
    <row r="4595">
      <c r="A4595" s="9">
        <v>43126</v>
      </c>
      <c r="B4595" s="2" t="inlineStr">
        <is>
          <t xml:space="preserve">2018-01</t>
        </is>
      </c>
      <c r="C4595" s="2" t="inlineStr">
        <is>
          <t xml:space="preserve">2017/18</t>
        </is>
      </c>
      <c r="D4595">
        <v>0.0</v>
      </c>
      <c r="E4595">
        <v>19.27</v>
      </c>
      <c r="F4595">
        <v>25.4</v>
      </c>
      <c r="G4595">
        <v>15.05</v>
      </c>
      <c r="H4595">
        <v>0.31</v>
      </c>
      <c r="I4595">
        <v>0.325</v>
      </c>
      <c r="J4595">
        <v>19.4</v>
      </c>
      <c r="K4595">
        <v>24.7</v>
      </c>
      <c r="L4595">
        <v>15.82</v>
      </c>
      <c r="M4595">
        <v>0.32</v>
      </c>
      <c r="N4595">
        <v>1.268</v>
      </c>
      <c r="O4595">
        <v>19.3</v>
      </c>
      <c r="P4595">
        <v>23.78</v>
      </c>
      <c r="Q4595">
        <v>16.24</v>
      </c>
      <c r="R4595">
        <v>1.14</v>
      </c>
    </row>
    <row r="4596">
      <c r="A4596" s="9">
        <v>43127</v>
      </c>
      <c r="B4596" s="2" t="inlineStr">
        <is>
          <t xml:space="preserve">2018-01</t>
        </is>
      </c>
      <c r="C4596" s="2" t="inlineStr">
        <is>
          <t xml:space="preserve">2017/18</t>
        </is>
      </c>
      <c r="D4596">
        <v>0.0</v>
      </c>
      <c r="E4596">
        <v>19.84</v>
      </c>
      <c r="F4596">
        <v>26.25</v>
      </c>
      <c r="G4596">
        <v>15.31</v>
      </c>
      <c r="H4596">
        <v>0.52</v>
      </c>
      <c r="I4596">
        <v>0.0</v>
      </c>
      <c r="J4596">
        <v>20.35</v>
      </c>
      <c r="K4596">
        <v>26.56</v>
      </c>
      <c r="L4596">
        <v>15.59</v>
      </c>
      <c r="M4596">
        <v>0.01</v>
      </c>
      <c r="N4596">
        <v>0.0</v>
      </c>
      <c r="O4596">
        <v>19.99</v>
      </c>
      <c r="P4596">
        <v>25.22</v>
      </c>
      <c r="Q4596">
        <v>16.13</v>
      </c>
      <c r="R4596">
        <v>0.16</v>
      </c>
    </row>
    <row r="4597">
      <c r="A4597" s="9">
        <v>43128</v>
      </c>
      <c r="B4597" s="2" t="inlineStr">
        <is>
          <t xml:space="preserve">2018-01</t>
        </is>
      </c>
      <c r="C4597" s="2" t="inlineStr">
        <is>
          <t xml:space="preserve">2017/18</t>
        </is>
      </c>
      <c r="D4597">
        <v>0.0</v>
      </c>
      <c r="E4597">
        <v>20.29</v>
      </c>
      <c r="F4597">
        <v>26.87</v>
      </c>
      <c r="G4597">
        <v>15.41</v>
      </c>
      <c r="H4597">
        <v>0.85</v>
      </c>
      <c r="I4597">
        <v>0.0</v>
      </c>
      <c r="J4597">
        <v>20.79</v>
      </c>
      <c r="K4597">
        <v>26.89</v>
      </c>
      <c r="L4597">
        <v>16.34</v>
      </c>
      <c r="M4597">
        <v>0.29</v>
      </c>
      <c r="N4597">
        <v>0.0</v>
      </c>
      <c r="O4597">
        <v>20.4</v>
      </c>
      <c r="P4597">
        <v>25.21</v>
      </c>
      <c r="Q4597">
        <v>17.02</v>
      </c>
      <c r="R4597">
        <v>1.0</v>
      </c>
    </row>
    <row r="4598">
      <c r="A4598" s="9">
        <v>43129</v>
      </c>
      <c r="B4598" s="2" t="inlineStr">
        <is>
          <t xml:space="preserve">2018-01</t>
        </is>
      </c>
      <c r="C4598" s="2" t="inlineStr">
        <is>
          <t xml:space="preserve">2017/18</t>
        </is>
      </c>
      <c r="D4598">
        <v>0.423</v>
      </c>
      <c r="E4598">
        <v>20.08</v>
      </c>
      <c r="F4598">
        <v>25.98</v>
      </c>
      <c r="G4598">
        <v>16.38</v>
      </c>
      <c r="H4598">
        <v>1.94</v>
      </c>
      <c r="I4598">
        <v>0.456</v>
      </c>
      <c r="J4598">
        <v>20.31</v>
      </c>
      <c r="K4598">
        <v>25.36</v>
      </c>
      <c r="L4598">
        <v>17.17</v>
      </c>
      <c r="M4598">
        <v>2.52</v>
      </c>
      <c r="N4598">
        <v>2.079</v>
      </c>
      <c r="O4598">
        <v>20.17</v>
      </c>
      <c r="P4598">
        <v>24.13</v>
      </c>
      <c r="Q4598">
        <v>17.83</v>
      </c>
      <c r="R4598">
        <v>5.99</v>
      </c>
    </row>
    <row r="4599">
      <c r="A4599" s="9">
        <v>43130</v>
      </c>
      <c r="B4599" s="2" t="inlineStr">
        <is>
          <t xml:space="preserve">2018-01</t>
        </is>
      </c>
      <c r="C4599" s="2" t="inlineStr">
        <is>
          <t xml:space="preserve">2017/18</t>
        </is>
      </c>
      <c r="D4599">
        <v>0.05</v>
      </c>
      <c r="E4599">
        <v>19.81</v>
      </c>
      <c r="F4599">
        <v>25.35</v>
      </c>
      <c r="G4599">
        <v>16.9</v>
      </c>
      <c r="H4599">
        <v>8.05</v>
      </c>
      <c r="I4599">
        <v>4.61</v>
      </c>
      <c r="J4599">
        <v>19.7</v>
      </c>
      <c r="K4599">
        <v>24.18</v>
      </c>
      <c r="L4599">
        <v>17.19</v>
      </c>
      <c r="M4599">
        <v>10.14</v>
      </c>
      <c r="N4599">
        <v>18.194</v>
      </c>
      <c r="O4599">
        <v>19.66</v>
      </c>
      <c r="P4599">
        <v>22.92</v>
      </c>
      <c r="Q4599">
        <v>17.92</v>
      </c>
      <c r="R4599">
        <v>24.93</v>
      </c>
    </row>
    <row r="4600">
      <c r="A4600" s="9">
        <v>43131</v>
      </c>
      <c r="B4600" s="2" t="inlineStr">
        <is>
          <t xml:space="preserve">2018-01</t>
        </is>
      </c>
      <c r="C4600" s="2" t="inlineStr">
        <is>
          <t xml:space="preserve">2017/18</t>
        </is>
      </c>
      <c r="D4600">
        <v>0.313</v>
      </c>
      <c r="E4600">
        <v>19.23</v>
      </c>
      <c r="F4600">
        <v>24.84</v>
      </c>
      <c r="G4600">
        <v>16.17</v>
      </c>
      <c r="H4600">
        <v>5.98</v>
      </c>
      <c r="I4600">
        <v>2.192</v>
      </c>
      <c r="J4600">
        <v>18.71</v>
      </c>
      <c r="K4600">
        <v>23.42</v>
      </c>
      <c r="L4600">
        <v>15.77</v>
      </c>
      <c r="M4600">
        <v>3.85</v>
      </c>
      <c r="N4600">
        <v>8.965</v>
      </c>
      <c r="O4600">
        <v>18.42</v>
      </c>
      <c r="P4600">
        <v>22.19</v>
      </c>
      <c r="Q4600">
        <v>15.82</v>
      </c>
      <c r="R4600">
        <v>12.43</v>
      </c>
    </row>
    <row r="4601">
      <c r="A4601" s="9">
        <v>43132</v>
      </c>
      <c r="B4601" s="2" t="inlineStr">
        <is>
          <t xml:space="preserve">2018-02</t>
        </is>
      </c>
      <c r="C4601" s="2" t="inlineStr">
        <is>
          <t xml:space="preserve">2017/18</t>
        </is>
      </c>
      <c r="D4601">
        <v>0.0</v>
      </c>
      <c r="E4601">
        <v>19.91</v>
      </c>
      <c r="F4601">
        <v>26.21</v>
      </c>
      <c r="G4601">
        <v>15.71</v>
      </c>
      <c r="H4601">
        <v>0.91</v>
      </c>
      <c r="I4601">
        <v>0.479</v>
      </c>
      <c r="J4601">
        <v>19.33</v>
      </c>
      <c r="K4601">
        <v>25.73</v>
      </c>
      <c r="L4601">
        <v>14.63</v>
      </c>
      <c r="M4601">
        <v>0.84</v>
      </c>
      <c r="N4601">
        <v>1.948</v>
      </c>
      <c r="O4601">
        <v>18.74</v>
      </c>
      <c r="P4601">
        <v>24.12</v>
      </c>
      <c r="Q4601">
        <v>15.1</v>
      </c>
      <c r="R4601">
        <v>2.97</v>
      </c>
    </row>
    <row r="4602">
      <c r="A4602" s="9">
        <v>43133</v>
      </c>
      <c r="B4602" s="2" t="inlineStr">
        <is>
          <t xml:space="preserve">2018-02</t>
        </is>
      </c>
      <c r="C4602" s="2" t="inlineStr">
        <is>
          <t xml:space="preserve">2017/18</t>
        </is>
      </c>
      <c r="D4602">
        <v>0.0</v>
      </c>
      <c r="E4602">
        <v>19.9</v>
      </c>
      <c r="F4602">
        <v>26.22</v>
      </c>
      <c r="G4602">
        <v>15.46</v>
      </c>
      <c r="H4602">
        <v>0.17</v>
      </c>
      <c r="I4602">
        <v>0.047</v>
      </c>
      <c r="J4602">
        <v>20.47</v>
      </c>
      <c r="K4602">
        <v>26.69</v>
      </c>
      <c r="L4602">
        <v>16.04</v>
      </c>
      <c r="M4602">
        <v>1.0</v>
      </c>
      <c r="N4602">
        <v>0.502</v>
      </c>
      <c r="O4602">
        <v>19.84</v>
      </c>
      <c r="P4602">
        <v>24.56</v>
      </c>
      <c r="Q4602">
        <v>16.65</v>
      </c>
      <c r="R4602">
        <v>1.13</v>
      </c>
    </row>
    <row r="4603">
      <c r="A4603" s="9">
        <v>43134</v>
      </c>
      <c r="B4603" s="2" t="inlineStr">
        <is>
          <t xml:space="preserve">2018-02</t>
        </is>
      </c>
      <c r="C4603" s="2" t="inlineStr">
        <is>
          <t xml:space="preserve">2017/18</t>
        </is>
      </c>
      <c r="D4603">
        <v>0.0</v>
      </c>
      <c r="E4603">
        <v>19.38</v>
      </c>
      <c r="F4603">
        <v>25.3</v>
      </c>
      <c r="G4603">
        <v>15.38</v>
      </c>
      <c r="H4603">
        <v>0.8</v>
      </c>
      <c r="I4603">
        <v>2.318</v>
      </c>
      <c r="J4603">
        <v>19.72</v>
      </c>
      <c r="K4603">
        <v>25.14</v>
      </c>
      <c r="L4603">
        <v>16.56</v>
      </c>
      <c r="M4603">
        <v>3.9</v>
      </c>
      <c r="N4603">
        <v>9.34</v>
      </c>
      <c r="O4603">
        <v>19.19</v>
      </c>
      <c r="P4603">
        <v>23.48</v>
      </c>
      <c r="Q4603">
        <v>16.55</v>
      </c>
      <c r="R4603">
        <v>3.84</v>
      </c>
    </row>
    <row r="4604">
      <c r="A4604" s="9">
        <v>43135</v>
      </c>
      <c r="B4604" s="2" t="inlineStr">
        <is>
          <t xml:space="preserve">2018-02</t>
        </is>
      </c>
      <c r="C4604" s="2" t="inlineStr">
        <is>
          <t xml:space="preserve">2017/18</t>
        </is>
      </c>
      <c r="D4604">
        <v>0.205</v>
      </c>
      <c r="E4604">
        <v>19.98</v>
      </c>
      <c r="F4604">
        <v>26.94</v>
      </c>
      <c r="G4604">
        <v>15.18</v>
      </c>
      <c r="H4604">
        <v>0.24</v>
      </c>
      <c r="I4604">
        <v>0.539</v>
      </c>
      <c r="J4604">
        <v>19.86</v>
      </c>
      <c r="K4604">
        <v>26.52</v>
      </c>
      <c r="L4604">
        <v>15.06</v>
      </c>
      <c r="M4604">
        <v>0.67</v>
      </c>
      <c r="N4604">
        <v>2.125</v>
      </c>
      <c r="O4604">
        <v>19.46</v>
      </c>
      <c r="P4604">
        <v>25.0</v>
      </c>
      <c r="Q4604">
        <v>15.56</v>
      </c>
      <c r="R4604">
        <v>0.61</v>
      </c>
    </row>
    <row r="4605">
      <c r="A4605" s="9">
        <v>43136</v>
      </c>
      <c r="B4605" s="2" t="inlineStr">
        <is>
          <t xml:space="preserve">2018-02</t>
        </is>
      </c>
      <c r="C4605" s="2" t="inlineStr">
        <is>
          <t xml:space="preserve">2017/18</t>
        </is>
      </c>
      <c r="D4605">
        <v>0.0</v>
      </c>
      <c r="E4605">
        <v>20.3</v>
      </c>
      <c r="F4605">
        <v>27.11</v>
      </c>
      <c r="G4605">
        <v>15.19</v>
      </c>
      <c r="H4605">
        <v>0.58</v>
      </c>
      <c r="I4605">
        <v>0.0</v>
      </c>
      <c r="J4605">
        <v>20.71</v>
      </c>
      <c r="K4605">
        <v>27.35</v>
      </c>
      <c r="L4605">
        <v>16.09</v>
      </c>
      <c r="M4605">
        <v>0.19</v>
      </c>
      <c r="N4605">
        <v>0.0</v>
      </c>
      <c r="O4605">
        <v>20.01</v>
      </c>
      <c r="P4605">
        <v>24.74</v>
      </c>
      <c r="Q4605">
        <v>16.52</v>
      </c>
      <c r="R4605">
        <v>0.35</v>
      </c>
    </row>
    <row r="4606">
      <c r="A4606" s="9">
        <v>43137</v>
      </c>
      <c r="B4606" s="2" t="inlineStr">
        <is>
          <t xml:space="preserve">2018-02</t>
        </is>
      </c>
      <c r="C4606" s="2" t="inlineStr">
        <is>
          <t xml:space="preserve">2017/18</t>
        </is>
      </c>
      <c r="D4606">
        <v>0.253</v>
      </c>
      <c r="E4606">
        <v>20.0</v>
      </c>
      <c r="F4606">
        <v>26.55</v>
      </c>
      <c r="G4606">
        <v>15.49</v>
      </c>
      <c r="H4606">
        <v>0.31</v>
      </c>
      <c r="I4606">
        <v>0.226</v>
      </c>
      <c r="J4606">
        <v>20.61</v>
      </c>
      <c r="K4606">
        <v>27.0</v>
      </c>
      <c r="L4606">
        <v>16.57</v>
      </c>
      <c r="M4606">
        <v>0.25</v>
      </c>
      <c r="N4606">
        <v>0.816</v>
      </c>
      <c r="O4606">
        <v>20.02</v>
      </c>
      <c r="P4606">
        <v>24.88</v>
      </c>
      <c r="Q4606">
        <v>16.81</v>
      </c>
      <c r="R4606">
        <v>0.34</v>
      </c>
    </row>
    <row r="4607">
      <c r="A4607" s="9">
        <v>43138</v>
      </c>
      <c r="B4607" s="2" t="inlineStr">
        <is>
          <t xml:space="preserve">2018-02</t>
        </is>
      </c>
      <c r="C4607" s="2" t="inlineStr">
        <is>
          <t xml:space="preserve">2017/18</t>
        </is>
      </c>
      <c r="D4607">
        <v>0.0</v>
      </c>
      <c r="E4607">
        <v>20.46</v>
      </c>
      <c r="F4607">
        <v>27.54</v>
      </c>
      <c r="G4607">
        <v>14.31</v>
      </c>
      <c r="H4607">
        <v>0.26</v>
      </c>
      <c r="I4607">
        <v>0.0</v>
      </c>
      <c r="J4607">
        <v>21.31</v>
      </c>
      <c r="K4607">
        <v>28.3</v>
      </c>
      <c r="L4607">
        <v>15.52</v>
      </c>
      <c r="M4607">
        <v>0.13</v>
      </c>
      <c r="N4607">
        <v>0.083</v>
      </c>
      <c r="O4607">
        <v>20.43</v>
      </c>
      <c r="P4607">
        <v>25.6</v>
      </c>
      <c r="Q4607">
        <v>16.0</v>
      </c>
      <c r="R4607">
        <v>0.35</v>
      </c>
    </row>
    <row r="4608">
      <c r="A4608" s="9">
        <v>43139</v>
      </c>
      <c r="B4608" s="2" t="inlineStr">
        <is>
          <t xml:space="preserve">2018-02</t>
        </is>
      </c>
      <c r="C4608" s="2" t="inlineStr">
        <is>
          <t xml:space="preserve">2017/18</t>
        </is>
      </c>
      <c r="D4608">
        <v>0.4</v>
      </c>
      <c r="E4608">
        <v>19.94</v>
      </c>
      <c r="F4608">
        <v>26.47</v>
      </c>
      <c r="G4608">
        <v>15.33</v>
      </c>
      <c r="H4608">
        <v>0.35</v>
      </c>
      <c r="I4608">
        <v>0.041</v>
      </c>
      <c r="J4608">
        <v>21.44</v>
      </c>
      <c r="K4608">
        <v>27.19</v>
      </c>
      <c r="L4608">
        <v>17.73</v>
      </c>
      <c r="M4608">
        <v>0.13</v>
      </c>
      <c r="N4608">
        <v>0.145</v>
      </c>
      <c r="O4608">
        <v>20.68</v>
      </c>
      <c r="P4608">
        <v>24.77</v>
      </c>
      <c r="Q4608">
        <v>18.22</v>
      </c>
      <c r="R4608">
        <v>0.3</v>
      </c>
    </row>
    <row r="4609">
      <c r="A4609" s="9">
        <v>43140</v>
      </c>
      <c r="B4609" s="2" t="inlineStr">
        <is>
          <t xml:space="preserve">2018-02</t>
        </is>
      </c>
      <c r="C4609" s="2" t="inlineStr">
        <is>
          <t xml:space="preserve">2017/18</t>
        </is>
      </c>
      <c r="D4609">
        <v>0.0</v>
      </c>
      <c r="E4609">
        <v>19.63</v>
      </c>
      <c r="F4609">
        <v>27.02</v>
      </c>
      <c r="G4609">
        <v>14.0</v>
      </c>
      <c r="H4609">
        <v>0.24</v>
      </c>
      <c r="I4609">
        <v>0.0</v>
      </c>
      <c r="J4609">
        <v>20.59</v>
      </c>
      <c r="K4609">
        <v>26.72</v>
      </c>
      <c r="L4609">
        <v>16.26</v>
      </c>
      <c r="M4609">
        <v>0.03</v>
      </c>
      <c r="N4609">
        <v>0.0</v>
      </c>
      <c r="O4609">
        <v>19.82</v>
      </c>
      <c r="P4609">
        <v>24.59</v>
      </c>
      <c r="Q4609">
        <v>16.48</v>
      </c>
      <c r="R4609">
        <v>0.59</v>
      </c>
    </row>
    <row r="4610">
      <c r="A4610" s="9">
        <v>43141</v>
      </c>
      <c r="B4610" s="2" t="inlineStr">
        <is>
          <t xml:space="preserve">2018-02</t>
        </is>
      </c>
      <c r="C4610" s="2" t="inlineStr">
        <is>
          <t xml:space="preserve">2017/18</t>
        </is>
      </c>
      <c r="D4610">
        <v>0.0</v>
      </c>
      <c r="E4610">
        <v>20.59</v>
      </c>
      <c r="F4610">
        <v>28.5</v>
      </c>
      <c r="G4610">
        <v>15.24</v>
      </c>
      <c r="H4610">
        <v>0.16</v>
      </c>
      <c r="I4610">
        <v>0.0</v>
      </c>
      <c r="J4610">
        <v>21.51</v>
      </c>
      <c r="K4610">
        <v>28.33</v>
      </c>
      <c r="L4610">
        <v>16.06</v>
      </c>
      <c r="M4610">
        <v>0.01</v>
      </c>
      <c r="N4610">
        <v>0.0</v>
      </c>
      <c r="O4610">
        <v>20.49</v>
      </c>
      <c r="P4610">
        <v>26.39</v>
      </c>
      <c r="Q4610">
        <v>16.63</v>
      </c>
      <c r="R4610">
        <v>0.45</v>
      </c>
    </row>
    <row r="4611">
      <c r="A4611" s="9">
        <v>43142</v>
      </c>
      <c r="B4611" s="2" t="inlineStr">
        <is>
          <t xml:space="preserve">2018-02</t>
        </is>
      </c>
      <c r="C4611" s="2" t="inlineStr">
        <is>
          <t xml:space="preserve">2017/18</t>
        </is>
      </c>
      <c r="D4611">
        <v>0.0</v>
      </c>
      <c r="E4611">
        <v>21.1</v>
      </c>
      <c r="F4611">
        <v>29.5</v>
      </c>
      <c r="G4611">
        <v>15.3</v>
      </c>
      <c r="H4611">
        <v>0.01</v>
      </c>
      <c r="I4611">
        <v>0.0</v>
      </c>
      <c r="J4611">
        <v>22.55</v>
      </c>
      <c r="K4611">
        <v>29.89</v>
      </c>
      <c r="L4611">
        <v>16.56</v>
      </c>
      <c r="M4611">
        <v>0.02</v>
      </c>
      <c r="N4611">
        <v>0.0</v>
      </c>
      <c r="O4611">
        <v>21.32</v>
      </c>
      <c r="P4611">
        <v>27.29</v>
      </c>
      <c r="Q4611">
        <v>17.18</v>
      </c>
      <c r="R4611">
        <v>0.01</v>
      </c>
    </row>
    <row r="4612">
      <c r="A4612" s="9">
        <v>43143</v>
      </c>
      <c r="B4612" s="2" t="inlineStr">
        <is>
          <t xml:space="preserve">2018-02</t>
        </is>
      </c>
      <c r="C4612" s="2" t="inlineStr">
        <is>
          <t xml:space="preserve">2017/18</t>
        </is>
      </c>
      <c r="D4612">
        <v>0.079</v>
      </c>
      <c r="E4612">
        <v>20.13</v>
      </c>
      <c r="F4612">
        <v>27.29</v>
      </c>
      <c r="G4612">
        <v>14.78</v>
      </c>
      <c r="H4612">
        <v>0.59</v>
      </c>
      <c r="I4612">
        <v>0.031</v>
      </c>
      <c r="J4612">
        <v>21.6</v>
      </c>
      <c r="K4612">
        <v>28.07</v>
      </c>
      <c r="L4612">
        <v>16.3</v>
      </c>
      <c r="M4612">
        <v>0.31</v>
      </c>
      <c r="N4612">
        <v>0.335</v>
      </c>
      <c r="O4612">
        <v>20.94</v>
      </c>
      <c r="P4612">
        <v>25.67</v>
      </c>
      <c r="Q4612">
        <v>17.19</v>
      </c>
      <c r="R4612">
        <v>0.38</v>
      </c>
    </row>
    <row r="4613">
      <c r="A4613" s="9">
        <v>43144</v>
      </c>
      <c r="B4613" s="2" t="inlineStr">
        <is>
          <t xml:space="preserve">2018-02</t>
        </is>
      </c>
      <c r="C4613" s="2" t="inlineStr">
        <is>
          <t xml:space="preserve">2017/18</t>
        </is>
      </c>
      <c r="D4613">
        <v>0.652</v>
      </c>
      <c r="E4613">
        <v>19.68</v>
      </c>
      <c r="F4613">
        <v>27.02</v>
      </c>
      <c r="G4613">
        <v>15.19</v>
      </c>
      <c r="H4613">
        <v>0.69</v>
      </c>
      <c r="I4613">
        <v>0.122</v>
      </c>
      <c r="J4613">
        <v>21.18</v>
      </c>
      <c r="K4613">
        <v>27.86</v>
      </c>
      <c r="L4613">
        <v>16.49</v>
      </c>
      <c r="M4613">
        <v>0.25</v>
      </c>
      <c r="N4613">
        <v>0.693</v>
      </c>
      <c r="O4613">
        <v>20.61</v>
      </c>
      <c r="P4613">
        <v>25.74</v>
      </c>
      <c r="Q4613">
        <v>17.1</v>
      </c>
      <c r="R4613">
        <v>0.46</v>
      </c>
    </row>
    <row r="4614">
      <c r="A4614" s="9">
        <v>43145</v>
      </c>
      <c r="B4614" s="2" t="inlineStr">
        <is>
          <t xml:space="preserve">2018-02</t>
        </is>
      </c>
      <c r="C4614" s="2" t="inlineStr">
        <is>
          <t xml:space="preserve">2017/18</t>
        </is>
      </c>
      <c r="D4614">
        <v>0.0</v>
      </c>
      <c r="E4614">
        <v>19.19</v>
      </c>
      <c r="F4614">
        <v>25.88</v>
      </c>
      <c r="G4614">
        <v>14.6</v>
      </c>
      <c r="H4614">
        <v>0.08</v>
      </c>
      <c r="I4614">
        <v>0.0</v>
      </c>
      <c r="J4614">
        <v>20.38</v>
      </c>
      <c r="K4614">
        <v>26.6</v>
      </c>
      <c r="L4614">
        <v>15.8</v>
      </c>
      <c r="M4614">
        <v>0.04</v>
      </c>
      <c r="N4614">
        <v>0.0</v>
      </c>
      <c r="O4614">
        <v>19.85</v>
      </c>
      <c r="P4614">
        <v>24.88</v>
      </c>
      <c r="Q4614">
        <v>15.81</v>
      </c>
      <c r="R4614">
        <v>0.02</v>
      </c>
    </row>
    <row r="4615">
      <c r="A4615" s="9">
        <v>43146</v>
      </c>
      <c r="B4615" s="2" t="inlineStr">
        <is>
          <t xml:space="preserve">2018-02</t>
        </is>
      </c>
      <c r="C4615" s="2" t="inlineStr">
        <is>
          <t xml:space="preserve">2017/18</t>
        </is>
      </c>
      <c r="D4615">
        <v>0.0</v>
      </c>
      <c r="E4615">
        <v>19.45</v>
      </c>
      <c r="F4615">
        <v>26.96</v>
      </c>
      <c r="G4615">
        <v>14.35</v>
      </c>
      <c r="H4615">
        <v>0.02</v>
      </c>
      <c r="I4615">
        <v>0.0</v>
      </c>
      <c r="J4615">
        <v>20.17</v>
      </c>
      <c r="K4615">
        <v>26.76</v>
      </c>
      <c r="L4615">
        <v>15.32</v>
      </c>
      <c r="M4615">
        <v>0.01</v>
      </c>
      <c r="N4615">
        <v>0.0</v>
      </c>
      <c r="O4615">
        <v>19.63</v>
      </c>
      <c r="P4615">
        <v>24.77</v>
      </c>
      <c r="Q4615">
        <v>15.84</v>
      </c>
      <c r="R4615">
        <v>0.01</v>
      </c>
    </row>
    <row r="4616">
      <c r="A4616" s="9">
        <v>43147</v>
      </c>
      <c r="B4616" s="2" t="inlineStr">
        <is>
          <t xml:space="preserve">2018-02</t>
        </is>
      </c>
      <c r="C4616" s="2" t="inlineStr">
        <is>
          <t xml:space="preserve">2017/18</t>
        </is>
      </c>
      <c r="D4616">
        <v>0.0</v>
      </c>
      <c r="E4616">
        <v>19.32</v>
      </c>
      <c r="F4616">
        <v>26.99</v>
      </c>
      <c r="G4616">
        <v>13.65</v>
      </c>
      <c r="H4616">
        <v>0.0</v>
      </c>
      <c r="I4616">
        <v>0.0</v>
      </c>
      <c r="J4616">
        <v>20.04</v>
      </c>
      <c r="K4616">
        <v>26.7</v>
      </c>
      <c r="L4616">
        <v>14.71</v>
      </c>
      <c r="M4616">
        <v>0.0</v>
      </c>
      <c r="N4616">
        <v>0.0</v>
      </c>
      <c r="O4616">
        <v>19.38</v>
      </c>
      <c r="P4616">
        <v>24.67</v>
      </c>
      <c r="Q4616">
        <v>14.74</v>
      </c>
      <c r="R4616">
        <v>0.0</v>
      </c>
    </row>
    <row r="4617">
      <c r="A4617" s="9">
        <v>43148</v>
      </c>
      <c r="B4617" s="2" t="inlineStr">
        <is>
          <t xml:space="preserve">2018-02</t>
        </is>
      </c>
      <c r="C4617" s="2" t="inlineStr">
        <is>
          <t xml:space="preserve">2017/18</t>
        </is>
      </c>
      <c r="D4617">
        <v>0.0</v>
      </c>
      <c r="E4617">
        <v>19.55</v>
      </c>
      <c r="F4617">
        <v>27.73</v>
      </c>
      <c r="G4617">
        <v>13.09</v>
      </c>
      <c r="H4617">
        <v>0.05</v>
      </c>
      <c r="I4617">
        <v>0.0</v>
      </c>
      <c r="J4617">
        <v>20.44</v>
      </c>
      <c r="K4617">
        <v>27.31</v>
      </c>
      <c r="L4617">
        <v>14.8</v>
      </c>
      <c r="M4617">
        <v>0.05</v>
      </c>
      <c r="N4617">
        <v>0.0</v>
      </c>
      <c r="O4617">
        <v>19.52</v>
      </c>
      <c r="P4617">
        <v>24.96</v>
      </c>
      <c r="Q4617">
        <v>15.11</v>
      </c>
      <c r="R4617">
        <v>0.16</v>
      </c>
    </row>
    <row r="4618">
      <c r="A4618" s="9">
        <v>43149</v>
      </c>
      <c r="B4618" s="2" t="inlineStr">
        <is>
          <t xml:space="preserve">2018-02</t>
        </is>
      </c>
      <c r="C4618" s="2" t="inlineStr">
        <is>
          <t xml:space="preserve">2017/18</t>
        </is>
      </c>
      <c r="D4618">
        <v>0.0</v>
      </c>
      <c r="E4618">
        <v>20.09</v>
      </c>
      <c r="F4618">
        <v>27.6</v>
      </c>
      <c r="G4618">
        <v>15.35</v>
      </c>
      <c r="H4618">
        <v>0.09</v>
      </c>
      <c r="I4618">
        <v>0.024</v>
      </c>
      <c r="J4618">
        <v>21.2</v>
      </c>
      <c r="K4618">
        <v>28.06</v>
      </c>
      <c r="L4618">
        <v>16.43</v>
      </c>
      <c r="M4618">
        <v>0.11</v>
      </c>
      <c r="N4618">
        <v>0.273</v>
      </c>
      <c r="O4618">
        <v>20.23</v>
      </c>
      <c r="P4618">
        <v>25.88</v>
      </c>
      <c r="Q4618">
        <v>16.56</v>
      </c>
      <c r="R4618">
        <v>0.22</v>
      </c>
    </row>
    <row r="4619">
      <c r="A4619" s="9">
        <v>43150</v>
      </c>
      <c r="B4619" s="2" t="inlineStr">
        <is>
          <t xml:space="preserve">2018-02</t>
        </is>
      </c>
      <c r="C4619" s="2" t="inlineStr">
        <is>
          <t xml:space="preserve">2017/18</t>
        </is>
      </c>
      <c r="D4619">
        <v>0.0</v>
      </c>
      <c r="E4619">
        <v>19.96</v>
      </c>
      <c r="F4619">
        <v>28.44</v>
      </c>
      <c r="G4619">
        <v>12.99</v>
      </c>
      <c r="H4619">
        <v>0.28</v>
      </c>
      <c r="I4619">
        <v>0.0</v>
      </c>
      <c r="J4619">
        <v>21.4</v>
      </c>
      <c r="K4619">
        <v>28.85</v>
      </c>
      <c r="L4619">
        <v>15.77</v>
      </c>
      <c r="M4619">
        <v>0.17</v>
      </c>
      <c r="N4619">
        <v>0.0</v>
      </c>
      <c r="O4619">
        <v>20.11</v>
      </c>
      <c r="P4619">
        <v>26.07</v>
      </c>
      <c r="Q4619">
        <v>15.87</v>
      </c>
      <c r="R4619">
        <v>0.57</v>
      </c>
    </row>
    <row r="4620">
      <c r="A4620" s="9">
        <v>43151</v>
      </c>
      <c r="B4620" s="2" t="inlineStr">
        <is>
          <t xml:space="preserve">2018-02</t>
        </is>
      </c>
      <c r="C4620" s="2" t="inlineStr">
        <is>
          <t xml:space="preserve">2017/18</t>
        </is>
      </c>
      <c r="D4620">
        <v>0.05</v>
      </c>
      <c r="E4620">
        <v>20.84</v>
      </c>
      <c r="F4620">
        <v>29.13</v>
      </c>
      <c r="G4620">
        <v>14.54</v>
      </c>
      <c r="H4620">
        <v>0.43</v>
      </c>
      <c r="I4620">
        <v>0.0</v>
      </c>
      <c r="J4620">
        <v>22.46</v>
      </c>
      <c r="K4620">
        <v>30.73</v>
      </c>
      <c r="L4620">
        <v>16.25</v>
      </c>
      <c r="M4620">
        <v>0.36</v>
      </c>
      <c r="N4620">
        <v>0.0</v>
      </c>
      <c r="O4620">
        <v>20.94</v>
      </c>
      <c r="P4620">
        <v>27.68</v>
      </c>
      <c r="Q4620">
        <v>16.54</v>
      </c>
      <c r="R4620">
        <v>1.18</v>
      </c>
    </row>
    <row r="4621">
      <c r="A4621" s="9">
        <v>43152</v>
      </c>
      <c r="B4621" s="2" t="inlineStr">
        <is>
          <t xml:space="preserve">2018-02</t>
        </is>
      </c>
      <c r="C4621" s="2" t="inlineStr">
        <is>
          <t xml:space="preserve">2017/18</t>
        </is>
      </c>
      <c r="D4621">
        <v>0.0</v>
      </c>
      <c r="E4621">
        <v>20.55</v>
      </c>
      <c r="F4621">
        <v>28.77</v>
      </c>
      <c r="G4621">
        <v>15.0</v>
      </c>
      <c r="H4621">
        <v>0.77</v>
      </c>
      <c r="I4621">
        <v>0.0</v>
      </c>
      <c r="J4621">
        <v>22.49</v>
      </c>
      <c r="K4621">
        <v>29.72</v>
      </c>
      <c r="L4621">
        <v>16.8</v>
      </c>
      <c r="M4621">
        <v>0.59</v>
      </c>
      <c r="N4621">
        <v>0.0</v>
      </c>
      <c r="O4621">
        <v>20.59</v>
      </c>
      <c r="P4621">
        <v>26.54</v>
      </c>
      <c r="Q4621">
        <v>16.48</v>
      </c>
      <c r="R4621">
        <v>2.73</v>
      </c>
    </row>
    <row r="4622">
      <c r="A4622" s="9">
        <v>43153</v>
      </c>
      <c r="B4622" s="2" t="inlineStr">
        <is>
          <t xml:space="preserve">2018-02</t>
        </is>
      </c>
      <c r="C4622" s="2" t="inlineStr">
        <is>
          <t xml:space="preserve">2017/18</t>
        </is>
      </c>
      <c r="D4622">
        <v>0.0</v>
      </c>
      <c r="E4622">
        <v>20.29</v>
      </c>
      <c r="F4622">
        <v>28.61</v>
      </c>
      <c r="G4622">
        <v>14.05</v>
      </c>
      <c r="H4622">
        <v>0.19</v>
      </c>
      <c r="I4622">
        <v>0.0</v>
      </c>
      <c r="J4622">
        <v>22.28</v>
      </c>
      <c r="K4622">
        <v>29.47</v>
      </c>
      <c r="L4622">
        <v>16.54</v>
      </c>
      <c r="M4622">
        <v>0.0</v>
      </c>
      <c r="N4622">
        <v>0.0</v>
      </c>
      <c r="O4622">
        <v>20.47</v>
      </c>
      <c r="P4622">
        <v>26.54</v>
      </c>
      <c r="Q4622">
        <v>15.91</v>
      </c>
      <c r="R4622">
        <v>0.01</v>
      </c>
    </row>
    <row r="4623">
      <c r="A4623" s="9">
        <v>43154</v>
      </c>
      <c r="B4623" s="2" t="inlineStr">
        <is>
          <t xml:space="preserve">2018-02</t>
        </is>
      </c>
      <c r="C4623" s="2" t="inlineStr">
        <is>
          <t xml:space="preserve">2017/18</t>
        </is>
      </c>
      <c r="D4623">
        <v>0.5</v>
      </c>
      <c r="E4623">
        <v>20.6</v>
      </c>
      <c r="F4623">
        <v>27.83</v>
      </c>
      <c r="G4623">
        <v>15.02</v>
      </c>
      <c r="H4623">
        <v>2.35</v>
      </c>
      <c r="I4623">
        <v>0.0</v>
      </c>
      <c r="J4623">
        <v>22.17</v>
      </c>
      <c r="K4623">
        <v>29.87</v>
      </c>
      <c r="L4623">
        <v>17.07</v>
      </c>
      <c r="M4623">
        <v>1.04</v>
      </c>
      <c r="N4623">
        <v>0.0</v>
      </c>
      <c r="O4623">
        <v>20.76</v>
      </c>
      <c r="P4623">
        <v>26.5</v>
      </c>
      <c r="Q4623">
        <v>16.92</v>
      </c>
      <c r="R4623">
        <v>1.56</v>
      </c>
    </row>
    <row r="4624">
      <c r="A4624" s="9">
        <v>43155</v>
      </c>
      <c r="B4624" s="2" t="inlineStr">
        <is>
          <t xml:space="preserve">2018-02</t>
        </is>
      </c>
      <c r="C4624" s="2" t="inlineStr">
        <is>
          <t xml:space="preserve">2017/18</t>
        </is>
      </c>
      <c r="D4624">
        <v>0.76</v>
      </c>
      <c r="E4624">
        <v>20.61</v>
      </c>
      <c r="F4624">
        <v>28.85</v>
      </c>
      <c r="G4624">
        <v>14.81</v>
      </c>
      <c r="H4624">
        <v>0.05</v>
      </c>
      <c r="I4624">
        <v>0.799</v>
      </c>
      <c r="J4624">
        <v>22.16</v>
      </c>
      <c r="K4624">
        <v>29.89</v>
      </c>
      <c r="L4624">
        <v>17.91</v>
      </c>
      <c r="M4624">
        <v>0.47</v>
      </c>
      <c r="N4624">
        <v>2.908</v>
      </c>
      <c r="O4624">
        <v>20.88</v>
      </c>
      <c r="P4624">
        <v>26.78</v>
      </c>
      <c r="Q4624">
        <v>17.42</v>
      </c>
      <c r="R4624">
        <v>0.29</v>
      </c>
    </row>
    <row r="4625">
      <c r="A4625" s="9">
        <v>43156</v>
      </c>
      <c r="B4625" s="2" t="inlineStr">
        <is>
          <t xml:space="preserve">2018-02</t>
        </is>
      </c>
      <c r="C4625" s="2" t="inlineStr">
        <is>
          <t xml:space="preserve">2017/18</t>
        </is>
      </c>
      <c r="D4625">
        <v>0.0</v>
      </c>
      <c r="E4625">
        <v>20.76</v>
      </c>
      <c r="F4625">
        <v>29.17</v>
      </c>
      <c r="G4625">
        <v>13.8</v>
      </c>
      <c r="H4625">
        <v>0.0</v>
      </c>
      <c r="I4625">
        <v>0.0</v>
      </c>
      <c r="J4625">
        <v>22.63</v>
      </c>
      <c r="K4625">
        <v>30.42</v>
      </c>
      <c r="L4625">
        <v>16.3</v>
      </c>
      <c r="M4625">
        <v>1.69</v>
      </c>
      <c r="N4625">
        <v>0.0</v>
      </c>
      <c r="O4625">
        <v>20.72</v>
      </c>
      <c r="P4625">
        <v>27.62</v>
      </c>
      <c r="Q4625">
        <v>15.18</v>
      </c>
      <c r="R4625">
        <v>0.2</v>
      </c>
    </row>
    <row r="4626">
      <c r="A4626" s="9">
        <v>43157</v>
      </c>
      <c r="B4626" s="2" t="inlineStr">
        <is>
          <t xml:space="preserve">2018-02</t>
        </is>
      </c>
      <c r="C4626" s="2" t="inlineStr">
        <is>
          <t xml:space="preserve">2017/18</t>
        </is>
      </c>
      <c r="D4626">
        <v>0.0</v>
      </c>
      <c r="E4626">
        <v>20.66</v>
      </c>
      <c r="F4626">
        <v>30.14</v>
      </c>
      <c r="G4626">
        <v>13.22</v>
      </c>
      <c r="H4626">
        <v>0.01</v>
      </c>
      <c r="I4626">
        <v>8.529</v>
      </c>
      <c r="J4626">
        <v>22.26</v>
      </c>
      <c r="K4626">
        <v>30.83</v>
      </c>
      <c r="L4626">
        <v>16.09</v>
      </c>
      <c r="M4626">
        <v>2.53</v>
      </c>
      <c r="N4626">
        <v>0.313</v>
      </c>
      <c r="O4626">
        <v>20.93</v>
      </c>
      <c r="P4626">
        <v>28.22</v>
      </c>
      <c r="Q4626">
        <v>16.11</v>
      </c>
      <c r="R4626">
        <v>0.14</v>
      </c>
    </row>
    <row r="4627">
      <c r="A4627" s="9">
        <v>43158</v>
      </c>
      <c r="B4627" s="2" t="inlineStr">
        <is>
          <t xml:space="preserve">2018-02</t>
        </is>
      </c>
      <c r="C4627" s="2" t="inlineStr">
        <is>
          <t xml:space="preserve">2017/18</t>
        </is>
      </c>
      <c r="D4627">
        <v>0.0</v>
      </c>
      <c r="E4627">
        <v>20.74</v>
      </c>
      <c r="F4627">
        <v>28.87</v>
      </c>
      <c r="G4627">
        <v>14.94</v>
      </c>
      <c r="H4627">
        <v>0.06</v>
      </c>
      <c r="I4627">
        <v>0.269</v>
      </c>
      <c r="J4627">
        <v>21.25</v>
      </c>
      <c r="K4627">
        <v>28.56</v>
      </c>
      <c r="L4627">
        <v>15.93</v>
      </c>
      <c r="M4627">
        <v>0.1</v>
      </c>
      <c r="N4627">
        <v>0.0</v>
      </c>
      <c r="O4627">
        <v>20.72</v>
      </c>
      <c r="P4627">
        <v>26.55</v>
      </c>
      <c r="Q4627">
        <v>16.64</v>
      </c>
      <c r="R4627">
        <v>0.02</v>
      </c>
    </row>
    <row r="4628">
      <c r="A4628" s="9">
        <v>43159</v>
      </c>
      <c r="B4628" s="2" t="inlineStr">
        <is>
          <t xml:space="preserve">2018-02</t>
        </is>
      </c>
      <c r="C4628" s="2" t="inlineStr">
        <is>
          <t xml:space="preserve">2017/18</t>
        </is>
      </c>
      <c r="D4628">
        <v>0.0</v>
      </c>
      <c r="E4628">
        <v>20.73</v>
      </c>
      <c r="F4628">
        <v>28.93</v>
      </c>
      <c r="G4628">
        <v>14.28</v>
      </c>
      <c r="H4628">
        <v>0.0</v>
      </c>
      <c r="I4628">
        <v>0.0</v>
      </c>
      <c r="J4628">
        <v>21.83</v>
      </c>
      <c r="K4628">
        <v>29.49</v>
      </c>
      <c r="L4628">
        <v>16.32</v>
      </c>
      <c r="M4628">
        <v>0.0</v>
      </c>
      <c r="N4628">
        <v>0.0</v>
      </c>
      <c r="O4628">
        <v>20.51</v>
      </c>
      <c r="P4628">
        <v>27.18</v>
      </c>
      <c r="Q4628">
        <v>15.84</v>
      </c>
      <c r="R4628">
        <v>0.0</v>
      </c>
    </row>
    <row r="4629">
      <c r="A4629" s="9">
        <v>43160</v>
      </c>
      <c r="B4629" s="2" t="inlineStr">
        <is>
          <t xml:space="preserve">2018-03</t>
        </is>
      </c>
      <c r="C4629" s="2" t="inlineStr">
        <is>
          <t xml:space="preserve">2017/18</t>
        </is>
      </c>
      <c r="D4629">
        <v>0.0</v>
      </c>
      <c r="E4629">
        <v>21.93</v>
      </c>
      <c r="F4629">
        <v>31.16</v>
      </c>
      <c r="G4629">
        <v>14.36</v>
      </c>
      <c r="H4629">
        <v>0.0</v>
      </c>
      <c r="I4629">
        <v>0.0</v>
      </c>
      <c r="J4629">
        <v>22.65</v>
      </c>
      <c r="K4629">
        <v>31.04</v>
      </c>
      <c r="L4629">
        <v>15.72</v>
      </c>
      <c r="M4629">
        <v>0.0</v>
      </c>
      <c r="N4629">
        <v>0.0</v>
      </c>
      <c r="O4629">
        <v>22.16</v>
      </c>
      <c r="P4629">
        <v>30.6</v>
      </c>
      <c r="Q4629">
        <v>15.71</v>
      </c>
      <c r="R4629">
        <v>0.0</v>
      </c>
    </row>
    <row r="4630">
      <c r="A4630" s="9">
        <v>43161</v>
      </c>
      <c r="B4630" s="2" t="inlineStr">
        <is>
          <t xml:space="preserve">2018-03</t>
        </is>
      </c>
      <c r="C4630" s="2" t="inlineStr">
        <is>
          <t xml:space="preserve">2017/18</t>
        </is>
      </c>
      <c r="D4630">
        <v>0.0</v>
      </c>
      <c r="E4630">
        <v>21.86</v>
      </c>
      <c r="F4630">
        <v>29.94</v>
      </c>
      <c r="G4630">
        <v>15.4</v>
      </c>
      <c r="H4630">
        <v>0.0</v>
      </c>
      <c r="I4630">
        <v>0.0</v>
      </c>
      <c r="J4630">
        <v>22.69</v>
      </c>
      <c r="K4630">
        <v>30.35</v>
      </c>
      <c r="L4630">
        <v>16.67</v>
      </c>
      <c r="M4630">
        <v>0.0</v>
      </c>
      <c r="N4630">
        <v>0.0</v>
      </c>
      <c r="O4630">
        <v>21.83</v>
      </c>
      <c r="P4630">
        <v>27.9</v>
      </c>
      <c r="Q4630">
        <v>17.62</v>
      </c>
      <c r="R4630">
        <v>0.0</v>
      </c>
    </row>
    <row r="4631">
      <c r="A4631" s="9">
        <v>43162</v>
      </c>
      <c r="B4631" s="2" t="inlineStr">
        <is>
          <t xml:space="preserve">2018-03</t>
        </is>
      </c>
      <c r="C4631" s="2" t="inlineStr">
        <is>
          <t xml:space="preserve">2017/18</t>
        </is>
      </c>
      <c r="D4631">
        <v>0.0</v>
      </c>
      <c r="E4631">
        <v>21.29</v>
      </c>
      <c r="F4631">
        <v>28.79</v>
      </c>
      <c r="G4631">
        <v>16.03</v>
      </c>
      <c r="H4631">
        <v>0.0</v>
      </c>
      <c r="I4631">
        <v>0.0</v>
      </c>
      <c r="J4631">
        <v>21.67</v>
      </c>
      <c r="K4631">
        <v>29.01</v>
      </c>
      <c r="L4631">
        <v>16.74</v>
      </c>
      <c r="M4631">
        <v>0.01</v>
      </c>
      <c r="N4631">
        <v>0.0</v>
      </c>
      <c r="O4631">
        <v>20.94</v>
      </c>
      <c r="P4631">
        <v>26.57</v>
      </c>
      <c r="Q4631">
        <v>17.02</v>
      </c>
      <c r="R4631">
        <v>0.0</v>
      </c>
    </row>
    <row r="4632">
      <c r="A4632" s="9">
        <v>43163</v>
      </c>
      <c r="B4632" s="2" t="inlineStr">
        <is>
          <t xml:space="preserve">2018-03</t>
        </is>
      </c>
      <c r="C4632" s="2" t="inlineStr">
        <is>
          <t xml:space="preserve">2017/18</t>
        </is>
      </c>
      <c r="D4632">
        <v>0.0</v>
      </c>
      <c r="E4632">
        <v>20.05</v>
      </c>
      <c r="F4632">
        <v>28.66</v>
      </c>
      <c r="G4632">
        <v>13.54</v>
      </c>
      <c r="H4632">
        <v>0.0</v>
      </c>
      <c r="I4632">
        <v>0.0</v>
      </c>
      <c r="J4632">
        <v>20.91</v>
      </c>
      <c r="K4632">
        <v>29.16</v>
      </c>
      <c r="L4632">
        <v>14.75</v>
      </c>
      <c r="M4632">
        <v>0.0</v>
      </c>
      <c r="N4632">
        <v>0.0</v>
      </c>
      <c r="O4632">
        <v>19.98</v>
      </c>
      <c r="P4632">
        <v>27.08</v>
      </c>
      <c r="Q4632">
        <v>14.86</v>
      </c>
      <c r="R4632">
        <v>0.0</v>
      </c>
    </row>
    <row r="4633">
      <c r="A4633" s="9">
        <v>43164</v>
      </c>
      <c r="B4633" s="2" t="inlineStr">
        <is>
          <t xml:space="preserve">2018-03</t>
        </is>
      </c>
      <c r="C4633" s="2" t="inlineStr">
        <is>
          <t xml:space="preserve">2017/18</t>
        </is>
      </c>
      <c r="D4633">
        <v>0.0</v>
      </c>
      <c r="E4633">
        <v>20.36</v>
      </c>
      <c r="F4633">
        <v>29.65</v>
      </c>
      <c r="G4633">
        <v>12.98</v>
      </c>
      <c r="H4633">
        <v>0.0</v>
      </c>
      <c r="I4633">
        <v>0.0</v>
      </c>
      <c r="J4633">
        <v>21.26</v>
      </c>
      <c r="K4633">
        <v>30.27</v>
      </c>
      <c r="L4633">
        <v>14.52</v>
      </c>
      <c r="M4633">
        <v>0.0</v>
      </c>
      <c r="N4633">
        <v>0.0</v>
      </c>
      <c r="O4633">
        <v>20.19</v>
      </c>
      <c r="P4633">
        <v>27.52</v>
      </c>
      <c r="Q4633">
        <v>14.94</v>
      </c>
      <c r="R4633">
        <v>0.0</v>
      </c>
    </row>
    <row r="4634">
      <c r="A4634" s="9">
        <v>43165</v>
      </c>
      <c r="B4634" s="2" t="inlineStr">
        <is>
          <t xml:space="preserve">2018-03</t>
        </is>
      </c>
      <c r="C4634" s="2" t="inlineStr">
        <is>
          <t xml:space="preserve">2017/18</t>
        </is>
      </c>
      <c r="D4634">
        <v>0.0</v>
      </c>
      <c r="E4634">
        <v>20.8</v>
      </c>
      <c r="F4634">
        <v>30.45</v>
      </c>
      <c r="G4634">
        <v>14.41</v>
      </c>
      <c r="H4634">
        <v>0.0</v>
      </c>
      <c r="I4634">
        <v>0.0</v>
      </c>
      <c r="J4634">
        <v>21.73</v>
      </c>
      <c r="K4634">
        <v>31.09</v>
      </c>
      <c r="L4634">
        <v>15.44</v>
      </c>
      <c r="M4634">
        <v>0.0</v>
      </c>
      <c r="N4634">
        <v>0.0</v>
      </c>
      <c r="O4634">
        <v>20.23</v>
      </c>
      <c r="P4634">
        <v>28.15</v>
      </c>
      <c r="Q4634">
        <v>15.26</v>
      </c>
      <c r="R4634">
        <v>0.0</v>
      </c>
    </row>
    <row r="4635">
      <c r="A4635" s="9">
        <v>43166</v>
      </c>
      <c r="B4635" s="2" t="inlineStr">
        <is>
          <t xml:space="preserve">2018-03</t>
        </is>
      </c>
      <c r="C4635" s="2" t="inlineStr">
        <is>
          <t xml:space="preserve">2017/18</t>
        </is>
      </c>
      <c r="D4635">
        <v>0.0</v>
      </c>
      <c r="E4635">
        <v>20.51</v>
      </c>
      <c r="F4635">
        <v>30.14</v>
      </c>
      <c r="G4635">
        <v>13.44</v>
      </c>
      <c r="H4635">
        <v>0.0</v>
      </c>
      <c r="I4635">
        <v>0.0</v>
      </c>
      <c r="J4635">
        <v>21.19</v>
      </c>
      <c r="K4635">
        <v>30.25</v>
      </c>
      <c r="L4635">
        <v>13.76</v>
      </c>
      <c r="M4635">
        <v>0.0</v>
      </c>
      <c r="N4635">
        <v>0.0</v>
      </c>
      <c r="O4635">
        <v>20.36</v>
      </c>
      <c r="P4635">
        <v>27.94</v>
      </c>
      <c r="Q4635">
        <v>14.87</v>
      </c>
      <c r="R4635">
        <v>0.0</v>
      </c>
    </row>
    <row r="4636">
      <c r="A4636" s="9">
        <v>43167</v>
      </c>
      <c r="B4636" s="2" t="inlineStr">
        <is>
          <t xml:space="preserve">2018-03</t>
        </is>
      </c>
      <c r="C4636" s="2" t="inlineStr">
        <is>
          <t xml:space="preserve">2017/18</t>
        </is>
      </c>
      <c r="D4636">
        <v>0.0</v>
      </c>
      <c r="E4636">
        <v>20.84</v>
      </c>
      <c r="F4636">
        <v>29.53</v>
      </c>
      <c r="G4636">
        <v>14.4</v>
      </c>
      <c r="H4636">
        <v>0.0</v>
      </c>
      <c r="I4636">
        <v>0.0</v>
      </c>
      <c r="J4636">
        <v>21.22</v>
      </c>
      <c r="K4636">
        <v>29.48</v>
      </c>
      <c r="L4636">
        <v>14.96</v>
      </c>
      <c r="M4636">
        <v>0.0</v>
      </c>
      <c r="N4636">
        <v>0.0</v>
      </c>
      <c r="O4636">
        <v>20.52</v>
      </c>
      <c r="P4636">
        <v>27.22</v>
      </c>
      <c r="Q4636">
        <v>15.59</v>
      </c>
      <c r="R4636">
        <v>0.0</v>
      </c>
    </row>
    <row r="4637">
      <c r="A4637" s="9">
        <v>43168</v>
      </c>
      <c r="B4637" s="2" t="inlineStr">
        <is>
          <t xml:space="preserve">2018-03</t>
        </is>
      </c>
      <c r="C4637" s="2" t="inlineStr">
        <is>
          <t xml:space="preserve">2017/18</t>
        </is>
      </c>
      <c r="D4637">
        <v>0.0</v>
      </c>
      <c r="E4637">
        <v>21.39</v>
      </c>
      <c r="F4637">
        <v>30.98</v>
      </c>
      <c r="G4637">
        <v>13.88</v>
      </c>
      <c r="H4637">
        <v>0.0</v>
      </c>
      <c r="I4637">
        <v>0.0</v>
      </c>
      <c r="J4637">
        <v>22.01</v>
      </c>
      <c r="K4637">
        <v>31.27</v>
      </c>
      <c r="L4637">
        <v>15.64</v>
      </c>
      <c r="M4637">
        <v>0.0</v>
      </c>
      <c r="N4637">
        <v>0.0</v>
      </c>
      <c r="O4637">
        <v>20.87</v>
      </c>
      <c r="P4637">
        <v>28.8</v>
      </c>
      <c r="Q4637">
        <v>15.14</v>
      </c>
      <c r="R4637">
        <v>0.0</v>
      </c>
    </row>
    <row r="4638">
      <c r="A4638" s="9">
        <v>43169</v>
      </c>
      <c r="B4638" s="2" t="inlineStr">
        <is>
          <t xml:space="preserve">2018-03</t>
        </is>
      </c>
      <c r="C4638" s="2" t="inlineStr">
        <is>
          <t xml:space="preserve">2017/18</t>
        </is>
      </c>
      <c r="D4638">
        <v>0.0</v>
      </c>
      <c r="E4638">
        <v>23.72</v>
      </c>
      <c r="F4638">
        <v>33.44</v>
      </c>
      <c r="G4638">
        <v>15.17</v>
      </c>
      <c r="H4638">
        <v>0.0</v>
      </c>
      <c r="I4638">
        <v>0.0</v>
      </c>
      <c r="J4638">
        <v>23.93</v>
      </c>
      <c r="K4638">
        <v>34.23</v>
      </c>
      <c r="L4638">
        <v>16.05</v>
      </c>
      <c r="M4638">
        <v>0.0</v>
      </c>
      <c r="N4638">
        <v>0.0</v>
      </c>
      <c r="O4638">
        <v>23.2</v>
      </c>
      <c r="P4638">
        <v>32.75</v>
      </c>
      <c r="Q4638">
        <v>16.92</v>
      </c>
      <c r="R4638">
        <v>0.02</v>
      </c>
    </row>
    <row r="4639">
      <c r="A4639" s="9">
        <v>43170</v>
      </c>
      <c r="B4639" s="2" t="inlineStr">
        <is>
          <t xml:space="preserve">2018-03</t>
        </is>
      </c>
      <c r="C4639" s="2" t="inlineStr">
        <is>
          <t xml:space="preserve">2017/18</t>
        </is>
      </c>
      <c r="D4639">
        <v>0.0</v>
      </c>
      <c r="E4639">
        <v>25.57</v>
      </c>
      <c r="F4639">
        <v>34.49</v>
      </c>
      <c r="G4639">
        <v>17.56</v>
      </c>
      <c r="H4639">
        <v>0.0</v>
      </c>
      <c r="I4639">
        <v>0.0</v>
      </c>
      <c r="J4639">
        <v>25.62</v>
      </c>
      <c r="K4639">
        <v>34.73</v>
      </c>
      <c r="L4639">
        <v>17.44</v>
      </c>
      <c r="M4639">
        <v>0.0</v>
      </c>
      <c r="N4639">
        <v>0.0</v>
      </c>
      <c r="O4639">
        <v>24.63</v>
      </c>
      <c r="P4639">
        <v>33.27</v>
      </c>
      <c r="Q4639">
        <v>17.49</v>
      </c>
      <c r="R4639">
        <v>0.0</v>
      </c>
    </row>
    <row r="4640">
      <c r="A4640" s="9">
        <v>43171</v>
      </c>
      <c r="B4640" s="2" t="inlineStr">
        <is>
          <t xml:space="preserve">2018-03</t>
        </is>
      </c>
      <c r="C4640" s="2" t="inlineStr">
        <is>
          <t xml:space="preserve">2017/18</t>
        </is>
      </c>
      <c r="D4640">
        <v>0.0</v>
      </c>
      <c r="E4640">
        <v>25.0</v>
      </c>
      <c r="F4640">
        <v>34.03</v>
      </c>
      <c r="G4640">
        <v>18.73</v>
      </c>
      <c r="H4640">
        <v>0.0</v>
      </c>
      <c r="I4640">
        <v>0.0</v>
      </c>
      <c r="J4640">
        <v>25.29</v>
      </c>
      <c r="K4640">
        <v>33.92</v>
      </c>
      <c r="L4640">
        <v>18.76</v>
      </c>
      <c r="M4640">
        <v>0.0</v>
      </c>
      <c r="N4640">
        <v>0.0</v>
      </c>
      <c r="O4640">
        <v>23.93</v>
      </c>
      <c r="P4640">
        <v>31.7</v>
      </c>
      <c r="Q4640">
        <v>19.01</v>
      </c>
      <c r="R4640">
        <v>0.0</v>
      </c>
    </row>
    <row r="4641">
      <c r="A4641" s="9">
        <v>43172</v>
      </c>
      <c r="B4641" s="2" t="inlineStr">
        <is>
          <t xml:space="preserve">2018-03</t>
        </is>
      </c>
      <c r="C4641" s="2" t="inlineStr">
        <is>
          <t xml:space="preserve">2017/18</t>
        </is>
      </c>
      <c r="D4641">
        <v>0.0</v>
      </c>
      <c r="E4641">
        <v>22.99</v>
      </c>
      <c r="F4641">
        <v>30.92</v>
      </c>
      <c r="G4641">
        <v>15.7</v>
      </c>
      <c r="H4641">
        <v>0.11</v>
      </c>
      <c r="I4641">
        <v>0.0</v>
      </c>
      <c r="J4641">
        <v>24.0</v>
      </c>
      <c r="K4641">
        <v>31.29</v>
      </c>
      <c r="L4641">
        <v>18.15</v>
      </c>
      <c r="M4641">
        <v>0.23</v>
      </c>
      <c r="N4641">
        <v>0.0</v>
      </c>
      <c r="O4641">
        <v>22.77</v>
      </c>
      <c r="P4641">
        <v>30.06</v>
      </c>
      <c r="Q4641">
        <v>17.43</v>
      </c>
      <c r="R4641">
        <v>0.37</v>
      </c>
    </row>
    <row r="4642">
      <c r="A4642" s="9">
        <v>43173</v>
      </c>
      <c r="B4642" s="2" t="inlineStr">
        <is>
          <t xml:space="preserve">2018-03</t>
        </is>
      </c>
      <c r="C4642" s="2" t="inlineStr">
        <is>
          <t xml:space="preserve">2017/18</t>
        </is>
      </c>
      <c r="D4642">
        <v>0.0</v>
      </c>
      <c r="E4642">
        <v>22.65</v>
      </c>
      <c r="F4642">
        <v>30.01</v>
      </c>
      <c r="G4642">
        <v>17.73</v>
      </c>
      <c r="H4642">
        <v>2.42</v>
      </c>
      <c r="I4642">
        <v>2.261</v>
      </c>
      <c r="J4642">
        <v>22.69</v>
      </c>
      <c r="K4642">
        <v>29.63</v>
      </c>
      <c r="L4642">
        <v>18.4</v>
      </c>
      <c r="M4642">
        <v>4.94</v>
      </c>
      <c r="N4642">
        <v>8.958</v>
      </c>
      <c r="O4642">
        <v>21.79</v>
      </c>
      <c r="P4642">
        <v>27.44</v>
      </c>
      <c r="Q4642">
        <v>18.35</v>
      </c>
      <c r="R4642">
        <v>9.47</v>
      </c>
    </row>
    <row r="4643">
      <c r="A4643" s="9">
        <v>43174</v>
      </c>
      <c r="B4643" s="2" t="inlineStr">
        <is>
          <t xml:space="preserve">2018-03</t>
        </is>
      </c>
      <c r="C4643" s="2" t="inlineStr">
        <is>
          <t xml:space="preserve">2017/18</t>
        </is>
      </c>
      <c r="D4643">
        <v>0.068</v>
      </c>
      <c r="E4643">
        <v>21.92</v>
      </c>
      <c r="F4643">
        <v>29.52</v>
      </c>
      <c r="G4643">
        <v>17.73</v>
      </c>
      <c r="H4643">
        <v>3.71</v>
      </c>
      <c r="I4643">
        <v>0.978</v>
      </c>
      <c r="J4643">
        <v>22.14</v>
      </c>
      <c r="K4643">
        <v>28.91</v>
      </c>
      <c r="L4643">
        <v>18.09</v>
      </c>
      <c r="M4643">
        <v>2.04</v>
      </c>
      <c r="N4643">
        <v>4.22</v>
      </c>
      <c r="O4643">
        <v>20.98</v>
      </c>
      <c r="P4643">
        <v>26.46</v>
      </c>
      <c r="Q4643">
        <v>17.91</v>
      </c>
      <c r="R4643">
        <v>6.51</v>
      </c>
    </row>
    <row r="4644">
      <c r="A4644" s="9">
        <v>43175</v>
      </c>
      <c r="B4644" s="2" t="inlineStr">
        <is>
          <t xml:space="preserve">2018-03</t>
        </is>
      </c>
      <c r="C4644" s="2" t="inlineStr">
        <is>
          <t xml:space="preserve">2017/18</t>
        </is>
      </c>
      <c r="D4644">
        <v>0.234</v>
      </c>
      <c r="E4644">
        <v>23.5</v>
      </c>
      <c r="F4644">
        <v>32.05</v>
      </c>
      <c r="G4644">
        <v>16.85</v>
      </c>
      <c r="H4644">
        <v>0.71</v>
      </c>
      <c r="I4644">
        <v>0.066</v>
      </c>
      <c r="J4644">
        <v>24.23</v>
      </c>
      <c r="K4644">
        <v>32.76</v>
      </c>
      <c r="L4644">
        <v>16.91</v>
      </c>
      <c r="M4644">
        <v>0.34</v>
      </c>
      <c r="N4644">
        <v>0.559</v>
      </c>
      <c r="O4644">
        <v>22.16</v>
      </c>
      <c r="P4644">
        <v>29.33</v>
      </c>
      <c r="Q4644">
        <v>17.09</v>
      </c>
      <c r="R4644">
        <v>2.04</v>
      </c>
    </row>
    <row r="4645">
      <c r="A4645" s="9">
        <v>43176</v>
      </c>
      <c r="B4645" s="2" t="inlineStr">
        <is>
          <t xml:space="preserve">2018-03</t>
        </is>
      </c>
      <c r="C4645" s="2" t="inlineStr">
        <is>
          <t xml:space="preserve">2017/18</t>
        </is>
      </c>
      <c r="D4645">
        <v>0.0</v>
      </c>
      <c r="E4645">
        <v>24.22</v>
      </c>
      <c r="F4645">
        <v>32.99</v>
      </c>
      <c r="G4645">
        <v>17.25</v>
      </c>
      <c r="H4645">
        <v>0.0</v>
      </c>
      <c r="I4645">
        <v>0.0</v>
      </c>
      <c r="J4645">
        <v>25.75</v>
      </c>
      <c r="K4645">
        <v>33.19</v>
      </c>
      <c r="L4645">
        <v>18.97</v>
      </c>
      <c r="M4645">
        <v>0.0</v>
      </c>
      <c r="N4645">
        <v>0.0</v>
      </c>
      <c r="O4645">
        <v>24.16</v>
      </c>
      <c r="P4645">
        <v>31.3</v>
      </c>
      <c r="Q4645">
        <v>19.21</v>
      </c>
      <c r="R4645">
        <v>0.0</v>
      </c>
    </row>
    <row r="4646">
      <c r="A4646" s="9">
        <v>43177</v>
      </c>
      <c r="B4646" s="2" t="inlineStr">
        <is>
          <t xml:space="preserve">2018-03</t>
        </is>
      </c>
      <c r="C4646" s="2" t="inlineStr">
        <is>
          <t xml:space="preserve">2017/18</t>
        </is>
      </c>
      <c r="D4646">
        <v>0.0</v>
      </c>
      <c r="E4646">
        <v>24.51</v>
      </c>
      <c r="F4646">
        <v>33.61</v>
      </c>
      <c r="G4646">
        <v>17.63</v>
      </c>
      <c r="H4646">
        <v>0.0</v>
      </c>
      <c r="I4646">
        <v>0.0</v>
      </c>
      <c r="J4646">
        <v>26.36</v>
      </c>
      <c r="K4646">
        <v>34.19</v>
      </c>
      <c r="L4646">
        <v>20.31</v>
      </c>
      <c r="M4646">
        <v>0.0</v>
      </c>
      <c r="N4646">
        <v>0.0</v>
      </c>
      <c r="O4646">
        <v>24.54</v>
      </c>
      <c r="P4646">
        <v>31.89</v>
      </c>
      <c r="Q4646">
        <v>19.42</v>
      </c>
      <c r="R4646">
        <v>0.0</v>
      </c>
    </row>
    <row r="4647">
      <c r="A4647" s="9">
        <v>43178</v>
      </c>
      <c r="B4647" s="2" t="inlineStr">
        <is>
          <t xml:space="preserve">2018-03</t>
        </is>
      </c>
      <c r="C4647" s="2" t="inlineStr">
        <is>
          <t xml:space="preserve">2017/18</t>
        </is>
      </c>
      <c r="D4647">
        <v>0.0</v>
      </c>
      <c r="E4647">
        <v>22.94</v>
      </c>
      <c r="F4647">
        <v>31.33</v>
      </c>
      <c r="G4647">
        <v>16.69</v>
      </c>
      <c r="H4647">
        <v>0.0</v>
      </c>
      <c r="I4647">
        <v>0.0</v>
      </c>
      <c r="J4647">
        <v>26.43</v>
      </c>
      <c r="K4647">
        <v>34.54</v>
      </c>
      <c r="L4647">
        <v>20.46</v>
      </c>
      <c r="M4647">
        <v>0.0</v>
      </c>
      <c r="N4647">
        <v>0.0</v>
      </c>
      <c r="O4647">
        <v>25.32</v>
      </c>
      <c r="P4647">
        <v>33.4</v>
      </c>
      <c r="Q4647">
        <v>19.69</v>
      </c>
      <c r="R4647">
        <v>0.0</v>
      </c>
    </row>
    <row r="4648">
      <c r="A4648" s="9">
        <v>43179</v>
      </c>
      <c r="B4648" s="2" t="inlineStr">
        <is>
          <t xml:space="preserve">2018-03</t>
        </is>
      </c>
      <c r="C4648" s="2" t="inlineStr">
        <is>
          <t xml:space="preserve">2017/18</t>
        </is>
      </c>
      <c r="D4648">
        <v>0.0</v>
      </c>
      <c r="E4648">
        <v>24.22</v>
      </c>
      <c r="F4648">
        <v>33.92</v>
      </c>
      <c r="G4648">
        <v>15.05</v>
      </c>
      <c r="H4648">
        <v>0.0</v>
      </c>
      <c r="I4648">
        <v>0.0</v>
      </c>
      <c r="J4648">
        <v>25.56</v>
      </c>
      <c r="K4648">
        <v>32.03</v>
      </c>
      <c r="L4648">
        <v>19.66</v>
      </c>
      <c r="M4648">
        <v>0.0</v>
      </c>
      <c r="N4648">
        <v>0.0</v>
      </c>
      <c r="O4648">
        <v>24.51</v>
      </c>
      <c r="P4648">
        <v>32.34</v>
      </c>
      <c r="Q4648">
        <v>17.89</v>
      </c>
      <c r="R4648">
        <v>0.0</v>
      </c>
    </row>
    <row r="4649">
      <c r="A4649" s="9">
        <v>43180</v>
      </c>
      <c r="B4649" s="2" t="inlineStr">
        <is>
          <t xml:space="preserve">2018-03</t>
        </is>
      </c>
      <c r="C4649" s="2" t="inlineStr">
        <is>
          <t xml:space="preserve">2017/18</t>
        </is>
      </c>
      <c r="D4649">
        <v>0.0</v>
      </c>
      <c r="E4649">
        <v>23.41</v>
      </c>
      <c r="F4649">
        <v>30.73</v>
      </c>
      <c r="G4649">
        <v>17.38</v>
      </c>
      <c r="H4649">
        <v>0.0</v>
      </c>
      <c r="I4649">
        <v>0.0</v>
      </c>
      <c r="J4649">
        <v>24.2</v>
      </c>
      <c r="K4649">
        <v>31.04</v>
      </c>
      <c r="L4649">
        <v>18.85</v>
      </c>
      <c r="M4649">
        <v>0.0</v>
      </c>
      <c r="N4649">
        <v>0.0</v>
      </c>
      <c r="O4649">
        <v>22.91</v>
      </c>
      <c r="P4649">
        <v>29.12</v>
      </c>
      <c r="Q4649">
        <v>18.64</v>
      </c>
      <c r="R4649">
        <v>0.0</v>
      </c>
    </row>
    <row r="4650">
      <c r="A4650" s="9">
        <v>43181</v>
      </c>
      <c r="B4650" s="2" t="inlineStr">
        <is>
          <t xml:space="preserve">2018-03</t>
        </is>
      </c>
      <c r="C4650" s="2" t="inlineStr">
        <is>
          <t xml:space="preserve">2017/18</t>
        </is>
      </c>
      <c r="D4650">
        <v>0.0</v>
      </c>
      <c r="E4650">
        <v>22.54</v>
      </c>
      <c r="F4650">
        <v>30.18</v>
      </c>
      <c r="G4650">
        <v>17.34</v>
      </c>
      <c r="H4650">
        <v>0.17</v>
      </c>
      <c r="I4650">
        <v>0.0</v>
      </c>
      <c r="J4650">
        <v>22.7</v>
      </c>
      <c r="K4650">
        <v>29.83</v>
      </c>
      <c r="L4650">
        <v>17.88</v>
      </c>
      <c r="M4650">
        <v>0.04</v>
      </c>
      <c r="N4650">
        <v>0.0</v>
      </c>
      <c r="O4650">
        <v>22.2</v>
      </c>
      <c r="P4650">
        <v>28.29</v>
      </c>
      <c r="Q4650">
        <v>18.11</v>
      </c>
      <c r="R4650">
        <v>0.32</v>
      </c>
    </row>
    <row r="4651">
      <c r="A4651" s="9">
        <v>43182</v>
      </c>
      <c r="B4651" s="2" t="inlineStr">
        <is>
          <t xml:space="preserve">2018-03</t>
        </is>
      </c>
      <c r="C4651" s="2" t="inlineStr">
        <is>
          <t xml:space="preserve">2017/18</t>
        </is>
      </c>
      <c r="D4651">
        <v>0.0</v>
      </c>
      <c r="E4651">
        <v>21.81</v>
      </c>
      <c r="F4651">
        <v>29.48</v>
      </c>
      <c r="G4651">
        <v>16.73</v>
      </c>
      <c r="H4651">
        <v>0.47</v>
      </c>
      <c r="I4651">
        <v>0.055</v>
      </c>
      <c r="J4651">
        <v>22.16</v>
      </c>
      <c r="K4651">
        <v>29.04</v>
      </c>
      <c r="L4651">
        <v>17.34</v>
      </c>
      <c r="M4651">
        <v>0.3</v>
      </c>
      <c r="N4651">
        <v>0.633</v>
      </c>
      <c r="O4651">
        <v>21.49</v>
      </c>
      <c r="P4651">
        <v>27.29</v>
      </c>
      <c r="Q4651">
        <v>18.07</v>
      </c>
      <c r="R4651">
        <v>1.32</v>
      </c>
    </row>
    <row r="4652">
      <c r="A4652" s="9">
        <v>43183</v>
      </c>
      <c r="B4652" s="2" t="inlineStr">
        <is>
          <t xml:space="preserve">2018-03</t>
        </is>
      </c>
      <c r="C4652" s="2" t="inlineStr">
        <is>
          <t xml:space="preserve">2017/18</t>
        </is>
      </c>
      <c r="D4652">
        <v>0.0</v>
      </c>
      <c r="E4652">
        <v>22.09</v>
      </c>
      <c r="F4652">
        <v>30.76</v>
      </c>
      <c r="G4652">
        <v>15.94</v>
      </c>
      <c r="H4652">
        <v>0.04</v>
      </c>
      <c r="I4652">
        <v>0.0</v>
      </c>
      <c r="J4652">
        <v>22.46</v>
      </c>
      <c r="K4652">
        <v>30.43</v>
      </c>
      <c r="L4652">
        <v>16.52</v>
      </c>
      <c r="M4652">
        <v>0.0</v>
      </c>
      <c r="N4652">
        <v>0.0</v>
      </c>
      <c r="O4652">
        <v>21.38</v>
      </c>
      <c r="P4652">
        <v>28.37</v>
      </c>
      <c r="Q4652">
        <v>16.44</v>
      </c>
      <c r="R4652">
        <v>0.02</v>
      </c>
    </row>
    <row r="4653">
      <c r="A4653" s="9">
        <v>43184</v>
      </c>
      <c r="B4653" s="2" t="inlineStr">
        <is>
          <t xml:space="preserve">2018-03</t>
        </is>
      </c>
      <c r="C4653" s="2" t="inlineStr">
        <is>
          <t xml:space="preserve">2017/18</t>
        </is>
      </c>
      <c r="D4653">
        <v>0.0</v>
      </c>
      <c r="E4653">
        <v>23.24</v>
      </c>
      <c r="F4653">
        <v>32.42</v>
      </c>
      <c r="G4653">
        <v>15.2</v>
      </c>
      <c r="H4653">
        <v>0.02</v>
      </c>
      <c r="I4653">
        <v>0.0</v>
      </c>
      <c r="J4653">
        <v>23.92</v>
      </c>
      <c r="K4653">
        <v>32.75</v>
      </c>
      <c r="L4653">
        <v>15.91</v>
      </c>
      <c r="M4653">
        <v>0.0</v>
      </c>
      <c r="N4653">
        <v>0.0</v>
      </c>
      <c r="O4653">
        <v>22.57</v>
      </c>
      <c r="P4653">
        <v>30.77</v>
      </c>
      <c r="Q4653">
        <v>16.35</v>
      </c>
      <c r="R4653">
        <v>0.0</v>
      </c>
    </row>
    <row r="4654">
      <c r="A4654" s="9">
        <v>43185</v>
      </c>
      <c r="B4654" s="2" t="inlineStr">
        <is>
          <t xml:space="preserve">2018-03</t>
        </is>
      </c>
      <c r="C4654" s="2" t="inlineStr">
        <is>
          <t xml:space="preserve">2017/18</t>
        </is>
      </c>
      <c r="D4654">
        <v>0.0</v>
      </c>
      <c r="E4654">
        <v>24.11</v>
      </c>
      <c r="F4654">
        <v>32.66</v>
      </c>
      <c r="G4654">
        <v>16.44</v>
      </c>
      <c r="H4654">
        <v>0.12</v>
      </c>
      <c r="I4654">
        <v>0.0</v>
      </c>
      <c r="J4654">
        <v>25.46</v>
      </c>
      <c r="K4654">
        <v>33.49</v>
      </c>
      <c r="L4654">
        <v>18.6</v>
      </c>
      <c r="M4654">
        <v>0.0</v>
      </c>
      <c r="N4654">
        <v>0.0</v>
      </c>
      <c r="O4654">
        <v>23.87</v>
      </c>
      <c r="P4654">
        <v>31.77</v>
      </c>
      <c r="Q4654">
        <v>18.56</v>
      </c>
      <c r="R4654">
        <v>0.01</v>
      </c>
    </row>
    <row r="4655">
      <c r="A4655" s="9">
        <v>43186</v>
      </c>
      <c r="B4655" s="2" t="inlineStr">
        <is>
          <t xml:space="preserve">2018-03</t>
        </is>
      </c>
      <c r="C4655" s="2" t="inlineStr">
        <is>
          <t xml:space="preserve">2017/18</t>
        </is>
      </c>
      <c r="D4655">
        <v>0.0</v>
      </c>
      <c r="E4655">
        <v>24.3</v>
      </c>
      <c r="F4655">
        <v>32.72</v>
      </c>
      <c r="G4655">
        <v>17.28</v>
      </c>
      <c r="H4655">
        <v>0.06</v>
      </c>
      <c r="I4655">
        <v>0.0</v>
      </c>
      <c r="J4655">
        <v>25.42</v>
      </c>
      <c r="K4655">
        <v>33.08</v>
      </c>
      <c r="L4655">
        <v>19.37</v>
      </c>
      <c r="M4655">
        <v>0.33</v>
      </c>
      <c r="N4655">
        <v>0.0</v>
      </c>
      <c r="O4655">
        <v>24.05</v>
      </c>
      <c r="P4655">
        <v>31.66</v>
      </c>
      <c r="Q4655">
        <v>18.9</v>
      </c>
      <c r="R4655">
        <v>0.04</v>
      </c>
    </row>
    <row r="4656">
      <c r="A4656" s="9">
        <v>43187</v>
      </c>
      <c r="B4656" s="2" t="inlineStr">
        <is>
          <t xml:space="preserve">2018-03</t>
        </is>
      </c>
      <c r="C4656" s="2" t="inlineStr">
        <is>
          <t xml:space="preserve">2017/18</t>
        </is>
      </c>
      <c r="D4656">
        <v>0.0</v>
      </c>
      <c r="E4656">
        <v>24.28</v>
      </c>
      <c r="F4656">
        <v>33.04</v>
      </c>
      <c r="G4656">
        <v>16.55</v>
      </c>
      <c r="H4656">
        <v>0.0</v>
      </c>
      <c r="I4656">
        <v>0.901</v>
      </c>
      <c r="J4656">
        <v>25.62</v>
      </c>
      <c r="K4656">
        <v>33.91</v>
      </c>
      <c r="L4656">
        <v>18.6</v>
      </c>
      <c r="M4656">
        <v>0.11</v>
      </c>
      <c r="N4656">
        <v>0.033</v>
      </c>
      <c r="O4656">
        <v>24.03</v>
      </c>
      <c r="P4656">
        <v>31.7</v>
      </c>
      <c r="Q4656">
        <v>18.79</v>
      </c>
      <c r="R4656">
        <v>0.01</v>
      </c>
    </row>
    <row r="4657">
      <c r="A4657" s="9">
        <v>43188</v>
      </c>
      <c r="B4657" s="2" t="inlineStr">
        <is>
          <t xml:space="preserve">2018-03</t>
        </is>
      </c>
      <c r="C4657" s="2" t="inlineStr">
        <is>
          <t xml:space="preserve">2017/18</t>
        </is>
      </c>
      <c r="D4657">
        <v>0.0</v>
      </c>
      <c r="E4657">
        <v>25.07</v>
      </c>
      <c r="F4657">
        <v>34.25</v>
      </c>
      <c r="G4657">
        <v>17.51</v>
      </c>
      <c r="H4657">
        <v>0.0</v>
      </c>
      <c r="I4657">
        <v>0.0</v>
      </c>
      <c r="J4657">
        <v>26.06</v>
      </c>
      <c r="K4657">
        <v>33.58</v>
      </c>
      <c r="L4657">
        <v>19.77</v>
      </c>
      <c r="M4657">
        <v>0.0</v>
      </c>
      <c r="N4657">
        <v>0.0</v>
      </c>
      <c r="O4657">
        <v>25.41</v>
      </c>
      <c r="P4657">
        <v>34.54</v>
      </c>
      <c r="Q4657">
        <v>17.79</v>
      </c>
      <c r="R4657">
        <v>0.0</v>
      </c>
    </row>
    <row r="4658">
      <c r="A4658" s="9">
        <v>43189</v>
      </c>
      <c r="B4658" s="2" t="inlineStr">
        <is>
          <t xml:space="preserve">2018-03</t>
        </is>
      </c>
      <c r="C4658" s="2" t="inlineStr">
        <is>
          <t xml:space="preserve">2017/18</t>
        </is>
      </c>
      <c r="D4658">
        <v>0.195</v>
      </c>
      <c r="E4658">
        <v>24.93</v>
      </c>
      <c r="F4658">
        <v>33.79</v>
      </c>
      <c r="G4658">
        <v>17.08</v>
      </c>
      <c r="H4658">
        <v>0.06</v>
      </c>
      <c r="I4658">
        <v>0.0</v>
      </c>
      <c r="J4658">
        <v>26.06</v>
      </c>
      <c r="K4658">
        <v>33.24</v>
      </c>
      <c r="L4658">
        <v>20.05</v>
      </c>
      <c r="M4658">
        <v>0.0</v>
      </c>
      <c r="N4658">
        <v>0.0</v>
      </c>
      <c r="O4658">
        <v>24.88</v>
      </c>
      <c r="P4658">
        <v>32.27</v>
      </c>
      <c r="Q4658">
        <v>19.88</v>
      </c>
      <c r="R4658">
        <v>0.01</v>
      </c>
    </row>
    <row r="4659">
      <c r="A4659" s="9">
        <v>43190</v>
      </c>
      <c r="B4659" s="2" t="inlineStr">
        <is>
          <t xml:space="preserve">2018-03</t>
        </is>
      </c>
      <c r="C4659" s="2" t="inlineStr">
        <is>
          <t xml:space="preserve">2017/18</t>
        </is>
      </c>
      <c r="D4659">
        <v>0.0</v>
      </c>
      <c r="E4659">
        <v>23.59</v>
      </c>
      <c r="F4659">
        <v>32.15</v>
      </c>
      <c r="G4659">
        <v>17.92</v>
      </c>
      <c r="H4659">
        <v>0.0</v>
      </c>
      <c r="I4659">
        <v>0.0</v>
      </c>
      <c r="J4659">
        <v>23.54</v>
      </c>
      <c r="K4659">
        <v>30.71</v>
      </c>
      <c r="L4659">
        <v>18.6</v>
      </c>
      <c r="M4659">
        <v>0.0</v>
      </c>
      <c r="N4659">
        <v>0.0</v>
      </c>
      <c r="O4659">
        <v>22.83</v>
      </c>
      <c r="P4659">
        <v>29.41</v>
      </c>
      <c r="Q4659">
        <v>18.77</v>
      </c>
      <c r="R4659">
        <v>0.0</v>
      </c>
    </row>
    <row r="4660">
      <c r="A4660" s="9">
        <v>43191</v>
      </c>
      <c r="B4660" s="2" t="inlineStr">
        <is>
          <t xml:space="preserve">2018-04</t>
        </is>
      </c>
      <c r="C4660" s="2" t="inlineStr">
        <is>
          <t xml:space="preserve">2017/18</t>
        </is>
      </c>
      <c r="D4660">
        <v>0.0</v>
      </c>
      <c r="E4660">
        <v>22.37</v>
      </c>
      <c r="F4660">
        <v>30.47</v>
      </c>
      <c r="G4660">
        <v>15.69</v>
      </c>
      <c r="H4660">
        <v>0.0</v>
      </c>
      <c r="I4660">
        <v>0.0</v>
      </c>
      <c r="J4660">
        <v>22.62</v>
      </c>
      <c r="K4660">
        <v>30.32</v>
      </c>
      <c r="L4660">
        <v>16.51</v>
      </c>
      <c r="M4660">
        <v>0.0</v>
      </c>
      <c r="N4660">
        <v>0.0</v>
      </c>
      <c r="O4660">
        <v>21.59</v>
      </c>
      <c r="P4660">
        <v>28.19</v>
      </c>
      <c r="Q4660">
        <v>16.6</v>
      </c>
      <c r="R4660">
        <v>0.0</v>
      </c>
    </row>
    <row r="4661">
      <c r="A4661" s="9">
        <v>43192</v>
      </c>
      <c r="B4661" s="2" t="inlineStr">
        <is>
          <t xml:space="preserve">2018-04</t>
        </is>
      </c>
      <c r="C4661" s="2" t="inlineStr">
        <is>
          <t xml:space="preserve">2017/18</t>
        </is>
      </c>
      <c r="D4661">
        <v>0.0</v>
      </c>
      <c r="E4661">
        <v>24.09</v>
      </c>
      <c r="F4661">
        <v>32.49</v>
      </c>
      <c r="G4661">
        <v>16.44</v>
      </c>
      <c r="H4661">
        <v>0.0</v>
      </c>
      <c r="I4661">
        <v>0.0</v>
      </c>
      <c r="J4661">
        <v>24.03</v>
      </c>
      <c r="K4661">
        <v>32.49</v>
      </c>
      <c r="L4661">
        <v>16.86</v>
      </c>
      <c r="M4661">
        <v>1.25</v>
      </c>
      <c r="N4661">
        <v>0.0</v>
      </c>
      <c r="O4661">
        <v>22.58</v>
      </c>
      <c r="P4661">
        <v>30.96</v>
      </c>
      <c r="Q4661">
        <v>16.11</v>
      </c>
      <c r="R4661">
        <v>0.08</v>
      </c>
    </row>
    <row r="4662">
      <c r="A4662" s="9">
        <v>43193</v>
      </c>
      <c r="B4662" s="2" t="inlineStr">
        <is>
          <t xml:space="preserve">2018-04</t>
        </is>
      </c>
      <c r="C4662" s="2" t="inlineStr">
        <is>
          <t xml:space="preserve">2017/18</t>
        </is>
      </c>
      <c r="D4662">
        <v>0.0</v>
      </c>
      <c r="E4662">
        <v>24.98</v>
      </c>
      <c r="F4662">
        <v>32.77</v>
      </c>
      <c r="G4662">
        <v>17.75</v>
      </c>
      <c r="H4662">
        <v>0.09</v>
      </c>
      <c r="I4662">
        <v>16.123</v>
      </c>
      <c r="J4662">
        <v>23.97</v>
      </c>
      <c r="K4662">
        <v>31.02</v>
      </c>
      <c r="L4662">
        <v>18.16</v>
      </c>
      <c r="M4662">
        <v>7.69</v>
      </c>
      <c r="N4662">
        <v>0.579</v>
      </c>
      <c r="O4662">
        <v>24.14</v>
      </c>
      <c r="P4662">
        <v>31.73</v>
      </c>
      <c r="Q4662">
        <v>17.99</v>
      </c>
      <c r="R4662">
        <v>1.16</v>
      </c>
    </row>
    <row r="4663">
      <c r="A4663" s="9">
        <v>43194</v>
      </c>
      <c r="B4663" s="2" t="inlineStr">
        <is>
          <t xml:space="preserve">2018-04</t>
        </is>
      </c>
      <c r="C4663" s="2" t="inlineStr">
        <is>
          <t xml:space="preserve">2017/18</t>
        </is>
      </c>
      <c r="D4663">
        <v>0.302</v>
      </c>
      <c r="E4663">
        <v>24.82</v>
      </c>
      <c r="F4663">
        <v>32.75</v>
      </c>
      <c r="G4663">
        <v>18.99</v>
      </c>
      <c r="H4663">
        <v>1.18</v>
      </c>
      <c r="I4663">
        <v>0.919</v>
      </c>
      <c r="J4663">
        <v>25.06</v>
      </c>
      <c r="K4663">
        <v>32.53</v>
      </c>
      <c r="L4663">
        <v>18.37</v>
      </c>
      <c r="M4663">
        <v>0.95</v>
      </c>
      <c r="N4663">
        <v>3.469</v>
      </c>
      <c r="O4663">
        <v>25.18</v>
      </c>
      <c r="P4663">
        <v>33.69</v>
      </c>
      <c r="Q4663">
        <v>19.05</v>
      </c>
      <c r="R4663">
        <v>0.93</v>
      </c>
    </row>
    <row r="4664">
      <c r="A4664" s="9">
        <v>43195</v>
      </c>
      <c r="B4664" s="2" t="inlineStr">
        <is>
          <t xml:space="preserve">2018-04</t>
        </is>
      </c>
      <c r="C4664" s="2" t="inlineStr">
        <is>
          <t xml:space="preserve">2017/18</t>
        </is>
      </c>
      <c r="D4664">
        <v>1.458</v>
      </c>
      <c r="E4664">
        <v>24.33</v>
      </c>
      <c r="F4664">
        <v>31.75</v>
      </c>
      <c r="G4664">
        <v>18.56</v>
      </c>
      <c r="H4664">
        <v>0.65</v>
      </c>
      <c r="I4664">
        <v>0.0</v>
      </c>
      <c r="J4664">
        <v>24.4</v>
      </c>
      <c r="K4664">
        <v>30.91</v>
      </c>
      <c r="L4664">
        <v>19.09</v>
      </c>
      <c r="M4664">
        <v>0.18</v>
      </c>
      <c r="N4664">
        <v>0.0</v>
      </c>
      <c r="O4664">
        <v>23.74</v>
      </c>
      <c r="P4664">
        <v>30.58</v>
      </c>
      <c r="Q4664">
        <v>19.1</v>
      </c>
      <c r="R4664">
        <v>0.06</v>
      </c>
    </row>
    <row r="4665">
      <c r="A4665" s="9">
        <v>43196</v>
      </c>
      <c r="B4665" s="2" t="inlineStr">
        <is>
          <t xml:space="preserve">2018-04</t>
        </is>
      </c>
      <c r="C4665" s="2" t="inlineStr">
        <is>
          <t xml:space="preserve">2017/18</t>
        </is>
      </c>
      <c r="D4665">
        <v>0.287</v>
      </c>
      <c r="E4665">
        <v>24.16</v>
      </c>
      <c r="F4665">
        <v>31.91</v>
      </c>
      <c r="G4665">
        <v>16.97</v>
      </c>
      <c r="H4665">
        <v>0.4</v>
      </c>
      <c r="I4665">
        <v>0.0</v>
      </c>
      <c r="J4665">
        <v>24.27</v>
      </c>
      <c r="K4665">
        <v>32.36</v>
      </c>
      <c r="L4665">
        <v>17.21</v>
      </c>
      <c r="M4665">
        <v>0.08</v>
      </c>
      <c r="N4665">
        <v>0.0</v>
      </c>
      <c r="O4665">
        <v>24.37</v>
      </c>
      <c r="P4665">
        <v>32.4</v>
      </c>
      <c r="Q4665">
        <v>17.63</v>
      </c>
      <c r="R4665">
        <v>0.07</v>
      </c>
    </row>
    <row r="4666">
      <c r="A4666" s="9">
        <v>43197</v>
      </c>
      <c r="B4666" s="2" t="inlineStr">
        <is>
          <t xml:space="preserve">2018-04</t>
        </is>
      </c>
      <c r="C4666" s="2" t="inlineStr">
        <is>
          <t xml:space="preserve">2017/18</t>
        </is>
      </c>
      <c r="D4666">
        <v>0.849</v>
      </c>
      <c r="E4666">
        <v>24.46</v>
      </c>
      <c r="F4666">
        <v>31.93</v>
      </c>
      <c r="G4666">
        <v>18.7</v>
      </c>
      <c r="H4666">
        <v>0.67</v>
      </c>
      <c r="I4666">
        <v>0.034</v>
      </c>
      <c r="J4666">
        <v>24.06</v>
      </c>
      <c r="K4666">
        <v>31.3</v>
      </c>
      <c r="L4666">
        <v>18.78</v>
      </c>
      <c r="M4666">
        <v>0.11</v>
      </c>
      <c r="N4666">
        <v>0.094</v>
      </c>
      <c r="O4666">
        <v>25.27</v>
      </c>
      <c r="P4666">
        <v>33.43</v>
      </c>
      <c r="Q4666">
        <v>18.66</v>
      </c>
      <c r="R4666">
        <v>0.12</v>
      </c>
    </row>
    <row r="4667">
      <c r="A4667" s="9">
        <v>43198</v>
      </c>
      <c r="B4667" s="2" t="inlineStr">
        <is>
          <t xml:space="preserve">2018-04</t>
        </is>
      </c>
      <c r="C4667" s="2" t="inlineStr">
        <is>
          <t xml:space="preserve">2017/18</t>
        </is>
      </c>
      <c r="D4667">
        <v>0.0</v>
      </c>
      <c r="E4667">
        <v>25.67</v>
      </c>
      <c r="F4667">
        <v>33.23</v>
      </c>
      <c r="G4667">
        <v>18.24</v>
      </c>
      <c r="H4667">
        <v>0.02</v>
      </c>
      <c r="I4667">
        <v>0.0</v>
      </c>
      <c r="J4667">
        <v>25.57</v>
      </c>
      <c r="K4667">
        <v>34.45</v>
      </c>
      <c r="L4667">
        <v>18.06</v>
      </c>
      <c r="M4667">
        <v>0.0</v>
      </c>
      <c r="N4667">
        <v>0.0</v>
      </c>
      <c r="O4667">
        <v>26.39</v>
      </c>
      <c r="P4667">
        <v>35.46</v>
      </c>
      <c r="Q4667">
        <v>18.86</v>
      </c>
      <c r="R4667">
        <v>0.01</v>
      </c>
    </row>
    <row r="4668">
      <c r="A4668" s="9">
        <v>43199</v>
      </c>
      <c r="B4668" s="2" t="inlineStr">
        <is>
          <t xml:space="preserve">2018-04</t>
        </is>
      </c>
      <c r="C4668" s="2" t="inlineStr">
        <is>
          <t xml:space="preserve">2017/18</t>
        </is>
      </c>
      <c r="D4668">
        <v>0.538</v>
      </c>
      <c r="E4668">
        <v>24.59</v>
      </c>
      <c r="F4668">
        <v>31.04</v>
      </c>
      <c r="G4668">
        <v>19.8</v>
      </c>
      <c r="H4668">
        <v>2.73</v>
      </c>
      <c r="I4668">
        <v>0.0</v>
      </c>
      <c r="J4668">
        <v>25.5</v>
      </c>
      <c r="K4668">
        <v>32.58</v>
      </c>
      <c r="L4668">
        <v>20.38</v>
      </c>
      <c r="M4668">
        <v>0.12</v>
      </c>
      <c r="N4668">
        <v>0.0</v>
      </c>
      <c r="O4668">
        <v>25.83</v>
      </c>
      <c r="P4668">
        <v>33.11</v>
      </c>
      <c r="Q4668">
        <v>20.1</v>
      </c>
      <c r="R4668">
        <v>0.6</v>
      </c>
    </row>
    <row r="4669">
      <c r="A4669" s="9">
        <v>43200</v>
      </c>
      <c r="B4669" s="2" t="inlineStr">
        <is>
          <t xml:space="preserve">2018-04</t>
        </is>
      </c>
      <c r="C4669" s="2" t="inlineStr">
        <is>
          <t xml:space="preserve">2017/18</t>
        </is>
      </c>
      <c r="D4669">
        <v>13.295</v>
      </c>
      <c r="E4669">
        <v>21.86</v>
      </c>
      <c r="F4669">
        <v>26.59</v>
      </c>
      <c r="G4669">
        <v>18.25</v>
      </c>
      <c r="H4669">
        <v>6.14</v>
      </c>
      <c r="I4669">
        <v>0.0</v>
      </c>
      <c r="J4669">
        <v>25.24</v>
      </c>
      <c r="K4669">
        <v>31.94</v>
      </c>
      <c r="L4669">
        <v>20.46</v>
      </c>
      <c r="M4669">
        <v>5.19</v>
      </c>
      <c r="N4669">
        <v>0.721</v>
      </c>
      <c r="O4669">
        <v>26.0</v>
      </c>
      <c r="P4669">
        <v>33.16</v>
      </c>
      <c r="Q4669">
        <v>21.07</v>
      </c>
      <c r="R4669">
        <v>4.02</v>
      </c>
    </row>
    <row r="4670">
      <c r="A4670" s="9">
        <v>43201</v>
      </c>
      <c r="B4670" s="2" t="inlineStr">
        <is>
          <t xml:space="preserve">2018-04</t>
        </is>
      </c>
      <c r="C4670" s="2" t="inlineStr">
        <is>
          <t xml:space="preserve">2017/18</t>
        </is>
      </c>
      <c r="D4670">
        <v>6.839</v>
      </c>
      <c r="E4670">
        <v>23.49</v>
      </c>
      <c r="F4670">
        <v>31.55</v>
      </c>
      <c r="G4670">
        <v>16.76</v>
      </c>
      <c r="H4670">
        <v>2.34</v>
      </c>
      <c r="I4670">
        <v>13.798</v>
      </c>
      <c r="J4670">
        <v>23.29</v>
      </c>
      <c r="K4670">
        <v>28.33</v>
      </c>
      <c r="L4670">
        <v>20.37</v>
      </c>
      <c r="M4670">
        <v>7.86</v>
      </c>
      <c r="N4670">
        <v>8.991</v>
      </c>
      <c r="O4670">
        <v>23.29</v>
      </c>
      <c r="P4670">
        <v>28.83</v>
      </c>
      <c r="Q4670">
        <v>20.47</v>
      </c>
      <c r="R4670">
        <v>2.87</v>
      </c>
    </row>
    <row r="4671">
      <c r="A4671" s="9">
        <v>43202</v>
      </c>
      <c r="B4671" s="2" t="inlineStr">
        <is>
          <t xml:space="preserve">2018-04</t>
        </is>
      </c>
      <c r="C4671" s="2" t="inlineStr">
        <is>
          <t xml:space="preserve">2017/18</t>
        </is>
      </c>
      <c r="D4671">
        <v>0.0</v>
      </c>
      <c r="E4671">
        <v>24.18</v>
      </c>
      <c r="F4671">
        <v>31.64</v>
      </c>
      <c r="G4671">
        <v>17.88</v>
      </c>
      <c r="H4671">
        <v>0.04</v>
      </c>
      <c r="I4671">
        <v>0.069</v>
      </c>
      <c r="J4671">
        <v>24.23</v>
      </c>
      <c r="K4671">
        <v>31.72</v>
      </c>
      <c r="L4671">
        <v>18.29</v>
      </c>
      <c r="M4671">
        <v>3.61</v>
      </c>
      <c r="N4671">
        <v>0.0</v>
      </c>
      <c r="O4671">
        <v>23.92</v>
      </c>
      <c r="P4671">
        <v>30.7</v>
      </c>
      <c r="Q4671">
        <v>19.38</v>
      </c>
      <c r="R4671">
        <v>0.4</v>
      </c>
    </row>
    <row r="4672">
      <c r="A4672" s="9">
        <v>43203</v>
      </c>
      <c r="B4672" s="2" t="inlineStr">
        <is>
          <t xml:space="preserve">2018-04</t>
        </is>
      </c>
      <c r="C4672" s="2" t="inlineStr">
        <is>
          <t xml:space="preserve">2017/18</t>
        </is>
      </c>
      <c r="D4672">
        <v>0.0</v>
      </c>
      <c r="E4672">
        <v>24.87</v>
      </c>
      <c r="F4672">
        <v>32.86</v>
      </c>
      <c r="G4672">
        <v>17.73</v>
      </c>
      <c r="H4672">
        <v>0.09</v>
      </c>
      <c r="I4672">
        <v>19.147</v>
      </c>
      <c r="J4672">
        <v>24.26</v>
      </c>
      <c r="K4672">
        <v>31.15</v>
      </c>
      <c r="L4672">
        <v>19.01</v>
      </c>
      <c r="M4672">
        <v>7.08</v>
      </c>
      <c r="N4672">
        <v>1.894</v>
      </c>
      <c r="O4672">
        <v>24.9</v>
      </c>
      <c r="P4672">
        <v>32.7</v>
      </c>
      <c r="Q4672">
        <v>18.9</v>
      </c>
      <c r="R4672">
        <v>0.97</v>
      </c>
    </row>
    <row r="4673">
      <c r="A4673" s="9">
        <v>43204</v>
      </c>
      <c r="B4673" s="2" t="inlineStr">
        <is>
          <t xml:space="preserve">2018-04</t>
        </is>
      </c>
      <c r="C4673" s="2" t="inlineStr">
        <is>
          <t xml:space="preserve">2017/18</t>
        </is>
      </c>
      <c r="D4673">
        <v>0.511</v>
      </c>
      <c r="E4673">
        <v>25.35</v>
      </c>
      <c r="F4673">
        <v>32.42</v>
      </c>
      <c r="G4673">
        <v>20.16</v>
      </c>
      <c r="H4673">
        <v>0.33</v>
      </c>
      <c r="I4673">
        <v>0.195</v>
      </c>
      <c r="J4673">
        <v>24.64</v>
      </c>
      <c r="K4673">
        <v>31.52</v>
      </c>
      <c r="L4673">
        <v>19.64</v>
      </c>
      <c r="M4673">
        <v>0.41</v>
      </c>
      <c r="N4673">
        <v>1.105</v>
      </c>
      <c r="O4673">
        <v>25.81</v>
      </c>
      <c r="P4673">
        <v>33.39</v>
      </c>
      <c r="Q4673">
        <v>19.83</v>
      </c>
      <c r="R4673">
        <v>0.49</v>
      </c>
    </row>
    <row r="4674">
      <c r="A4674" s="9">
        <v>43205</v>
      </c>
      <c r="B4674" s="2" t="inlineStr">
        <is>
          <t xml:space="preserve">2018-04</t>
        </is>
      </c>
      <c r="C4674" s="2" t="inlineStr">
        <is>
          <t xml:space="preserve">2017/18</t>
        </is>
      </c>
      <c r="D4674">
        <v>0.0</v>
      </c>
      <c r="E4674">
        <v>23.49</v>
      </c>
      <c r="F4674">
        <v>29.28</v>
      </c>
      <c r="G4674">
        <v>18.72</v>
      </c>
      <c r="H4674">
        <v>1.34</v>
      </c>
      <c r="I4674">
        <v>0.0</v>
      </c>
      <c r="J4674">
        <v>24.25</v>
      </c>
      <c r="K4674">
        <v>30.47</v>
      </c>
      <c r="L4674">
        <v>19.65</v>
      </c>
      <c r="M4674">
        <v>0.21</v>
      </c>
      <c r="N4674">
        <v>0.0</v>
      </c>
      <c r="O4674">
        <v>24.42</v>
      </c>
      <c r="P4674">
        <v>29.2</v>
      </c>
      <c r="Q4674">
        <v>20.73</v>
      </c>
      <c r="R4674">
        <v>2.42</v>
      </c>
    </row>
    <row r="4675">
      <c r="A4675" s="9">
        <v>43206</v>
      </c>
      <c r="B4675" s="2" t="inlineStr">
        <is>
          <t xml:space="preserve">2018-04</t>
        </is>
      </c>
      <c r="C4675" s="2" t="inlineStr">
        <is>
          <t xml:space="preserve">2017/18</t>
        </is>
      </c>
      <c r="D4675">
        <v>0.0</v>
      </c>
      <c r="E4675">
        <v>21.56</v>
      </c>
      <c r="F4675">
        <v>27.74</v>
      </c>
      <c r="G4675">
        <v>16.95</v>
      </c>
      <c r="H4675">
        <v>2.66</v>
      </c>
      <c r="I4675">
        <v>0.0</v>
      </c>
      <c r="J4675">
        <v>21.25</v>
      </c>
      <c r="K4675">
        <v>27.32</v>
      </c>
      <c r="L4675">
        <v>16.64</v>
      </c>
      <c r="M4675">
        <v>0.24</v>
      </c>
      <c r="N4675">
        <v>0.158</v>
      </c>
      <c r="O4675">
        <v>20.25</v>
      </c>
      <c r="P4675">
        <v>25.32</v>
      </c>
      <c r="Q4675">
        <v>17.0</v>
      </c>
      <c r="R4675">
        <v>4.27</v>
      </c>
    </row>
    <row r="4676">
      <c r="A4676" s="9">
        <v>43207</v>
      </c>
      <c r="B4676" s="2" t="inlineStr">
        <is>
          <t xml:space="preserve">2018-04</t>
        </is>
      </c>
      <c r="C4676" s="2" t="inlineStr">
        <is>
          <t xml:space="preserve">2017/18</t>
        </is>
      </c>
      <c r="D4676">
        <v>0.0</v>
      </c>
      <c r="E4676">
        <v>21.32</v>
      </c>
      <c r="F4676">
        <v>27.92</v>
      </c>
      <c r="G4676">
        <v>16.89</v>
      </c>
      <c r="H4676">
        <v>0.55</v>
      </c>
      <c r="I4676">
        <v>0.0</v>
      </c>
      <c r="J4676">
        <v>22.37</v>
      </c>
      <c r="K4676">
        <v>30.08</v>
      </c>
      <c r="L4676">
        <v>16.37</v>
      </c>
      <c r="M4676">
        <v>0.03</v>
      </c>
      <c r="N4676">
        <v>0.0</v>
      </c>
      <c r="O4676">
        <v>20.6</v>
      </c>
      <c r="P4676">
        <v>27.42</v>
      </c>
      <c r="Q4676">
        <v>16.28</v>
      </c>
      <c r="R4676">
        <v>1.24</v>
      </c>
    </row>
    <row r="4677">
      <c r="A4677" s="9">
        <v>43208</v>
      </c>
      <c r="B4677" s="2" t="inlineStr">
        <is>
          <t xml:space="preserve">2018-04</t>
        </is>
      </c>
      <c r="C4677" s="2" t="inlineStr">
        <is>
          <t xml:space="preserve">2017/18</t>
        </is>
      </c>
      <c r="D4677">
        <v>0.0</v>
      </c>
      <c r="E4677">
        <v>24.28</v>
      </c>
      <c r="F4677">
        <v>32.87</v>
      </c>
      <c r="G4677">
        <v>17.52</v>
      </c>
      <c r="H4677">
        <v>0.25</v>
      </c>
      <c r="I4677">
        <v>0.0</v>
      </c>
      <c r="J4677">
        <v>24.75</v>
      </c>
      <c r="K4677">
        <v>32.76</v>
      </c>
      <c r="L4677">
        <v>17.79</v>
      </c>
      <c r="M4677">
        <v>0.03</v>
      </c>
      <c r="N4677">
        <v>0.0</v>
      </c>
      <c r="O4677">
        <v>23.68</v>
      </c>
      <c r="P4677">
        <v>31.76</v>
      </c>
      <c r="Q4677">
        <v>17.74</v>
      </c>
      <c r="R4677">
        <v>0.19</v>
      </c>
    </row>
    <row r="4678">
      <c r="A4678" s="9">
        <v>43209</v>
      </c>
      <c r="B4678" s="2" t="inlineStr">
        <is>
          <t xml:space="preserve">2018-04</t>
        </is>
      </c>
      <c r="C4678" s="2" t="inlineStr">
        <is>
          <t xml:space="preserve">2017/18</t>
        </is>
      </c>
      <c r="D4678">
        <v>4.215</v>
      </c>
      <c r="E4678">
        <v>24.07</v>
      </c>
      <c r="F4678">
        <v>32.16</v>
      </c>
      <c r="G4678">
        <v>17.87</v>
      </c>
      <c r="H4678">
        <v>1.59</v>
      </c>
      <c r="I4678">
        <v>0.111</v>
      </c>
      <c r="J4678">
        <v>24.77</v>
      </c>
      <c r="K4678">
        <v>32.74</v>
      </c>
      <c r="L4678">
        <v>18.43</v>
      </c>
      <c r="M4678">
        <v>0.1</v>
      </c>
      <c r="N4678">
        <v>0.041</v>
      </c>
      <c r="O4678">
        <v>23.91</v>
      </c>
      <c r="P4678">
        <v>30.95</v>
      </c>
      <c r="Q4678">
        <v>19.06</v>
      </c>
      <c r="R4678">
        <v>0.35</v>
      </c>
    </row>
    <row r="4679">
      <c r="A4679" s="9">
        <v>43210</v>
      </c>
      <c r="B4679" s="2" t="inlineStr">
        <is>
          <t xml:space="preserve">2018-04</t>
        </is>
      </c>
      <c r="C4679" s="2" t="inlineStr">
        <is>
          <t xml:space="preserve">2017/18</t>
        </is>
      </c>
      <c r="D4679">
        <v>0.0</v>
      </c>
      <c r="E4679">
        <v>24.27</v>
      </c>
      <c r="F4679">
        <v>32.45</v>
      </c>
      <c r="G4679">
        <v>18.12</v>
      </c>
      <c r="H4679">
        <v>0.46</v>
      </c>
      <c r="I4679">
        <v>0.266</v>
      </c>
      <c r="J4679">
        <v>24.33</v>
      </c>
      <c r="K4679">
        <v>31.97</v>
      </c>
      <c r="L4679">
        <v>19.15</v>
      </c>
      <c r="M4679">
        <v>0.15</v>
      </c>
      <c r="N4679">
        <v>0.076</v>
      </c>
      <c r="O4679">
        <v>23.58</v>
      </c>
      <c r="P4679">
        <v>30.2</v>
      </c>
      <c r="Q4679">
        <v>19.4</v>
      </c>
      <c r="R4679">
        <v>0.42</v>
      </c>
    </row>
    <row r="4680">
      <c r="A4680" s="9">
        <v>43211</v>
      </c>
      <c r="B4680" s="2" t="inlineStr">
        <is>
          <t xml:space="preserve">2018-04</t>
        </is>
      </c>
      <c r="C4680" s="2" t="inlineStr">
        <is>
          <t xml:space="preserve">2017/18</t>
        </is>
      </c>
      <c r="D4680">
        <v>0.0</v>
      </c>
      <c r="E4680">
        <v>24.7</v>
      </c>
      <c r="F4680">
        <v>32.16</v>
      </c>
      <c r="G4680">
        <v>18.63</v>
      </c>
      <c r="H4680">
        <v>7.88</v>
      </c>
      <c r="I4680">
        <v>0.0</v>
      </c>
      <c r="J4680">
        <v>25.45</v>
      </c>
      <c r="K4680">
        <v>33.05</v>
      </c>
      <c r="L4680">
        <v>18.92</v>
      </c>
      <c r="M4680">
        <v>2.59</v>
      </c>
      <c r="N4680">
        <v>0.0</v>
      </c>
      <c r="O4680">
        <v>24.53</v>
      </c>
      <c r="P4680">
        <v>31.82</v>
      </c>
      <c r="Q4680">
        <v>19.47</v>
      </c>
      <c r="R4680">
        <v>2.95</v>
      </c>
    </row>
    <row r="4681">
      <c r="A4681" s="9">
        <v>43212</v>
      </c>
      <c r="B4681" s="2" t="inlineStr">
        <is>
          <t xml:space="preserve">2018-04</t>
        </is>
      </c>
      <c r="C4681" s="2" t="inlineStr">
        <is>
          <t xml:space="preserve">2017/18</t>
        </is>
      </c>
      <c r="D4681">
        <v>19.799</v>
      </c>
      <c r="E4681">
        <v>24.97</v>
      </c>
      <c r="F4681">
        <v>33.47</v>
      </c>
      <c r="G4681">
        <v>17.35</v>
      </c>
      <c r="H4681">
        <v>1.76</v>
      </c>
      <c r="I4681">
        <v>11.961</v>
      </c>
      <c r="J4681">
        <v>25.43</v>
      </c>
      <c r="K4681">
        <v>31.38</v>
      </c>
      <c r="L4681">
        <v>21.38</v>
      </c>
      <c r="M4681">
        <v>6.57</v>
      </c>
      <c r="N4681">
        <v>4.391</v>
      </c>
      <c r="O4681">
        <v>25.22</v>
      </c>
      <c r="P4681">
        <v>33.19</v>
      </c>
      <c r="Q4681">
        <v>20.59</v>
      </c>
      <c r="R4681">
        <v>1.84</v>
      </c>
    </row>
    <row r="4682">
      <c r="A4682" s="9">
        <v>43213</v>
      </c>
      <c r="B4682" s="2" t="inlineStr">
        <is>
          <t xml:space="preserve">2018-04</t>
        </is>
      </c>
      <c r="C4682" s="2" t="inlineStr">
        <is>
          <t xml:space="preserve">2017/18</t>
        </is>
      </c>
      <c r="D4682">
        <v>12.197</v>
      </c>
      <c r="E4682">
        <v>25.1</v>
      </c>
      <c r="F4682">
        <v>33.38</v>
      </c>
      <c r="G4682">
        <v>18.44</v>
      </c>
      <c r="H4682">
        <v>4.48</v>
      </c>
      <c r="I4682">
        <v>1.375</v>
      </c>
      <c r="J4682">
        <v>25.88</v>
      </c>
      <c r="K4682">
        <v>34.05</v>
      </c>
      <c r="L4682">
        <v>19.37</v>
      </c>
      <c r="M4682">
        <v>1.07</v>
      </c>
      <c r="N4682">
        <v>0.118</v>
      </c>
      <c r="O4682">
        <v>24.95</v>
      </c>
      <c r="P4682">
        <v>32.55</v>
      </c>
      <c r="Q4682">
        <v>19.97</v>
      </c>
      <c r="R4682">
        <v>0.91</v>
      </c>
    </row>
    <row r="4683">
      <c r="A4683" s="9">
        <v>43214</v>
      </c>
      <c r="B4683" s="2" t="inlineStr">
        <is>
          <t xml:space="preserve">2018-04</t>
        </is>
      </c>
      <c r="C4683" s="2" t="inlineStr">
        <is>
          <t xml:space="preserve">2017/18</t>
        </is>
      </c>
      <c r="D4683">
        <v>0.0</v>
      </c>
      <c r="E4683">
        <v>25.58</v>
      </c>
      <c r="F4683">
        <v>33.28</v>
      </c>
      <c r="G4683">
        <v>19.39</v>
      </c>
      <c r="H4683">
        <v>0.02</v>
      </c>
      <c r="I4683">
        <v>3.153</v>
      </c>
      <c r="J4683">
        <v>25.67</v>
      </c>
      <c r="K4683">
        <v>33.06</v>
      </c>
      <c r="L4683">
        <v>19.63</v>
      </c>
      <c r="M4683">
        <v>2.34</v>
      </c>
      <c r="N4683">
        <v>0.197</v>
      </c>
      <c r="O4683">
        <v>25.22</v>
      </c>
      <c r="P4683">
        <v>32.39</v>
      </c>
      <c r="Q4683">
        <v>20.19</v>
      </c>
      <c r="R4683">
        <v>0.41</v>
      </c>
    </row>
    <row r="4684">
      <c r="A4684" s="9">
        <v>43215</v>
      </c>
      <c r="B4684" s="2" t="inlineStr">
        <is>
          <t xml:space="preserve">2018-04</t>
        </is>
      </c>
      <c r="C4684" s="2" t="inlineStr">
        <is>
          <t xml:space="preserve">2017/18</t>
        </is>
      </c>
      <c r="D4684">
        <v>0.0</v>
      </c>
      <c r="E4684">
        <v>25.83</v>
      </c>
      <c r="F4684">
        <v>33.23</v>
      </c>
      <c r="G4684">
        <v>20.08</v>
      </c>
      <c r="H4684">
        <v>0.26</v>
      </c>
      <c r="I4684">
        <v>1.786</v>
      </c>
      <c r="J4684">
        <v>26.03</v>
      </c>
      <c r="K4684">
        <v>33.71</v>
      </c>
      <c r="L4684">
        <v>19.54</v>
      </c>
      <c r="M4684">
        <v>1.47</v>
      </c>
      <c r="N4684">
        <v>0.53</v>
      </c>
      <c r="O4684">
        <v>25.23</v>
      </c>
      <c r="P4684">
        <v>32.64</v>
      </c>
      <c r="Q4684">
        <v>20.09</v>
      </c>
      <c r="R4684">
        <v>0.61</v>
      </c>
    </row>
    <row r="4685">
      <c r="A4685" s="9">
        <v>43216</v>
      </c>
      <c r="B4685" s="2" t="inlineStr">
        <is>
          <t xml:space="preserve">2018-04</t>
        </is>
      </c>
      <c r="C4685" s="2" t="inlineStr">
        <is>
          <t xml:space="preserve">2017/18</t>
        </is>
      </c>
      <c r="D4685">
        <v>2.22</v>
      </c>
      <c r="E4685">
        <v>24.25</v>
      </c>
      <c r="F4685">
        <v>31.92</v>
      </c>
      <c r="G4685">
        <v>18.89</v>
      </c>
      <c r="H4685">
        <v>14.64</v>
      </c>
      <c r="I4685">
        <v>3.294</v>
      </c>
      <c r="J4685">
        <v>24.91</v>
      </c>
      <c r="K4685">
        <v>31.67</v>
      </c>
      <c r="L4685">
        <v>19.72</v>
      </c>
      <c r="M4685">
        <v>16.0</v>
      </c>
      <c r="N4685">
        <v>0.898</v>
      </c>
      <c r="O4685">
        <v>25.12</v>
      </c>
      <c r="P4685">
        <v>33.03</v>
      </c>
      <c r="Q4685">
        <v>19.3</v>
      </c>
      <c r="R4685">
        <v>7.92</v>
      </c>
    </row>
    <row r="4686">
      <c r="A4686" s="9">
        <v>43217</v>
      </c>
      <c r="B4686" s="2" t="inlineStr">
        <is>
          <t xml:space="preserve">2018-04</t>
        </is>
      </c>
      <c r="C4686" s="2" t="inlineStr">
        <is>
          <t xml:space="preserve">2017/18</t>
        </is>
      </c>
      <c r="D4686">
        <v>13.797</v>
      </c>
      <c r="E4686">
        <v>23.33</v>
      </c>
      <c r="F4686">
        <v>28.6</v>
      </c>
      <c r="G4686">
        <v>19.85</v>
      </c>
      <c r="H4686">
        <v>9.2</v>
      </c>
      <c r="I4686">
        <v>46.593</v>
      </c>
      <c r="J4686">
        <v>23.92</v>
      </c>
      <c r="K4686">
        <v>28.67</v>
      </c>
      <c r="L4686">
        <v>20.34</v>
      </c>
      <c r="M4686">
        <v>17.13</v>
      </c>
      <c r="N4686">
        <v>20.124</v>
      </c>
      <c r="O4686">
        <v>24.85</v>
      </c>
      <c r="P4686">
        <v>30.76</v>
      </c>
      <c r="Q4686">
        <v>20.9</v>
      </c>
      <c r="R4686">
        <v>4.37</v>
      </c>
    </row>
    <row r="4687">
      <c r="A4687" s="9">
        <v>43218</v>
      </c>
      <c r="B4687" s="2" t="inlineStr">
        <is>
          <t xml:space="preserve">2018-04</t>
        </is>
      </c>
      <c r="C4687" s="2" t="inlineStr">
        <is>
          <t xml:space="preserve">2017/18</t>
        </is>
      </c>
      <c r="D4687">
        <v>5.515</v>
      </c>
      <c r="E4687">
        <v>22.6</v>
      </c>
      <c r="F4687">
        <v>27.43</v>
      </c>
      <c r="G4687">
        <v>19.53</v>
      </c>
      <c r="H4687">
        <v>6.32</v>
      </c>
      <c r="I4687">
        <v>0.0</v>
      </c>
      <c r="J4687">
        <v>24.12</v>
      </c>
      <c r="K4687">
        <v>29.35</v>
      </c>
      <c r="L4687">
        <v>19.82</v>
      </c>
      <c r="M4687">
        <v>0.56</v>
      </c>
      <c r="N4687">
        <v>0.0</v>
      </c>
      <c r="O4687">
        <v>24.06</v>
      </c>
      <c r="P4687">
        <v>29.54</v>
      </c>
      <c r="Q4687">
        <v>20.06</v>
      </c>
      <c r="R4687">
        <v>0.21</v>
      </c>
    </row>
    <row r="4688">
      <c r="A4688" s="9">
        <v>43219</v>
      </c>
      <c r="B4688" s="2" t="inlineStr">
        <is>
          <t xml:space="preserve">2018-04</t>
        </is>
      </c>
      <c r="C4688" s="2" t="inlineStr">
        <is>
          <t xml:space="preserve">2017/18</t>
        </is>
      </c>
      <c r="D4688">
        <v>0.0</v>
      </c>
      <c r="E4688">
        <v>23.68</v>
      </c>
      <c r="F4688">
        <v>29.65</v>
      </c>
      <c r="G4688">
        <v>19.01</v>
      </c>
      <c r="H4688">
        <v>0.5</v>
      </c>
      <c r="I4688">
        <v>2.599</v>
      </c>
      <c r="J4688">
        <v>24.62</v>
      </c>
      <c r="K4688">
        <v>31.8</v>
      </c>
      <c r="L4688">
        <v>19.2</v>
      </c>
      <c r="M4688">
        <v>1.19</v>
      </c>
      <c r="N4688">
        <v>0.678</v>
      </c>
      <c r="O4688">
        <v>23.99</v>
      </c>
      <c r="P4688">
        <v>30.76</v>
      </c>
      <c r="Q4688">
        <v>19.44</v>
      </c>
      <c r="R4688">
        <v>0.5</v>
      </c>
    </row>
    <row r="4689">
      <c r="A4689" s="9">
        <v>43220</v>
      </c>
      <c r="B4689" s="2" t="inlineStr">
        <is>
          <t xml:space="preserve">2018-04</t>
        </is>
      </c>
      <c r="C4689" s="2" t="inlineStr">
        <is>
          <t xml:space="preserve">2017/18</t>
        </is>
      </c>
      <c r="D4689">
        <v>0.0</v>
      </c>
      <c r="E4689">
        <v>23.41</v>
      </c>
      <c r="F4689">
        <v>28.42</v>
      </c>
      <c r="G4689">
        <v>19.97</v>
      </c>
      <c r="H4689">
        <v>1.12</v>
      </c>
      <c r="I4689">
        <v>0.87</v>
      </c>
      <c r="J4689">
        <v>24.64</v>
      </c>
      <c r="K4689">
        <v>30.93</v>
      </c>
      <c r="L4689">
        <v>19.91</v>
      </c>
      <c r="M4689">
        <v>3.35</v>
      </c>
      <c r="N4689">
        <v>3.369</v>
      </c>
      <c r="O4689">
        <v>24.54</v>
      </c>
      <c r="P4689">
        <v>31.34</v>
      </c>
      <c r="Q4689">
        <v>19.9</v>
      </c>
      <c r="R4689">
        <v>2.09</v>
      </c>
    </row>
    <row r="4690">
      <c r="A4690" s="9">
        <v>43221</v>
      </c>
      <c r="B4690" s="2" t="inlineStr">
        <is>
          <t xml:space="preserve">2018-05</t>
        </is>
      </c>
      <c r="C4690" s="2" t="inlineStr">
        <is>
          <t xml:space="preserve">2017/18</t>
        </is>
      </c>
      <c r="D4690">
        <v>1.667</v>
      </c>
      <c r="E4690">
        <v>25.02</v>
      </c>
      <c r="F4690">
        <v>32.48</v>
      </c>
      <c r="G4690">
        <v>19.15</v>
      </c>
      <c r="H4690">
        <v>0.36</v>
      </c>
      <c r="I4690">
        <v>5.152</v>
      </c>
      <c r="J4690">
        <v>23.73</v>
      </c>
      <c r="K4690">
        <v>28.4</v>
      </c>
      <c r="L4690">
        <v>20.21</v>
      </c>
      <c r="M4690">
        <v>1.98</v>
      </c>
      <c r="N4690">
        <v>0.467</v>
      </c>
      <c r="O4690">
        <v>24.49</v>
      </c>
      <c r="P4690">
        <v>30.78</v>
      </c>
      <c r="Q4690">
        <v>20.44</v>
      </c>
      <c r="R4690">
        <v>0.92</v>
      </c>
    </row>
    <row r="4691">
      <c r="A4691" s="9">
        <v>43222</v>
      </c>
      <c r="B4691" s="2" t="inlineStr">
        <is>
          <t xml:space="preserve">2018-05</t>
        </is>
      </c>
      <c r="C4691" s="2" t="inlineStr">
        <is>
          <t xml:space="preserve">2017/18</t>
        </is>
      </c>
      <c r="D4691">
        <v>0.0</v>
      </c>
      <c r="E4691">
        <v>25.48</v>
      </c>
      <c r="F4691">
        <v>33.1</v>
      </c>
      <c r="G4691">
        <v>19.48</v>
      </c>
      <c r="H4691">
        <v>0.01</v>
      </c>
      <c r="I4691">
        <v>16.094</v>
      </c>
      <c r="J4691">
        <v>23.85</v>
      </c>
      <c r="K4691">
        <v>29.5</v>
      </c>
      <c r="L4691">
        <v>19.66</v>
      </c>
      <c r="M4691">
        <v>7.53</v>
      </c>
      <c r="N4691">
        <v>0.716</v>
      </c>
      <c r="O4691">
        <v>24.67</v>
      </c>
      <c r="P4691">
        <v>31.33</v>
      </c>
      <c r="Q4691">
        <v>20.52</v>
      </c>
      <c r="R4691">
        <v>0.65</v>
      </c>
    </row>
    <row r="4692">
      <c r="A4692" s="9">
        <v>43223</v>
      </c>
      <c r="B4692" s="2" t="inlineStr">
        <is>
          <t xml:space="preserve">2018-05</t>
        </is>
      </c>
      <c r="C4692" s="2" t="inlineStr">
        <is>
          <t xml:space="preserve">2017/18</t>
        </is>
      </c>
      <c r="D4692">
        <v>0.0</v>
      </c>
      <c r="E4692">
        <v>25.2</v>
      </c>
      <c r="F4692">
        <v>32.33</v>
      </c>
      <c r="G4692">
        <v>19.6</v>
      </c>
      <c r="H4692">
        <v>0.0</v>
      </c>
      <c r="I4692">
        <v>1.782</v>
      </c>
      <c r="J4692">
        <v>24.59</v>
      </c>
      <c r="K4692">
        <v>31.85</v>
      </c>
      <c r="L4692">
        <v>18.99</v>
      </c>
      <c r="M4692">
        <v>0.93</v>
      </c>
      <c r="N4692">
        <v>0.065</v>
      </c>
      <c r="O4692">
        <v>24.73</v>
      </c>
      <c r="P4692">
        <v>31.65</v>
      </c>
      <c r="Q4692">
        <v>19.96</v>
      </c>
      <c r="R4692">
        <v>0.1</v>
      </c>
    </row>
    <row r="4693">
      <c r="A4693" s="9">
        <v>43224</v>
      </c>
      <c r="B4693" s="2" t="inlineStr">
        <is>
          <t xml:space="preserve">2018-05</t>
        </is>
      </c>
      <c r="C4693" s="2" t="inlineStr">
        <is>
          <t xml:space="preserve">2017/18</t>
        </is>
      </c>
      <c r="D4693">
        <v>0.0</v>
      </c>
      <c r="E4693">
        <v>25.11</v>
      </c>
      <c r="F4693">
        <v>32.8</v>
      </c>
      <c r="G4693">
        <v>19.33</v>
      </c>
      <c r="H4693">
        <v>0.25</v>
      </c>
      <c r="I4693">
        <v>1.996</v>
      </c>
      <c r="J4693">
        <v>25.22</v>
      </c>
      <c r="K4693">
        <v>32.44</v>
      </c>
      <c r="L4693">
        <v>19.21</v>
      </c>
      <c r="M4693">
        <v>1.02</v>
      </c>
      <c r="N4693">
        <v>0.126</v>
      </c>
      <c r="O4693">
        <v>24.93</v>
      </c>
      <c r="P4693">
        <v>32.15</v>
      </c>
      <c r="Q4693">
        <v>19.89</v>
      </c>
      <c r="R4693">
        <v>0.2</v>
      </c>
    </row>
    <row r="4694">
      <c r="A4694" s="9">
        <v>43225</v>
      </c>
      <c r="B4694" s="2" t="inlineStr">
        <is>
          <t xml:space="preserve">2018-05</t>
        </is>
      </c>
      <c r="C4694" s="2" t="inlineStr">
        <is>
          <t xml:space="preserve">2017/18</t>
        </is>
      </c>
      <c r="D4694">
        <v>0.274</v>
      </c>
      <c r="E4694">
        <v>23.96</v>
      </c>
      <c r="F4694">
        <v>32.01</v>
      </c>
      <c r="G4694">
        <v>18.0</v>
      </c>
      <c r="H4694">
        <v>0.74</v>
      </c>
      <c r="I4694">
        <v>0.0</v>
      </c>
      <c r="J4694">
        <v>24.43</v>
      </c>
      <c r="K4694">
        <v>31.23</v>
      </c>
      <c r="L4694">
        <v>18.25</v>
      </c>
      <c r="M4694">
        <v>0.01</v>
      </c>
      <c r="N4694">
        <v>0.0</v>
      </c>
      <c r="O4694">
        <v>24.02</v>
      </c>
      <c r="P4694">
        <v>31.15</v>
      </c>
      <c r="Q4694">
        <v>18.56</v>
      </c>
      <c r="R4694">
        <v>0.0</v>
      </c>
    </row>
    <row r="4695">
      <c r="A4695" s="9">
        <v>43226</v>
      </c>
      <c r="B4695" s="2" t="inlineStr">
        <is>
          <t xml:space="preserve">2018-05</t>
        </is>
      </c>
      <c r="C4695" s="2" t="inlineStr">
        <is>
          <t xml:space="preserve">2017/18</t>
        </is>
      </c>
      <c r="D4695">
        <v>0.0</v>
      </c>
      <c r="E4695">
        <v>23.35</v>
      </c>
      <c r="F4695">
        <v>31.65</v>
      </c>
      <c r="G4695">
        <v>16.71</v>
      </c>
      <c r="H4695">
        <v>0.0</v>
      </c>
      <c r="I4695">
        <v>0.0</v>
      </c>
      <c r="J4695">
        <v>24.15</v>
      </c>
      <c r="K4695">
        <v>31.42</v>
      </c>
      <c r="L4695">
        <v>16.96</v>
      </c>
      <c r="M4695">
        <v>0.02</v>
      </c>
      <c r="N4695">
        <v>0.0</v>
      </c>
      <c r="O4695">
        <v>23.61</v>
      </c>
      <c r="P4695">
        <v>30.74</v>
      </c>
      <c r="Q4695">
        <v>17.76</v>
      </c>
      <c r="R4695">
        <v>0.0</v>
      </c>
    </row>
    <row r="4696">
      <c r="A4696" s="9">
        <v>43227</v>
      </c>
      <c r="B4696" s="2" t="inlineStr">
        <is>
          <t xml:space="preserve">2018-05</t>
        </is>
      </c>
      <c r="C4696" s="2" t="inlineStr">
        <is>
          <t xml:space="preserve">2017/18</t>
        </is>
      </c>
      <c r="D4696">
        <v>0.0</v>
      </c>
      <c r="E4696">
        <v>22.52</v>
      </c>
      <c r="F4696">
        <v>30.68</v>
      </c>
      <c r="G4696">
        <v>16.1</v>
      </c>
      <c r="H4696">
        <v>0.57</v>
      </c>
      <c r="I4696">
        <v>0.0</v>
      </c>
      <c r="J4696">
        <v>23.23</v>
      </c>
      <c r="K4696">
        <v>29.23</v>
      </c>
      <c r="L4696">
        <v>17.36</v>
      </c>
      <c r="M4696">
        <v>0.08</v>
      </c>
      <c r="N4696">
        <v>0.0</v>
      </c>
      <c r="O4696">
        <v>22.34</v>
      </c>
      <c r="P4696">
        <v>27.73</v>
      </c>
      <c r="Q4696">
        <v>17.45</v>
      </c>
      <c r="R4696">
        <v>0.39</v>
      </c>
    </row>
    <row r="4697">
      <c r="A4697" s="9">
        <v>43228</v>
      </c>
      <c r="B4697" s="2" t="inlineStr">
        <is>
          <t xml:space="preserve">2018-05</t>
        </is>
      </c>
      <c r="C4697" s="2" t="inlineStr">
        <is>
          <t xml:space="preserve">2017/18</t>
        </is>
      </c>
      <c r="D4697">
        <v>0.23</v>
      </c>
      <c r="E4697">
        <v>22.8</v>
      </c>
      <c r="F4697">
        <v>29.37</v>
      </c>
      <c r="G4697">
        <v>17.3</v>
      </c>
      <c r="H4697">
        <v>0.91</v>
      </c>
      <c r="I4697">
        <v>0.0</v>
      </c>
      <c r="J4697">
        <v>24.05</v>
      </c>
      <c r="K4697">
        <v>29.59</v>
      </c>
      <c r="L4697">
        <v>18.91</v>
      </c>
      <c r="M4697">
        <v>0.04</v>
      </c>
      <c r="N4697">
        <v>0.0</v>
      </c>
      <c r="O4697">
        <v>23.29</v>
      </c>
      <c r="P4697">
        <v>28.96</v>
      </c>
      <c r="Q4697">
        <v>18.46</v>
      </c>
      <c r="R4697">
        <v>0.12</v>
      </c>
    </row>
    <row r="4698">
      <c r="A4698" s="9">
        <v>43229</v>
      </c>
      <c r="B4698" s="2" t="inlineStr">
        <is>
          <t xml:space="preserve">2018-05</t>
        </is>
      </c>
      <c r="C4698" s="2" t="inlineStr">
        <is>
          <t xml:space="preserve">2017/18</t>
        </is>
      </c>
      <c r="D4698">
        <v>0.1</v>
      </c>
      <c r="E4698">
        <v>23.67</v>
      </c>
      <c r="F4698">
        <v>30.26</v>
      </c>
      <c r="G4698">
        <v>17.37</v>
      </c>
      <c r="H4698">
        <v>0.23</v>
      </c>
      <c r="I4698">
        <v>0.0</v>
      </c>
      <c r="J4698">
        <v>24.53</v>
      </c>
      <c r="K4698">
        <v>30.96</v>
      </c>
      <c r="L4698">
        <v>19.21</v>
      </c>
      <c r="M4698">
        <v>0.23</v>
      </c>
      <c r="N4698">
        <v>0.0</v>
      </c>
      <c r="O4698">
        <v>24.37</v>
      </c>
      <c r="P4698">
        <v>31.52</v>
      </c>
      <c r="Q4698">
        <v>18.31</v>
      </c>
      <c r="R4698">
        <v>0.06</v>
      </c>
    </row>
    <row r="4699">
      <c r="A4699" s="9">
        <v>43230</v>
      </c>
      <c r="B4699" s="2" t="inlineStr">
        <is>
          <t xml:space="preserve">2018-05</t>
        </is>
      </c>
      <c r="C4699" s="2" t="inlineStr">
        <is>
          <t xml:space="preserve">2017/18</t>
        </is>
      </c>
      <c r="D4699">
        <v>0.413</v>
      </c>
      <c r="E4699">
        <v>24.26</v>
      </c>
      <c r="F4699">
        <v>31.09</v>
      </c>
      <c r="G4699">
        <v>18.34</v>
      </c>
      <c r="H4699">
        <v>1.77</v>
      </c>
      <c r="I4699">
        <v>0.795</v>
      </c>
      <c r="J4699">
        <v>24.45</v>
      </c>
      <c r="K4699">
        <v>29.59</v>
      </c>
      <c r="L4699">
        <v>19.91</v>
      </c>
      <c r="M4699">
        <v>4.27</v>
      </c>
      <c r="N4699">
        <v>0.043</v>
      </c>
      <c r="O4699">
        <v>24.02</v>
      </c>
      <c r="P4699">
        <v>29.64</v>
      </c>
      <c r="Q4699">
        <v>19.07</v>
      </c>
      <c r="R4699">
        <v>0.19</v>
      </c>
    </row>
    <row r="4700">
      <c r="A4700" s="9">
        <v>43231</v>
      </c>
      <c r="B4700" s="2" t="inlineStr">
        <is>
          <t xml:space="preserve">2018-05</t>
        </is>
      </c>
      <c r="C4700" s="2" t="inlineStr">
        <is>
          <t xml:space="preserve">2017/18</t>
        </is>
      </c>
      <c r="D4700">
        <v>0.0</v>
      </c>
      <c r="E4700">
        <v>24.62</v>
      </c>
      <c r="F4700">
        <v>31.08</v>
      </c>
      <c r="G4700">
        <v>19.36</v>
      </c>
      <c r="H4700">
        <v>4.59</v>
      </c>
      <c r="I4700">
        <v>9.154</v>
      </c>
      <c r="J4700">
        <v>24.52</v>
      </c>
      <c r="K4700">
        <v>31.36</v>
      </c>
      <c r="L4700">
        <v>18.83</v>
      </c>
      <c r="M4700">
        <v>7.52</v>
      </c>
      <c r="N4700">
        <v>0.237</v>
      </c>
      <c r="O4700">
        <v>24.64</v>
      </c>
      <c r="P4700">
        <v>31.96</v>
      </c>
      <c r="Q4700">
        <v>19.02</v>
      </c>
      <c r="R4700">
        <v>3.73</v>
      </c>
    </row>
    <row r="4701">
      <c r="A4701" s="9">
        <v>43232</v>
      </c>
      <c r="B4701" s="2" t="inlineStr">
        <is>
          <t xml:space="preserve">2018-05</t>
        </is>
      </c>
      <c r="C4701" s="2" t="inlineStr">
        <is>
          <t xml:space="preserve">2017/18</t>
        </is>
      </c>
      <c r="D4701">
        <v>14.453</v>
      </c>
      <c r="E4701">
        <v>23.99</v>
      </c>
      <c r="F4701">
        <v>29.53</v>
      </c>
      <c r="G4701">
        <v>19.93</v>
      </c>
      <c r="H4701">
        <v>5.58</v>
      </c>
      <c r="I4701">
        <v>13.713</v>
      </c>
      <c r="J4701">
        <v>23.81</v>
      </c>
      <c r="K4701">
        <v>28.36</v>
      </c>
      <c r="L4701">
        <v>20.74</v>
      </c>
      <c r="M4701">
        <v>9.05</v>
      </c>
      <c r="N4701">
        <v>3.84</v>
      </c>
      <c r="O4701">
        <v>24.44</v>
      </c>
      <c r="P4701">
        <v>29.45</v>
      </c>
      <c r="Q4701">
        <v>20.92</v>
      </c>
      <c r="R4701">
        <v>3.59</v>
      </c>
    </row>
    <row r="4702">
      <c r="A4702" s="9">
        <v>43233</v>
      </c>
      <c r="B4702" s="2" t="inlineStr">
        <is>
          <t xml:space="preserve">2018-05</t>
        </is>
      </c>
      <c r="C4702" s="2" t="inlineStr">
        <is>
          <t xml:space="preserve">2017/18</t>
        </is>
      </c>
      <c r="D4702">
        <v>3.612</v>
      </c>
      <c r="E4702">
        <v>24.45</v>
      </c>
      <c r="F4702">
        <v>30.5</v>
      </c>
      <c r="G4702">
        <v>19.18</v>
      </c>
      <c r="H4702">
        <v>2.89</v>
      </c>
      <c r="I4702">
        <v>20.986</v>
      </c>
      <c r="J4702">
        <v>24.67</v>
      </c>
      <c r="K4702">
        <v>30.43</v>
      </c>
      <c r="L4702">
        <v>20.09</v>
      </c>
      <c r="M4702">
        <v>14.56</v>
      </c>
      <c r="N4702">
        <v>1.269</v>
      </c>
      <c r="O4702">
        <v>25.34</v>
      </c>
      <c r="P4702">
        <v>31.63</v>
      </c>
      <c r="Q4702">
        <v>20.31</v>
      </c>
      <c r="R4702">
        <v>7.34</v>
      </c>
    </row>
    <row r="4703">
      <c r="A4703" s="9">
        <v>43234</v>
      </c>
      <c r="B4703" s="2" t="inlineStr">
        <is>
          <t xml:space="preserve">2018-05</t>
        </is>
      </c>
      <c r="C4703" s="2" t="inlineStr">
        <is>
          <t xml:space="preserve">2017/18</t>
        </is>
      </c>
      <c r="D4703">
        <v>4.349</v>
      </c>
      <c r="E4703">
        <v>23.76</v>
      </c>
      <c r="F4703">
        <v>28.43</v>
      </c>
      <c r="G4703">
        <v>20.31</v>
      </c>
      <c r="H4703">
        <v>11.98</v>
      </c>
      <c r="I4703">
        <v>8.684</v>
      </c>
      <c r="J4703">
        <v>23.9</v>
      </c>
      <c r="K4703">
        <v>29.07</v>
      </c>
      <c r="L4703">
        <v>21.19</v>
      </c>
      <c r="M4703">
        <v>9.24</v>
      </c>
      <c r="N4703">
        <v>21.511</v>
      </c>
      <c r="O4703">
        <v>24.7</v>
      </c>
      <c r="P4703">
        <v>30.81</v>
      </c>
      <c r="Q4703">
        <v>20.64</v>
      </c>
      <c r="R4703">
        <v>6.5</v>
      </c>
    </row>
    <row r="4704">
      <c r="A4704" s="9">
        <v>43235</v>
      </c>
      <c r="B4704" s="2" t="inlineStr">
        <is>
          <t xml:space="preserve">2018-05</t>
        </is>
      </c>
      <c r="C4704" s="2" t="inlineStr">
        <is>
          <t xml:space="preserve">2017/18</t>
        </is>
      </c>
      <c r="D4704">
        <v>26.075</v>
      </c>
      <c r="E4704">
        <v>23.95</v>
      </c>
      <c r="F4704">
        <v>29.97</v>
      </c>
      <c r="G4704">
        <v>19.16</v>
      </c>
      <c r="H4704">
        <v>12.34</v>
      </c>
      <c r="I4704">
        <v>5.96</v>
      </c>
      <c r="J4704">
        <v>24.89</v>
      </c>
      <c r="K4704">
        <v>31.42</v>
      </c>
      <c r="L4704">
        <v>19.66</v>
      </c>
      <c r="M4704">
        <v>10.7</v>
      </c>
      <c r="N4704">
        <v>22.786</v>
      </c>
      <c r="O4704">
        <v>25.19</v>
      </c>
      <c r="P4704">
        <v>32.25</v>
      </c>
      <c r="Q4704">
        <v>20.01</v>
      </c>
      <c r="R4704">
        <v>10.85</v>
      </c>
    </row>
    <row r="4705">
      <c r="A4705" s="9">
        <v>43236</v>
      </c>
      <c r="B4705" s="2" t="inlineStr">
        <is>
          <t xml:space="preserve">2018-05</t>
        </is>
      </c>
      <c r="C4705" s="2" t="inlineStr">
        <is>
          <t xml:space="preserve">2017/18</t>
        </is>
      </c>
      <c r="D4705">
        <v>14.018</v>
      </c>
      <c r="E4705">
        <v>24.54</v>
      </c>
      <c r="F4705">
        <v>31.4</v>
      </c>
      <c r="G4705">
        <v>19.18</v>
      </c>
      <c r="H4705">
        <v>8.19</v>
      </c>
      <c r="I4705">
        <v>7.842</v>
      </c>
      <c r="J4705">
        <v>25.65</v>
      </c>
      <c r="K4705">
        <v>32.81</v>
      </c>
      <c r="L4705">
        <v>20.08</v>
      </c>
      <c r="M4705">
        <v>4.73</v>
      </c>
      <c r="N4705">
        <v>0.675</v>
      </c>
      <c r="O4705">
        <v>25.69</v>
      </c>
      <c r="P4705">
        <v>33.0</v>
      </c>
      <c r="Q4705">
        <v>20.51</v>
      </c>
      <c r="R4705">
        <v>1.34</v>
      </c>
    </row>
    <row r="4706">
      <c r="A4706" s="9">
        <v>43237</v>
      </c>
      <c r="B4706" s="2" t="inlineStr">
        <is>
          <t xml:space="preserve">2018-05</t>
        </is>
      </c>
      <c r="C4706" s="2" t="inlineStr">
        <is>
          <t xml:space="preserve">2017/18</t>
        </is>
      </c>
      <c r="D4706">
        <v>2.088</v>
      </c>
      <c r="E4706">
        <v>24.32</v>
      </c>
      <c r="F4706">
        <v>31.22</v>
      </c>
      <c r="G4706">
        <v>19.2</v>
      </c>
      <c r="H4706">
        <v>6.06</v>
      </c>
      <c r="I4706">
        <v>5.255</v>
      </c>
      <c r="J4706">
        <v>25.26</v>
      </c>
      <c r="K4706">
        <v>32.29</v>
      </c>
      <c r="L4706">
        <v>18.83</v>
      </c>
      <c r="M4706">
        <v>0.84</v>
      </c>
      <c r="N4706">
        <v>0.145</v>
      </c>
      <c r="O4706">
        <v>25.8</v>
      </c>
      <c r="P4706">
        <v>33.28</v>
      </c>
      <c r="Q4706">
        <v>19.83</v>
      </c>
      <c r="R4706">
        <v>0.3</v>
      </c>
    </row>
    <row r="4707">
      <c r="A4707" s="9">
        <v>43238</v>
      </c>
      <c r="B4707" s="2" t="inlineStr">
        <is>
          <t xml:space="preserve">2018-05</t>
        </is>
      </c>
      <c r="C4707" s="2" t="inlineStr">
        <is>
          <t xml:space="preserve">2017/18</t>
        </is>
      </c>
      <c r="D4707">
        <v>7.363</v>
      </c>
      <c r="E4707">
        <v>23.91</v>
      </c>
      <c r="F4707">
        <v>30.19</v>
      </c>
      <c r="G4707">
        <v>19.87</v>
      </c>
      <c r="H4707">
        <v>3.95</v>
      </c>
      <c r="I4707">
        <v>0.036</v>
      </c>
      <c r="J4707">
        <v>25.4</v>
      </c>
      <c r="K4707">
        <v>32.38</v>
      </c>
      <c r="L4707">
        <v>19.76</v>
      </c>
      <c r="M4707">
        <v>3.9</v>
      </c>
      <c r="N4707">
        <v>0.046</v>
      </c>
      <c r="O4707">
        <v>25.75</v>
      </c>
      <c r="P4707">
        <v>33.24</v>
      </c>
      <c r="Q4707">
        <v>19.95</v>
      </c>
      <c r="R4707">
        <v>2.28</v>
      </c>
    </row>
    <row r="4708">
      <c r="A4708" s="9">
        <v>43239</v>
      </c>
      <c r="B4708" s="2" t="inlineStr">
        <is>
          <t xml:space="preserve">2018-05</t>
        </is>
      </c>
      <c r="C4708" s="2" t="inlineStr">
        <is>
          <t xml:space="preserve">2017/18</t>
        </is>
      </c>
      <c r="D4708">
        <v>7.367</v>
      </c>
      <c r="E4708">
        <v>22.53</v>
      </c>
      <c r="F4708">
        <v>25.7</v>
      </c>
      <c r="G4708">
        <v>20.66</v>
      </c>
      <c r="H4708">
        <v>6.45</v>
      </c>
      <c r="I4708">
        <v>13.689</v>
      </c>
      <c r="J4708">
        <v>24.5</v>
      </c>
      <c r="K4708">
        <v>30.1</v>
      </c>
      <c r="L4708">
        <v>20.5</v>
      </c>
      <c r="M4708">
        <v>17.58</v>
      </c>
      <c r="N4708">
        <v>42.184</v>
      </c>
      <c r="O4708">
        <v>25.2</v>
      </c>
      <c r="P4708">
        <v>31.27</v>
      </c>
      <c r="Q4708">
        <v>21.01</v>
      </c>
      <c r="R4708">
        <v>15.86</v>
      </c>
    </row>
    <row r="4709">
      <c r="A4709" s="9">
        <v>43240</v>
      </c>
      <c r="B4709" s="2" t="inlineStr">
        <is>
          <t xml:space="preserve">2018-05</t>
        </is>
      </c>
      <c r="C4709" s="2" t="inlineStr">
        <is>
          <t xml:space="preserve">2017/18</t>
        </is>
      </c>
      <c r="D4709">
        <v>4.909</v>
      </c>
      <c r="E4709">
        <v>24.23</v>
      </c>
      <c r="F4709">
        <v>30.73</v>
      </c>
      <c r="G4709">
        <v>19.52</v>
      </c>
      <c r="H4709">
        <v>5.46</v>
      </c>
      <c r="I4709">
        <v>1.686</v>
      </c>
      <c r="J4709">
        <v>25.02</v>
      </c>
      <c r="K4709">
        <v>31.0</v>
      </c>
      <c r="L4709">
        <v>20.43</v>
      </c>
      <c r="M4709">
        <v>3.36</v>
      </c>
      <c r="N4709">
        <v>3.347</v>
      </c>
      <c r="O4709">
        <v>25.51</v>
      </c>
      <c r="P4709">
        <v>31.75</v>
      </c>
      <c r="Q4709">
        <v>20.94</v>
      </c>
      <c r="R4709">
        <v>1.39</v>
      </c>
    </row>
    <row r="4710">
      <c r="A4710" s="9">
        <v>43241</v>
      </c>
      <c r="B4710" s="2" t="inlineStr">
        <is>
          <t xml:space="preserve">2018-05</t>
        </is>
      </c>
      <c r="C4710" s="2" t="inlineStr">
        <is>
          <t xml:space="preserve">2017/18</t>
        </is>
      </c>
      <c r="D4710">
        <v>1.41</v>
      </c>
      <c r="E4710">
        <v>24.61</v>
      </c>
      <c r="F4710">
        <v>31.83</v>
      </c>
      <c r="G4710">
        <v>19.29</v>
      </c>
      <c r="H4710">
        <v>3.69</v>
      </c>
      <c r="I4710">
        <v>8.99</v>
      </c>
      <c r="J4710">
        <v>25.21</v>
      </c>
      <c r="K4710">
        <v>31.43</v>
      </c>
      <c r="L4710">
        <v>20.86</v>
      </c>
      <c r="M4710">
        <v>3.97</v>
      </c>
      <c r="N4710">
        <v>0.321</v>
      </c>
      <c r="O4710">
        <v>25.7</v>
      </c>
      <c r="P4710">
        <v>32.6</v>
      </c>
      <c r="Q4710">
        <v>20.57</v>
      </c>
      <c r="R4710">
        <v>0.97</v>
      </c>
    </row>
    <row r="4711">
      <c r="A4711" s="9">
        <v>43242</v>
      </c>
      <c r="B4711" s="2" t="inlineStr">
        <is>
          <t xml:space="preserve">2018-05</t>
        </is>
      </c>
      <c r="C4711" s="2" t="inlineStr">
        <is>
          <t xml:space="preserve">2017/18</t>
        </is>
      </c>
      <c r="D4711">
        <v>2.631</v>
      </c>
      <c r="E4711">
        <v>24.39</v>
      </c>
      <c r="F4711">
        <v>31.88</v>
      </c>
      <c r="G4711">
        <v>18.08</v>
      </c>
      <c r="H4711">
        <v>2.62</v>
      </c>
      <c r="I4711">
        <v>11.323</v>
      </c>
      <c r="J4711">
        <v>24.96</v>
      </c>
      <c r="K4711">
        <v>30.5</v>
      </c>
      <c r="L4711">
        <v>20.41</v>
      </c>
      <c r="M4711">
        <v>5.82</v>
      </c>
      <c r="N4711">
        <v>0.701</v>
      </c>
      <c r="O4711">
        <v>25.93</v>
      </c>
      <c r="P4711">
        <v>32.25</v>
      </c>
      <c r="Q4711">
        <v>20.77</v>
      </c>
      <c r="R4711">
        <v>1.03</v>
      </c>
    </row>
    <row r="4712">
      <c r="A4712" s="9">
        <v>43243</v>
      </c>
      <c r="B4712" s="2" t="inlineStr">
        <is>
          <t xml:space="preserve">2018-05</t>
        </is>
      </c>
      <c r="C4712" s="2" t="inlineStr">
        <is>
          <t xml:space="preserve">2017/18</t>
        </is>
      </c>
      <c r="D4712">
        <v>0.962</v>
      </c>
      <c r="E4712">
        <v>23.56</v>
      </c>
      <c r="F4712">
        <v>29.26</v>
      </c>
      <c r="G4712">
        <v>19.49</v>
      </c>
      <c r="H4712">
        <v>3.49</v>
      </c>
      <c r="I4712">
        <v>0.0</v>
      </c>
      <c r="J4712">
        <v>22.71</v>
      </c>
      <c r="K4712">
        <v>25.17</v>
      </c>
      <c r="L4712">
        <v>19.92</v>
      </c>
      <c r="M4712">
        <v>1.69</v>
      </c>
      <c r="N4712">
        <v>0.0</v>
      </c>
      <c r="O4712">
        <v>24.04</v>
      </c>
      <c r="P4712">
        <v>27.85</v>
      </c>
      <c r="Q4712">
        <v>20.92</v>
      </c>
      <c r="R4712">
        <v>0.89</v>
      </c>
    </row>
    <row r="4713">
      <c r="A4713" s="9">
        <v>43244</v>
      </c>
      <c r="B4713" s="2" t="inlineStr">
        <is>
          <t xml:space="preserve">2018-05</t>
        </is>
      </c>
      <c r="C4713" s="2" t="inlineStr">
        <is>
          <t xml:space="preserve">2017/18</t>
        </is>
      </c>
      <c r="D4713">
        <v>13.536</v>
      </c>
      <c r="E4713">
        <v>22.94</v>
      </c>
      <c r="F4713">
        <v>27.64</v>
      </c>
      <c r="G4713">
        <v>20.19</v>
      </c>
      <c r="H4713">
        <v>8.4</v>
      </c>
      <c r="I4713">
        <v>11.623</v>
      </c>
      <c r="J4713">
        <v>24.06</v>
      </c>
      <c r="K4713">
        <v>29.5</v>
      </c>
      <c r="L4713">
        <v>19.28</v>
      </c>
      <c r="M4713">
        <v>8.79</v>
      </c>
      <c r="N4713">
        <v>2.966</v>
      </c>
      <c r="O4713">
        <v>24.9</v>
      </c>
      <c r="P4713">
        <v>29.97</v>
      </c>
      <c r="Q4713">
        <v>19.55</v>
      </c>
      <c r="R4713">
        <v>6.19</v>
      </c>
    </row>
    <row r="4714">
      <c r="A4714" s="9">
        <v>43245</v>
      </c>
      <c r="B4714" s="2" t="inlineStr">
        <is>
          <t xml:space="preserve">2018-05</t>
        </is>
      </c>
      <c r="C4714" s="2" t="inlineStr">
        <is>
          <t xml:space="preserve">2017/18</t>
        </is>
      </c>
      <c r="D4714">
        <v>20.44</v>
      </c>
      <c r="E4714">
        <v>22.43</v>
      </c>
      <c r="F4714">
        <v>25.18</v>
      </c>
      <c r="G4714">
        <v>20.63</v>
      </c>
      <c r="H4714">
        <v>13.89</v>
      </c>
      <c r="I4714">
        <v>7.999</v>
      </c>
      <c r="J4714">
        <v>23.71</v>
      </c>
      <c r="K4714">
        <v>28.13</v>
      </c>
      <c r="L4714">
        <v>20.82</v>
      </c>
      <c r="M4714">
        <v>10.31</v>
      </c>
      <c r="N4714">
        <v>19.633</v>
      </c>
      <c r="O4714">
        <v>24.77</v>
      </c>
      <c r="P4714">
        <v>29.7</v>
      </c>
      <c r="Q4714">
        <v>20.95</v>
      </c>
      <c r="R4714">
        <v>9.4</v>
      </c>
    </row>
    <row r="4715">
      <c r="A4715" s="9">
        <v>43246</v>
      </c>
      <c r="B4715" s="2" t="inlineStr">
        <is>
          <t xml:space="preserve">2018-05</t>
        </is>
      </c>
      <c r="C4715" s="2" t="inlineStr">
        <is>
          <t xml:space="preserve">2017/18</t>
        </is>
      </c>
      <c r="D4715">
        <v>0.878</v>
      </c>
      <c r="E4715">
        <v>23.53</v>
      </c>
      <c r="F4715">
        <v>29.03</v>
      </c>
      <c r="G4715">
        <v>20.08</v>
      </c>
      <c r="H4715">
        <v>2.98</v>
      </c>
      <c r="I4715">
        <v>6.573</v>
      </c>
      <c r="J4715">
        <v>23.51</v>
      </c>
      <c r="K4715">
        <v>28.25</v>
      </c>
      <c r="L4715">
        <v>19.91</v>
      </c>
      <c r="M4715">
        <v>3.52</v>
      </c>
      <c r="N4715">
        <v>0.225</v>
      </c>
      <c r="O4715">
        <v>24.89</v>
      </c>
      <c r="P4715">
        <v>30.11</v>
      </c>
      <c r="Q4715">
        <v>21.23</v>
      </c>
      <c r="R4715">
        <v>0.83</v>
      </c>
    </row>
    <row r="4716">
      <c r="A4716" s="9">
        <v>43247</v>
      </c>
      <c r="B4716" s="2" t="inlineStr">
        <is>
          <t xml:space="preserve">2018-05</t>
        </is>
      </c>
      <c r="C4716" s="2" t="inlineStr">
        <is>
          <t xml:space="preserve">2017/18</t>
        </is>
      </c>
      <c r="D4716">
        <v>27.787</v>
      </c>
      <c r="E4716">
        <v>23.18</v>
      </c>
      <c r="F4716">
        <v>28.33</v>
      </c>
      <c r="G4716">
        <v>19.88</v>
      </c>
      <c r="H4716">
        <v>18.26</v>
      </c>
      <c r="I4716">
        <v>3.687</v>
      </c>
      <c r="J4716">
        <v>23.94</v>
      </c>
      <c r="K4716">
        <v>29.43</v>
      </c>
      <c r="L4716">
        <v>20.06</v>
      </c>
      <c r="M4716">
        <v>5.01</v>
      </c>
      <c r="N4716">
        <v>1.567</v>
      </c>
      <c r="O4716">
        <v>25.63</v>
      </c>
      <c r="P4716">
        <v>31.76</v>
      </c>
      <c r="Q4716">
        <v>21.1</v>
      </c>
      <c r="R4716">
        <v>5.5</v>
      </c>
    </row>
    <row r="4717">
      <c r="A4717" s="9">
        <v>43248</v>
      </c>
      <c r="B4717" s="2" t="inlineStr">
        <is>
          <t xml:space="preserve">2018-05</t>
        </is>
      </c>
      <c r="C4717" s="2" t="inlineStr">
        <is>
          <t xml:space="preserve">2017/18</t>
        </is>
      </c>
      <c r="D4717">
        <v>0.626</v>
      </c>
      <c r="E4717">
        <v>23.28</v>
      </c>
      <c r="F4717">
        <v>29.66</v>
      </c>
      <c r="G4717">
        <v>18.47</v>
      </c>
      <c r="H4717">
        <v>11.48</v>
      </c>
      <c r="I4717">
        <v>4.104</v>
      </c>
      <c r="J4717">
        <v>23.83</v>
      </c>
      <c r="K4717">
        <v>29.31</v>
      </c>
      <c r="L4717">
        <v>20.0</v>
      </c>
      <c r="M4717">
        <v>4.75</v>
      </c>
      <c r="N4717">
        <v>1.402</v>
      </c>
      <c r="O4717">
        <v>25.48</v>
      </c>
      <c r="P4717">
        <v>32.92</v>
      </c>
      <c r="Q4717">
        <v>20.6</v>
      </c>
      <c r="R4717">
        <v>5.55</v>
      </c>
    </row>
    <row r="4718">
      <c r="A4718" s="9">
        <v>43249</v>
      </c>
      <c r="B4718" s="2" t="inlineStr">
        <is>
          <t xml:space="preserve">2018-05</t>
        </is>
      </c>
      <c r="C4718" s="2" t="inlineStr">
        <is>
          <t xml:space="preserve">2017/18</t>
        </is>
      </c>
      <c r="D4718">
        <v>45.353</v>
      </c>
      <c r="E4718">
        <v>23.36</v>
      </c>
      <c r="F4718">
        <v>28.6</v>
      </c>
      <c r="G4718">
        <v>19.72</v>
      </c>
      <c r="H4718">
        <v>15.98</v>
      </c>
      <c r="I4718">
        <v>3.144</v>
      </c>
      <c r="J4718">
        <v>24.1</v>
      </c>
      <c r="K4718">
        <v>29.75</v>
      </c>
      <c r="L4718">
        <v>20.48</v>
      </c>
      <c r="M4718">
        <v>5.51</v>
      </c>
      <c r="N4718">
        <v>9.809</v>
      </c>
      <c r="O4718">
        <v>25.36</v>
      </c>
      <c r="P4718">
        <v>32.01</v>
      </c>
      <c r="Q4718">
        <v>20.92</v>
      </c>
      <c r="R4718">
        <v>7.73</v>
      </c>
    </row>
    <row r="4719">
      <c r="A4719" s="9">
        <v>43250</v>
      </c>
      <c r="B4719" s="2" t="inlineStr">
        <is>
          <t xml:space="preserve">2018-05</t>
        </is>
      </c>
      <c r="C4719" s="2" t="inlineStr">
        <is>
          <t xml:space="preserve">2017/18</t>
        </is>
      </c>
      <c r="D4719">
        <v>1.629</v>
      </c>
      <c r="E4719">
        <v>22.98</v>
      </c>
      <c r="F4719">
        <v>27.51</v>
      </c>
      <c r="G4719">
        <v>19.95</v>
      </c>
      <c r="H4719">
        <v>2.39</v>
      </c>
      <c r="I4719">
        <v>4.876</v>
      </c>
      <c r="J4719">
        <v>24.53</v>
      </c>
      <c r="K4719">
        <v>30.37</v>
      </c>
      <c r="L4719">
        <v>20.27</v>
      </c>
      <c r="M4719">
        <v>4.95</v>
      </c>
      <c r="N4719">
        <v>6.489</v>
      </c>
      <c r="O4719">
        <v>25.93</v>
      </c>
      <c r="P4719">
        <v>32.98</v>
      </c>
      <c r="Q4719">
        <v>20.92</v>
      </c>
      <c r="R4719">
        <v>1.81</v>
      </c>
    </row>
    <row r="4720">
      <c r="A4720" s="9">
        <v>43251</v>
      </c>
      <c r="B4720" s="2" t="inlineStr">
        <is>
          <t xml:space="preserve">2018-05</t>
        </is>
      </c>
      <c r="C4720" s="2" t="inlineStr">
        <is>
          <t xml:space="preserve">2017/18</t>
        </is>
      </c>
      <c r="D4720">
        <v>4.594</v>
      </c>
      <c r="E4720">
        <v>22.59</v>
      </c>
      <c r="F4720">
        <v>27.28</v>
      </c>
      <c r="G4720">
        <v>18.93</v>
      </c>
      <c r="H4720">
        <v>5.29</v>
      </c>
      <c r="I4720">
        <v>13.294</v>
      </c>
      <c r="J4720">
        <v>23.7</v>
      </c>
      <c r="K4720">
        <v>28.21</v>
      </c>
      <c r="L4720">
        <v>20.43</v>
      </c>
      <c r="M4720">
        <v>12.34</v>
      </c>
      <c r="N4720">
        <v>1.62</v>
      </c>
      <c r="O4720">
        <v>24.68</v>
      </c>
      <c r="P4720">
        <v>31.0</v>
      </c>
      <c r="Q4720">
        <v>20.66</v>
      </c>
      <c r="R4720">
        <v>6.29</v>
      </c>
    </row>
    <row r="4721">
      <c r="A4721" s="9">
        <v>43252</v>
      </c>
      <c r="B4721" s="2" t="inlineStr">
        <is>
          <t xml:space="preserve">2018-06</t>
        </is>
      </c>
      <c r="C4721" s="2" t="inlineStr">
        <is>
          <t xml:space="preserve">2017/18</t>
        </is>
      </c>
      <c r="D4721">
        <v>8.971</v>
      </c>
      <c r="E4721">
        <v>22.36</v>
      </c>
      <c r="F4721">
        <v>27.93</v>
      </c>
      <c r="G4721">
        <v>18.52</v>
      </c>
      <c r="H4721">
        <v>5.35</v>
      </c>
      <c r="I4721">
        <v>13.973</v>
      </c>
      <c r="J4721">
        <v>23.56</v>
      </c>
      <c r="K4721">
        <v>27.77</v>
      </c>
      <c r="L4721">
        <v>19.58</v>
      </c>
      <c r="M4721">
        <v>10.68</v>
      </c>
      <c r="N4721">
        <v>12.992</v>
      </c>
      <c r="O4721">
        <v>24.06</v>
      </c>
      <c r="P4721">
        <v>30.04</v>
      </c>
      <c r="Q4721">
        <v>19.8</v>
      </c>
      <c r="R4721">
        <v>9.22</v>
      </c>
    </row>
    <row r="4722">
      <c r="A4722" s="9">
        <v>43253</v>
      </c>
      <c r="B4722" s="2" t="inlineStr">
        <is>
          <t xml:space="preserve">2018-06</t>
        </is>
      </c>
      <c r="C4722" s="2" t="inlineStr">
        <is>
          <t xml:space="preserve">2017/18</t>
        </is>
      </c>
      <c r="D4722">
        <v>2.204</v>
      </c>
      <c r="E4722">
        <v>22.55</v>
      </c>
      <c r="F4722">
        <v>27.96</v>
      </c>
      <c r="G4722">
        <v>17.91</v>
      </c>
      <c r="H4722">
        <v>1.46</v>
      </c>
      <c r="I4722">
        <v>7.05</v>
      </c>
      <c r="J4722">
        <v>22.47</v>
      </c>
      <c r="K4722">
        <v>26.43</v>
      </c>
      <c r="L4722">
        <v>19.44</v>
      </c>
      <c r="M4722">
        <v>10.76</v>
      </c>
      <c r="N4722">
        <v>26.929</v>
      </c>
      <c r="O4722">
        <v>22.44</v>
      </c>
      <c r="P4722">
        <v>26.65</v>
      </c>
      <c r="Q4722">
        <v>20.22</v>
      </c>
      <c r="R4722">
        <v>7.79</v>
      </c>
    </row>
    <row r="4723">
      <c r="A4723" s="9">
        <v>43254</v>
      </c>
      <c r="B4723" s="2" t="inlineStr">
        <is>
          <t xml:space="preserve">2018-06</t>
        </is>
      </c>
      <c r="C4723" s="2" t="inlineStr">
        <is>
          <t xml:space="preserve">2017/18</t>
        </is>
      </c>
      <c r="D4723">
        <v>1.649</v>
      </c>
      <c r="E4723">
        <v>21.79</v>
      </c>
      <c r="F4723">
        <v>26.63</v>
      </c>
      <c r="G4723">
        <v>18.74</v>
      </c>
      <c r="H4723">
        <v>5.01</v>
      </c>
      <c r="I4723">
        <v>12.262</v>
      </c>
      <c r="J4723">
        <v>21.62</v>
      </c>
      <c r="K4723">
        <v>24.52</v>
      </c>
      <c r="L4723">
        <v>19.42</v>
      </c>
      <c r="M4723">
        <v>21.87</v>
      </c>
      <c r="N4723">
        <v>47.054</v>
      </c>
      <c r="O4723">
        <v>21.95</v>
      </c>
      <c r="P4723">
        <v>25.1</v>
      </c>
      <c r="Q4723">
        <v>20.01</v>
      </c>
      <c r="R4723">
        <v>21.08</v>
      </c>
    </row>
    <row r="4724">
      <c r="A4724" s="9">
        <v>43255</v>
      </c>
      <c r="B4724" s="2" t="inlineStr">
        <is>
          <t xml:space="preserve">2018-06</t>
        </is>
      </c>
      <c r="C4724" s="2" t="inlineStr">
        <is>
          <t xml:space="preserve">2017/18</t>
        </is>
      </c>
      <c r="D4724">
        <v>6.935</v>
      </c>
      <c r="E4724">
        <v>21.86</v>
      </c>
      <c r="F4724">
        <v>26.48</v>
      </c>
      <c r="G4724">
        <v>18.76</v>
      </c>
      <c r="H4724">
        <v>5.74</v>
      </c>
      <c r="I4724">
        <v>3.15</v>
      </c>
      <c r="J4724">
        <v>22.28</v>
      </c>
      <c r="K4724">
        <v>26.39</v>
      </c>
      <c r="L4724">
        <v>19.69</v>
      </c>
      <c r="M4724">
        <v>5.25</v>
      </c>
      <c r="N4724">
        <v>11.982</v>
      </c>
      <c r="O4724">
        <v>22.47</v>
      </c>
      <c r="P4724">
        <v>26.69</v>
      </c>
      <c r="Q4724">
        <v>20.23</v>
      </c>
      <c r="R4724">
        <v>6.42</v>
      </c>
    </row>
    <row r="4725">
      <c r="A4725" s="9">
        <v>43256</v>
      </c>
      <c r="B4725" s="2" t="inlineStr">
        <is>
          <t xml:space="preserve">2018-06</t>
        </is>
      </c>
      <c r="C4725" s="2" t="inlineStr">
        <is>
          <t xml:space="preserve">2017/18</t>
        </is>
      </c>
      <c r="D4725">
        <v>3.124</v>
      </c>
      <c r="E4725">
        <v>21.29</v>
      </c>
      <c r="F4725">
        <v>25.0</v>
      </c>
      <c r="G4725">
        <v>19.03</v>
      </c>
      <c r="H4725">
        <v>18.05</v>
      </c>
      <c r="I4725">
        <v>7.567</v>
      </c>
      <c r="J4725">
        <v>21.46</v>
      </c>
      <c r="K4725">
        <v>23.85</v>
      </c>
      <c r="L4725">
        <v>19.47</v>
      </c>
      <c r="M4725">
        <v>20.21</v>
      </c>
      <c r="N4725">
        <v>20.431</v>
      </c>
      <c r="O4725">
        <v>22.06</v>
      </c>
      <c r="P4725">
        <v>25.16</v>
      </c>
      <c r="Q4725">
        <v>20.24</v>
      </c>
      <c r="R4725">
        <v>20.48</v>
      </c>
    </row>
    <row r="4726">
      <c r="A4726" s="9">
        <v>43257</v>
      </c>
      <c r="B4726" s="2" t="inlineStr">
        <is>
          <t xml:space="preserve">2018-06</t>
        </is>
      </c>
      <c r="C4726" s="2" t="inlineStr">
        <is>
          <t xml:space="preserve">2017/18</t>
        </is>
      </c>
      <c r="D4726">
        <v>27.278</v>
      </c>
      <c r="E4726">
        <v>22.15</v>
      </c>
      <c r="F4726">
        <v>28.04</v>
      </c>
      <c r="G4726">
        <v>18.02</v>
      </c>
      <c r="H4726">
        <v>2.89</v>
      </c>
      <c r="I4726">
        <v>41.285</v>
      </c>
      <c r="J4726">
        <v>23.55</v>
      </c>
      <c r="K4726">
        <v>28.01</v>
      </c>
      <c r="L4726">
        <v>20.21</v>
      </c>
      <c r="M4726">
        <v>17.44</v>
      </c>
      <c r="N4726">
        <v>24.245</v>
      </c>
      <c r="O4726">
        <v>23.86</v>
      </c>
      <c r="P4726">
        <v>29.52</v>
      </c>
      <c r="Q4726">
        <v>19.63</v>
      </c>
      <c r="R4726">
        <v>2.68</v>
      </c>
    </row>
    <row r="4727">
      <c r="A4727" s="9">
        <v>43258</v>
      </c>
      <c r="B4727" s="2" t="inlineStr">
        <is>
          <t xml:space="preserve">2018-06</t>
        </is>
      </c>
      <c r="C4727" s="2" t="inlineStr">
        <is>
          <t xml:space="preserve">2017/18</t>
        </is>
      </c>
      <c r="D4727">
        <v>8.91</v>
      </c>
      <c r="E4727">
        <v>22.27</v>
      </c>
      <c r="F4727">
        <v>27.68</v>
      </c>
      <c r="G4727">
        <v>18.07</v>
      </c>
      <c r="H4727">
        <v>22.46</v>
      </c>
      <c r="I4727">
        <v>6.061</v>
      </c>
      <c r="J4727">
        <v>22.95</v>
      </c>
      <c r="K4727">
        <v>27.63</v>
      </c>
      <c r="L4727">
        <v>19.81</v>
      </c>
      <c r="M4727">
        <v>12.3</v>
      </c>
      <c r="N4727">
        <v>0.59</v>
      </c>
      <c r="O4727">
        <v>23.59</v>
      </c>
      <c r="P4727">
        <v>28.82</v>
      </c>
      <c r="Q4727">
        <v>19.93</v>
      </c>
      <c r="R4727">
        <v>12.39</v>
      </c>
    </row>
    <row r="4728">
      <c r="A4728" s="9">
        <v>43259</v>
      </c>
      <c r="B4728" s="2" t="inlineStr">
        <is>
          <t xml:space="preserve">2018-06</t>
        </is>
      </c>
      <c r="C4728" s="2" t="inlineStr">
        <is>
          <t xml:space="preserve">2017/18</t>
        </is>
      </c>
      <c r="D4728">
        <v>37.742</v>
      </c>
      <c r="E4728">
        <v>21.01</v>
      </c>
      <c r="F4728">
        <v>25.09</v>
      </c>
      <c r="G4728">
        <v>17.58</v>
      </c>
      <c r="H4728">
        <v>5.61</v>
      </c>
      <c r="I4728">
        <v>21.099</v>
      </c>
      <c r="J4728">
        <v>23.36</v>
      </c>
      <c r="K4728">
        <v>28.23</v>
      </c>
      <c r="L4728">
        <v>20.06</v>
      </c>
      <c r="M4728">
        <v>8.79</v>
      </c>
      <c r="N4728">
        <v>11.611</v>
      </c>
      <c r="O4728">
        <v>23.04</v>
      </c>
      <c r="P4728">
        <v>27.65</v>
      </c>
      <c r="Q4728">
        <v>20.28</v>
      </c>
      <c r="R4728">
        <v>4.56</v>
      </c>
    </row>
    <row r="4729">
      <c r="A4729" s="9">
        <v>43260</v>
      </c>
      <c r="B4729" s="2" t="inlineStr">
        <is>
          <t xml:space="preserve">2018-06</t>
        </is>
      </c>
      <c r="C4729" s="2" t="inlineStr">
        <is>
          <t xml:space="preserve">2017/18</t>
        </is>
      </c>
      <c r="D4729">
        <v>0.0</v>
      </c>
      <c r="E4729">
        <v>20.5</v>
      </c>
      <c r="F4729">
        <v>24.16</v>
      </c>
      <c r="G4729">
        <v>17.56</v>
      </c>
      <c r="H4729">
        <v>0.16</v>
      </c>
      <c r="I4729">
        <v>2.866</v>
      </c>
      <c r="J4729">
        <v>22.54</v>
      </c>
      <c r="K4729">
        <v>26.33</v>
      </c>
      <c r="L4729">
        <v>19.93</v>
      </c>
      <c r="M4729">
        <v>3.49</v>
      </c>
      <c r="N4729">
        <v>0.784</v>
      </c>
      <c r="O4729">
        <v>22.26</v>
      </c>
      <c r="P4729">
        <v>25.97</v>
      </c>
      <c r="Q4729">
        <v>19.96</v>
      </c>
      <c r="R4729">
        <v>0.53</v>
      </c>
    </row>
    <row r="4730">
      <c r="A4730" s="9">
        <v>43261</v>
      </c>
      <c r="B4730" s="2" t="inlineStr">
        <is>
          <t xml:space="preserve">2018-06</t>
        </is>
      </c>
      <c r="C4730" s="2" t="inlineStr">
        <is>
          <t xml:space="preserve">2017/18</t>
        </is>
      </c>
      <c r="D4730">
        <v>1.63</v>
      </c>
      <c r="E4730">
        <v>20.89</v>
      </c>
      <c r="F4730">
        <v>26.01</v>
      </c>
      <c r="G4730">
        <v>16.79</v>
      </c>
      <c r="H4730">
        <v>2.41</v>
      </c>
      <c r="I4730">
        <v>10.614</v>
      </c>
      <c r="J4730">
        <v>22.68</v>
      </c>
      <c r="K4730">
        <v>27.13</v>
      </c>
      <c r="L4730">
        <v>18.92</v>
      </c>
      <c r="M4730">
        <v>9.43</v>
      </c>
      <c r="N4730">
        <v>0.791</v>
      </c>
      <c r="O4730">
        <v>23.06</v>
      </c>
      <c r="P4730">
        <v>28.71</v>
      </c>
      <c r="Q4730">
        <v>19.24</v>
      </c>
      <c r="R4730">
        <v>8.24</v>
      </c>
    </row>
    <row r="4731">
      <c r="A4731" s="9">
        <v>43262</v>
      </c>
      <c r="B4731" s="2" t="inlineStr">
        <is>
          <t xml:space="preserve">2018-06</t>
        </is>
      </c>
      <c r="C4731" s="2" t="inlineStr">
        <is>
          <t xml:space="preserve">2017/18</t>
        </is>
      </c>
      <c r="D4731">
        <v>12.982</v>
      </c>
      <c r="E4731">
        <v>21.89</v>
      </c>
      <c r="F4731">
        <v>26.94</v>
      </c>
      <c r="G4731">
        <v>16.86</v>
      </c>
      <c r="H4731">
        <v>9.09</v>
      </c>
      <c r="I4731">
        <v>6.042</v>
      </c>
      <c r="J4731">
        <v>23.26</v>
      </c>
      <c r="K4731">
        <v>27.24</v>
      </c>
      <c r="L4731">
        <v>19.85</v>
      </c>
      <c r="M4731">
        <v>6.78</v>
      </c>
      <c r="N4731">
        <v>21.079</v>
      </c>
      <c r="O4731">
        <v>23.52</v>
      </c>
      <c r="P4731">
        <v>28.4</v>
      </c>
      <c r="Q4731">
        <v>19.48</v>
      </c>
      <c r="R4731">
        <v>5.82</v>
      </c>
    </row>
    <row r="4732">
      <c r="A4732" s="9">
        <v>43263</v>
      </c>
      <c r="B4732" s="2" t="inlineStr">
        <is>
          <t xml:space="preserve">2018-06</t>
        </is>
      </c>
      <c r="C4732" s="2" t="inlineStr">
        <is>
          <t xml:space="preserve">2017/18</t>
        </is>
      </c>
      <c r="D4732">
        <v>9.569</v>
      </c>
      <c r="E4732">
        <v>21.34</v>
      </c>
      <c r="F4732">
        <v>24.88</v>
      </c>
      <c r="G4732">
        <v>18.81</v>
      </c>
      <c r="H4732">
        <v>7.81</v>
      </c>
      <c r="I4732">
        <v>4.009</v>
      </c>
      <c r="J4732">
        <v>22.42</v>
      </c>
      <c r="K4732">
        <v>25.34</v>
      </c>
      <c r="L4732">
        <v>20.6</v>
      </c>
      <c r="M4732">
        <v>6.44</v>
      </c>
      <c r="N4732">
        <v>14.885</v>
      </c>
      <c r="O4732">
        <v>22.66</v>
      </c>
      <c r="P4732">
        <v>25.46</v>
      </c>
      <c r="Q4732">
        <v>20.96</v>
      </c>
      <c r="R4732">
        <v>6.31</v>
      </c>
    </row>
    <row r="4733">
      <c r="A4733" s="9">
        <v>43264</v>
      </c>
      <c r="B4733" s="2" t="inlineStr">
        <is>
          <t xml:space="preserve">2018-06</t>
        </is>
      </c>
      <c r="C4733" s="2" t="inlineStr">
        <is>
          <t xml:space="preserve">2017/18</t>
        </is>
      </c>
      <c r="D4733">
        <v>6.413</v>
      </c>
      <c r="E4733">
        <v>20.99</v>
      </c>
      <c r="F4733">
        <v>23.84</v>
      </c>
      <c r="G4733">
        <v>19.04</v>
      </c>
      <c r="H4733">
        <v>6.85</v>
      </c>
      <c r="I4733">
        <v>0.892</v>
      </c>
      <c r="J4733">
        <v>22.5</v>
      </c>
      <c r="K4733">
        <v>25.75</v>
      </c>
      <c r="L4733">
        <v>20.1</v>
      </c>
      <c r="M4733">
        <v>6.06</v>
      </c>
      <c r="N4733">
        <v>2.687</v>
      </c>
      <c r="O4733">
        <v>23.13</v>
      </c>
      <c r="P4733">
        <v>26.43</v>
      </c>
      <c r="Q4733">
        <v>20.34</v>
      </c>
      <c r="R4733">
        <v>6.98</v>
      </c>
    </row>
    <row r="4734">
      <c r="A4734" s="9">
        <v>43265</v>
      </c>
      <c r="B4734" s="2" t="inlineStr">
        <is>
          <t xml:space="preserve">2018-06</t>
        </is>
      </c>
      <c r="C4734" s="2" t="inlineStr">
        <is>
          <t xml:space="preserve">2017/18</t>
        </is>
      </c>
      <c r="D4734">
        <v>2.152</v>
      </c>
      <c r="E4734">
        <v>21.31</v>
      </c>
      <c r="F4734">
        <v>25.38</v>
      </c>
      <c r="G4734">
        <v>17.91</v>
      </c>
      <c r="H4734">
        <v>4.55</v>
      </c>
      <c r="I4734">
        <v>3.757</v>
      </c>
      <c r="J4734">
        <v>22.35</v>
      </c>
      <c r="K4734">
        <v>25.26</v>
      </c>
      <c r="L4734">
        <v>20.21</v>
      </c>
      <c r="M4734">
        <v>6.71</v>
      </c>
      <c r="N4734">
        <v>13.677</v>
      </c>
      <c r="O4734">
        <v>22.92</v>
      </c>
      <c r="P4734">
        <v>26.74</v>
      </c>
      <c r="Q4734">
        <v>20.37</v>
      </c>
      <c r="R4734">
        <v>7.62</v>
      </c>
    </row>
    <row r="4735">
      <c r="A4735" s="9">
        <v>43266</v>
      </c>
      <c r="B4735" s="2" t="inlineStr">
        <is>
          <t xml:space="preserve">2018-06</t>
        </is>
      </c>
      <c r="C4735" s="2" t="inlineStr">
        <is>
          <t xml:space="preserve">2017/18</t>
        </is>
      </c>
      <c r="D4735">
        <v>9.423</v>
      </c>
      <c r="E4735">
        <v>20.8</v>
      </c>
      <c r="F4735">
        <v>23.08</v>
      </c>
      <c r="G4735">
        <v>18.83</v>
      </c>
      <c r="H4735">
        <v>8.38</v>
      </c>
      <c r="I4735">
        <v>4.336</v>
      </c>
      <c r="J4735">
        <v>23.11</v>
      </c>
      <c r="K4735">
        <v>27.6</v>
      </c>
      <c r="L4735">
        <v>19.52</v>
      </c>
      <c r="M4735">
        <v>6.28</v>
      </c>
      <c r="N4735">
        <v>13.813</v>
      </c>
      <c r="O4735">
        <v>22.77</v>
      </c>
      <c r="P4735">
        <v>26.41</v>
      </c>
      <c r="Q4735">
        <v>20.83</v>
      </c>
      <c r="R4735">
        <v>11.27</v>
      </c>
    </row>
    <row r="4736">
      <c r="A4736" s="9">
        <v>43267</v>
      </c>
      <c r="B4736" s="2" t="inlineStr">
        <is>
          <t xml:space="preserve">2018-06</t>
        </is>
      </c>
      <c r="C4736" s="2" t="inlineStr">
        <is>
          <t xml:space="preserve">2017/18</t>
        </is>
      </c>
      <c r="D4736">
        <v>2.385</v>
      </c>
      <c r="E4736">
        <v>21.34</v>
      </c>
      <c r="F4736">
        <v>26.3</v>
      </c>
      <c r="G4736">
        <v>17.72</v>
      </c>
      <c r="H4736">
        <v>13.49</v>
      </c>
      <c r="I4736">
        <v>1.104</v>
      </c>
      <c r="J4736">
        <v>22.44</v>
      </c>
      <c r="K4736">
        <v>26.3</v>
      </c>
      <c r="L4736">
        <v>20.13</v>
      </c>
      <c r="M4736">
        <v>16.23</v>
      </c>
      <c r="N4736">
        <v>3.886</v>
      </c>
      <c r="O4736">
        <v>22.62</v>
      </c>
      <c r="P4736">
        <v>26.25</v>
      </c>
      <c r="Q4736">
        <v>20.39</v>
      </c>
      <c r="R4736">
        <v>22.22</v>
      </c>
    </row>
    <row r="4737">
      <c r="A4737" s="9">
        <v>43268</v>
      </c>
      <c r="B4737" s="2" t="inlineStr">
        <is>
          <t xml:space="preserve">2018-06</t>
        </is>
      </c>
      <c r="C4737" s="2" t="inlineStr">
        <is>
          <t xml:space="preserve">2017/18</t>
        </is>
      </c>
      <c r="D4737">
        <v>10.953</v>
      </c>
      <c r="E4737">
        <v>21.79</v>
      </c>
      <c r="F4737">
        <v>25.33</v>
      </c>
      <c r="G4737">
        <v>18.93</v>
      </c>
      <c r="H4737">
        <v>5.49</v>
      </c>
      <c r="I4737">
        <v>11.528</v>
      </c>
      <c r="J4737">
        <v>22.05</v>
      </c>
      <c r="K4737">
        <v>25.59</v>
      </c>
      <c r="L4737">
        <v>19.49</v>
      </c>
      <c r="M4737">
        <v>7.26</v>
      </c>
      <c r="N4737">
        <v>43.448</v>
      </c>
      <c r="O4737">
        <v>22.31</v>
      </c>
      <c r="P4737">
        <v>25.45</v>
      </c>
      <c r="Q4737">
        <v>19.7</v>
      </c>
      <c r="R4737">
        <v>8.0</v>
      </c>
    </row>
    <row r="4738">
      <c r="A4738" s="9">
        <v>43269</v>
      </c>
      <c r="B4738" s="2" t="inlineStr">
        <is>
          <t xml:space="preserve">2018-06</t>
        </is>
      </c>
      <c r="C4738" s="2" t="inlineStr">
        <is>
          <t xml:space="preserve">2017/18</t>
        </is>
      </c>
      <c r="D4738">
        <v>0.11</v>
      </c>
      <c r="E4738">
        <v>22.4</v>
      </c>
      <c r="F4738">
        <v>27.3</v>
      </c>
      <c r="G4738">
        <v>18.3</v>
      </c>
      <c r="H4738">
        <v>0.96</v>
      </c>
      <c r="I4738">
        <v>0.179</v>
      </c>
      <c r="J4738">
        <v>23.7</v>
      </c>
      <c r="K4738">
        <v>28.4</v>
      </c>
      <c r="L4738">
        <v>19.5</v>
      </c>
      <c r="M4738">
        <v>0.83</v>
      </c>
      <c r="N4738">
        <v>2.068</v>
      </c>
      <c r="O4738">
        <v>23.65</v>
      </c>
      <c r="P4738">
        <v>28.38</v>
      </c>
      <c r="Q4738">
        <v>20.82</v>
      </c>
      <c r="R4738">
        <v>1.37</v>
      </c>
    </row>
    <row r="4739">
      <c r="A4739" s="9">
        <v>43270</v>
      </c>
      <c r="B4739" s="2" t="inlineStr">
        <is>
          <t xml:space="preserve">2018-06</t>
        </is>
      </c>
      <c r="C4739" s="2" t="inlineStr">
        <is>
          <t xml:space="preserve">2017/18</t>
        </is>
      </c>
      <c r="D4739">
        <v>1.646</v>
      </c>
      <c r="E4739">
        <v>22.65</v>
      </c>
      <c r="F4739">
        <v>28.02</v>
      </c>
      <c r="G4739">
        <v>18.31</v>
      </c>
      <c r="H4739">
        <v>0.6</v>
      </c>
      <c r="I4739">
        <v>0.31</v>
      </c>
      <c r="J4739">
        <v>23.57</v>
      </c>
      <c r="K4739">
        <v>27.25</v>
      </c>
      <c r="L4739">
        <v>20.97</v>
      </c>
      <c r="M4739">
        <v>0.61</v>
      </c>
      <c r="N4739">
        <v>0.423</v>
      </c>
      <c r="O4739">
        <v>24.22</v>
      </c>
      <c r="P4739">
        <v>29.22</v>
      </c>
      <c r="Q4739">
        <v>21.24</v>
      </c>
      <c r="R4739">
        <v>0.84</v>
      </c>
    </row>
    <row r="4740">
      <c r="A4740" s="9">
        <v>43271</v>
      </c>
      <c r="B4740" s="2" t="inlineStr">
        <is>
          <t xml:space="preserve">2018-06</t>
        </is>
      </c>
      <c r="C4740" s="2" t="inlineStr">
        <is>
          <t xml:space="preserve">2017/18</t>
        </is>
      </c>
      <c r="D4740">
        <v>4.163</v>
      </c>
      <c r="E4740">
        <v>21.88</v>
      </c>
      <c r="F4740">
        <v>26.23</v>
      </c>
      <c r="G4740">
        <v>18.22</v>
      </c>
      <c r="H4740">
        <v>16.03</v>
      </c>
      <c r="I4740">
        <v>0.542</v>
      </c>
      <c r="J4740">
        <v>22.61</v>
      </c>
      <c r="K4740">
        <v>26.28</v>
      </c>
      <c r="L4740">
        <v>19.73</v>
      </c>
      <c r="M4740">
        <v>0.77</v>
      </c>
      <c r="N4740">
        <v>0.241</v>
      </c>
      <c r="O4740">
        <v>23.13</v>
      </c>
      <c r="P4740">
        <v>28.08</v>
      </c>
      <c r="Q4740">
        <v>19.29</v>
      </c>
      <c r="R4740">
        <v>4.48</v>
      </c>
    </row>
    <row r="4741">
      <c r="A4741" s="9">
        <v>43272</v>
      </c>
      <c r="B4741" s="2" t="inlineStr">
        <is>
          <t xml:space="preserve">2018-06</t>
        </is>
      </c>
      <c r="C4741" s="2" t="inlineStr">
        <is>
          <t xml:space="preserve">2017/18</t>
        </is>
      </c>
      <c r="D4741">
        <v>3.894</v>
      </c>
      <c r="E4741">
        <v>21.94</v>
      </c>
      <c r="F4741">
        <v>26.49</v>
      </c>
      <c r="G4741">
        <v>18.78</v>
      </c>
      <c r="H4741">
        <v>7.01</v>
      </c>
      <c r="I4741">
        <v>0.0</v>
      </c>
      <c r="J4741">
        <v>22.18</v>
      </c>
      <c r="K4741">
        <v>26.17</v>
      </c>
      <c r="L4741">
        <v>19.34</v>
      </c>
      <c r="M4741">
        <v>2.26</v>
      </c>
      <c r="N4741">
        <v>0.097</v>
      </c>
      <c r="O4741">
        <v>23.36</v>
      </c>
      <c r="P4741">
        <v>28.3</v>
      </c>
      <c r="Q4741">
        <v>19.48</v>
      </c>
      <c r="R4741">
        <v>3.36</v>
      </c>
    </row>
    <row r="4742">
      <c r="A4742" s="9">
        <v>43273</v>
      </c>
      <c r="B4742" s="2" t="inlineStr">
        <is>
          <t xml:space="preserve">2018-06</t>
        </is>
      </c>
      <c r="C4742" s="2" t="inlineStr">
        <is>
          <t xml:space="preserve">2017/18</t>
        </is>
      </c>
      <c r="D4742">
        <v>5.973</v>
      </c>
      <c r="E4742">
        <v>21.99</v>
      </c>
      <c r="F4742">
        <v>26.52</v>
      </c>
      <c r="G4742">
        <v>18.29</v>
      </c>
      <c r="H4742">
        <v>10.4</v>
      </c>
      <c r="I4742">
        <v>2.807</v>
      </c>
      <c r="J4742">
        <v>22.79</v>
      </c>
      <c r="K4742">
        <v>27.09</v>
      </c>
      <c r="L4742">
        <v>18.95</v>
      </c>
      <c r="M4742">
        <v>4.85</v>
      </c>
      <c r="N4742">
        <v>10.07</v>
      </c>
      <c r="O4742">
        <v>23.49</v>
      </c>
      <c r="P4742">
        <v>28.2</v>
      </c>
      <c r="Q4742">
        <v>19.21</v>
      </c>
      <c r="R4742">
        <v>7.4</v>
      </c>
    </row>
    <row r="4743">
      <c r="A4743" s="9">
        <v>43274</v>
      </c>
      <c r="B4743" s="2" t="inlineStr">
        <is>
          <t xml:space="preserve">2018-06</t>
        </is>
      </c>
      <c r="C4743" s="2" t="inlineStr">
        <is>
          <t xml:space="preserve">2017/18</t>
        </is>
      </c>
      <c r="D4743">
        <v>1.921</v>
      </c>
      <c r="E4743">
        <v>22.64</v>
      </c>
      <c r="F4743">
        <v>28.2</v>
      </c>
      <c r="G4743">
        <v>18.55</v>
      </c>
      <c r="H4743">
        <v>3.12</v>
      </c>
      <c r="I4743">
        <v>1.961</v>
      </c>
      <c r="J4743">
        <v>23.27</v>
      </c>
      <c r="K4743">
        <v>27.09</v>
      </c>
      <c r="L4743">
        <v>19.63</v>
      </c>
      <c r="M4743">
        <v>5.17</v>
      </c>
      <c r="N4743">
        <v>7.995</v>
      </c>
      <c r="O4743">
        <v>23.81</v>
      </c>
      <c r="P4743">
        <v>27.78</v>
      </c>
      <c r="Q4743">
        <v>21.11</v>
      </c>
      <c r="R4743">
        <v>6.9</v>
      </c>
    </row>
    <row r="4744">
      <c r="A4744" s="9">
        <v>43275</v>
      </c>
      <c r="B4744" s="2" t="inlineStr">
        <is>
          <t xml:space="preserve">2018-06</t>
        </is>
      </c>
      <c r="C4744" s="2" t="inlineStr">
        <is>
          <t xml:space="preserve">2017/18</t>
        </is>
      </c>
      <c r="D4744">
        <v>1.436</v>
      </c>
      <c r="E4744">
        <v>21.89</v>
      </c>
      <c r="F4744">
        <v>27.85</v>
      </c>
      <c r="G4744">
        <v>16.3</v>
      </c>
      <c r="H4744">
        <v>0.79</v>
      </c>
      <c r="I4744">
        <v>5.972</v>
      </c>
      <c r="J4744">
        <v>23.43</v>
      </c>
      <c r="K4744">
        <v>27.38</v>
      </c>
      <c r="L4744">
        <v>20.3</v>
      </c>
      <c r="M4744">
        <v>2.22</v>
      </c>
      <c r="N4744">
        <v>0.188</v>
      </c>
      <c r="O4744">
        <v>23.58</v>
      </c>
      <c r="P4744">
        <v>28.35</v>
      </c>
      <c r="Q4744">
        <v>20.11</v>
      </c>
      <c r="R4744">
        <v>0.33</v>
      </c>
    </row>
    <row r="4745">
      <c r="A4745" s="9">
        <v>43276</v>
      </c>
      <c r="B4745" s="2" t="inlineStr">
        <is>
          <t xml:space="preserve">2018-06</t>
        </is>
      </c>
      <c r="C4745" s="2" t="inlineStr">
        <is>
          <t xml:space="preserve">2017/18</t>
        </is>
      </c>
      <c r="D4745">
        <v>0.381</v>
      </c>
      <c r="E4745">
        <v>21.73</v>
      </c>
      <c r="F4745">
        <v>26.35</v>
      </c>
      <c r="G4745">
        <v>18.15</v>
      </c>
      <c r="H4745">
        <v>0.8</v>
      </c>
      <c r="I4745">
        <v>2.892</v>
      </c>
      <c r="J4745">
        <v>22.77</v>
      </c>
      <c r="K4745">
        <v>26.44</v>
      </c>
      <c r="L4745">
        <v>19.64</v>
      </c>
      <c r="M4745">
        <v>2.25</v>
      </c>
      <c r="N4745">
        <v>0.184</v>
      </c>
      <c r="O4745">
        <v>23.36</v>
      </c>
      <c r="P4745">
        <v>27.8</v>
      </c>
      <c r="Q4745">
        <v>20.66</v>
      </c>
      <c r="R4745">
        <v>1.76</v>
      </c>
    </row>
    <row r="4746">
      <c r="A4746" s="9">
        <v>43277</v>
      </c>
      <c r="B4746" s="2" t="inlineStr">
        <is>
          <t xml:space="preserve">2018-06</t>
        </is>
      </c>
      <c r="C4746" s="2" t="inlineStr">
        <is>
          <t xml:space="preserve">2017/18</t>
        </is>
      </c>
      <c r="D4746">
        <v>7.761</v>
      </c>
      <c r="E4746">
        <v>20.94</v>
      </c>
      <c r="F4746">
        <v>25.18</v>
      </c>
      <c r="G4746">
        <v>17.55</v>
      </c>
      <c r="H4746">
        <v>11.07</v>
      </c>
      <c r="I4746">
        <v>4.231</v>
      </c>
      <c r="J4746">
        <v>22.97</v>
      </c>
      <c r="K4746">
        <v>27.26</v>
      </c>
      <c r="L4746">
        <v>19.66</v>
      </c>
      <c r="M4746">
        <v>8.56</v>
      </c>
      <c r="N4746">
        <v>9.719</v>
      </c>
      <c r="O4746">
        <v>23.04</v>
      </c>
      <c r="P4746">
        <v>27.74</v>
      </c>
      <c r="Q4746">
        <v>20.17</v>
      </c>
      <c r="R4746">
        <v>11.98</v>
      </c>
    </row>
    <row r="4747">
      <c r="A4747" s="9">
        <v>43278</v>
      </c>
      <c r="B4747" s="2" t="inlineStr">
        <is>
          <t xml:space="preserve">2018-06</t>
        </is>
      </c>
      <c r="C4747" s="2" t="inlineStr">
        <is>
          <t xml:space="preserve">2017/18</t>
        </is>
      </c>
      <c r="D4747">
        <v>5.528</v>
      </c>
      <c r="E4747">
        <v>20.85</v>
      </c>
      <c r="F4747">
        <v>26.13</v>
      </c>
      <c r="G4747">
        <v>16.43</v>
      </c>
      <c r="H4747">
        <v>6.52</v>
      </c>
      <c r="I4747">
        <v>6.012</v>
      </c>
      <c r="J4747">
        <v>22.2</v>
      </c>
      <c r="K4747">
        <v>26.99</v>
      </c>
      <c r="L4747">
        <v>18.51</v>
      </c>
      <c r="M4747">
        <v>1.77</v>
      </c>
      <c r="N4747">
        <v>1.58</v>
      </c>
      <c r="O4747">
        <v>22.29</v>
      </c>
      <c r="P4747">
        <v>27.05</v>
      </c>
      <c r="Q4747">
        <v>18.72</v>
      </c>
      <c r="R4747">
        <v>7.72</v>
      </c>
    </row>
    <row r="4748">
      <c r="A4748" s="9">
        <v>43279</v>
      </c>
      <c r="B4748" s="2" t="inlineStr">
        <is>
          <t xml:space="preserve">2018-06</t>
        </is>
      </c>
      <c r="C4748" s="2" t="inlineStr">
        <is>
          <t xml:space="preserve">2017/18</t>
        </is>
      </c>
      <c r="D4748">
        <v>8.78</v>
      </c>
      <c r="E4748">
        <v>21.34</v>
      </c>
      <c r="F4748">
        <v>26.14</v>
      </c>
      <c r="G4748">
        <v>17.83</v>
      </c>
      <c r="H4748">
        <v>1.0</v>
      </c>
      <c r="I4748">
        <v>1.284</v>
      </c>
      <c r="J4748">
        <v>22.73</v>
      </c>
      <c r="K4748">
        <v>27.48</v>
      </c>
      <c r="L4748">
        <v>18.69</v>
      </c>
      <c r="M4748">
        <v>0.49</v>
      </c>
      <c r="N4748">
        <v>0.086</v>
      </c>
      <c r="O4748">
        <v>23.17</v>
      </c>
      <c r="P4748">
        <v>27.95</v>
      </c>
      <c r="Q4748">
        <v>19.83</v>
      </c>
      <c r="R4748">
        <v>0.5</v>
      </c>
    </row>
    <row r="4749">
      <c r="A4749" s="9">
        <v>43280</v>
      </c>
      <c r="B4749" s="2" t="inlineStr">
        <is>
          <t xml:space="preserve">2018-06</t>
        </is>
      </c>
      <c r="C4749" s="2" t="inlineStr">
        <is>
          <t xml:space="preserve">2017/18</t>
        </is>
      </c>
      <c r="D4749">
        <v>0.0</v>
      </c>
      <c r="E4749">
        <v>21.35</v>
      </c>
      <c r="F4749">
        <v>27.24</v>
      </c>
      <c r="G4749">
        <v>16.23</v>
      </c>
      <c r="H4749">
        <v>0.02</v>
      </c>
      <c r="I4749">
        <v>0.0</v>
      </c>
      <c r="J4749">
        <v>22.97</v>
      </c>
      <c r="K4749">
        <v>28.38</v>
      </c>
      <c r="L4749">
        <v>18.5</v>
      </c>
      <c r="M4749">
        <v>0.02</v>
      </c>
      <c r="N4749">
        <v>0.0</v>
      </c>
      <c r="O4749">
        <v>23.12</v>
      </c>
      <c r="P4749">
        <v>28.27</v>
      </c>
      <c r="Q4749">
        <v>19.67</v>
      </c>
      <c r="R4749">
        <v>0.07</v>
      </c>
    </row>
    <row r="4750">
      <c r="A4750" s="9">
        <v>43281</v>
      </c>
      <c r="B4750" s="2" t="inlineStr">
        <is>
          <t xml:space="preserve">2018-06</t>
        </is>
      </c>
      <c r="C4750" s="2" t="inlineStr">
        <is>
          <t xml:space="preserve">2017/18</t>
        </is>
      </c>
      <c r="D4750">
        <v>0.0</v>
      </c>
      <c r="E4750">
        <v>21.4</v>
      </c>
      <c r="F4750">
        <v>27.05</v>
      </c>
      <c r="G4750">
        <v>16.38</v>
      </c>
      <c r="H4750">
        <v>2.75</v>
      </c>
      <c r="I4750">
        <v>0.143</v>
      </c>
      <c r="J4750">
        <v>23.12</v>
      </c>
      <c r="K4750">
        <v>28.28</v>
      </c>
      <c r="L4750">
        <v>18.2</v>
      </c>
      <c r="M4750">
        <v>0.76</v>
      </c>
      <c r="N4750">
        <v>0.0</v>
      </c>
      <c r="O4750">
        <v>23.26</v>
      </c>
      <c r="P4750">
        <v>28.47</v>
      </c>
      <c r="Q4750">
        <v>19.72</v>
      </c>
      <c r="R4750">
        <v>0.51</v>
      </c>
    </row>
    <row r="4751">
      <c r="A4751" s="9">
        <v>43282</v>
      </c>
      <c r="B4751" s="2" t="inlineStr">
        <is>
          <t xml:space="preserve">2018-07</t>
        </is>
      </c>
      <c r="C4751" s="2" t="inlineStr">
        <is>
          <t xml:space="preserve">2018/19</t>
        </is>
      </c>
      <c r="D4751">
        <v>12.612</v>
      </c>
      <c r="E4751">
        <v>21.55</v>
      </c>
      <c r="F4751">
        <v>26.53</v>
      </c>
      <c r="G4751">
        <v>17.72</v>
      </c>
      <c r="H4751">
        <v>3.92</v>
      </c>
      <c r="I4751">
        <v>6.471</v>
      </c>
      <c r="J4751">
        <v>22.84</v>
      </c>
      <c r="K4751">
        <v>26.84</v>
      </c>
      <c r="L4751">
        <v>19.4</v>
      </c>
      <c r="M4751">
        <v>3.33</v>
      </c>
      <c r="N4751">
        <v>0.551</v>
      </c>
      <c r="O4751">
        <v>23.12</v>
      </c>
      <c r="P4751">
        <v>27.9</v>
      </c>
      <c r="Q4751">
        <v>20.02</v>
      </c>
      <c r="R4751">
        <v>1.67</v>
      </c>
    </row>
    <row r="4752">
      <c r="A4752" s="9">
        <v>43283</v>
      </c>
      <c r="B4752" s="2" t="inlineStr">
        <is>
          <t xml:space="preserve">2018-07</t>
        </is>
      </c>
      <c r="C4752" s="2" t="inlineStr">
        <is>
          <t xml:space="preserve">2018/19</t>
        </is>
      </c>
      <c r="D4752">
        <v>3.321</v>
      </c>
      <c r="E4752">
        <v>21.43</v>
      </c>
      <c r="F4752">
        <v>27.6</v>
      </c>
      <c r="G4752">
        <v>16.46</v>
      </c>
      <c r="H4752">
        <v>1.26</v>
      </c>
      <c r="I4752">
        <v>0.0</v>
      </c>
      <c r="J4752">
        <v>23.42</v>
      </c>
      <c r="K4752">
        <v>28.54</v>
      </c>
      <c r="L4752">
        <v>19.08</v>
      </c>
      <c r="M4752">
        <v>0.08</v>
      </c>
      <c r="N4752">
        <v>0.056</v>
      </c>
      <c r="O4752">
        <v>23.19</v>
      </c>
      <c r="P4752">
        <v>28.64</v>
      </c>
      <c r="Q4752">
        <v>19.87</v>
      </c>
      <c r="R4752">
        <v>0.22</v>
      </c>
    </row>
    <row r="4753">
      <c r="A4753" s="9">
        <v>43284</v>
      </c>
      <c r="B4753" s="2" t="inlineStr">
        <is>
          <t xml:space="preserve">2018-07</t>
        </is>
      </c>
      <c r="C4753" s="2" t="inlineStr">
        <is>
          <t xml:space="preserve">2018/19</t>
        </is>
      </c>
      <c r="D4753">
        <v>0.156</v>
      </c>
      <c r="E4753">
        <v>20.74</v>
      </c>
      <c r="F4753">
        <v>26.09</v>
      </c>
      <c r="G4753">
        <v>16.27</v>
      </c>
      <c r="H4753">
        <v>0.29</v>
      </c>
      <c r="I4753">
        <v>0.0</v>
      </c>
      <c r="J4753">
        <v>22.18</v>
      </c>
      <c r="K4753">
        <v>26.44</v>
      </c>
      <c r="L4753">
        <v>18.94</v>
      </c>
      <c r="M4753">
        <v>0.06</v>
      </c>
      <c r="N4753">
        <v>0.0</v>
      </c>
      <c r="O4753">
        <v>22.66</v>
      </c>
      <c r="P4753">
        <v>27.1</v>
      </c>
      <c r="Q4753">
        <v>19.69</v>
      </c>
      <c r="R4753">
        <v>0.47</v>
      </c>
    </row>
    <row r="4754">
      <c r="A4754" s="9">
        <v>43285</v>
      </c>
      <c r="B4754" s="2" t="inlineStr">
        <is>
          <t xml:space="preserve">2018-07</t>
        </is>
      </c>
      <c r="C4754" s="2" t="inlineStr">
        <is>
          <t xml:space="preserve">2018/19</t>
        </is>
      </c>
      <c r="D4754">
        <v>0.301</v>
      </c>
      <c r="E4754">
        <v>21.0</v>
      </c>
      <c r="F4754">
        <v>26.05</v>
      </c>
      <c r="G4754">
        <v>17.34</v>
      </c>
      <c r="H4754">
        <v>2.35</v>
      </c>
      <c r="I4754">
        <v>0.052</v>
      </c>
      <c r="J4754">
        <v>21.79</v>
      </c>
      <c r="K4754">
        <v>26.24</v>
      </c>
      <c r="L4754">
        <v>18.06</v>
      </c>
      <c r="M4754">
        <v>0.92</v>
      </c>
      <c r="N4754">
        <v>0.896</v>
      </c>
      <c r="O4754">
        <v>22.16</v>
      </c>
      <c r="P4754">
        <v>26.74</v>
      </c>
      <c r="Q4754">
        <v>19.35</v>
      </c>
      <c r="R4754">
        <v>5.13</v>
      </c>
    </row>
    <row r="4755">
      <c r="A4755" s="9">
        <v>43286</v>
      </c>
      <c r="B4755" s="2" t="inlineStr">
        <is>
          <t xml:space="preserve">2018-07</t>
        </is>
      </c>
      <c r="C4755" s="2" t="inlineStr">
        <is>
          <t xml:space="preserve">2018/19</t>
        </is>
      </c>
      <c r="D4755">
        <v>0.028</v>
      </c>
      <c r="E4755">
        <v>21.35</v>
      </c>
      <c r="F4755">
        <v>26.85</v>
      </c>
      <c r="G4755">
        <v>17.13</v>
      </c>
      <c r="H4755">
        <v>0.34</v>
      </c>
      <c r="I4755">
        <v>0.118</v>
      </c>
      <c r="J4755">
        <v>22.2</v>
      </c>
      <c r="K4755">
        <v>26.51</v>
      </c>
      <c r="L4755">
        <v>18.85</v>
      </c>
      <c r="M4755">
        <v>2.48</v>
      </c>
      <c r="N4755">
        <v>0.636</v>
      </c>
      <c r="O4755">
        <v>22.36</v>
      </c>
      <c r="P4755">
        <v>26.95</v>
      </c>
      <c r="Q4755">
        <v>19.21</v>
      </c>
      <c r="R4755">
        <v>1.22</v>
      </c>
    </row>
    <row r="4756">
      <c r="A4756" s="9">
        <v>43287</v>
      </c>
      <c r="B4756" s="2" t="inlineStr">
        <is>
          <t xml:space="preserve">2018-07</t>
        </is>
      </c>
      <c r="C4756" s="2" t="inlineStr">
        <is>
          <t xml:space="preserve">2018/19</t>
        </is>
      </c>
      <c r="D4756">
        <v>0.0</v>
      </c>
      <c r="E4756">
        <v>21.62</v>
      </c>
      <c r="F4756">
        <v>26.11</v>
      </c>
      <c r="G4756">
        <v>18.02</v>
      </c>
      <c r="H4756">
        <v>0.24</v>
      </c>
      <c r="I4756">
        <v>12.097</v>
      </c>
      <c r="J4756">
        <v>21.81</v>
      </c>
      <c r="K4756">
        <v>24.91</v>
      </c>
      <c r="L4756">
        <v>19.71</v>
      </c>
      <c r="M4756">
        <v>6.32</v>
      </c>
      <c r="N4756">
        <v>5.209</v>
      </c>
      <c r="O4756">
        <v>22.57</v>
      </c>
      <c r="P4756">
        <v>25.29</v>
      </c>
      <c r="Q4756">
        <v>20.8</v>
      </c>
      <c r="R4756">
        <v>2.1</v>
      </c>
    </row>
    <row r="4757">
      <c r="A4757" s="9">
        <v>43288</v>
      </c>
      <c r="B4757" s="2" t="inlineStr">
        <is>
          <t xml:space="preserve">2018-07</t>
        </is>
      </c>
      <c r="C4757" s="2" t="inlineStr">
        <is>
          <t xml:space="preserve">2018/19</t>
        </is>
      </c>
      <c r="D4757">
        <v>0.0</v>
      </c>
      <c r="E4757">
        <v>21.45</v>
      </c>
      <c r="F4757">
        <v>27.47</v>
      </c>
      <c r="G4757">
        <v>16.51</v>
      </c>
      <c r="H4757">
        <v>0.11</v>
      </c>
      <c r="I4757">
        <v>0.0</v>
      </c>
      <c r="J4757">
        <v>22.52</v>
      </c>
      <c r="K4757">
        <v>27.74</v>
      </c>
      <c r="L4757">
        <v>18.95</v>
      </c>
      <c r="M4757">
        <v>0.01</v>
      </c>
      <c r="N4757">
        <v>0.0</v>
      </c>
      <c r="O4757">
        <v>23.04</v>
      </c>
      <c r="P4757">
        <v>28.24</v>
      </c>
      <c r="Q4757">
        <v>19.55</v>
      </c>
      <c r="R4757">
        <v>0.18</v>
      </c>
    </row>
    <row r="4758">
      <c r="A4758" s="9">
        <v>43289</v>
      </c>
      <c r="B4758" s="2" t="inlineStr">
        <is>
          <t xml:space="preserve">2018-07</t>
        </is>
      </c>
      <c r="C4758" s="2" t="inlineStr">
        <is>
          <t xml:space="preserve">2018/19</t>
        </is>
      </c>
      <c r="D4758">
        <v>0.0</v>
      </c>
      <c r="E4758">
        <v>21.64</v>
      </c>
      <c r="F4758">
        <v>27.67</v>
      </c>
      <c r="G4758">
        <v>16.62</v>
      </c>
      <c r="H4758">
        <v>0.29</v>
      </c>
      <c r="I4758">
        <v>0.0</v>
      </c>
      <c r="J4758">
        <v>22.48</v>
      </c>
      <c r="K4758">
        <v>27.67</v>
      </c>
      <c r="L4758">
        <v>18.37</v>
      </c>
      <c r="M4758">
        <v>0.07</v>
      </c>
      <c r="N4758">
        <v>0.0</v>
      </c>
      <c r="O4758">
        <v>22.91</v>
      </c>
      <c r="P4758">
        <v>27.92</v>
      </c>
      <c r="Q4758">
        <v>19.27</v>
      </c>
      <c r="R4758">
        <v>0.58</v>
      </c>
    </row>
    <row r="4759">
      <c r="A4759" s="9">
        <v>43290</v>
      </c>
      <c r="B4759" s="2" t="inlineStr">
        <is>
          <t xml:space="preserve">2018-07</t>
        </is>
      </c>
      <c r="C4759" s="2" t="inlineStr">
        <is>
          <t xml:space="preserve">2018/19</t>
        </is>
      </c>
      <c r="D4759">
        <v>0.052</v>
      </c>
      <c r="E4759">
        <v>22.39</v>
      </c>
      <c r="F4759">
        <v>27.83</v>
      </c>
      <c r="G4759">
        <v>18.18</v>
      </c>
      <c r="H4759">
        <v>0.62</v>
      </c>
      <c r="I4759">
        <v>0.066</v>
      </c>
      <c r="J4759">
        <v>22.29</v>
      </c>
      <c r="K4759">
        <v>26.51</v>
      </c>
      <c r="L4759">
        <v>18.93</v>
      </c>
      <c r="M4759">
        <v>0.39</v>
      </c>
      <c r="N4759">
        <v>0.339</v>
      </c>
      <c r="O4759">
        <v>22.58</v>
      </c>
      <c r="P4759">
        <v>26.35</v>
      </c>
      <c r="Q4759">
        <v>19.71</v>
      </c>
      <c r="R4759">
        <v>1.99</v>
      </c>
    </row>
    <row r="4760">
      <c r="A4760" s="9">
        <v>43291</v>
      </c>
      <c r="B4760" s="2" t="inlineStr">
        <is>
          <t xml:space="preserve">2018-07</t>
        </is>
      </c>
      <c r="C4760" s="2" t="inlineStr">
        <is>
          <t xml:space="preserve">2018/19</t>
        </is>
      </c>
      <c r="D4760">
        <v>0.0</v>
      </c>
      <c r="E4760">
        <v>22.1</v>
      </c>
      <c r="F4760">
        <v>27.87</v>
      </c>
      <c r="G4760">
        <v>17.99</v>
      </c>
      <c r="H4760">
        <v>0.47</v>
      </c>
      <c r="I4760">
        <v>0.707</v>
      </c>
      <c r="J4760">
        <v>22.57</v>
      </c>
      <c r="K4760">
        <v>27.08</v>
      </c>
      <c r="L4760">
        <v>19.5</v>
      </c>
      <c r="M4760">
        <v>0.48</v>
      </c>
      <c r="N4760">
        <v>0.0</v>
      </c>
      <c r="O4760">
        <v>22.66</v>
      </c>
      <c r="P4760">
        <v>26.87</v>
      </c>
      <c r="Q4760">
        <v>19.94</v>
      </c>
      <c r="R4760">
        <v>1.91</v>
      </c>
    </row>
    <row r="4761">
      <c r="A4761" s="9">
        <v>43292</v>
      </c>
      <c r="B4761" s="2" t="inlineStr">
        <is>
          <t xml:space="preserve">2018-07</t>
        </is>
      </c>
      <c r="C4761" s="2" t="inlineStr">
        <is>
          <t xml:space="preserve">2018/19</t>
        </is>
      </c>
      <c r="D4761">
        <v>0.0</v>
      </c>
      <c r="E4761">
        <v>21.82</v>
      </c>
      <c r="F4761">
        <v>27.22</v>
      </c>
      <c r="G4761">
        <v>17.85</v>
      </c>
      <c r="H4761">
        <v>1.84</v>
      </c>
      <c r="I4761">
        <v>0.874</v>
      </c>
      <c r="J4761">
        <v>21.81</v>
      </c>
      <c r="K4761">
        <v>26.6</v>
      </c>
      <c r="L4761">
        <v>18.36</v>
      </c>
      <c r="M4761">
        <v>1.72</v>
      </c>
      <c r="N4761">
        <v>3.6</v>
      </c>
      <c r="O4761">
        <v>22.01</v>
      </c>
      <c r="P4761">
        <v>26.61</v>
      </c>
      <c r="Q4761">
        <v>18.86</v>
      </c>
      <c r="R4761">
        <v>4.86</v>
      </c>
    </row>
    <row r="4762">
      <c r="A4762" s="9">
        <v>43293</v>
      </c>
      <c r="B4762" s="2" t="inlineStr">
        <is>
          <t xml:space="preserve">2018-07</t>
        </is>
      </c>
      <c r="C4762" s="2" t="inlineStr">
        <is>
          <t xml:space="preserve">2018/19</t>
        </is>
      </c>
      <c r="D4762">
        <v>0.387</v>
      </c>
      <c r="E4762">
        <v>21.47</v>
      </c>
      <c r="F4762">
        <v>26.15</v>
      </c>
      <c r="G4762">
        <v>18.12</v>
      </c>
      <c r="H4762">
        <v>3.46</v>
      </c>
      <c r="I4762">
        <v>0.0</v>
      </c>
      <c r="J4762">
        <v>22.36</v>
      </c>
      <c r="K4762">
        <v>27.67</v>
      </c>
      <c r="L4762">
        <v>17.62</v>
      </c>
      <c r="M4762">
        <v>2.95</v>
      </c>
      <c r="N4762">
        <v>0.18</v>
      </c>
      <c r="O4762">
        <v>22.43</v>
      </c>
      <c r="P4762">
        <v>27.4</v>
      </c>
      <c r="Q4762">
        <v>18.63</v>
      </c>
      <c r="R4762">
        <v>6.47</v>
      </c>
    </row>
    <row r="4763">
      <c r="A4763" s="9">
        <v>43294</v>
      </c>
      <c r="B4763" s="2" t="inlineStr">
        <is>
          <t xml:space="preserve">2018-07</t>
        </is>
      </c>
      <c r="C4763" s="2" t="inlineStr">
        <is>
          <t xml:space="preserve">2018/19</t>
        </is>
      </c>
      <c r="D4763">
        <v>0.845</v>
      </c>
      <c r="E4763">
        <v>22.04</v>
      </c>
      <c r="F4763">
        <v>28.49</v>
      </c>
      <c r="G4763">
        <v>17.4</v>
      </c>
      <c r="H4763">
        <v>1.36</v>
      </c>
      <c r="I4763">
        <v>17.555</v>
      </c>
      <c r="J4763">
        <v>22.74</v>
      </c>
      <c r="K4763">
        <v>28.17</v>
      </c>
      <c r="L4763">
        <v>19.26</v>
      </c>
      <c r="M4763">
        <v>12.98</v>
      </c>
      <c r="N4763">
        <v>13.851</v>
      </c>
      <c r="O4763">
        <v>22.93</v>
      </c>
      <c r="P4763">
        <v>28.1</v>
      </c>
      <c r="Q4763">
        <v>19.61</v>
      </c>
      <c r="R4763">
        <v>7.76</v>
      </c>
    </row>
    <row r="4764">
      <c r="A4764" s="9">
        <v>43295</v>
      </c>
      <c r="B4764" s="2" t="inlineStr">
        <is>
          <t xml:space="preserve">2018-07</t>
        </is>
      </c>
      <c r="C4764" s="2" t="inlineStr">
        <is>
          <t xml:space="preserve">2018/19</t>
        </is>
      </c>
      <c r="D4764">
        <v>0.0</v>
      </c>
      <c r="E4764">
        <v>21.73</v>
      </c>
      <c r="F4764">
        <v>28.26</v>
      </c>
      <c r="G4764">
        <v>16.93</v>
      </c>
      <c r="H4764">
        <v>1.38</v>
      </c>
      <c r="I4764">
        <v>0.0</v>
      </c>
      <c r="J4764">
        <v>22.42</v>
      </c>
      <c r="K4764">
        <v>27.56</v>
      </c>
      <c r="L4764">
        <v>18.55</v>
      </c>
      <c r="M4764">
        <v>0.7</v>
      </c>
      <c r="N4764">
        <v>0.35</v>
      </c>
      <c r="O4764">
        <v>22.54</v>
      </c>
      <c r="P4764">
        <v>27.1</v>
      </c>
      <c r="Q4764">
        <v>19.08</v>
      </c>
      <c r="R4764">
        <v>3.22</v>
      </c>
    </row>
    <row r="4765">
      <c r="A4765" s="9">
        <v>43296</v>
      </c>
      <c r="B4765" s="2" t="inlineStr">
        <is>
          <t xml:space="preserve">2018-07</t>
        </is>
      </c>
      <c r="C4765" s="2" t="inlineStr">
        <is>
          <t xml:space="preserve">2018/19</t>
        </is>
      </c>
      <c r="D4765">
        <v>0.439</v>
      </c>
      <c r="E4765">
        <v>21.16</v>
      </c>
      <c r="F4765">
        <v>25.57</v>
      </c>
      <c r="G4765">
        <v>17.52</v>
      </c>
      <c r="H4765">
        <v>5.69</v>
      </c>
      <c r="I4765">
        <v>1.09</v>
      </c>
      <c r="J4765">
        <v>21.96</v>
      </c>
      <c r="K4765">
        <v>26.49</v>
      </c>
      <c r="L4765">
        <v>18.75</v>
      </c>
      <c r="M4765">
        <v>3.25</v>
      </c>
      <c r="N4765">
        <v>3.447</v>
      </c>
      <c r="O4765">
        <v>21.99</v>
      </c>
      <c r="P4765">
        <v>25.88</v>
      </c>
      <c r="Q4765">
        <v>19.59</v>
      </c>
      <c r="R4765">
        <v>4.29</v>
      </c>
    </row>
    <row r="4766">
      <c r="A4766" s="9">
        <v>43297</v>
      </c>
      <c r="B4766" s="2" t="inlineStr">
        <is>
          <t xml:space="preserve">2018-07</t>
        </is>
      </c>
      <c r="C4766" s="2" t="inlineStr">
        <is>
          <t xml:space="preserve">2018/19</t>
        </is>
      </c>
      <c r="D4766">
        <v>0.053</v>
      </c>
      <c r="E4766">
        <v>21.66</v>
      </c>
      <c r="F4766">
        <v>26.59</v>
      </c>
      <c r="G4766">
        <v>17.4</v>
      </c>
      <c r="H4766">
        <v>3.59</v>
      </c>
      <c r="I4766">
        <v>3.425</v>
      </c>
      <c r="J4766">
        <v>22.54</v>
      </c>
      <c r="K4766">
        <v>27.54</v>
      </c>
      <c r="L4766">
        <v>18.84</v>
      </c>
      <c r="M4766">
        <v>1.71</v>
      </c>
      <c r="N4766">
        <v>3.691</v>
      </c>
      <c r="O4766">
        <v>22.66</v>
      </c>
      <c r="P4766">
        <v>27.22</v>
      </c>
      <c r="Q4766">
        <v>19.22</v>
      </c>
      <c r="R4766">
        <v>2.88</v>
      </c>
    </row>
    <row r="4767">
      <c r="A4767" s="9">
        <v>43298</v>
      </c>
      <c r="B4767" s="2" t="inlineStr">
        <is>
          <t xml:space="preserve">2018-07</t>
        </is>
      </c>
      <c r="C4767" s="2" t="inlineStr">
        <is>
          <t xml:space="preserve">2018/19</t>
        </is>
      </c>
      <c r="D4767">
        <v>10.096</v>
      </c>
      <c r="E4767">
        <v>21.54</v>
      </c>
      <c r="F4767">
        <v>26.83</v>
      </c>
      <c r="G4767">
        <v>17.38</v>
      </c>
      <c r="H4767">
        <v>16.78</v>
      </c>
      <c r="I4767">
        <v>0.0</v>
      </c>
      <c r="J4767">
        <v>22.72</v>
      </c>
      <c r="K4767">
        <v>27.55</v>
      </c>
      <c r="L4767">
        <v>19.27</v>
      </c>
      <c r="M4767">
        <v>0.34</v>
      </c>
      <c r="N4767">
        <v>0.0</v>
      </c>
      <c r="O4767">
        <v>23.04</v>
      </c>
      <c r="P4767">
        <v>27.72</v>
      </c>
      <c r="Q4767">
        <v>20.09</v>
      </c>
      <c r="R4767">
        <v>1.14</v>
      </c>
    </row>
    <row r="4768">
      <c r="A4768" s="9">
        <v>43299</v>
      </c>
      <c r="B4768" s="2" t="inlineStr">
        <is>
          <t xml:space="preserve">2018-07</t>
        </is>
      </c>
      <c r="C4768" s="2" t="inlineStr">
        <is>
          <t xml:space="preserve">2018/19</t>
        </is>
      </c>
      <c r="D4768">
        <v>0.0</v>
      </c>
      <c r="E4768">
        <v>21.56</v>
      </c>
      <c r="F4768">
        <v>26.12</v>
      </c>
      <c r="G4768">
        <v>18.1</v>
      </c>
      <c r="H4768">
        <v>0.44</v>
      </c>
      <c r="I4768">
        <v>0.109</v>
      </c>
      <c r="J4768">
        <v>22.66</v>
      </c>
      <c r="K4768">
        <v>26.88</v>
      </c>
      <c r="L4768">
        <v>19.66</v>
      </c>
      <c r="M4768">
        <v>0.2</v>
      </c>
      <c r="N4768">
        <v>1.15</v>
      </c>
      <c r="O4768">
        <v>22.75</v>
      </c>
      <c r="P4768">
        <v>27.36</v>
      </c>
      <c r="Q4768">
        <v>20.01</v>
      </c>
      <c r="R4768">
        <v>2.21</v>
      </c>
    </row>
    <row r="4769">
      <c r="A4769" s="9">
        <v>43300</v>
      </c>
      <c r="B4769" s="2" t="inlineStr">
        <is>
          <t xml:space="preserve">2018-07</t>
        </is>
      </c>
      <c r="C4769" s="2" t="inlineStr">
        <is>
          <t xml:space="preserve">2018/19</t>
        </is>
      </c>
      <c r="D4769">
        <v>0.0</v>
      </c>
      <c r="E4769">
        <v>22.13</v>
      </c>
      <c r="F4769">
        <v>28.08</v>
      </c>
      <c r="G4769">
        <v>17.54</v>
      </c>
      <c r="H4769">
        <v>0.05</v>
      </c>
      <c r="I4769">
        <v>0.0</v>
      </c>
      <c r="J4769">
        <v>23.78</v>
      </c>
      <c r="K4769">
        <v>29.75</v>
      </c>
      <c r="L4769">
        <v>19.37</v>
      </c>
      <c r="M4769">
        <v>0.02</v>
      </c>
      <c r="N4769">
        <v>0.0</v>
      </c>
      <c r="O4769">
        <v>23.7</v>
      </c>
      <c r="P4769">
        <v>29.39</v>
      </c>
      <c r="Q4769">
        <v>19.95</v>
      </c>
      <c r="R4769">
        <v>0.17</v>
      </c>
    </row>
    <row r="4770">
      <c r="A4770" s="9">
        <v>43301</v>
      </c>
      <c r="B4770" s="2" t="inlineStr">
        <is>
          <t xml:space="preserve">2018-07</t>
        </is>
      </c>
      <c r="C4770" s="2" t="inlineStr">
        <is>
          <t xml:space="preserve">2018/19</t>
        </is>
      </c>
      <c r="D4770">
        <v>0.0</v>
      </c>
      <c r="E4770">
        <v>21.92</v>
      </c>
      <c r="F4770">
        <v>28.04</v>
      </c>
      <c r="G4770">
        <v>16.82</v>
      </c>
      <c r="H4770">
        <v>0.16</v>
      </c>
      <c r="I4770">
        <v>0.0</v>
      </c>
      <c r="J4770">
        <v>23.28</v>
      </c>
      <c r="K4770">
        <v>28.81</v>
      </c>
      <c r="L4770">
        <v>18.82</v>
      </c>
      <c r="M4770">
        <v>0.1</v>
      </c>
      <c r="N4770">
        <v>0.0</v>
      </c>
      <c r="O4770">
        <v>23.45</v>
      </c>
      <c r="P4770">
        <v>28.73</v>
      </c>
      <c r="Q4770">
        <v>19.65</v>
      </c>
      <c r="R4770">
        <v>0.24</v>
      </c>
    </row>
    <row r="4771">
      <c r="A4771" s="9">
        <v>43302</v>
      </c>
      <c r="B4771" s="2" t="inlineStr">
        <is>
          <t xml:space="preserve">2018-07</t>
        </is>
      </c>
      <c r="C4771" s="2" t="inlineStr">
        <is>
          <t xml:space="preserve">2018/19</t>
        </is>
      </c>
      <c r="D4771">
        <v>0.0</v>
      </c>
      <c r="E4771">
        <v>21.98</v>
      </c>
      <c r="F4771">
        <v>26.44</v>
      </c>
      <c r="G4771">
        <v>18.06</v>
      </c>
      <c r="H4771">
        <v>0.43</v>
      </c>
      <c r="I4771">
        <v>0.726</v>
      </c>
      <c r="J4771">
        <v>22.93</v>
      </c>
      <c r="K4771">
        <v>27.64</v>
      </c>
      <c r="L4771">
        <v>19.22</v>
      </c>
      <c r="M4771">
        <v>1.92</v>
      </c>
      <c r="N4771">
        <v>1.119</v>
      </c>
      <c r="O4771">
        <v>23.03</v>
      </c>
      <c r="P4771">
        <v>27.67</v>
      </c>
      <c r="Q4771">
        <v>19.92</v>
      </c>
      <c r="R4771">
        <v>2.15</v>
      </c>
    </row>
    <row r="4772">
      <c r="A4772" s="9">
        <v>43303</v>
      </c>
      <c r="B4772" s="2" t="inlineStr">
        <is>
          <t xml:space="preserve">2018-07</t>
        </is>
      </c>
      <c r="C4772" s="2" t="inlineStr">
        <is>
          <t xml:space="preserve">2018/19</t>
        </is>
      </c>
      <c r="D4772">
        <v>0.138</v>
      </c>
      <c r="E4772">
        <v>22.92</v>
      </c>
      <c r="F4772">
        <v>29.3</v>
      </c>
      <c r="G4772">
        <v>18.16</v>
      </c>
      <c r="H4772">
        <v>0.12</v>
      </c>
      <c r="I4772">
        <v>0.851</v>
      </c>
      <c r="J4772">
        <v>23.93</v>
      </c>
      <c r="K4772">
        <v>29.03</v>
      </c>
      <c r="L4772">
        <v>19.23</v>
      </c>
      <c r="M4772">
        <v>0.68</v>
      </c>
      <c r="N4772">
        <v>1.952</v>
      </c>
      <c r="O4772">
        <v>24.05</v>
      </c>
      <c r="P4772">
        <v>29.66</v>
      </c>
      <c r="Q4772">
        <v>20.08</v>
      </c>
      <c r="R4772">
        <v>0.21</v>
      </c>
    </row>
    <row r="4773">
      <c r="A4773" s="9">
        <v>43304</v>
      </c>
      <c r="B4773" s="2" t="inlineStr">
        <is>
          <t xml:space="preserve">2018-07</t>
        </is>
      </c>
      <c r="C4773" s="2" t="inlineStr">
        <is>
          <t xml:space="preserve">2018/19</t>
        </is>
      </c>
      <c r="D4773">
        <v>0.0</v>
      </c>
      <c r="E4773">
        <v>22.86</v>
      </c>
      <c r="F4773">
        <v>29.72</v>
      </c>
      <c r="G4773">
        <v>17.1</v>
      </c>
      <c r="H4773">
        <v>0.0</v>
      </c>
      <c r="I4773">
        <v>1.39</v>
      </c>
      <c r="J4773">
        <v>24.09</v>
      </c>
      <c r="K4773">
        <v>30.38</v>
      </c>
      <c r="L4773">
        <v>19.24</v>
      </c>
      <c r="M4773">
        <v>0.22</v>
      </c>
      <c r="N4773">
        <v>0.049</v>
      </c>
      <c r="O4773">
        <v>24.23</v>
      </c>
      <c r="P4773">
        <v>30.31</v>
      </c>
      <c r="Q4773">
        <v>20.24</v>
      </c>
      <c r="R4773">
        <v>0.02</v>
      </c>
    </row>
    <row r="4774">
      <c r="A4774" s="9">
        <v>43305</v>
      </c>
      <c r="B4774" s="2" t="inlineStr">
        <is>
          <t xml:space="preserve">2018-07</t>
        </is>
      </c>
      <c r="C4774" s="2" t="inlineStr">
        <is>
          <t xml:space="preserve">2018/19</t>
        </is>
      </c>
      <c r="D4774">
        <v>0.0</v>
      </c>
      <c r="E4774">
        <v>23.4</v>
      </c>
      <c r="F4774">
        <v>29.84</v>
      </c>
      <c r="G4774">
        <v>16.88</v>
      </c>
      <c r="H4774">
        <v>0.01</v>
      </c>
      <c r="I4774">
        <v>0.071</v>
      </c>
      <c r="J4774">
        <v>24.55</v>
      </c>
      <c r="K4774">
        <v>30.89</v>
      </c>
      <c r="L4774">
        <v>18.85</v>
      </c>
      <c r="M4774">
        <v>0.74</v>
      </c>
      <c r="N4774">
        <v>0.0</v>
      </c>
      <c r="O4774">
        <v>24.66</v>
      </c>
      <c r="P4774">
        <v>31.29</v>
      </c>
      <c r="Q4774">
        <v>20.27</v>
      </c>
      <c r="R4774">
        <v>0.16</v>
      </c>
    </row>
    <row r="4775">
      <c r="A4775" s="9">
        <v>43306</v>
      </c>
      <c r="B4775" s="2" t="inlineStr">
        <is>
          <t xml:space="preserve">2018-07</t>
        </is>
      </c>
      <c r="C4775" s="2" t="inlineStr">
        <is>
          <t xml:space="preserve">2018/19</t>
        </is>
      </c>
      <c r="D4775">
        <v>0.0</v>
      </c>
      <c r="E4775">
        <v>24.23</v>
      </c>
      <c r="F4775">
        <v>31.12</v>
      </c>
      <c r="G4775">
        <v>18.43</v>
      </c>
      <c r="H4775">
        <v>0.9</v>
      </c>
      <c r="I4775">
        <v>2.669</v>
      </c>
      <c r="J4775">
        <v>24.29</v>
      </c>
      <c r="K4775">
        <v>30.11</v>
      </c>
      <c r="L4775">
        <v>19.3</v>
      </c>
      <c r="M4775">
        <v>1.3</v>
      </c>
      <c r="N4775">
        <v>0.168</v>
      </c>
      <c r="O4775">
        <v>24.73</v>
      </c>
      <c r="P4775">
        <v>31.26</v>
      </c>
      <c r="Q4775">
        <v>20.5</v>
      </c>
      <c r="R4775">
        <v>0.36</v>
      </c>
    </row>
    <row r="4776">
      <c r="A4776" s="9">
        <v>43307</v>
      </c>
      <c r="B4776" s="2" t="inlineStr">
        <is>
          <t xml:space="preserve">2018-07</t>
        </is>
      </c>
      <c r="C4776" s="2" t="inlineStr">
        <is>
          <t xml:space="preserve">2018/19</t>
        </is>
      </c>
      <c r="D4776">
        <v>3.673</v>
      </c>
      <c r="E4776">
        <v>23.83</v>
      </c>
      <c r="F4776">
        <v>30.47</v>
      </c>
      <c r="G4776">
        <v>18.46</v>
      </c>
      <c r="H4776">
        <v>1.23</v>
      </c>
      <c r="I4776">
        <v>1.825</v>
      </c>
      <c r="J4776">
        <v>23.94</v>
      </c>
      <c r="K4776">
        <v>28.44</v>
      </c>
      <c r="L4776">
        <v>19.78</v>
      </c>
      <c r="M4776">
        <v>0.78</v>
      </c>
      <c r="N4776">
        <v>0.125</v>
      </c>
      <c r="O4776">
        <v>24.21</v>
      </c>
      <c r="P4776">
        <v>29.3</v>
      </c>
      <c r="Q4776">
        <v>20.59</v>
      </c>
      <c r="R4776">
        <v>0.39</v>
      </c>
    </row>
    <row r="4777">
      <c r="A4777" s="9">
        <v>43308</v>
      </c>
      <c r="B4777" s="2" t="inlineStr">
        <is>
          <t xml:space="preserve">2018-07</t>
        </is>
      </c>
      <c r="C4777" s="2" t="inlineStr">
        <is>
          <t xml:space="preserve">2018/19</t>
        </is>
      </c>
      <c r="D4777">
        <v>0.0</v>
      </c>
      <c r="E4777">
        <v>23.54</v>
      </c>
      <c r="F4777">
        <v>29.48</v>
      </c>
      <c r="G4777">
        <v>18.8</v>
      </c>
      <c r="H4777">
        <v>0.58</v>
      </c>
      <c r="I4777">
        <v>0.141</v>
      </c>
      <c r="J4777">
        <v>24.22</v>
      </c>
      <c r="K4777">
        <v>29.86</v>
      </c>
      <c r="L4777">
        <v>19.57</v>
      </c>
      <c r="M4777">
        <v>5.08</v>
      </c>
      <c r="N4777">
        <v>0.0</v>
      </c>
      <c r="O4777">
        <v>24.4</v>
      </c>
      <c r="P4777">
        <v>30.55</v>
      </c>
      <c r="Q4777">
        <v>20.64</v>
      </c>
      <c r="R4777">
        <v>1.34</v>
      </c>
    </row>
    <row r="4778">
      <c r="A4778" s="9">
        <v>43309</v>
      </c>
      <c r="B4778" s="2" t="inlineStr">
        <is>
          <t xml:space="preserve">2018-07</t>
        </is>
      </c>
      <c r="C4778" s="2" t="inlineStr">
        <is>
          <t xml:space="preserve">2018/19</t>
        </is>
      </c>
      <c r="D4778">
        <v>2.111</v>
      </c>
      <c r="E4778">
        <v>23.53</v>
      </c>
      <c r="F4778">
        <v>30.18</v>
      </c>
      <c r="G4778">
        <v>18.3</v>
      </c>
      <c r="H4778">
        <v>4.48</v>
      </c>
      <c r="I4778">
        <v>26.78</v>
      </c>
      <c r="J4778">
        <v>23.81</v>
      </c>
      <c r="K4778">
        <v>29.19</v>
      </c>
      <c r="L4778">
        <v>19.14</v>
      </c>
      <c r="M4778">
        <v>12.93</v>
      </c>
      <c r="N4778">
        <v>3.323</v>
      </c>
      <c r="O4778">
        <v>24.33</v>
      </c>
      <c r="P4778">
        <v>30.87</v>
      </c>
      <c r="Q4778">
        <v>20.27</v>
      </c>
      <c r="R4778">
        <v>5.03</v>
      </c>
    </row>
    <row r="4779">
      <c r="A4779" s="9">
        <v>43310</v>
      </c>
      <c r="B4779" s="2" t="inlineStr">
        <is>
          <t xml:space="preserve">2018-07</t>
        </is>
      </c>
      <c r="C4779" s="2" t="inlineStr">
        <is>
          <t xml:space="preserve">2018/19</t>
        </is>
      </c>
      <c r="D4779">
        <v>11.765</v>
      </c>
      <c r="E4779">
        <v>22.27</v>
      </c>
      <c r="F4779">
        <v>26.22</v>
      </c>
      <c r="G4779">
        <v>19.47</v>
      </c>
      <c r="H4779">
        <v>8.78</v>
      </c>
      <c r="I4779">
        <v>12.324</v>
      </c>
      <c r="J4779">
        <v>22.91</v>
      </c>
      <c r="K4779">
        <v>26.11</v>
      </c>
      <c r="L4779">
        <v>20.4</v>
      </c>
      <c r="M4779">
        <v>11.63</v>
      </c>
      <c r="N4779">
        <v>4.468</v>
      </c>
      <c r="O4779">
        <v>22.98</v>
      </c>
      <c r="P4779">
        <v>26.37</v>
      </c>
      <c r="Q4779">
        <v>21.07</v>
      </c>
      <c r="R4779">
        <v>9.21</v>
      </c>
    </row>
    <row r="4780">
      <c r="A4780" s="9">
        <v>43311</v>
      </c>
      <c r="B4780" s="2" t="inlineStr">
        <is>
          <t xml:space="preserve">2018-07</t>
        </is>
      </c>
      <c r="C4780" s="2" t="inlineStr">
        <is>
          <t xml:space="preserve">2018/19</t>
        </is>
      </c>
      <c r="D4780">
        <v>8.611</v>
      </c>
      <c r="E4780">
        <v>22.7</v>
      </c>
      <c r="F4780">
        <v>28.15</v>
      </c>
      <c r="G4780">
        <v>18.41</v>
      </c>
      <c r="H4780">
        <v>7.49</v>
      </c>
      <c r="I4780">
        <v>7.784</v>
      </c>
      <c r="J4780">
        <v>23.29</v>
      </c>
      <c r="K4780">
        <v>27.2</v>
      </c>
      <c r="L4780">
        <v>20.22</v>
      </c>
      <c r="M4780">
        <v>10.79</v>
      </c>
      <c r="N4780">
        <v>30.296</v>
      </c>
      <c r="O4780">
        <v>23.39</v>
      </c>
      <c r="P4780">
        <v>27.79</v>
      </c>
      <c r="Q4780">
        <v>20.75</v>
      </c>
      <c r="R4780">
        <v>13.61</v>
      </c>
    </row>
    <row r="4781">
      <c r="A4781" s="9">
        <v>43312</v>
      </c>
      <c r="B4781" s="2" t="inlineStr">
        <is>
          <t xml:space="preserve">2018-07</t>
        </is>
      </c>
      <c r="C4781" s="2" t="inlineStr">
        <is>
          <t xml:space="preserve">2018/19</t>
        </is>
      </c>
      <c r="D4781">
        <v>12.807</v>
      </c>
      <c r="E4781">
        <v>22.19</v>
      </c>
      <c r="F4781">
        <v>27.58</v>
      </c>
      <c r="G4781">
        <v>18.12</v>
      </c>
      <c r="H4781">
        <v>6.29</v>
      </c>
      <c r="I4781">
        <v>6.877</v>
      </c>
      <c r="J4781">
        <v>23.44</v>
      </c>
      <c r="K4781">
        <v>27.76</v>
      </c>
      <c r="L4781">
        <v>20.31</v>
      </c>
      <c r="M4781">
        <v>22.27</v>
      </c>
      <c r="N4781">
        <v>26.943</v>
      </c>
      <c r="O4781">
        <v>23.16</v>
      </c>
      <c r="P4781">
        <v>26.93</v>
      </c>
      <c r="Q4781">
        <v>20.83</v>
      </c>
      <c r="R4781">
        <v>20.95</v>
      </c>
    </row>
    <row r="4782">
      <c r="A4782" s="9">
        <v>43313</v>
      </c>
      <c r="B4782" s="2" t="inlineStr">
        <is>
          <t xml:space="preserve">2018-08</t>
        </is>
      </c>
      <c r="C4782" s="2" t="inlineStr">
        <is>
          <t xml:space="preserve">2018/19</t>
        </is>
      </c>
      <c r="D4782">
        <v>2.962</v>
      </c>
      <c r="E4782">
        <v>21.89</v>
      </c>
      <c r="F4782">
        <v>27.15</v>
      </c>
      <c r="G4782">
        <v>17.24</v>
      </c>
      <c r="H4782">
        <v>4.72</v>
      </c>
      <c r="I4782">
        <v>21.124</v>
      </c>
      <c r="J4782">
        <v>23.86</v>
      </c>
      <c r="K4782">
        <v>28.31</v>
      </c>
      <c r="L4782">
        <v>20.99</v>
      </c>
      <c r="M4782">
        <v>14.35</v>
      </c>
      <c r="N4782">
        <v>27.941</v>
      </c>
      <c r="O4782">
        <v>23.57</v>
      </c>
      <c r="P4782">
        <v>28.51</v>
      </c>
      <c r="Q4782">
        <v>20.38</v>
      </c>
      <c r="R4782">
        <v>8.89</v>
      </c>
    </row>
    <row r="4783">
      <c r="A4783" s="9">
        <v>43314</v>
      </c>
      <c r="B4783" s="2" t="inlineStr">
        <is>
          <t xml:space="preserve">2018-08</t>
        </is>
      </c>
      <c r="C4783" s="2" t="inlineStr">
        <is>
          <t xml:space="preserve">2018/19</t>
        </is>
      </c>
      <c r="D4783">
        <v>6.943</v>
      </c>
      <c r="E4783">
        <v>22.25</v>
      </c>
      <c r="F4783">
        <v>28.12</v>
      </c>
      <c r="G4783">
        <v>17.86</v>
      </c>
      <c r="H4783">
        <v>2.85</v>
      </c>
      <c r="I4783">
        <v>16.478</v>
      </c>
      <c r="J4783">
        <v>23.18</v>
      </c>
      <c r="K4783">
        <v>27.54</v>
      </c>
      <c r="L4783">
        <v>19.41</v>
      </c>
      <c r="M4783">
        <v>5.51</v>
      </c>
      <c r="N4783">
        <v>4.157</v>
      </c>
      <c r="O4783">
        <v>23.33</v>
      </c>
      <c r="P4783">
        <v>28.39</v>
      </c>
      <c r="Q4783">
        <v>20.17</v>
      </c>
      <c r="R4783">
        <v>2.14</v>
      </c>
    </row>
    <row r="4784">
      <c r="A4784" s="9">
        <v>43315</v>
      </c>
      <c r="B4784" s="2" t="inlineStr">
        <is>
          <t xml:space="preserve">2018-08</t>
        </is>
      </c>
      <c r="C4784" s="2" t="inlineStr">
        <is>
          <t xml:space="preserve">2018/19</t>
        </is>
      </c>
      <c r="D4784">
        <v>1.934</v>
      </c>
      <c r="E4784">
        <v>22.04</v>
      </c>
      <c r="F4784">
        <v>27.38</v>
      </c>
      <c r="G4784">
        <v>17.64</v>
      </c>
      <c r="H4784">
        <v>1.15</v>
      </c>
      <c r="I4784">
        <v>0.606</v>
      </c>
      <c r="J4784">
        <v>23.16</v>
      </c>
      <c r="K4784">
        <v>27.74</v>
      </c>
      <c r="L4784">
        <v>20.12</v>
      </c>
      <c r="M4784">
        <v>6.13</v>
      </c>
      <c r="N4784">
        <v>0.717</v>
      </c>
      <c r="O4784">
        <v>23.35</v>
      </c>
      <c r="P4784">
        <v>28.09</v>
      </c>
      <c r="Q4784">
        <v>20.05</v>
      </c>
      <c r="R4784">
        <v>3.04</v>
      </c>
    </row>
    <row r="4785">
      <c r="A4785" s="9">
        <v>43316</v>
      </c>
      <c r="B4785" s="2" t="inlineStr">
        <is>
          <t xml:space="preserve">2018-08</t>
        </is>
      </c>
      <c r="C4785" s="2" t="inlineStr">
        <is>
          <t xml:space="preserve">2018/19</t>
        </is>
      </c>
      <c r="D4785">
        <v>1.189</v>
      </c>
      <c r="E4785">
        <v>20.91</v>
      </c>
      <c r="F4785">
        <v>25.96</v>
      </c>
      <c r="G4785">
        <v>16.86</v>
      </c>
      <c r="H4785">
        <v>5.18</v>
      </c>
      <c r="I4785">
        <v>20.835</v>
      </c>
      <c r="J4785">
        <v>22.84</v>
      </c>
      <c r="K4785">
        <v>27.37</v>
      </c>
      <c r="L4785">
        <v>20.03</v>
      </c>
      <c r="M4785">
        <v>13.92</v>
      </c>
      <c r="N4785">
        <v>20.906</v>
      </c>
      <c r="O4785">
        <v>22.69</v>
      </c>
      <c r="P4785">
        <v>27.86</v>
      </c>
      <c r="Q4785">
        <v>19.64</v>
      </c>
      <c r="R4785">
        <v>8.85</v>
      </c>
    </row>
    <row r="4786">
      <c r="A4786" s="9">
        <v>43317</v>
      </c>
      <c r="B4786" s="2" t="inlineStr">
        <is>
          <t xml:space="preserve">2018-08</t>
        </is>
      </c>
      <c r="C4786" s="2" t="inlineStr">
        <is>
          <t xml:space="preserve">2018/19</t>
        </is>
      </c>
      <c r="D4786">
        <v>1.483</v>
      </c>
      <c r="E4786">
        <v>21.79</v>
      </c>
      <c r="F4786">
        <v>28.29</v>
      </c>
      <c r="G4786">
        <v>16.15</v>
      </c>
      <c r="H4786">
        <v>0.77</v>
      </c>
      <c r="I4786">
        <v>0.096</v>
      </c>
      <c r="J4786">
        <v>22.82</v>
      </c>
      <c r="K4786">
        <v>27.62</v>
      </c>
      <c r="L4786">
        <v>19.13</v>
      </c>
      <c r="M4786">
        <v>1.39</v>
      </c>
      <c r="N4786">
        <v>0.597</v>
      </c>
      <c r="O4786">
        <v>22.41</v>
      </c>
      <c r="P4786">
        <v>27.2</v>
      </c>
      <c r="Q4786">
        <v>19.04</v>
      </c>
      <c r="R4786">
        <v>2.15</v>
      </c>
    </row>
    <row r="4787">
      <c r="A4787" s="9">
        <v>43318</v>
      </c>
      <c r="B4787" s="2" t="inlineStr">
        <is>
          <t xml:space="preserve">2018-08</t>
        </is>
      </c>
      <c r="C4787" s="2" t="inlineStr">
        <is>
          <t xml:space="preserve">2018/19</t>
        </is>
      </c>
      <c r="D4787">
        <v>0.228</v>
      </c>
      <c r="E4787">
        <v>20.81</v>
      </c>
      <c r="F4787">
        <v>25.57</v>
      </c>
      <c r="G4787">
        <v>16.8</v>
      </c>
      <c r="H4787">
        <v>4.17</v>
      </c>
      <c r="I4787">
        <v>2.412</v>
      </c>
      <c r="J4787">
        <v>21.9</v>
      </c>
      <c r="K4787">
        <v>25.29</v>
      </c>
      <c r="L4787">
        <v>19.61</v>
      </c>
      <c r="M4787">
        <v>5.3</v>
      </c>
      <c r="N4787">
        <v>9.355</v>
      </c>
      <c r="O4787">
        <v>22.17</v>
      </c>
      <c r="P4787">
        <v>25.18</v>
      </c>
      <c r="Q4787">
        <v>20.09</v>
      </c>
      <c r="R4787">
        <v>8.05</v>
      </c>
    </row>
    <row r="4788">
      <c r="A4788" s="9">
        <v>43319</v>
      </c>
      <c r="B4788" s="2" t="inlineStr">
        <is>
          <t xml:space="preserve">2018-08</t>
        </is>
      </c>
      <c r="C4788" s="2" t="inlineStr">
        <is>
          <t xml:space="preserve">2018/19</t>
        </is>
      </c>
      <c r="D4788">
        <v>0.94</v>
      </c>
      <c r="E4788">
        <v>21.14</v>
      </c>
      <c r="F4788">
        <v>26.89</v>
      </c>
      <c r="G4788">
        <v>16.39</v>
      </c>
      <c r="H4788">
        <v>2.57</v>
      </c>
      <c r="I4788">
        <v>10.76</v>
      </c>
      <c r="J4788">
        <v>21.65</v>
      </c>
      <c r="K4788">
        <v>26.4</v>
      </c>
      <c r="L4788">
        <v>17.99</v>
      </c>
      <c r="M4788">
        <v>6.79</v>
      </c>
      <c r="N4788">
        <v>6.178</v>
      </c>
      <c r="O4788">
        <v>21.88</v>
      </c>
      <c r="P4788">
        <v>26.18</v>
      </c>
      <c r="Q4788">
        <v>18.85</v>
      </c>
      <c r="R4788">
        <v>7.24</v>
      </c>
    </row>
    <row r="4789">
      <c r="A4789" s="9">
        <v>43320</v>
      </c>
      <c r="B4789" s="2" t="inlineStr">
        <is>
          <t xml:space="preserve">2018-08</t>
        </is>
      </c>
      <c r="C4789" s="2" t="inlineStr">
        <is>
          <t xml:space="preserve">2018/19</t>
        </is>
      </c>
      <c r="D4789">
        <v>1.554</v>
      </c>
      <c r="E4789">
        <v>21.34</v>
      </c>
      <c r="F4789">
        <v>26.49</v>
      </c>
      <c r="G4789">
        <v>17.09</v>
      </c>
      <c r="H4789">
        <v>1.93</v>
      </c>
      <c r="I4789">
        <v>0.0</v>
      </c>
      <c r="J4789">
        <v>22.29</v>
      </c>
      <c r="K4789">
        <v>26.77</v>
      </c>
      <c r="L4789">
        <v>18.73</v>
      </c>
      <c r="M4789">
        <v>2.02</v>
      </c>
      <c r="N4789">
        <v>0.0</v>
      </c>
      <c r="O4789">
        <v>22.5</v>
      </c>
      <c r="P4789">
        <v>26.98</v>
      </c>
      <c r="Q4789">
        <v>19.12</v>
      </c>
      <c r="R4789">
        <v>1.74</v>
      </c>
    </row>
    <row r="4790">
      <c r="A4790" s="9">
        <v>43321</v>
      </c>
      <c r="B4790" s="2" t="inlineStr">
        <is>
          <t xml:space="preserve">2018-08</t>
        </is>
      </c>
      <c r="C4790" s="2" t="inlineStr">
        <is>
          <t xml:space="preserve">2018/19</t>
        </is>
      </c>
      <c r="D4790">
        <v>4.032</v>
      </c>
      <c r="E4790">
        <v>22.41</v>
      </c>
      <c r="F4790">
        <v>27.21</v>
      </c>
      <c r="G4790">
        <v>18.59</v>
      </c>
      <c r="H4790">
        <v>2.55</v>
      </c>
      <c r="I4790">
        <v>6.274</v>
      </c>
      <c r="J4790">
        <v>23.09</v>
      </c>
      <c r="K4790">
        <v>27.42</v>
      </c>
      <c r="L4790">
        <v>19.26</v>
      </c>
      <c r="M4790">
        <v>4.06</v>
      </c>
      <c r="N4790">
        <v>1.222</v>
      </c>
      <c r="O4790">
        <v>23.34</v>
      </c>
      <c r="P4790">
        <v>27.99</v>
      </c>
      <c r="Q4790">
        <v>20.03</v>
      </c>
      <c r="R4790">
        <v>2.17</v>
      </c>
    </row>
    <row r="4791">
      <c r="A4791" s="9">
        <v>43322</v>
      </c>
      <c r="B4791" s="2" t="inlineStr">
        <is>
          <t xml:space="preserve">2018-08</t>
        </is>
      </c>
      <c r="C4791" s="2" t="inlineStr">
        <is>
          <t xml:space="preserve">2018/19</t>
        </is>
      </c>
      <c r="D4791">
        <v>0.0</v>
      </c>
      <c r="E4791">
        <v>23.05</v>
      </c>
      <c r="F4791">
        <v>29.66</v>
      </c>
      <c r="G4791">
        <v>17.74</v>
      </c>
      <c r="H4791">
        <v>0.04</v>
      </c>
      <c r="I4791">
        <v>3.12</v>
      </c>
      <c r="J4791">
        <v>23.92</v>
      </c>
      <c r="K4791">
        <v>29.42</v>
      </c>
      <c r="L4791">
        <v>20.1</v>
      </c>
      <c r="M4791">
        <v>0.53</v>
      </c>
      <c r="N4791">
        <v>0.114</v>
      </c>
      <c r="O4791">
        <v>24.03</v>
      </c>
      <c r="P4791">
        <v>29.48</v>
      </c>
      <c r="Q4791">
        <v>20.54</v>
      </c>
      <c r="R4791">
        <v>0.05</v>
      </c>
    </row>
    <row r="4792">
      <c r="A4792" s="9">
        <v>43323</v>
      </c>
      <c r="B4792" s="2" t="inlineStr">
        <is>
          <t xml:space="preserve">2018-08</t>
        </is>
      </c>
      <c r="C4792" s="2" t="inlineStr">
        <is>
          <t xml:space="preserve">2018/19</t>
        </is>
      </c>
      <c r="D4792">
        <v>0.0</v>
      </c>
      <c r="E4792">
        <v>22.67</v>
      </c>
      <c r="F4792">
        <v>29.45</v>
      </c>
      <c r="G4792">
        <v>17.82</v>
      </c>
      <c r="H4792">
        <v>0.11</v>
      </c>
      <c r="I4792">
        <v>0.0</v>
      </c>
      <c r="J4792">
        <v>23.33</v>
      </c>
      <c r="K4792">
        <v>28.55</v>
      </c>
      <c r="L4792">
        <v>19.34</v>
      </c>
      <c r="M4792">
        <v>1.41</v>
      </c>
      <c r="N4792">
        <v>0.0</v>
      </c>
      <c r="O4792">
        <v>23.35</v>
      </c>
      <c r="P4792">
        <v>27.75</v>
      </c>
      <c r="Q4792">
        <v>20.57</v>
      </c>
      <c r="R4792">
        <v>0.16</v>
      </c>
    </row>
    <row r="4793">
      <c r="A4793" s="9">
        <v>43324</v>
      </c>
      <c r="B4793" s="2" t="inlineStr">
        <is>
          <t xml:space="preserve">2018-08</t>
        </is>
      </c>
      <c r="C4793" s="2" t="inlineStr">
        <is>
          <t xml:space="preserve">2018/19</t>
        </is>
      </c>
      <c r="D4793">
        <v>0.0</v>
      </c>
      <c r="E4793">
        <v>22.64</v>
      </c>
      <c r="F4793">
        <v>29.33</v>
      </c>
      <c r="G4793">
        <v>17.27</v>
      </c>
      <c r="H4793">
        <v>2.98</v>
      </c>
      <c r="I4793">
        <v>9.808</v>
      </c>
      <c r="J4793">
        <v>22.81</v>
      </c>
      <c r="K4793">
        <v>27.92</v>
      </c>
      <c r="L4793">
        <v>18.96</v>
      </c>
      <c r="M4793">
        <v>7.38</v>
      </c>
      <c r="N4793">
        <v>0.359</v>
      </c>
      <c r="O4793">
        <v>23.28</v>
      </c>
      <c r="P4793">
        <v>28.42</v>
      </c>
      <c r="Q4793">
        <v>19.86</v>
      </c>
      <c r="R4793">
        <v>3.18</v>
      </c>
    </row>
    <row r="4794">
      <c r="A4794" s="9">
        <v>43325</v>
      </c>
      <c r="B4794" s="2" t="inlineStr">
        <is>
          <t xml:space="preserve">2018-08</t>
        </is>
      </c>
      <c r="C4794" s="2" t="inlineStr">
        <is>
          <t xml:space="preserve">2018/19</t>
        </is>
      </c>
      <c r="D4794">
        <v>7.576</v>
      </c>
      <c r="E4794">
        <v>22.1</v>
      </c>
      <c r="F4794">
        <v>27.77</v>
      </c>
      <c r="G4794">
        <v>18.26</v>
      </c>
      <c r="H4794">
        <v>3.99</v>
      </c>
      <c r="I4794">
        <v>37.349</v>
      </c>
      <c r="J4794">
        <v>23.28</v>
      </c>
      <c r="K4794">
        <v>28.76</v>
      </c>
      <c r="L4794">
        <v>19.58</v>
      </c>
      <c r="M4794">
        <v>33.04</v>
      </c>
      <c r="N4794">
        <v>3.889</v>
      </c>
      <c r="O4794">
        <v>23.04</v>
      </c>
      <c r="P4794">
        <v>28.35</v>
      </c>
      <c r="Q4794">
        <v>19.27</v>
      </c>
      <c r="R4794">
        <v>13.08</v>
      </c>
    </row>
    <row r="4795">
      <c r="A4795" s="9">
        <v>43326</v>
      </c>
      <c r="B4795" s="2" t="inlineStr">
        <is>
          <t xml:space="preserve">2018-08</t>
        </is>
      </c>
      <c r="C4795" s="2" t="inlineStr">
        <is>
          <t xml:space="preserve">2018/19</t>
        </is>
      </c>
      <c r="D4795">
        <v>2.763</v>
      </c>
      <c r="E4795">
        <v>22.5</v>
      </c>
      <c r="F4795">
        <v>29.45</v>
      </c>
      <c r="G4795">
        <v>17.13</v>
      </c>
      <c r="H4795">
        <v>2.86</v>
      </c>
      <c r="I4795">
        <v>15.962</v>
      </c>
      <c r="J4795">
        <v>23.15</v>
      </c>
      <c r="K4795">
        <v>28.43</v>
      </c>
      <c r="L4795">
        <v>19.26</v>
      </c>
      <c r="M4795">
        <v>5.04</v>
      </c>
      <c r="N4795">
        <v>26.568</v>
      </c>
      <c r="O4795">
        <v>22.95</v>
      </c>
      <c r="P4795">
        <v>28.23</v>
      </c>
      <c r="Q4795">
        <v>19.71</v>
      </c>
      <c r="R4795">
        <v>4.84</v>
      </c>
    </row>
    <row r="4796">
      <c r="A4796" s="9">
        <v>43327</v>
      </c>
      <c r="B4796" s="2" t="inlineStr">
        <is>
          <t xml:space="preserve">2018-08</t>
        </is>
      </c>
      <c r="C4796" s="2" t="inlineStr">
        <is>
          <t xml:space="preserve">2018/19</t>
        </is>
      </c>
      <c r="D4796">
        <v>0.613</v>
      </c>
      <c r="E4796">
        <v>22.72</v>
      </c>
      <c r="F4796">
        <v>29.28</v>
      </c>
      <c r="G4796">
        <v>16.79</v>
      </c>
      <c r="H4796">
        <v>0.62</v>
      </c>
      <c r="I4796">
        <v>8.487</v>
      </c>
      <c r="J4796">
        <v>22.65</v>
      </c>
      <c r="K4796">
        <v>27.04</v>
      </c>
      <c r="L4796">
        <v>19.55</v>
      </c>
      <c r="M4796">
        <v>2.53</v>
      </c>
      <c r="N4796">
        <v>0.533</v>
      </c>
      <c r="O4796">
        <v>22.97</v>
      </c>
      <c r="P4796">
        <v>27.54</v>
      </c>
      <c r="Q4796">
        <v>20.18</v>
      </c>
      <c r="R4796">
        <v>1.2</v>
      </c>
    </row>
    <row r="4797">
      <c r="A4797" s="9">
        <v>43328</v>
      </c>
      <c r="B4797" s="2" t="inlineStr">
        <is>
          <t xml:space="preserve">2018-08</t>
        </is>
      </c>
      <c r="C4797" s="2" t="inlineStr">
        <is>
          <t xml:space="preserve">2018/19</t>
        </is>
      </c>
      <c r="D4797">
        <v>0.233</v>
      </c>
      <c r="E4797">
        <v>22.8</v>
      </c>
      <c r="F4797">
        <v>29.52</v>
      </c>
      <c r="G4797">
        <v>17.1</v>
      </c>
      <c r="H4797">
        <v>2.26</v>
      </c>
      <c r="I4797">
        <v>0.064</v>
      </c>
      <c r="J4797">
        <v>22.67</v>
      </c>
      <c r="K4797">
        <v>27.36</v>
      </c>
      <c r="L4797">
        <v>19.09</v>
      </c>
      <c r="M4797">
        <v>1.16</v>
      </c>
      <c r="N4797">
        <v>0.722</v>
      </c>
      <c r="O4797">
        <v>23.06</v>
      </c>
      <c r="P4797">
        <v>28.22</v>
      </c>
      <c r="Q4797">
        <v>19.75</v>
      </c>
      <c r="R4797">
        <v>1.67</v>
      </c>
    </row>
    <row r="4798">
      <c r="A4798" s="9">
        <v>43329</v>
      </c>
      <c r="B4798" s="2" t="inlineStr">
        <is>
          <t xml:space="preserve">2018-08</t>
        </is>
      </c>
      <c r="C4798" s="2" t="inlineStr">
        <is>
          <t xml:space="preserve">2018/19</t>
        </is>
      </c>
      <c r="D4798">
        <v>10.255</v>
      </c>
      <c r="E4798">
        <v>22.37</v>
      </c>
      <c r="F4798">
        <v>27.27</v>
      </c>
      <c r="G4798">
        <v>18.86</v>
      </c>
      <c r="H4798">
        <v>3.71</v>
      </c>
      <c r="I4798">
        <v>2.091</v>
      </c>
      <c r="J4798">
        <v>22.34</v>
      </c>
      <c r="K4798">
        <v>26.3</v>
      </c>
      <c r="L4798">
        <v>19.19</v>
      </c>
      <c r="M4798">
        <v>2.17</v>
      </c>
      <c r="N4798">
        <v>0.589</v>
      </c>
      <c r="O4798">
        <v>22.25</v>
      </c>
      <c r="P4798">
        <v>25.77</v>
      </c>
      <c r="Q4798">
        <v>20.08</v>
      </c>
      <c r="R4798">
        <v>2.89</v>
      </c>
    </row>
    <row r="4799">
      <c r="A4799" s="9">
        <v>43330</v>
      </c>
      <c r="B4799" s="2" t="inlineStr">
        <is>
          <t xml:space="preserve">2018-08</t>
        </is>
      </c>
      <c r="C4799" s="2" t="inlineStr">
        <is>
          <t xml:space="preserve">2018/19</t>
        </is>
      </c>
      <c r="D4799">
        <v>1.116</v>
      </c>
      <c r="E4799">
        <v>23.33</v>
      </c>
      <c r="F4799">
        <v>30.35</v>
      </c>
      <c r="G4799">
        <v>17.78</v>
      </c>
      <c r="H4799">
        <v>0.33</v>
      </c>
      <c r="I4799">
        <v>4.134</v>
      </c>
      <c r="J4799">
        <v>22.5</v>
      </c>
      <c r="K4799">
        <v>26.87</v>
      </c>
      <c r="L4799">
        <v>19.03</v>
      </c>
      <c r="M4799">
        <v>3.26</v>
      </c>
      <c r="N4799">
        <v>1.511</v>
      </c>
      <c r="O4799">
        <v>22.89</v>
      </c>
      <c r="P4799">
        <v>27.41</v>
      </c>
      <c r="Q4799">
        <v>19.91</v>
      </c>
      <c r="R4799">
        <v>0.58</v>
      </c>
    </row>
    <row r="4800">
      <c r="A4800" s="9">
        <v>43331</v>
      </c>
      <c r="B4800" s="2" t="inlineStr">
        <is>
          <t xml:space="preserve">2018-08</t>
        </is>
      </c>
      <c r="C4800" s="2" t="inlineStr">
        <is>
          <t xml:space="preserve">2018/19</t>
        </is>
      </c>
      <c r="D4800">
        <v>0.0</v>
      </c>
      <c r="E4800">
        <v>24.1</v>
      </c>
      <c r="F4800">
        <v>30.91</v>
      </c>
      <c r="G4800">
        <v>18.9</v>
      </c>
      <c r="H4800">
        <v>2.47</v>
      </c>
      <c r="I4800">
        <v>20.84</v>
      </c>
      <c r="J4800">
        <v>22.88</v>
      </c>
      <c r="K4800">
        <v>26.93</v>
      </c>
      <c r="L4800">
        <v>19.22</v>
      </c>
      <c r="M4800">
        <v>28.31</v>
      </c>
      <c r="N4800">
        <v>0.808</v>
      </c>
      <c r="O4800">
        <v>23.14</v>
      </c>
      <c r="P4800">
        <v>27.39</v>
      </c>
      <c r="Q4800">
        <v>20.35</v>
      </c>
      <c r="R4800">
        <v>4.26</v>
      </c>
    </row>
    <row r="4801">
      <c r="A4801" s="9">
        <v>43332</v>
      </c>
      <c r="B4801" s="2" t="inlineStr">
        <is>
          <t xml:space="preserve">2018-08</t>
        </is>
      </c>
      <c r="C4801" s="2" t="inlineStr">
        <is>
          <t xml:space="preserve">2018/19</t>
        </is>
      </c>
      <c r="D4801">
        <v>25.303</v>
      </c>
      <c r="E4801">
        <v>22.66</v>
      </c>
      <c r="F4801">
        <v>29.07</v>
      </c>
      <c r="G4801">
        <v>18.84</v>
      </c>
      <c r="H4801">
        <v>11.14</v>
      </c>
      <c r="I4801">
        <v>49.247</v>
      </c>
      <c r="J4801">
        <v>23.44</v>
      </c>
      <c r="K4801">
        <v>27.75</v>
      </c>
      <c r="L4801">
        <v>20.55</v>
      </c>
      <c r="M4801">
        <v>11.36</v>
      </c>
      <c r="N4801">
        <v>2.546</v>
      </c>
      <c r="O4801">
        <v>23.54</v>
      </c>
      <c r="P4801">
        <v>28.09</v>
      </c>
      <c r="Q4801">
        <v>20.59</v>
      </c>
      <c r="R4801">
        <v>7.46</v>
      </c>
    </row>
    <row r="4802">
      <c r="A4802" s="9">
        <v>43333</v>
      </c>
      <c r="B4802" s="2" t="inlineStr">
        <is>
          <t xml:space="preserve">2018-08</t>
        </is>
      </c>
      <c r="C4802" s="2" t="inlineStr">
        <is>
          <t xml:space="preserve">2018/19</t>
        </is>
      </c>
      <c r="D4802">
        <v>3.026</v>
      </c>
      <c r="E4802">
        <v>23.24</v>
      </c>
      <c r="F4802">
        <v>30.39</v>
      </c>
      <c r="G4802">
        <v>18.39</v>
      </c>
      <c r="H4802">
        <v>5.64</v>
      </c>
      <c r="I4802">
        <v>1.254</v>
      </c>
      <c r="J4802">
        <v>22.53</v>
      </c>
      <c r="K4802">
        <v>27.14</v>
      </c>
      <c r="L4802">
        <v>19.2</v>
      </c>
      <c r="M4802">
        <v>9.79</v>
      </c>
      <c r="N4802">
        <v>1.221</v>
      </c>
      <c r="O4802">
        <v>23.19</v>
      </c>
      <c r="P4802">
        <v>28.2</v>
      </c>
      <c r="Q4802">
        <v>20.37</v>
      </c>
      <c r="R4802">
        <v>12.84</v>
      </c>
    </row>
    <row r="4803">
      <c r="A4803" s="9">
        <v>43334</v>
      </c>
      <c r="B4803" s="2" t="inlineStr">
        <is>
          <t xml:space="preserve">2018-08</t>
        </is>
      </c>
      <c r="C4803" s="2" t="inlineStr">
        <is>
          <t xml:space="preserve">2018/19</t>
        </is>
      </c>
      <c r="D4803">
        <v>0.0</v>
      </c>
      <c r="E4803">
        <v>22.98</v>
      </c>
      <c r="F4803">
        <v>28.17</v>
      </c>
      <c r="G4803">
        <v>19.63</v>
      </c>
      <c r="H4803">
        <v>0.68</v>
      </c>
      <c r="I4803">
        <v>10.557</v>
      </c>
      <c r="J4803">
        <v>21.99</v>
      </c>
      <c r="K4803">
        <v>25.13</v>
      </c>
      <c r="L4803">
        <v>20.09</v>
      </c>
      <c r="M4803">
        <v>4.5</v>
      </c>
      <c r="N4803">
        <v>0.666</v>
      </c>
      <c r="O4803">
        <v>22.71</v>
      </c>
      <c r="P4803">
        <v>26.16</v>
      </c>
      <c r="Q4803">
        <v>20.53</v>
      </c>
      <c r="R4803">
        <v>0.84</v>
      </c>
    </row>
    <row r="4804">
      <c r="A4804" s="9">
        <v>43335</v>
      </c>
      <c r="B4804" s="2" t="inlineStr">
        <is>
          <t xml:space="preserve">2018-08</t>
        </is>
      </c>
      <c r="C4804" s="2" t="inlineStr">
        <is>
          <t xml:space="preserve">2018/19</t>
        </is>
      </c>
      <c r="D4804">
        <v>0.0</v>
      </c>
      <c r="E4804">
        <v>22.67</v>
      </c>
      <c r="F4804">
        <v>28.48</v>
      </c>
      <c r="G4804">
        <v>18.98</v>
      </c>
      <c r="H4804">
        <v>0.73</v>
      </c>
      <c r="I4804">
        <v>0.072</v>
      </c>
      <c r="J4804">
        <v>22.24</v>
      </c>
      <c r="K4804">
        <v>26.76</v>
      </c>
      <c r="L4804">
        <v>18.67</v>
      </c>
      <c r="M4804">
        <v>3.26</v>
      </c>
      <c r="N4804">
        <v>0.33</v>
      </c>
      <c r="O4804">
        <v>22.5</v>
      </c>
      <c r="P4804">
        <v>26.57</v>
      </c>
      <c r="Q4804">
        <v>19.48</v>
      </c>
      <c r="R4804">
        <v>1.71</v>
      </c>
    </row>
    <row r="4805">
      <c r="A4805" s="9">
        <v>43336</v>
      </c>
      <c r="B4805" s="2" t="inlineStr">
        <is>
          <t xml:space="preserve">2018-08</t>
        </is>
      </c>
      <c r="C4805" s="2" t="inlineStr">
        <is>
          <t xml:space="preserve">2018/19</t>
        </is>
      </c>
      <c r="D4805">
        <v>0.244</v>
      </c>
      <c r="E4805">
        <v>22.85</v>
      </c>
      <c r="F4805">
        <v>29.97</v>
      </c>
      <c r="G4805">
        <v>17.76</v>
      </c>
      <c r="H4805">
        <v>2.55</v>
      </c>
      <c r="I4805">
        <v>11.443</v>
      </c>
      <c r="J4805">
        <v>22.47</v>
      </c>
      <c r="K4805">
        <v>27.1</v>
      </c>
      <c r="L4805">
        <v>18.74</v>
      </c>
      <c r="M4805">
        <v>13.33</v>
      </c>
      <c r="N4805">
        <v>2.457</v>
      </c>
      <c r="O4805">
        <v>22.92</v>
      </c>
      <c r="P4805">
        <v>27.6</v>
      </c>
      <c r="Q4805">
        <v>19.71</v>
      </c>
      <c r="R4805">
        <v>7.15</v>
      </c>
    </row>
    <row r="4806">
      <c r="A4806" s="9">
        <v>43337</v>
      </c>
      <c r="B4806" s="2" t="inlineStr">
        <is>
          <t xml:space="preserve">2018-08</t>
        </is>
      </c>
      <c r="C4806" s="2" t="inlineStr">
        <is>
          <t xml:space="preserve">2018/19</t>
        </is>
      </c>
      <c r="D4806">
        <v>3.063</v>
      </c>
      <c r="E4806">
        <v>21.23</v>
      </c>
      <c r="F4806">
        <v>28.26</v>
      </c>
      <c r="G4806">
        <v>16.21</v>
      </c>
      <c r="H4806">
        <v>4.9</v>
      </c>
      <c r="I4806">
        <v>23.827</v>
      </c>
      <c r="J4806">
        <v>21.85</v>
      </c>
      <c r="K4806">
        <v>26.32</v>
      </c>
      <c r="L4806">
        <v>18.6</v>
      </c>
      <c r="M4806">
        <v>8.6</v>
      </c>
      <c r="N4806">
        <v>3.2</v>
      </c>
      <c r="O4806">
        <v>22.01</v>
      </c>
      <c r="P4806">
        <v>26.45</v>
      </c>
      <c r="Q4806">
        <v>19.44</v>
      </c>
      <c r="R4806">
        <v>6.46</v>
      </c>
    </row>
    <row r="4807">
      <c r="A4807" s="9">
        <v>43338</v>
      </c>
      <c r="B4807" s="2" t="inlineStr">
        <is>
          <t xml:space="preserve">2018-08</t>
        </is>
      </c>
      <c r="C4807" s="2" t="inlineStr">
        <is>
          <t xml:space="preserve">2018/19</t>
        </is>
      </c>
      <c r="D4807">
        <v>4.587</v>
      </c>
      <c r="E4807">
        <v>22.09</v>
      </c>
      <c r="F4807">
        <v>29.14</v>
      </c>
      <c r="G4807">
        <v>17.3</v>
      </c>
      <c r="H4807">
        <v>3.1</v>
      </c>
      <c r="I4807">
        <v>15.764</v>
      </c>
      <c r="J4807">
        <v>21.98</v>
      </c>
      <c r="K4807">
        <v>26.8</v>
      </c>
      <c r="L4807">
        <v>18.82</v>
      </c>
      <c r="M4807">
        <v>8.72</v>
      </c>
      <c r="N4807">
        <v>2.652</v>
      </c>
      <c r="O4807">
        <v>22.32</v>
      </c>
      <c r="P4807">
        <v>27.94</v>
      </c>
      <c r="Q4807">
        <v>18.78</v>
      </c>
      <c r="R4807">
        <v>2.81</v>
      </c>
    </row>
    <row r="4808">
      <c r="A4808" s="9">
        <v>43339</v>
      </c>
      <c r="B4808" s="2" t="inlineStr">
        <is>
          <t xml:space="preserve">2018-08</t>
        </is>
      </c>
      <c r="C4808" s="2" t="inlineStr">
        <is>
          <t xml:space="preserve">2018/19</t>
        </is>
      </c>
      <c r="D4808">
        <v>8.766</v>
      </c>
      <c r="E4808">
        <v>22.74</v>
      </c>
      <c r="F4808">
        <v>29.97</v>
      </c>
      <c r="G4808">
        <v>17.24</v>
      </c>
      <c r="H4808">
        <v>3.19</v>
      </c>
      <c r="I4808">
        <v>0.16</v>
      </c>
      <c r="J4808">
        <v>22.77</v>
      </c>
      <c r="K4808">
        <v>27.75</v>
      </c>
      <c r="L4808">
        <v>19.18</v>
      </c>
      <c r="M4808">
        <v>0.81</v>
      </c>
      <c r="N4808">
        <v>1.781</v>
      </c>
      <c r="O4808">
        <v>23.14</v>
      </c>
      <c r="P4808">
        <v>28.56</v>
      </c>
      <c r="Q4808">
        <v>19.93</v>
      </c>
      <c r="R4808">
        <v>1.75</v>
      </c>
    </row>
    <row r="4809">
      <c r="A4809" s="9">
        <v>43340</v>
      </c>
      <c r="B4809" s="2" t="inlineStr">
        <is>
          <t xml:space="preserve">2018-08</t>
        </is>
      </c>
      <c r="C4809" s="2" t="inlineStr">
        <is>
          <t xml:space="preserve">2018/19</t>
        </is>
      </c>
      <c r="D4809">
        <v>20.862</v>
      </c>
      <c r="E4809">
        <v>22.38</v>
      </c>
      <c r="F4809">
        <v>28.92</v>
      </c>
      <c r="G4809">
        <v>17.95</v>
      </c>
      <c r="H4809">
        <v>11.62</v>
      </c>
      <c r="I4809">
        <v>0.209</v>
      </c>
      <c r="J4809">
        <v>22.77</v>
      </c>
      <c r="K4809">
        <v>27.33</v>
      </c>
      <c r="L4809">
        <v>18.87</v>
      </c>
      <c r="M4809">
        <v>1.13</v>
      </c>
      <c r="N4809">
        <v>0.886</v>
      </c>
      <c r="O4809">
        <v>23.35</v>
      </c>
      <c r="P4809">
        <v>28.61</v>
      </c>
      <c r="Q4809">
        <v>20.19</v>
      </c>
      <c r="R4809">
        <v>3.74</v>
      </c>
    </row>
    <row r="4810">
      <c r="A4810" s="9">
        <v>43341</v>
      </c>
      <c r="B4810" s="2" t="inlineStr">
        <is>
          <t xml:space="preserve">2018-08</t>
        </is>
      </c>
      <c r="C4810" s="2" t="inlineStr">
        <is>
          <t xml:space="preserve">2018/19</t>
        </is>
      </c>
      <c r="D4810">
        <v>14.175</v>
      </c>
      <c r="E4810">
        <v>20.91</v>
      </c>
      <c r="F4810">
        <v>26.57</v>
      </c>
      <c r="G4810">
        <v>17.29</v>
      </c>
      <c r="H4810">
        <v>5.21</v>
      </c>
      <c r="I4810">
        <v>1.988</v>
      </c>
      <c r="J4810">
        <v>22.65</v>
      </c>
      <c r="K4810">
        <v>26.8</v>
      </c>
      <c r="L4810">
        <v>18.96</v>
      </c>
      <c r="M4810">
        <v>9.78</v>
      </c>
      <c r="N4810">
        <v>3.36</v>
      </c>
      <c r="O4810">
        <v>22.71</v>
      </c>
      <c r="P4810">
        <v>27.54</v>
      </c>
      <c r="Q4810">
        <v>19.68</v>
      </c>
      <c r="R4810">
        <v>4.59</v>
      </c>
    </row>
    <row r="4811">
      <c r="A4811" s="9">
        <v>43342</v>
      </c>
      <c r="B4811" s="2" t="inlineStr">
        <is>
          <t xml:space="preserve">2018-08</t>
        </is>
      </c>
      <c r="C4811" s="2" t="inlineStr">
        <is>
          <t xml:space="preserve">2018/19</t>
        </is>
      </c>
      <c r="D4811">
        <v>0.279</v>
      </c>
      <c r="E4811">
        <v>22.91</v>
      </c>
      <c r="F4811">
        <v>30.45</v>
      </c>
      <c r="G4811">
        <v>16.98</v>
      </c>
      <c r="H4811">
        <v>2.1</v>
      </c>
      <c r="I4811">
        <v>24.119</v>
      </c>
      <c r="J4811">
        <v>22.69</v>
      </c>
      <c r="K4811">
        <v>27.78</v>
      </c>
      <c r="L4811">
        <v>18.01</v>
      </c>
      <c r="M4811">
        <v>5.48</v>
      </c>
      <c r="N4811">
        <v>1.124</v>
      </c>
      <c r="O4811">
        <v>23.15</v>
      </c>
      <c r="P4811">
        <v>29.16</v>
      </c>
      <c r="Q4811">
        <v>18.85</v>
      </c>
      <c r="R4811">
        <v>1.88</v>
      </c>
    </row>
    <row r="4812">
      <c r="A4812" s="9">
        <v>43343</v>
      </c>
      <c r="B4812" s="2" t="inlineStr">
        <is>
          <t xml:space="preserve">2018-08</t>
        </is>
      </c>
      <c r="C4812" s="2" t="inlineStr">
        <is>
          <t xml:space="preserve">2018/19</t>
        </is>
      </c>
      <c r="D4812">
        <v>12.044</v>
      </c>
      <c r="E4812">
        <v>22.36</v>
      </c>
      <c r="F4812">
        <v>28.23</v>
      </c>
      <c r="G4812">
        <v>17.64</v>
      </c>
      <c r="H4812">
        <v>7.9</v>
      </c>
      <c r="I4812">
        <v>0.617</v>
      </c>
      <c r="J4812">
        <v>23.2</v>
      </c>
      <c r="K4812">
        <v>27.5</v>
      </c>
      <c r="L4812">
        <v>19.33</v>
      </c>
      <c r="M4812">
        <v>9.64</v>
      </c>
      <c r="N4812">
        <v>0.57</v>
      </c>
      <c r="O4812">
        <v>23.63</v>
      </c>
      <c r="P4812">
        <v>28.94</v>
      </c>
      <c r="Q4812">
        <v>20.4</v>
      </c>
      <c r="R4812">
        <v>8.1</v>
      </c>
    </row>
    <row r="4813">
      <c r="A4813" s="9">
        <v>43344</v>
      </c>
      <c r="B4813" s="2" t="inlineStr">
        <is>
          <t xml:space="preserve">2018-09</t>
        </is>
      </c>
      <c r="C4813" s="2" t="inlineStr">
        <is>
          <t xml:space="preserve">2018/19</t>
        </is>
      </c>
      <c r="D4813">
        <v>12.044</v>
      </c>
      <c r="E4813">
        <v>22.19</v>
      </c>
      <c r="F4813">
        <v>27.63</v>
      </c>
      <c r="G4813">
        <v>17.89</v>
      </c>
      <c r="H4813">
        <v>8.74</v>
      </c>
      <c r="I4813">
        <v>27.423</v>
      </c>
      <c r="J4813">
        <v>23.41</v>
      </c>
      <c r="K4813">
        <v>27.78</v>
      </c>
      <c r="L4813">
        <v>20.13</v>
      </c>
      <c r="M4813">
        <v>13.16</v>
      </c>
      <c r="N4813">
        <v>16.04</v>
      </c>
      <c r="O4813">
        <v>23.55</v>
      </c>
      <c r="P4813">
        <v>28.32</v>
      </c>
      <c r="Q4813">
        <v>20.31</v>
      </c>
      <c r="R4813">
        <v>8.76</v>
      </c>
    </row>
    <row r="4814">
      <c r="A4814" s="9">
        <v>43345</v>
      </c>
      <c r="B4814" s="2" t="inlineStr">
        <is>
          <t xml:space="preserve">2018-09</t>
        </is>
      </c>
      <c r="C4814" s="2" t="inlineStr">
        <is>
          <t xml:space="preserve">2018/19</t>
        </is>
      </c>
      <c r="D4814">
        <v>2.034</v>
      </c>
      <c r="E4814">
        <v>22.4</v>
      </c>
      <c r="F4814">
        <v>28.92</v>
      </c>
      <c r="G4814">
        <v>17.01</v>
      </c>
      <c r="H4814">
        <v>3.62</v>
      </c>
      <c r="I4814">
        <v>10.322</v>
      </c>
      <c r="J4814">
        <v>23.43</v>
      </c>
      <c r="K4814">
        <v>27.94</v>
      </c>
      <c r="L4814">
        <v>20.1</v>
      </c>
      <c r="M4814">
        <v>15.77</v>
      </c>
      <c r="N4814">
        <v>7.52</v>
      </c>
      <c r="O4814">
        <v>23.39</v>
      </c>
      <c r="P4814">
        <v>27.6</v>
      </c>
      <c r="Q4814">
        <v>20.76</v>
      </c>
      <c r="R4814">
        <v>7.18</v>
      </c>
    </row>
    <row r="4815">
      <c r="A4815" s="9">
        <v>43346</v>
      </c>
      <c r="B4815" s="2" t="inlineStr">
        <is>
          <t xml:space="preserve">2018-09</t>
        </is>
      </c>
      <c r="C4815" s="2" t="inlineStr">
        <is>
          <t xml:space="preserve">2018/19</t>
        </is>
      </c>
      <c r="D4815">
        <v>19.322</v>
      </c>
      <c r="E4815">
        <v>22.14</v>
      </c>
      <c r="F4815">
        <v>27.51</v>
      </c>
      <c r="G4815">
        <v>17.89</v>
      </c>
      <c r="H4815">
        <v>8.04</v>
      </c>
      <c r="I4815">
        <v>18.446</v>
      </c>
      <c r="J4815">
        <v>23.33</v>
      </c>
      <c r="K4815">
        <v>27.9</v>
      </c>
      <c r="L4815">
        <v>19.2</v>
      </c>
      <c r="M4815">
        <v>9.33</v>
      </c>
      <c r="N4815">
        <v>14.144</v>
      </c>
      <c r="O4815">
        <v>23.68</v>
      </c>
      <c r="P4815">
        <v>28.5</v>
      </c>
      <c r="Q4815">
        <v>20.53</v>
      </c>
      <c r="R4815">
        <v>6.16</v>
      </c>
    </row>
    <row r="4816">
      <c r="A4816" s="9">
        <v>43347</v>
      </c>
      <c r="B4816" s="2" t="inlineStr">
        <is>
          <t xml:space="preserve">2018-09</t>
        </is>
      </c>
      <c r="C4816" s="2" t="inlineStr">
        <is>
          <t xml:space="preserve">2018/19</t>
        </is>
      </c>
      <c r="D4816">
        <v>3.367</v>
      </c>
      <c r="E4816">
        <v>22.77</v>
      </c>
      <c r="F4816">
        <v>29.46</v>
      </c>
      <c r="G4816">
        <v>17.48</v>
      </c>
      <c r="H4816">
        <v>2.28</v>
      </c>
      <c r="I4816">
        <v>4.471</v>
      </c>
      <c r="J4816">
        <v>23.6</v>
      </c>
      <c r="K4816">
        <v>27.38</v>
      </c>
      <c r="L4816">
        <v>20.55</v>
      </c>
      <c r="M4816">
        <v>1.26</v>
      </c>
      <c r="N4816">
        <v>1.97</v>
      </c>
      <c r="O4816">
        <v>23.54</v>
      </c>
      <c r="P4816">
        <v>28.46</v>
      </c>
      <c r="Q4816">
        <v>20.03</v>
      </c>
      <c r="R4816">
        <v>1.17</v>
      </c>
    </row>
    <row r="4817">
      <c r="A4817" s="9">
        <v>43348</v>
      </c>
      <c r="B4817" s="2" t="inlineStr">
        <is>
          <t xml:space="preserve">2018-09</t>
        </is>
      </c>
      <c r="C4817" s="2" t="inlineStr">
        <is>
          <t xml:space="preserve">2018/19</t>
        </is>
      </c>
      <c r="D4817">
        <v>1.054</v>
      </c>
      <c r="E4817">
        <v>22.75</v>
      </c>
      <c r="F4817">
        <v>28.62</v>
      </c>
      <c r="G4817">
        <v>17.85</v>
      </c>
      <c r="H4817">
        <v>2.93</v>
      </c>
      <c r="I4817">
        <v>0.059</v>
      </c>
      <c r="J4817">
        <v>23.08</v>
      </c>
      <c r="K4817">
        <v>27.57</v>
      </c>
      <c r="L4817">
        <v>19.68</v>
      </c>
      <c r="M4817">
        <v>4.47</v>
      </c>
      <c r="N4817">
        <v>0.0</v>
      </c>
      <c r="O4817">
        <v>23.5</v>
      </c>
      <c r="P4817">
        <v>28.42</v>
      </c>
      <c r="Q4817">
        <v>20.59</v>
      </c>
      <c r="R4817">
        <v>1.16</v>
      </c>
    </row>
    <row r="4818">
      <c r="A4818" s="9">
        <v>43349</v>
      </c>
      <c r="B4818" s="2" t="inlineStr">
        <is>
          <t xml:space="preserve">2018-09</t>
        </is>
      </c>
      <c r="C4818" s="2" t="inlineStr">
        <is>
          <t xml:space="preserve">2018/19</t>
        </is>
      </c>
      <c r="D4818">
        <v>8.31</v>
      </c>
      <c r="E4818">
        <v>22.78</v>
      </c>
      <c r="F4818">
        <v>28.67</v>
      </c>
      <c r="G4818">
        <v>18.32</v>
      </c>
      <c r="H4818">
        <v>1.9</v>
      </c>
      <c r="I4818">
        <v>20.059</v>
      </c>
      <c r="J4818">
        <v>22.74</v>
      </c>
      <c r="K4818">
        <v>26.31</v>
      </c>
      <c r="L4818">
        <v>20.48</v>
      </c>
      <c r="M4818">
        <v>7.98</v>
      </c>
      <c r="N4818">
        <v>1.72</v>
      </c>
      <c r="O4818">
        <v>23.16</v>
      </c>
      <c r="P4818">
        <v>27.46</v>
      </c>
      <c r="Q4818">
        <v>20.58</v>
      </c>
      <c r="R4818">
        <v>1.29</v>
      </c>
    </row>
    <row r="4819">
      <c r="A4819" s="9">
        <v>43350</v>
      </c>
      <c r="B4819" s="2" t="inlineStr">
        <is>
          <t xml:space="preserve">2018-09</t>
        </is>
      </c>
      <c r="C4819" s="2" t="inlineStr">
        <is>
          <t xml:space="preserve">2018/19</t>
        </is>
      </c>
      <c r="D4819">
        <v>0.472</v>
      </c>
      <c r="E4819">
        <v>23.0</v>
      </c>
      <c r="F4819">
        <v>29.46</v>
      </c>
      <c r="G4819">
        <v>17.58</v>
      </c>
      <c r="H4819">
        <v>1.12</v>
      </c>
      <c r="I4819">
        <v>0.145</v>
      </c>
      <c r="J4819">
        <v>22.84</v>
      </c>
      <c r="K4819">
        <v>27.45</v>
      </c>
      <c r="L4819">
        <v>18.73</v>
      </c>
      <c r="M4819">
        <v>0.69</v>
      </c>
      <c r="N4819">
        <v>0.0</v>
      </c>
      <c r="O4819">
        <v>23.5</v>
      </c>
      <c r="P4819">
        <v>28.83</v>
      </c>
      <c r="Q4819">
        <v>19.73</v>
      </c>
      <c r="R4819">
        <v>0.29</v>
      </c>
    </row>
    <row r="4820">
      <c r="A4820" s="9">
        <v>43351</v>
      </c>
      <c r="B4820" s="2" t="inlineStr">
        <is>
          <t xml:space="preserve">2018-09</t>
        </is>
      </c>
      <c r="C4820" s="2" t="inlineStr">
        <is>
          <t xml:space="preserve">2018/19</t>
        </is>
      </c>
      <c r="D4820">
        <v>5.094</v>
      </c>
      <c r="E4820">
        <v>22.06</v>
      </c>
      <c r="F4820">
        <v>27.91</v>
      </c>
      <c r="G4820">
        <v>17.84</v>
      </c>
      <c r="H4820">
        <v>5.87</v>
      </c>
      <c r="I4820">
        <v>4.241</v>
      </c>
      <c r="J4820">
        <v>21.47</v>
      </c>
      <c r="K4820">
        <v>24.44</v>
      </c>
      <c r="L4820">
        <v>19.54</v>
      </c>
      <c r="M4820">
        <v>11.46</v>
      </c>
      <c r="N4820">
        <v>0.642</v>
      </c>
      <c r="O4820">
        <v>23.76</v>
      </c>
      <c r="P4820">
        <v>29.36</v>
      </c>
      <c r="Q4820">
        <v>20.03</v>
      </c>
      <c r="R4820">
        <v>4.46</v>
      </c>
    </row>
    <row r="4821">
      <c r="A4821" s="9">
        <v>43352</v>
      </c>
      <c r="B4821" s="2" t="inlineStr">
        <is>
          <t xml:space="preserve">2018-09</t>
        </is>
      </c>
      <c r="C4821" s="2" t="inlineStr">
        <is>
          <t xml:space="preserve">2018/19</t>
        </is>
      </c>
      <c r="D4821">
        <v>18.437</v>
      </c>
      <c r="E4821">
        <v>21.47</v>
      </c>
      <c r="F4821">
        <v>24.55</v>
      </c>
      <c r="G4821">
        <v>19.33</v>
      </c>
      <c r="H4821">
        <v>10.35</v>
      </c>
      <c r="I4821">
        <v>30.031</v>
      </c>
      <c r="J4821">
        <v>21.73</v>
      </c>
      <c r="K4821">
        <v>25.65</v>
      </c>
      <c r="L4821">
        <v>18.52</v>
      </c>
      <c r="M4821">
        <v>12.67</v>
      </c>
      <c r="N4821">
        <v>7.285</v>
      </c>
      <c r="O4821">
        <v>22.71</v>
      </c>
      <c r="P4821">
        <v>26.84</v>
      </c>
      <c r="Q4821">
        <v>20.27</v>
      </c>
      <c r="R4821">
        <v>6.08</v>
      </c>
    </row>
    <row r="4822">
      <c r="A4822" s="9">
        <v>43353</v>
      </c>
      <c r="B4822" s="2" t="inlineStr">
        <is>
          <t xml:space="preserve">2018-09</t>
        </is>
      </c>
      <c r="C4822" s="2" t="inlineStr">
        <is>
          <t xml:space="preserve">2018/19</t>
        </is>
      </c>
      <c r="D4822">
        <v>9.439</v>
      </c>
      <c r="E4822">
        <v>22.27</v>
      </c>
      <c r="F4822">
        <v>27.51</v>
      </c>
      <c r="G4822">
        <v>18.58</v>
      </c>
      <c r="H4822">
        <v>7.55</v>
      </c>
      <c r="I4822">
        <v>2.725</v>
      </c>
      <c r="J4822">
        <v>21.84</v>
      </c>
      <c r="K4822">
        <v>25.95</v>
      </c>
      <c r="L4822">
        <v>19.2</v>
      </c>
      <c r="M4822">
        <v>4.33</v>
      </c>
      <c r="N4822">
        <v>9.936</v>
      </c>
      <c r="O4822">
        <v>23.17</v>
      </c>
      <c r="P4822">
        <v>28.17</v>
      </c>
      <c r="Q4822">
        <v>19.97</v>
      </c>
      <c r="R4822">
        <v>6.53</v>
      </c>
    </row>
    <row r="4823">
      <c r="A4823" s="9">
        <v>43354</v>
      </c>
      <c r="B4823" s="2" t="inlineStr">
        <is>
          <t xml:space="preserve">2018-09</t>
        </is>
      </c>
      <c r="C4823" s="2" t="inlineStr">
        <is>
          <t xml:space="preserve">2018/19</t>
        </is>
      </c>
      <c r="D4823">
        <v>1.693</v>
      </c>
      <c r="E4823">
        <v>23.12</v>
      </c>
      <c r="F4823">
        <v>28.52</v>
      </c>
      <c r="G4823">
        <v>18.55</v>
      </c>
      <c r="H4823">
        <v>4.66</v>
      </c>
      <c r="I4823">
        <v>0.0</v>
      </c>
      <c r="J4823">
        <v>21.93</v>
      </c>
      <c r="K4823">
        <v>26.66</v>
      </c>
      <c r="L4823">
        <v>17.99</v>
      </c>
      <c r="M4823">
        <v>7.91</v>
      </c>
      <c r="N4823">
        <v>0.476</v>
      </c>
      <c r="O4823">
        <v>23.38</v>
      </c>
      <c r="P4823">
        <v>29.23</v>
      </c>
      <c r="Q4823">
        <v>19.36</v>
      </c>
      <c r="R4823">
        <v>13.18</v>
      </c>
    </row>
    <row r="4824">
      <c r="A4824" s="9">
        <v>43355</v>
      </c>
      <c r="B4824" s="2" t="inlineStr">
        <is>
          <t xml:space="preserve">2018-09</t>
        </is>
      </c>
      <c r="C4824" s="2" t="inlineStr">
        <is>
          <t xml:space="preserve">2018/19</t>
        </is>
      </c>
      <c r="D4824">
        <v>11.002</v>
      </c>
      <c r="E4824">
        <v>22.56</v>
      </c>
      <c r="F4824">
        <v>27.31</v>
      </c>
      <c r="G4824">
        <v>19.79</v>
      </c>
      <c r="H4824">
        <v>13.26</v>
      </c>
      <c r="I4824">
        <v>10.791</v>
      </c>
      <c r="J4824">
        <v>22.22</v>
      </c>
      <c r="K4824">
        <v>27.0</v>
      </c>
      <c r="L4824">
        <v>18.47</v>
      </c>
      <c r="M4824">
        <v>9.53</v>
      </c>
      <c r="N4824">
        <v>30.258</v>
      </c>
      <c r="O4824">
        <v>22.69</v>
      </c>
      <c r="P4824">
        <v>26.86</v>
      </c>
      <c r="Q4824">
        <v>20.43</v>
      </c>
      <c r="R4824">
        <v>12.97</v>
      </c>
    </row>
    <row r="4825">
      <c r="A4825" s="9">
        <v>43356</v>
      </c>
      <c r="B4825" s="2" t="inlineStr">
        <is>
          <t xml:space="preserve">2018-09</t>
        </is>
      </c>
      <c r="C4825" s="2" t="inlineStr">
        <is>
          <t xml:space="preserve">2018/19</t>
        </is>
      </c>
      <c r="D4825">
        <v>8.306</v>
      </c>
      <c r="E4825">
        <v>22.8</v>
      </c>
      <c r="F4825">
        <v>28.4</v>
      </c>
      <c r="G4825">
        <v>18.1</v>
      </c>
      <c r="H4825">
        <v>0.19</v>
      </c>
      <c r="I4825">
        <v>0.0</v>
      </c>
      <c r="J4825">
        <v>23.14</v>
      </c>
      <c r="K4825">
        <v>27.06</v>
      </c>
      <c r="L4825">
        <v>19.98</v>
      </c>
      <c r="M4825">
        <v>1.92</v>
      </c>
      <c r="N4825">
        <v>0.096</v>
      </c>
      <c r="O4825">
        <v>23.52</v>
      </c>
      <c r="P4825">
        <v>28.64</v>
      </c>
      <c r="Q4825">
        <v>19.76</v>
      </c>
      <c r="R4825">
        <v>0.3</v>
      </c>
    </row>
    <row r="4826">
      <c r="A4826" s="9">
        <v>43357</v>
      </c>
      <c r="B4826" s="2" t="inlineStr">
        <is>
          <t xml:space="preserve">2018-09</t>
        </is>
      </c>
      <c r="C4826" s="2" t="inlineStr">
        <is>
          <t xml:space="preserve">2018/19</t>
        </is>
      </c>
      <c r="D4826">
        <v>0.123</v>
      </c>
      <c r="E4826">
        <v>22.74</v>
      </c>
      <c r="F4826">
        <v>28.76</v>
      </c>
      <c r="G4826">
        <v>17.22</v>
      </c>
      <c r="H4826">
        <v>1.12</v>
      </c>
      <c r="I4826">
        <v>8.129</v>
      </c>
      <c r="J4826">
        <v>23.36</v>
      </c>
      <c r="K4826">
        <v>27.17</v>
      </c>
      <c r="L4826">
        <v>19.94</v>
      </c>
      <c r="M4826">
        <v>2.72</v>
      </c>
      <c r="N4826">
        <v>0.333</v>
      </c>
      <c r="O4826">
        <v>23.34</v>
      </c>
      <c r="P4826">
        <v>28.14</v>
      </c>
      <c r="Q4826">
        <v>20.29</v>
      </c>
      <c r="R4826">
        <v>1.22</v>
      </c>
    </row>
    <row r="4827">
      <c r="A4827" s="9">
        <v>43358</v>
      </c>
      <c r="B4827" s="2" t="inlineStr">
        <is>
          <t xml:space="preserve">2018-09</t>
        </is>
      </c>
      <c r="C4827" s="2" t="inlineStr">
        <is>
          <t xml:space="preserve">2018/19</t>
        </is>
      </c>
      <c r="D4827">
        <v>0.299</v>
      </c>
      <c r="E4827">
        <v>22.95</v>
      </c>
      <c r="F4827">
        <v>28.44</v>
      </c>
      <c r="G4827">
        <v>18.3</v>
      </c>
      <c r="H4827">
        <v>1.58</v>
      </c>
      <c r="I4827">
        <v>3.015</v>
      </c>
      <c r="J4827">
        <v>23.24</v>
      </c>
      <c r="K4827">
        <v>26.83</v>
      </c>
      <c r="L4827">
        <v>20.33</v>
      </c>
      <c r="M4827">
        <v>2.07</v>
      </c>
      <c r="N4827">
        <v>0.425</v>
      </c>
      <c r="O4827">
        <v>23.34</v>
      </c>
      <c r="P4827">
        <v>27.6</v>
      </c>
      <c r="Q4827">
        <v>20.87</v>
      </c>
      <c r="R4827">
        <v>1.9</v>
      </c>
    </row>
    <row r="4828">
      <c r="A4828" s="9">
        <v>43359</v>
      </c>
      <c r="B4828" s="2" t="inlineStr">
        <is>
          <t xml:space="preserve">2018-09</t>
        </is>
      </c>
      <c r="C4828" s="2" t="inlineStr">
        <is>
          <t xml:space="preserve">2018/19</t>
        </is>
      </c>
      <c r="D4828">
        <v>1.707</v>
      </c>
      <c r="E4828">
        <v>23.42</v>
      </c>
      <c r="F4828">
        <v>29.23</v>
      </c>
      <c r="G4828">
        <v>18.97</v>
      </c>
      <c r="H4828">
        <v>2.24</v>
      </c>
      <c r="I4828">
        <v>1.004</v>
      </c>
      <c r="J4828">
        <v>22.96</v>
      </c>
      <c r="K4828">
        <v>26.03</v>
      </c>
      <c r="L4828">
        <v>20.58</v>
      </c>
      <c r="M4828">
        <v>2.13</v>
      </c>
      <c r="N4828">
        <v>0.933</v>
      </c>
      <c r="O4828">
        <v>23.45</v>
      </c>
      <c r="P4828">
        <v>27.83</v>
      </c>
      <c r="Q4828">
        <v>20.52</v>
      </c>
      <c r="R4828">
        <v>1.51</v>
      </c>
    </row>
    <row r="4829">
      <c r="A4829" s="9">
        <v>43360</v>
      </c>
      <c r="B4829" s="2" t="inlineStr">
        <is>
          <t xml:space="preserve">2018-09</t>
        </is>
      </c>
      <c r="C4829" s="2" t="inlineStr">
        <is>
          <t xml:space="preserve">2018/19</t>
        </is>
      </c>
      <c r="D4829">
        <v>2.605</v>
      </c>
      <c r="E4829">
        <v>23.31</v>
      </c>
      <c r="F4829">
        <v>29.68</v>
      </c>
      <c r="G4829">
        <v>18.78</v>
      </c>
      <c r="H4829">
        <v>1.03</v>
      </c>
      <c r="I4829">
        <v>2.546</v>
      </c>
      <c r="J4829">
        <v>23.13</v>
      </c>
      <c r="K4829">
        <v>27.85</v>
      </c>
      <c r="L4829">
        <v>19.67</v>
      </c>
      <c r="M4829">
        <v>0.9</v>
      </c>
      <c r="N4829">
        <v>0.893</v>
      </c>
      <c r="O4829">
        <v>23.58</v>
      </c>
      <c r="P4829">
        <v>28.99</v>
      </c>
      <c r="Q4829">
        <v>20.15</v>
      </c>
      <c r="R4829">
        <v>0.76</v>
      </c>
    </row>
    <row r="4830">
      <c r="A4830" s="9">
        <v>43361</v>
      </c>
      <c r="B4830" s="2" t="inlineStr">
        <is>
          <t xml:space="preserve">2018-09</t>
        </is>
      </c>
      <c r="C4830" s="2" t="inlineStr">
        <is>
          <t xml:space="preserve">2018/19</t>
        </is>
      </c>
      <c r="D4830">
        <v>1.146</v>
      </c>
      <c r="E4830">
        <v>22.7</v>
      </c>
      <c r="F4830">
        <v>28.87</v>
      </c>
      <c r="G4830">
        <v>18.72</v>
      </c>
      <c r="H4830">
        <v>1.88</v>
      </c>
      <c r="I4830">
        <v>0.023</v>
      </c>
      <c r="J4830">
        <v>22.4</v>
      </c>
      <c r="K4830">
        <v>27.53</v>
      </c>
      <c r="L4830">
        <v>17.76</v>
      </c>
      <c r="M4830">
        <v>0.29</v>
      </c>
      <c r="N4830">
        <v>0.0</v>
      </c>
      <c r="O4830">
        <v>23.29</v>
      </c>
      <c r="P4830">
        <v>28.76</v>
      </c>
      <c r="Q4830">
        <v>19.6</v>
      </c>
      <c r="R4830">
        <v>0.21</v>
      </c>
    </row>
    <row r="4831">
      <c r="A4831" s="9">
        <v>43362</v>
      </c>
      <c r="B4831" s="2" t="inlineStr">
        <is>
          <t xml:space="preserve">2018-09</t>
        </is>
      </c>
      <c r="C4831" s="2" t="inlineStr">
        <is>
          <t xml:space="preserve">2018/19</t>
        </is>
      </c>
      <c r="D4831">
        <v>0.719</v>
      </c>
      <c r="E4831">
        <v>22.86</v>
      </c>
      <c r="F4831">
        <v>28.79</v>
      </c>
      <c r="G4831">
        <v>19.32</v>
      </c>
      <c r="H4831">
        <v>1.57</v>
      </c>
      <c r="I4831">
        <v>0.093</v>
      </c>
      <c r="J4831">
        <v>22.62</v>
      </c>
      <c r="K4831">
        <v>27.61</v>
      </c>
      <c r="L4831">
        <v>19.07</v>
      </c>
      <c r="M4831">
        <v>3.16</v>
      </c>
      <c r="N4831">
        <v>0.025</v>
      </c>
      <c r="O4831">
        <v>23.43</v>
      </c>
      <c r="P4831">
        <v>28.86</v>
      </c>
      <c r="Q4831">
        <v>19.67</v>
      </c>
      <c r="R4831">
        <v>1.81</v>
      </c>
    </row>
    <row r="4832">
      <c r="A4832" s="9">
        <v>43363</v>
      </c>
      <c r="B4832" s="2" t="inlineStr">
        <is>
          <t xml:space="preserve">2018-09</t>
        </is>
      </c>
      <c r="C4832" s="2" t="inlineStr">
        <is>
          <t xml:space="preserve">2018/19</t>
        </is>
      </c>
      <c r="D4832">
        <v>2.875</v>
      </c>
      <c r="E4832">
        <v>22.11</v>
      </c>
      <c r="F4832">
        <v>27.0</v>
      </c>
      <c r="G4832">
        <v>18.35</v>
      </c>
      <c r="H4832">
        <v>5.44</v>
      </c>
      <c r="I4832">
        <v>5.05</v>
      </c>
      <c r="J4832">
        <v>23.02</v>
      </c>
      <c r="K4832">
        <v>28.03</v>
      </c>
      <c r="L4832">
        <v>19.42</v>
      </c>
      <c r="M4832">
        <v>16.17</v>
      </c>
      <c r="N4832">
        <v>15.622</v>
      </c>
      <c r="O4832">
        <v>23.43</v>
      </c>
      <c r="P4832">
        <v>28.5</v>
      </c>
      <c r="Q4832">
        <v>20.63</v>
      </c>
      <c r="R4832">
        <v>15.39</v>
      </c>
    </row>
    <row r="4833">
      <c r="A4833" s="9">
        <v>43364</v>
      </c>
      <c r="B4833" s="2" t="inlineStr">
        <is>
          <t xml:space="preserve">2018-09</t>
        </is>
      </c>
      <c r="C4833" s="2" t="inlineStr">
        <is>
          <t xml:space="preserve">2018/19</t>
        </is>
      </c>
      <c r="D4833">
        <v>0.183</v>
      </c>
      <c r="E4833">
        <v>21.79</v>
      </c>
      <c r="F4833">
        <v>26.39</v>
      </c>
      <c r="G4833">
        <v>18.52</v>
      </c>
      <c r="H4833">
        <v>3.33</v>
      </c>
      <c r="I4833">
        <v>20.225</v>
      </c>
      <c r="J4833">
        <v>22.55</v>
      </c>
      <c r="K4833">
        <v>26.16</v>
      </c>
      <c r="L4833">
        <v>19.63</v>
      </c>
      <c r="M4833">
        <v>6.89</v>
      </c>
      <c r="N4833">
        <v>18.117</v>
      </c>
      <c r="O4833">
        <v>22.6</v>
      </c>
      <c r="P4833">
        <v>26.31</v>
      </c>
      <c r="Q4833">
        <v>20.38</v>
      </c>
      <c r="R4833">
        <v>7.03</v>
      </c>
    </row>
    <row r="4834">
      <c r="A4834" s="9">
        <v>43365</v>
      </c>
      <c r="B4834" s="2" t="inlineStr">
        <is>
          <t xml:space="preserve">2018-09</t>
        </is>
      </c>
      <c r="C4834" s="2" t="inlineStr">
        <is>
          <t xml:space="preserve">2018/19</t>
        </is>
      </c>
      <c r="D4834">
        <v>0.325</v>
      </c>
      <c r="E4834">
        <v>22.02</v>
      </c>
      <c r="F4834">
        <v>27.39</v>
      </c>
      <c r="G4834">
        <v>18.47</v>
      </c>
      <c r="H4834">
        <v>8.34</v>
      </c>
      <c r="I4834">
        <v>10.178</v>
      </c>
      <c r="J4834">
        <v>22.42</v>
      </c>
      <c r="K4834">
        <v>26.75</v>
      </c>
      <c r="L4834">
        <v>19.65</v>
      </c>
      <c r="M4834">
        <v>12.56</v>
      </c>
      <c r="N4834">
        <v>12.145</v>
      </c>
      <c r="O4834">
        <v>22.62</v>
      </c>
      <c r="P4834">
        <v>26.58</v>
      </c>
      <c r="Q4834">
        <v>20.24</v>
      </c>
      <c r="R4834">
        <v>7.75</v>
      </c>
    </row>
    <row r="4835">
      <c r="A4835" s="9">
        <v>43366</v>
      </c>
      <c r="B4835" s="2" t="inlineStr">
        <is>
          <t xml:space="preserve">2018-09</t>
        </is>
      </c>
      <c r="C4835" s="2" t="inlineStr">
        <is>
          <t xml:space="preserve">2018/19</t>
        </is>
      </c>
      <c r="D4835">
        <v>3.184</v>
      </c>
      <c r="E4835">
        <v>22.22</v>
      </c>
      <c r="F4835">
        <v>27.72</v>
      </c>
      <c r="G4835">
        <v>18.57</v>
      </c>
      <c r="H4835">
        <v>1.14</v>
      </c>
      <c r="I4835">
        <v>18.555</v>
      </c>
      <c r="J4835">
        <v>22.32</v>
      </c>
      <c r="K4835">
        <v>26.41</v>
      </c>
      <c r="L4835">
        <v>19.16</v>
      </c>
      <c r="M4835">
        <v>5.21</v>
      </c>
      <c r="N4835">
        <v>2.14</v>
      </c>
      <c r="O4835">
        <v>22.4</v>
      </c>
      <c r="P4835">
        <v>26.29</v>
      </c>
      <c r="Q4835">
        <v>20.32</v>
      </c>
      <c r="R4835">
        <v>1.6</v>
      </c>
    </row>
    <row r="4836">
      <c r="A4836" s="9">
        <v>43367</v>
      </c>
      <c r="B4836" s="2" t="inlineStr">
        <is>
          <t xml:space="preserve">2018-09</t>
        </is>
      </c>
      <c r="C4836" s="2" t="inlineStr">
        <is>
          <t xml:space="preserve">2018/19</t>
        </is>
      </c>
      <c r="D4836">
        <v>1.366</v>
      </c>
      <c r="E4836">
        <v>22.0</v>
      </c>
      <c r="F4836">
        <v>28.58</v>
      </c>
      <c r="G4836">
        <v>17.44</v>
      </c>
      <c r="H4836">
        <v>0.72</v>
      </c>
      <c r="I4836">
        <v>1.846</v>
      </c>
      <c r="J4836">
        <v>22.65</v>
      </c>
      <c r="K4836">
        <v>27.51</v>
      </c>
      <c r="L4836">
        <v>19.33</v>
      </c>
      <c r="M4836">
        <v>0.59</v>
      </c>
      <c r="N4836">
        <v>0.858</v>
      </c>
      <c r="O4836">
        <v>22.62</v>
      </c>
      <c r="P4836">
        <v>27.28</v>
      </c>
      <c r="Q4836">
        <v>19.74</v>
      </c>
      <c r="R4836">
        <v>0.44</v>
      </c>
    </row>
    <row r="4837">
      <c r="A4837" s="9">
        <v>43368</v>
      </c>
      <c r="B4837" s="2" t="inlineStr">
        <is>
          <t xml:space="preserve">2018-09</t>
        </is>
      </c>
      <c r="C4837" s="2" t="inlineStr">
        <is>
          <t xml:space="preserve">2018/19</t>
        </is>
      </c>
      <c r="D4837">
        <v>0.929</v>
      </c>
      <c r="E4837">
        <v>21.53</v>
      </c>
      <c r="F4837">
        <v>26.92</v>
      </c>
      <c r="G4837">
        <v>17.27</v>
      </c>
      <c r="H4837">
        <v>3.65</v>
      </c>
      <c r="I4837">
        <v>3.135</v>
      </c>
      <c r="J4837">
        <v>22.62</v>
      </c>
      <c r="K4837">
        <v>27.9</v>
      </c>
      <c r="L4837">
        <v>18.67</v>
      </c>
      <c r="M4837">
        <v>6.37</v>
      </c>
      <c r="N4837">
        <v>0.119</v>
      </c>
      <c r="O4837">
        <v>22.91</v>
      </c>
      <c r="P4837">
        <v>27.93</v>
      </c>
      <c r="Q4837">
        <v>19.72</v>
      </c>
      <c r="R4837">
        <v>1.74</v>
      </c>
    </row>
    <row r="4838">
      <c r="A4838" s="9">
        <v>43369</v>
      </c>
      <c r="B4838" s="2" t="inlineStr">
        <is>
          <t xml:space="preserve">2018-09</t>
        </is>
      </c>
      <c r="C4838" s="2" t="inlineStr">
        <is>
          <t xml:space="preserve">2018/19</t>
        </is>
      </c>
      <c r="D4838">
        <v>3.71</v>
      </c>
      <c r="E4838">
        <v>21.85</v>
      </c>
      <c r="F4838">
        <v>27.1</v>
      </c>
      <c r="G4838">
        <v>18.02</v>
      </c>
      <c r="H4838">
        <v>3.45</v>
      </c>
      <c r="I4838">
        <v>19.835</v>
      </c>
      <c r="J4838">
        <v>21.59</v>
      </c>
      <c r="K4838">
        <v>25.01</v>
      </c>
      <c r="L4838">
        <v>19.1</v>
      </c>
      <c r="M4838">
        <v>9.79</v>
      </c>
      <c r="N4838">
        <v>1.887</v>
      </c>
      <c r="O4838">
        <v>22.33</v>
      </c>
      <c r="P4838">
        <v>25.98</v>
      </c>
      <c r="Q4838">
        <v>20.1</v>
      </c>
      <c r="R4838">
        <v>2.74</v>
      </c>
    </row>
    <row r="4839">
      <c r="A4839" s="9">
        <v>43370</v>
      </c>
      <c r="B4839" s="2" t="inlineStr">
        <is>
          <t xml:space="preserve">2018-09</t>
        </is>
      </c>
      <c r="C4839" s="2" t="inlineStr">
        <is>
          <t xml:space="preserve">2018/19</t>
        </is>
      </c>
      <c r="D4839">
        <v>1.564</v>
      </c>
      <c r="E4839">
        <v>21.98</v>
      </c>
      <c r="F4839">
        <v>27.93</v>
      </c>
      <c r="G4839">
        <v>17.19</v>
      </c>
      <c r="H4839">
        <v>0.66</v>
      </c>
      <c r="I4839">
        <v>7.039</v>
      </c>
      <c r="J4839">
        <v>22.16</v>
      </c>
      <c r="K4839">
        <v>26.23</v>
      </c>
      <c r="L4839">
        <v>18.54</v>
      </c>
      <c r="M4839">
        <v>3.46</v>
      </c>
      <c r="N4839">
        <v>3.92</v>
      </c>
      <c r="O4839">
        <v>22.75</v>
      </c>
      <c r="P4839">
        <v>27.56</v>
      </c>
      <c r="Q4839">
        <v>19.86</v>
      </c>
      <c r="R4839">
        <v>1.34</v>
      </c>
    </row>
    <row r="4840">
      <c r="A4840" s="9">
        <v>43371</v>
      </c>
      <c r="B4840" s="2" t="inlineStr">
        <is>
          <t xml:space="preserve">2018-09</t>
        </is>
      </c>
      <c r="C4840" s="2" t="inlineStr">
        <is>
          <t xml:space="preserve">2018/19</t>
        </is>
      </c>
      <c r="D4840">
        <v>0.844</v>
      </c>
      <c r="E4840">
        <v>21.78</v>
      </c>
      <c r="F4840">
        <v>27.69</v>
      </c>
      <c r="G4840">
        <v>17.14</v>
      </c>
      <c r="H4840">
        <v>3.46</v>
      </c>
      <c r="I4840">
        <v>0.363</v>
      </c>
      <c r="J4840">
        <v>22.55</v>
      </c>
      <c r="K4840">
        <v>27.6</v>
      </c>
      <c r="L4840">
        <v>18.29</v>
      </c>
      <c r="M4840">
        <v>4.67</v>
      </c>
      <c r="N4840">
        <v>0.34</v>
      </c>
      <c r="O4840">
        <v>22.91</v>
      </c>
      <c r="P4840">
        <v>28.43</v>
      </c>
      <c r="Q4840">
        <v>19.44</v>
      </c>
      <c r="R4840">
        <v>4.0</v>
      </c>
    </row>
    <row r="4841">
      <c r="A4841" s="9">
        <v>43372</v>
      </c>
      <c r="B4841" s="2" t="inlineStr">
        <is>
          <t xml:space="preserve">2018-09</t>
        </is>
      </c>
      <c r="C4841" s="2" t="inlineStr">
        <is>
          <t xml:space="preserve">2018/19</t>
        </is>
      </c>
      <c r="D4841">
        <v>4.356</v>
      </c>
      <c r="E4841">
        <v>22.0</v>
      </c>
      <c r="F4841">
        <v>28.83</v>
      </c>
      <c r="G4841">
        <v>17.48</v>
      </c>
      <c r="H4841">
        <v>4.57</v>
      </c>
      <c r="I4841">
        <v>6.626</v>
      </c>
      <c r="J4841">
        <v>21.9</v>
      </c>
      <c r="K4841">
        <v>26.08</v>
      </c>
      <c r="L4841">
        <v>19.11</v>
      </c>
      <c r="M4841">
        <v>5.87</v>
      </c>
      <c r="N4841">
        <v>17.417</v>
      </c>
      <c r="O4841">
        <v>21.94</v>
      </c>
      <c r="P4841">
        <v>26.1</v>
      </c>
      <c r="Q4841">
        <v>19.72</v>
      </c>
      <c r="R4841">
        <v>5.04</v>
      </c>
    </row>
    <row r="4842">
      <c r="A4842" s="9">
        <v>43373</v>
      </c>
      <c r="B4842" s="2" t="inlineStr">
        <is>
          <t xml:space="preserve">2018-09</t>
        </is>
      </c>
      <c r="C4842" s="2" t="inlineStr">
        <is>
          <t xml:space="preserve">2018/19</t>
        </is>
      </c>
      <c r="D4842">
        <v>7.721</v>
      </c>
      <c r="E4842">
        <v>22.07</v>
      </c>
      <c r="F4842">
        <v>28.72</v>
      </c>
      <c r="G4842">
        <v>17.46</v>
      </c>
      <c r="H4842">
        <v>4.85</v>
      </c>
      <c r="I4842">
        <v>1.647</v>
      </c>
      <c r="J4842">
        <v>21.91</v>
      </c>
      <c r="K4842">
        <v>26.68</v>
      </c>
      <c r="L4842">
        <v>18.13</v>
      </c>
      <c r="M4842">
        <v>1.92</v>
      </c>
      <c r="N4842">
        <v>3.272</v>
      </c>
      <c r="O4842">
        <v>22.35</v>
      </c>
      <c r="P4842">
        <v>27.4</v>
      </c>
      <c r="Q4842">
        <v>19.11</v>
      </c>
      <c r="R4842">
        <v>2.25</v>
      </c>
    </row>
    <row r="4843">
      <c r="A4843" s="9">
        <v>43374</v>
      </c>
      <c r="B4843" s="2" t="inlineStr">
        <is>
          <t xml:space="preserve">2018-10</t>
        </is>
      </c>
      <c r="C4843" s="2" t="inlineStr">
        <is>
          <t xml:space="preserve">2018/19</t>
        </is>
      </c>
      <c r="D4843">
        <v>2.457</v>
      </c>
      <c r="E4843">
        <v>21.89</v>
      </c>
      <c r="F4843">
        <v>28.51</v>
      </c>
      <c r="G4843">
        <v>17.64</v>
      </c>
      <c r="H4843">
        <v>5.12</v>
      </c>
      <c r="I4843">
        <v>0.0</v>
      </c>
      <c r="J4843">
        <v>21.86</v>
      </c>
      <c r="K4843">
        <v>26.48</v>
      </c>
      <c r="L4843">
        <v>18.15</v>
      </c>
      <c r="M4843">
        <v>1.13</v>
      </c>
      <c r="N4843">
        <v>0.0</v>
      </c>
      <c r="O4843">
        <v>22.7</v>
      </c>
      <c r="P4843">
        <v>27.78</v>
      </c>
      <c r="Q4843">
        <v>18.98</v>
      </c>
      <c r="R4843">
        <v>0.53</v>
      </c>
    </row>
    <row r="4844">
      <c r="A4844" s="9">
        <v>43375</v>
      </c>
      <c r="B4844" s="2" t="inlineStr">
        <is>
          <t xml:space="preserve">2018-10</t>
        </is>
      </c>
      <c r="C4844" s="2" t="inlineStr">
        <is>
          <t xml:space="preserve">2018/19</t>
        </is>
      </c>
      <c r="D4844">
        <v>5.477</v>
      </c>
      <c r="E4844">
        <v>21.61</v>
      </c>
      <c r="F4844">
        <v>27.27</v>
      </c>
      <c r="G4844">
        <v>18.0</v>
      </c>
      <c r="H4844">
        <v>6.09</v>
      </c>
      <c r="I4844">
        <v>2.593</v>
      </c>
      <c r="J4844">
        <v>21.46</v>
      </c>
      <c r="K4844">
        <v>26.35</v>
      </c>
      <c r="L4844">
        <v>17.91</v>
      </c>
      <c r="M4844">
        <v>4.36</v>
      </c>
      <c r="N4844">
        <v>8.516</v>
      </c>
      <c r="O4844">
        <v>21.99</v>
      </c>
      <c r="P4844">
        <v>27.13</v>
      </c>
      <c r="Q4844">
        <v>18.89</v>
      </c>
      <c r="R4844">
        <v>4.34</v>
      </c>
    </row>
    <row r="4845">
      <c r="A4845" s="9">
        <v>43376</v>
      </c>
      <c r="B4845" s="2" t="inlineStr">
        <is>
          <t xml:space="preserve">2018-10</t>
        </is>
      </c>
      <c r="C4845" s="2" t="inlineStr">
        <is>
          <t xml:space="preserve">2018/19</t>
        </is>
      </c>
      <c r="D4845">
        <v>1.212</v>
      </c>
      <c r="E4845">
        <v>21.4</v>
      </c>
      <c r="F4845">
        <v>27.34</v>
      </c>
      <c r="G4845">
        <v>16.77</v>
      </c>
      <c r="H4845">
        <v>3.15</v>
      </c>
      <c r="I4845">
        <v>2.533</v>
      </c>
      <c r="J4845">
        <v>21.55</v>
      </c>
      <c r="K4845">
        <v>26.07</v>
      </c>
      <c r="L4845">
        <v>18.2</v>
      </c>
      <c r="M4845">
        <v>4.52</v>
      </c>
      <c r="N4845">
        <v>9.455</v>
      </c>
      <c r="O4845">
        <v>21.76</v>
      </c>
      <c r="P4845">
        <v>26.46</v>
      </c>
      <c r="Q4845">
        <v>18.76</v>
      </c>
      <c r="R4845">
        <v>4.57</v>
      </c>
    </row>
    <row r="4846">
      <c r="A4846" s="9">
        <v>43377</v>
      </c>
      <c r="B4846" s="2" t="inlineStr">
        <is>
          <t xml:space="preserve">2018-10</t>
        </is>
      </c>
      <c r="C4846" s="2" t="inlineStr">
        <is>
          <t xml:space="preserve">2018/19</t>
        </is>
      </c>
      <c r="D4846">
        <v>3.101</v>
      </c>
      <c r="E4846">
        <v>20.97</v>
      </c>
      <c r="F4846">
        <v>25.47</v>
      </c>
      <c r="G4846">
        <v>17.78</v>
      </c>
      <c r="H4846">
        <v>10.49</v>
      </c>
      <c r="I4846">
        <v>1.066</v>
      </c>
      <c r="J4846">
        <v>21.42</v>
      </c>
      <c r="K4846">
        <v>25.34</v>
      </c>
      <c r="L4846">
        <v>18.38</v>
      </c>
      <c r="M4846">
        <v>3.38</v>
      </c>
      <c r="N4846">
        <v>4.012</v>
      </c>
      <c r="O4846">
        <v>21.7</v>
      </c>
      <c r="P4846">
        <v>25.6</v>
      </c>
      <c r="Q4846">
        <v>19.09</v>
      </c>
      <c r="R4846">
        <v>4.18</v>
      </c>
    </row>
    <row r="4847">
      <c r="A4847" s="9">
        <v>43378</v>
      </c>
      <c r="B4847" s="2" t="inlineStr">
        <is>
          <t xml:space="preserve">2018-10</t>
        </is>
      </c>
      <c r="C4847" s="2" t="inlineStr">
        <is>
          <t xml:space="preserve">2018/19</t>
        </is>
      </c>
      <c r="D4847">
        <v>10.447</v>
      </c>
      <c r="E4847">
        <v>21.07</v>
      </c>
      <c r="F4847">
        <v>24.09</v>
      </c>
      <c r="G4847">
        <v>19.0</v>
      </c>
      <c r="H4847">
        <v>22.05</v>
      </c>
      <c r="I4847">
        <v>3.481</v>
      </c>
      <c r="J4847">
        <v>21.26</v>
      </c>
      <c r="K4847">
        <v>24.75</v>
      </c>
      <c r="L4847">
        <v>18.68</v>
      </c>
      <c r="M4847">
        <v>6.0</v>
      </c>
      <c r="N4847">
        <v>7.714</v>
      </c>
      <c r="O4847">
        <v>21.75</v>
      </c>
      <c r="P4847">
        <v>24.58</v>
      </c>
      <c r="Q4847">
        <v>19.81</v>
      </c>
      <c r="R4847">
        <v>8.57</v>
      </c>
    </row>
    <row r="4848">
      <c r="A4848" s="9">
        <v>43379</v>
      </c>
      <c r="B4848" s="2" t="inlineStr">
        <is>
          <t xml:space="preserve">2018-10</t>
        </is>
      </c>
      <c r="C4848" s="2" t="inlineStr">
        <is>
          <t xml:space="preserve">2018/19</t>
        </is>
      </c>
      <c r="D4848">
        <v>42.189</v>
      </c>
      <c r="E4848">
        <v>20.75</v>
      </c>
      <c r="F4848">
        <v>23.97</v>
      </c>
      <c r="G4848">
        <v>18.65</v>
      </c>
      <c r="H4848">
        <v>45.2</v>
      </c>
      <c r="I4848">
        <v>7.556</v>
      </c>
      <c r="J4848">
        <v>20.49</v>
      </c>
      <c r="K4848">
        <v>22.86</v>
      </c>
      <c r="L4848">
        <v>19.15</v>
      </c>
      <c r="M4848">
        <v>7.98</v>
      </c>
      <c r="N4848">
        <v>6.215</v>
      </c>
      <c r="O4848">
        <v>21.5</v>
      </c>
      <c r="P4848">
        <v>23.25</v>
      </c>
      <c r="Q4848">
        <v>19.4</v>
      </c>
      <c r="R4848">
        <v>11.73</v>
      </c>
    </row>
    <row r="4849">
      <c r="A4849" s="9">
        <v>43380</v>
      </c>
      <c r="B4849" s="2" t="inlineStr">
        <is>
          <t xml:space="preserve">2018-10</t>
        </is>
      </c>
      <c r="C4849" s="2" t="inlineStr">
        <is>
          <t xml:space="preserve">2018/19</t>
        </is>
      </c>
      <c r="D4849">
        <v>22.431</v>
      </c>
      <c r="E4849">
        <v>20.96</v>
      </c>
      <c r="F4849">
        <v>25.53</v>
      </c>
      <c r="G4849">
        <v>17.74</v>
      </c>
      <c r="H4849">
        <v>10.63</v>
      </c>
      <c r="I4849">
        <v>10.409</v>
      </c>
      <c r="J4849">
        <v>21.46</v>
      </c>
      <c r="K4849">
        <v>26.02</v>
      </c>
      <c r="L4849">
        <v>18.15</v>
      </c>
      <c r="M4849">
        <v>9.9</v>
      </c>
      <c r="N4849">
        <v>3.537</v>
      </c>
      <c r="O4849">
        <v>22.32</v>
      </c>
      <c r="P4849">
        <v>27.69</v>
      </c>
      <c r="Q4849">
        <v>18.82</v>
      </c>
      <c r="R4849">
        <v>5.05</v>
      </c>
    </row>
    <row r="4850">
      <c r="A4850" s="9">
        <v>43381</v>
      </c>
      <c r="B4850" s="2" t="inlineStr">
        <is>
          <t xml:space="preserve">2018-10</t>
        </is>
      </c>
      <c r="C4850" s="2" t="inlineStr">
        <is>
          <t xml:space="preserve">2018/19</t>
        </is>
      </c>
      <c r="D4850">
        <v>5.181</v>
      </c>
      <c r="E4850">
        <v>20.86</v>
      </c>
      <c r="F4850">
        <v>25.3</v>
      </c>
      <c r="G4850">
        <v>17.54</v>
      </c>
      <c r="H4850">
        <v>5.02</v>
      </c>
      <c r="I4850">
        <v>11.896</v>
      </c>
      <c r="J4850">
        <v>21.38</v>
      </c>
      <c r="K4850">
        <v>24.05</v>
      </c>
      <c r="L4850">
        <v>19.54</v>
      </c>
      <c r="M4850">
        <v>13.38</v>
      </c>
      <c r="N4850">
        <v>1.942</v>
      </c>
      <c r="O4850">
        <v>22.54</v>
      </c>
      <c r="P4850">
        <v>26.52</v>
      </c>
      <c r="Q4850">
        <v>19.56</v>
      </c>
      <c r="R4850">
        <v>2.94</v>
      </c>
    </row>
    <row r="4851">
      <c r="A4851" s="9">
        <v>43382</v>
      </c>
      <c r="B4851" s="2" t="inlineStr">
        <is>
          <t xml:space="preserve">2018-10</t>
        </is>
      </c>
      <c r="C4851" s="2" t="inlineStr">
        <is>
          <t xml:space="preserve">2018/19</t>
        </is>
      </c>
      <c r="D4851">
        <v>7.384</v>
      </c>
      <c r="E4851">
        <v>21.09</v>
      </c>
      <c r="F4851">
        <v>25.45</v>
      </c>
      <c r="G4851">
        <v>17.9</v>
      </c>
      <c r="H4851">
        <v>4.85</v>
      </c>
      <c r="I4851">
        <v>23.829</v>
      </c>
      <c r="J4851">
        <v>21.61</v>
      </c>
      <c r="K4851">
        <v>24.88</v>
      </c>
      <c r="L4851">
        <v>19.84</v>
      </c>
      <c r="M4851">
        <v>13.68</v>
      </c>
      <c r="N4851">
        <v>2.011</v>
      </c>
      <c r="O4851">
        <v>23.21</v>
      </c>
      <c r="P4851">
        <v>27.2</v>
      </c>
      <c r="Q4851">
        <v>20.68</v>
      </c>
      <c r="R4851">
        <v>2.86</v>
      </c>
    </row>
    <row r="4852">
      <c r="A4852" s="9">
        <v>43383</v>
      </c>
      <c r="B4852" s="2" t="inlineStr">
        <is>
          <t xml:space="preserve">2018-10</t>
        </is>
      </c>
      <c r="C4852" s="2" t="inlineStr">
        <is>
          <t xml:space="preserve">2018/19</t>
        </is>
      </c>
      <c r="D4852">
        <v>3.225</v>
      </c>
      <c r="E4852">
        <v>21.92</v>
      </c>
      <c r="F4852">
        <v>25.88</v>
      </c>
      <c r="G4852">
        <v>18.77</v>
      </c>
      <c r="H4852">
        <v>1.88</v>
      </c>
      <c r="I4852">
        <v>2.102</v>
      </c>
      <c r="J4852">
        <v>21.75</v>
      </c>
      <c r="K4852">
        <v>25.65</v>
      </c>
      <c r="L4852">
        <v>18.58</v>
      </c>
      <c r="M4852">
        <v>2.44</v>
      </c>
      <c r="N4852">
        <v>0.709</v>
      </c>
      <c r="O4852">
        <v>23.32</v>
      </c>
      <c r="P4852">
        <v>27.25</v>
      </c>
      <c r="Q4852">
        <v>20.66</v>
      </c>
      <c r="R4852">
        <v>1.63</v>
      </c>
    </row>
    <row r="4853">
      <c r="A4853" s="9">
        <v>43384</v>
      </c>
      <c r="B4853" s="2" t="inlineStr">
        <is>
          <t xml:space="preserve">2018-10</t>
        </is>
      </c>
      <c r="C4853" s="2" t="inlineStr">
        <is>
          <t xml:space="preserve">2018/19</t>
        </is>
      </c>
      <c r="D4853">
        <v>4.195</v>
      </c>
      <c r="E4853">
        <v>22.32</v>
      </c>
      <c r="F4853">
        <v>25.69</v>
      </c>
      <c r="G4853">
        <v>19.37</v>
      </c>
      <c r="H4853">
        <v>5.22</v>
      </c>
      <c r="I4853">
        <v>1.502</v>
      </c>
      <c r="J4853">
        <v>21.62</v>
      </c>
      <c r="K4853">
        <v>24.53</v>
      </c>
      <c r="L4853">
        <v>19.41</v>
      </c>
      <c r="M4853">
        <v>6.08</v>
      </c>
      <c r="N4853">
        <v>4.142</v>
      </c>
      <c r="O4853">
        <v>22.21</v>
      </c>
      <c r="P4853">
        <v>24.49</v>
      </c>
      <c r="Q4853">
        <v>20.37</v>
      </c>
      <c r="R4853">
        <v>6.46</v>
      </c>
    </row>
    <row r="4854">
      <c r="A4854" s="9">
        <v>43385</v>
      </c>
      <c r="B4854" s="2" t="inlineStr">
        <is>
          <t xml:space="preserve">2018-10</t>
        </is>
      </c>
      <c r="C4854" s="2" t="inlineStr">
        <is>
          <t xml:space="preserve">2018/19</t>
        </is>
      </c>
      <c r="D4854">
        <v>5.148</v>
      </c>
      <c r="E4854">
        <v>22.33</v>
      </c>
      <c r="F4854">
        <v>27.07</v>
      </c>
      <c r="G4854">
        <v>18.57</v>
      </c>
      <c r="H4854">
        <v>1.95</v>
      </c>
      <c r="I4854">
        <v>4.2</v>
      </c>
      <c r="J4854">
        <v>21.97</v>
      </c>
      <c r="K4854">
        <v>26.15</v>
      </c>
      <c r="L4854">
        <v>18.72</v>
      </c>
      <c r="M4854">
        <v>1.24</v>
      </c>
      <c r="N4854">
        <v>4.879</v>
      </c>
      <c r="O4854">
        <v>22.91</v>
      </c>
      <c r="P4854">
        <v>28.82</v>
      </c>
      <c r="Q4854">
        <v>17.9</v>
      </c>
      <c r="R4854">
        <v>0.83</v>
      </c>
    </row>
    <row r="4855">
      <c r="A4855" s="9">
        <v>43386</v>
      </c>
      <c r="B4855" s="2" t="inlineStr">
        <is>
          <t xml:space="preserve">2018-10</t>
        </is>
      </c>
      <c r="C4855" s="2" t="inlineStr">
        <is>
          <t xml:space="preserve">2018/19</t>
        </is>
      </c>
      <c r="D4855">
        <v>4.337</v>
      </c>
      <c r="E4855">
        <v>22.18</v>
      </c>
      <c r="F4855">
        <v>26.51</v>
      </c>
      <c r="G4855">
        <v>18.91</v>
      </c>
      <c r="H4855">
        <v>4.25</v>
      </c>
      <c r="I4855">
        <v>0.05</v>
      </c>
      <c r="J4855">
        <v>21.93</v>
      </c>
      <c r="K4855">
        <v>26.2</v>
      </c>
      <c r="L4855">
        <v>18.86</v>
      </c>
      <c r="M4855">
        <v>0.22</v>
      </c>
      <c r="N4855">
        <v>0.526</v>
      </c>
      <c r="O4855">
        <v>23.64</v>
      </c>
      <c r="P4855">
        <v>28.88</v>
      </c>
      <c r="Q4855">
        <v>19.61</v>
      </c>
      <c r="R4855">
        <v>0.37</v>
      </c>
    </row>
    <row r="4856">
      <c r="A4856" s="9">
        <v>43387</v>
      </c>
      <c r="B4856" s="2" t="inlineStr">
        <is>
          <t xml:space="preserve">2018-10</t>
        </is>
      </c>
      <c r="C4856" s="2" t="inlineStr">
        <is>
          <t xml:space="preserve">2018/19</t>
        </is>
      </c>
      <c r="D4856">
        <v>2.75</v>
      </c>
      <c r="E4856">
        <v>21.75</v>
      </c>
      <c r="F4856">
        <v>25.62</v>
      </c>
      <c r="G4856">
        <v>18.99</v>
      </c>
      <c r="H4856">
        <v>3.03</v>
      </c>
      <c r="I4856">
        <v>0.0</v>
      </c>
      <c r="J4856">
        <v>22.4</v>
      </c>
      <c r="K4856">
        <v>26.57</v>
      </c>
      <c r="L4856">
        <v>19.4</v>
      </c>
      <c r="M4856">
        <v>1.2</v>
      </c>
      <c r="N4856">
        <v>0.0</v>
      </c>
      <c r="O4856">
        <v>23.29</v>
      </c>
      <c r="P4856">
        <v>27.98</v>
      </c>
      <c r="Q4856">
        <v>20.37</v>
      </c>
      <c r="R4856">
        <v>0.17</v>
      </c>
    </row>
    <row r="4857">
      <c r="A4857" s="9">
        <v>43388</v>
      </c>
      <c r="B4857" s="2" t="inlineStr">
        <is>
          <t xml:space="preserve">2018-10</t>
        </is>
      </c>
      <c r="C4857" s="2" t="inlineStr">
        <is>
          <t xml:space="preserve">2018/19</t>
        </is>
      </c>
      <c r="D4857">
        <v>1.048</v>
      </c>
      <c r="E4857">
        <v>21.68</v>
      </c>
      <c r="F4857">
        <v>26.46</v>
      </c>
      <c r="G4857">
        <v>18.1</v>
      </c>
      <c r="H4857">
        <v>5.85</v>
      </c>
      <c r="I4857">
        <v>9.635</v>
      </c>
      <c r="J4857">
        <v>22.47</v>
      </c>
      <c r="K4857">
        <v>26.62</v>
      </c>
      <c r="L4857">
        <v>19.68</v>
      </c>
      <c r="M4857">
        <v>7.09</v>
      </c>
      <c r="N4857">
        <v>0.329</v>
      </c>
      <c r="O4857">
        <v>23.09</v>
      </c>
      <c r="P4857">
        <v>27.89</v>
      </c>
      <c r="Q4857">
        <v>19.99</v>
      </c>
      <c r="R4857">
        <v>3.48</v>
      </c>
    </row>
    <row r="4858">
      <c r="A4858" s="9">
        <v>43389</v>
      </c>
      <c r="B4858" s="2" t="inlineStr">
        <is>
          <t xml:space="preserve">2018-10</t>
        </is>
      </c>
      <c r="C4858" s="2" t="inlineStr">
        <is>
          <t xml:space="preserve">2018/19</t>
        </is>
      </c>
      <c r="D4858">
        <v>6.614</v>
      </c>
      <c r="E4858">
        <v>20.52</v>
      </c>
      <c r="F4858">
        <v>23.39</v>
      </c>
      <c r="G4858">
        <v>18.38</v>
      </c>
      <c r="H4858">
        <v>6.87</v>
      </c>
      <c r="I4858">
        <v>10.958</v>
      </c>
      <c r="J4858">
        <v>21.45</v>
      </c>
      <c r="K4858">
        <v>25.59</v>
      </c>
      <c r="L4858">
        <v>18.75</v>
      </c>
      <c r="M4858">
        <v>14.22</v>
      </c>
      <c r="N4858">
        <v>20.987</v>
      </c>
      <c r="O4858">
        <v>21.93</v>
      </c>
      <c r="P4858">
        <v>24.76</v>
      </c>
      <c r="Q4858">
        <v>20.04</v>
      </c>
      <c r="R4858">
        <v>11.19</v>
      </c>
    </row>
    <row r="4859">
      <c r="A4859" s="9">
        <v>43390</v>
      </c>
      <c r="B4859" s="2" t="inlineStr">
        <is>
          <t xml:space="preserve">2018-10</t>
        </is>
      </c>
      <c r="C4859" s="2" t="inlineStr">
        <is>
          <t xml:space="preserve">2018/19</t>
        </is>
      </c>
      <c r="D4859">
        <v>8.404</v>
      </c>
      <c r="E4859">
        <v>20.69</v>
      </c>
      <c r="F4859">
        <v>24.73</v>
      </c>
      <c r="G4859">
        <v>16.98</v>
      </c>
      <c r="H4859">
        <v>5.17</v>
      </c>
      <c r="I4859">
        <v>7.988</v>
      </c>
      <c r="J4859">
        <v>20.43</v>
      </c>
      <c r="K4859">
        <v>22.51</v>
      </c>
      <c r="L4859">
        <v>18.53</v>
      </c>
      <c r="M4859">
        <v>6.46</v>
      </c>
      <c r="N4859">
        <v>4.836</v>
      </c>
      <c r="O4859">
        <v>22.07</v>
      </c>
      <c r="P4859">
        <v>25.7</v>
      </c>
      <c r="Q4859">
        <v>19.7</v>
      </c>
      <c r="R4859">
        <v>4.15</v>
      </c>
    </row>
    <row r="4860">
      <c r="A4860" s="9">
        <v>43391</v>
      </c>
      <c r="B4860" s="2" t="inlineStr">
        <is>
          <t xml:space="preserve">2018-10</t>
        </is>
      </c>
      <c r="C4860" s="2" t="inlineStr">
        <is>
          <t xml:space="preserve">2018/19</t>
        </is>
      </c>
      <c r="D4860">
        <v>5.615</v>
      </c>
      <c r="E4860">
        <v>20.27</v>
      </c>
      <c r="F4860">
        <v>24.62</v>
      </c>
      <c r="G4860">
        <v>17.43</v>
      </c>
      <c r="H4860">
        <v>5.59</v>
      </c>
      <c r="I4860">
        <v>10.104</v>
      </c>
      <c r="J4860">
        <v>20.81</v>
      </c>
      <c r="K4860">
        <v>24.21</v>
      </c>
      <c r="L4860">
        <v>18.59</v>
      </c>
      <c r="M4860">
        <v>6.9</v>
      </c>
      <c r="N4860">
        <v>5.32</v>
      </c>
      <c r="O4860">
        <v>21.5</v>
      </c>
      <c r="P4860">
        <v>24.78</v>
      </c>
      <c r="Q4860">
        <v>19.28</v>
      </c>
      <c r="R4860">
        <v>4.86</v>
      </c>
    </row>
    <row r="4861">
      <c r="A4861" s="9">
        <v>43392</v>
      </c>
      <c r="B4861" s="2" t="inlineStr">
        <is>
          <t xml:space="preserve">2018-10</t>
        </is>
      </c>
      <c r="C4861" s="2" t="inlineStr">
        <is>
          <t xml:space="preserve">2018/19</t>
        </is>
      </c>
      <c r="D4861">
        <v>6.847</v>
      </c>
      <c r="E4861">
        <v>20.63</v>
      </c>
      <c r="F4861">
        <v>26.42</v>
      </c>
      <c r="G4861">
        <v>16.46</v>
      </c>
      <c r="H4861">
        <v>3.63</v>
      </c>
      <c r="I4861">
        <v>2.023</v>
      </c>
      <c r="J4861">
        <v>21.69</v>
      </c>
      <c r="K4861">
        <v>25.94</v>
      </c>
      <c r="L4861">
        <v>18.3</v>
      </c>
      <c r="M4861">
        <v>1.8</v>
      </c>
      <c r="N4861">
        <v>5.338</v>
      </c>
      <c r="O4861">
        <v>21.92</v>
      </c>
      <c r="P4861">
        <v>27.42</v>
      </c>
      <c r="Q4861">
        <v>17.92</v>
      </c>
      <c r="R4861">
        <v>1.5</v>
      </c>
    </row>
    <row r="4862">
      <c r="A4862" s="9">
        <v>43393</v>
      </c>
      <c r="B4862" s="2" t="inlineStr">
        <is>
          <t xml:space="preserve">2018-10</t>
        </is>
      </c>
      <c r="C4862" s="2" t="inlineStr">
        <is>
          <t xml:space="preserve">2018/19</t>
        </is>
      </c>
      <c r="D4862">
        <v>0.157</v>
      </c>
      <c r="E4862">
        <v>20.62</v>
      </c>
      <c r="F4862">
        <v>26.28</v>
      </c>
      <c r="G4862">
        <v>15.57</v>
      </c>
      <c r="H4862">
        <v>0.3</v>
      </c>
      <c r="I4862">
        <v>0.0</v>
      </c>
      <c r="J4862">
        <v>22.08</v>
      </c>
      <c r="K4862">
        <v>26.67</v>
      </c>
      <c r="L4862">
        <v>18.35</v>
      </c>
      <c r="M4862">
        <v>0.1</v>
      </c>
      <c r="N4862">
        <v>0.0</v>
      </c>
      <c r="O4862">
        <v>22.72</v>
      </c>
      <c r="P4862">
        <v>27.92</v>
      </c>
      <c r="Q4862">
        <v>19.16</v>
      </c>
      <c r="R4862">
        <v>0.07</v>
      </c>
    </row>
    <row r="4863">
      <c r="A4863" s="9">
        <v>43394</v>
      </c>
      <c r="B4863" s="2" t="inlineStr">
        <is>
          <t xml:space="preserve">2018-10</t>
        </is>
      </c>
      <c r="C4863" s="2" t="inlineStr">
        <is>
          <t xml:space="preserve">2018/19</t>
        </is>
      </c>
      <c r="D4863">
        <v>0.222</v>
      </c>
      <c r="E4863">
        <v>20.87</v>
      </c>
      <c r="F4863">
        <v>26.31</v>
      </c>
      <c r="G4863">
        <v>17.01</v>
      </c>
      <c r="H4863">
        <v>0.05</v>
      </c>
      <c r="I4863">
        <v>0.0</v>
      </c>
      <c r="J4863">
        <v>21.52</v>
      </c>
      <c r="K4863">
        <v>26.11</v>
      </c>
      <c r="L4863">
        <v>18.09</v>
      </c>
      <c r="M4863">
        <v>0.03</v>
      </c>
      <c r="N4863">
        <v>0.0</v>
      </c>
      <c r="O4863">
        <v>22.47</v>
      </c>
      <c r="P4863">
        <v>27.67</v>
      </c>
      <c r="Q4863">
        <v>19.23</v>
      </c>
      <c r="R4863">
        <v>0.03</v>
      </c>
    </row>
    <row r="4864">
      <c r="A4864" s="9">
        <v>43395</v>
      </c>
      <c r="B4864" s="2" t="inlineStr">
        <is>
          <t xml:space="preserve">2018-10</t>
        </is>
      </c>
      <c r="C4864" s="2" t="inlineStr">
        <is>
          <t xml:space="preserve">2018/19</t>
        </is>
      </c>
      <c r="D4864">
        <v>0.0</v>
      </c>
      <c r="E4864">
        <v>20.78</v>
      </c>
      <c r="F4864">
        <v>26.79</v>
      </c>
      <c r="G4864">
        <v>15.9</v>
      </c>
      <c r="H4864">
        <v>0.14</v>
      </c>
      <c r="I4864">
        <v>0.0</v>
      </c>
      <c r="J4864">
        <v>21.41</v>
      </c>
      <c r="K4864">
        <v>26.84</v>
      </c>
      <c r="L4864">
        <v>16.93</v>
      </c>
      <c r="M4864">
        <v>0.06</v>
      </c>
      <c r="N4864">
        <v>0.0</v>
      </c>
      <c r="O4864">
        <v>22.49</v>
      </c>
      <c r="P4864">
        <v>28.03</v>
      </c>
      <c r="Q4864">
        <v>18.67</v>
      </c>
      <c r="R4864">
        <v>0.02</v>
      </c>
    </row>
    <row r="4865">
      <c r="A4865" s="9">
        <v>43396</v>
      </c>
      <c r="B4865" s="2" t="inlineStr">
        <is>
          <t xml:space="preserve">2018-10</t>
        </is>
      </c>
      <c r="C4865" s="2" t="inlineStr">
        <is>
          <t xml:space="preserve">2018/19</t>
        </is>
      </c>
      <c r="D4865">
        <v>0.0</v>
      </c>
      <c r="E4865">
        <v>21.15</v>
      </c>
      <c r="F4865">
        <v>27.05</v>
      </c>
      <c r="G4865">
        <v>16.93</v>
      </c>
      <c r="H4865">
        <v>0.15</v>
      </c>
      <c r="I4865">
        <v>0.696</v>
      </c>
      <c r="J4865">
        <v>21.4</v>
      </c>
      <c r="K4865">
        <v>26.55</v>
      </c>
      <c r="L4865">
        <v>17.58</v>
      </c>
      <c r="M4865">
        <v>0.86</v>
      </c>
      <c r="N4865">
        <v>0.042</v>
      </c>
      <c r="O4865">
        <v>22.48</v>
      </c>
      <c r="P4865">
        <v>27.93</v>
      </c>
      <c r="Q4865">
        <v>18.67</v>
      </c>
      <c r="R4865">
        <v>0.13</v>
      </c>
    </row>
    <row r="4866">
      <c r="A4866" s="9">
        <v>43397</v>
      </c>
      <c r="B4866" s="2" t="inlineStr">
        <is>
          <t xml:space="preserve">2018-10</t>
        </is>
      </c>
      <c r="C4866" s="2" t="inlineStr">
        <is>
          <t xml:space="preserve">2018/19</t>
        </is>
      </c>
      <c r="D4866">
        <v>0.038</v>
      </c>
      <c r="E4866">
        <v>21.32</v>
      </c>
      <c r="F4866">
        <v>27.0</v>
      </c>
      <c r="G4866">
        <v>17.43</v>
      </c>
      <c r="H4866">
        <v>0.32</v>
      </c>
      <c r="I4866">
        <v>2.896</v>
      </c>
      <c r="J4866">
        <v>21.45</v>
      </c>
      <c r="K4866">
        <v>26.55</v>
      </c>
      <c r="L4866">
        <v>17.62</v>
      </c>
      <c r="M4866">
        <v>1.37</v>
      </c>
      <c r="N4866">
        <v>0.197</v>
      </c>
      <c r="O4866">
        <v>22.58</v>
      </c>
      <c r="P4866">
        <v>28.54</v>
      </c>
      <c r="Q4866">
        <v>18.44</v>
      </c>
      <c r="R4866">
        <v>0.35</v>
      </c>
    </row>
    <row r="4867">
      <c r="A4867" s="9">
        <v>43398</v>
      </c>
      <c r="B4867" s="2" t="inlineStr">
        <is>
          <t xml:space="preserve">2018-10</t>
        </is>
      </c>
      <c r="C4867" s="2" t="inlineStr">
        <is>
          <t xml:space="preserve">2018/19</t>
        </is>
      </c>
      <c r="D4867">
        <v>0.0</v>
      </c>
      <c r="E4867">
        <v>21.77</v>
      </c>
      <c r="F4867">
        <v>27.64</v>
      </c>
      <c r="G4867">
        <v>17.41</v>
      </c>
      <c r="H4867">
        <v>0.0</v>
      </c>
      <c r="I4867">
        <v>0.0</v>
      </c>
      <c r="J4867">
        <v>22.13</v>
      </c>
      <c r="K4867">
        <v>27.02</v>
      </c>
      <c r="L4867">
        <v>17.75</v>
      </c>
      <c r="M4867">
        <v>0.0</v>
      </c>
      <c r="N4867">
        <v>0.0</v>
      </c>
      <c r="O4867">
        <v>23.04</v>
      </c>
      <c r="P4867">
        <v>28.91</v>
      </c>
      <c r="Q4867">
        <v>18.89</v>
      </c>
      <c r="R4867">
        <v>0.0</v>
      </c>
    </row>
    <row r="4868">
      <c r="A4868" s="9">
        <v>43399</v>
      </c>
      <c r="B4868" s="2" t="inlineStr">
        <is>
          <t xml:space="preserve">2018-10</t>
        </is>
      </c>
      <c r="C4868" s="2" t="inlineStr">
        <is>
          <t xml:space="preserve">2018/19</t>
        </is>
      </c>
      <c r="D4868">
        <v>0.0</v>
      </c>
      <c r="E4868">
        <v>21.91</v>
      </c>
      <c r="F4868">
        <v>27.84</v>
      </c>
      <c r="G4868">
        <v>17.31</v>
      </c>
      <c r="H4868">
        <v>0.11</v>
      </c>
      <c r="I4868">
        <v>0.0</v>
      </c>
      <c r="J4868">
        <v>22.71</v>
      </c>
      <c r="K4868">
        <v>27.37</v>
      </c>
      <c r="L4868">
        <v>18.6</v>
      </c>
      <c r="M4868">
        <v>0.01</v>
      </c>
      <c r="N4868">
        <v>0.0</v>
      </c>
      <c r="O4868">
        <v>23.31</v>
      </c>
      <c r="P4868">
        <v>29.17</v>
      </c>
      <c r="Q4868">
        <v>19.26</v>
      </c>
      <c r="R4868">
        <v>0.07</v>
      </c>
    </row>
    <row r="4869">
      <c r="A4869" s="9">
        <v>43400</v>
      </c>
      <c r="B4869" s="2" t="inlineStr">
        <is>
          <t xml:space="preserve">2018-10</t>
        </is>
      </c>
      <c r="C4869" s="2" t="inlineStr">
        <is>
          <t xml:space="preserve">2018/19</t>
        </is>
      </c>
      <c r="D4869">
        <v>1.025</v>
      </c>
      <c r="E4869">
        <v>22.2</v>
      </c>
      <c r="F4869">
        <v>27.19</v>
      </c>
      <c r="G4869">
        <v>18.36</v>
      </c>
      <c r="H4869">
        <v>8.12</v>
      </c>
      <c r="I4869">
        <v>0.0</v>
      </c>
      <c r="J4869">
        <v>22.5</v>
      </c>
      <c r="K4869">
        <v>27.17</v>
      </c>
      <c r="L4869">
        <v>18.67</v>
      </c>
      <c r="M4869">
        <v>4.46</v>
      </c>
      <c r="N4869">
        <v>0.0</v>
      </c>
      <c r="O4869">
        <v>22.95</v>
      </c>
      <c r="P4869">
        <v>28.42</v>
      </c>
      <c r="Q4869">
        <v>19.59</v>
      </c>
      <c r="R4869">
        <v>3.72</v>
      </c>
    </row>
    <row r="4870">
      <c r="A4870" s="9">
        <v>43401</v>
      </c>
      <c r="B4870" s="2" t="inlineStr">
        <is>
          <t xml:space="preserve">2018-10</t>
        </is>
      </c>
      <c r="C4870" s="2" t="inlineStr">
        <is>
          <t xml:space="preserve">2018/19</t>
        </is>
      </c>
      <c r="D4870">
        <v>8.814</v>
      </c>
      <c r="E4870">
        <v>21.1</v>
      </c>
      <c r="F4870">
        <v>26.19</v>
      </c>
      <c r="G4870">
        <v>17.9</v>
      </c>
      <c r="H4870">
        <v>4.09</v>
      </c>
      <c r="I4870">
        <v>15.189</v>
      </c>
      <c r="J4870">
        <v>20.37</v>
      </c>
      <c r="K4870">
        <v>23.5</v>
      </c>
      <c r="L4870">
        <v>17.31</v>
      </c>
      <c r="M4870">
        <v>5.4</v>
      </c>
      <c r="N4870">
        <v>3.405</v>
      </c>
      <c r="O4870">
        <v>21.42</v>
      </c>
      <c r="P4870">
        <v>25.19</v>
      </c>
      <c r="Q4870">
        <v>18.59</v>
      </c>
      <c r="R4870">
        <v>4.59</v>
      </c>
    </row>
    <row r="4871">
      <c r="A4871" s="9">
        <v>43402</v>
      </c>
      <c r="B4871" s="2" t="inlineStr">
        <is>
          <t xml:space="preserve">2018-10</t>
        </is>
      </c>
      <c r="C4871" s="2" t="inlineStr">
        <is>
          <t xml:space="preserve">2018/19</t>
        </is>
      </c>
      <c r="D4871">
        <v>0.0</v>
      </c>
      <c r="E4871">
        <v>20.55</v>
      </c>
      <c r="F4871">
        <v>25.53</v>
      </c>
      <c r="G4871">
        <v>17.03</v>
      </c>
      <c r="H4871">
        <v>0.12</v>
      </c>
      <c r="I4871">
        <v>0.0</v>
      </c>
      <c r="J4871">
        <v>20.35</v>
      </c>
      <c r="K4871">
        <v>25.35</v>
      </c>
      <c r="L4871">
        <v>16.63</v>
      </c>
      <c r="M4871">
        <v>0.45</v>
      </c>
      <c r="N4871">
        <v>0.209</v>
      </c>
      <c r="O4871">
        <v>21.01</v>
      </c>
      <c r="P4871">
        <v>26.24</v>
      </c>
      <c r="Q4871">
        <v>17.25</v>
      </c>
      <c r="R4871">
        <v>1.1</v>
      </c>
    </row>
    <row r="4872">
      <c r="A4872" s="9">
        <v>43403</v>
      </c>
      <c r="B4872" s="2" t="inlineStr">
        <is>
          <t xml:space="preserve">2018-10</t>
        </is>
      </c>
      <c r="C4872" s="2" t="inlineStr">
        <is>
          <t xml:space="preserve">2018/19</t>
        </is>
      </c>
      <c r="D4872">
        <v>0.0</v>
      </c>
      <c r="E4872">
        <v>21.3</v>
      </c>
      <c r="F4872">
        <v>27.08</v>
      </c>
      <c r="G4872">
        <v>17.49</v>
      </c>
      <c r="H4872">
        <v>0.08</v>
      </c>
      <c r="I4872">
        <v>0.0</v>
      </c>
      <c r="J4872">
        <v>21.27</v>
      </c>
      <c r="K4872">
        <v>26.86</v>
      </c>
      <c r="L4872">
        <v>16.82</v>
      </c>
      <c r="M4872">
        <v>0.12</v>
      </c>
      <c r="N4872">
        <v>0.0</v>
      </c>
      <c r="O4872">
        <v>22.03</v>
      </c>
      <c r="P4872">
        <v>27.61</v>
      </c>
      <c r="Q4872">
        <v>17.91</v>
      </c>
      <c r="R4872">
        <v>0.25</v>
      </c>
    </row>
    <row r="4873">
      <c r="A4873" s="9">
        <v>43404</v>
      </c>
      <c r="B4873" s="2" t="inlineStr">
        <is>
          <t xml:space="preserve">2018-10</t>
        </is>
      </c>
      <c r="C4873" s="2" t="inlineStr">
        <is>
          <t xml:space="preserve">2018/19</t>
        </is>
      </c>
      <c r="D4873">
        <v>0.0</v>
      </c>
      <c r="E4873">
        <v>21.77</v>
      </c>
      <c r="F4873">
        <v>27.62</v>
      </c>
      <c r="G4873">
        <v>16.97</v>
      </c>
      <c r="H4873">
        <v>0.22</v>
      </c>
      <c r="I4873">
        <v>0.412</v>
      </c>
      <c r="J4873">
        <v>21.98</v>
      </c>
      <c r="K4873">
        <v>27.16</v>
      </c>
      <c r="L4873">
        <v>17.24</v>
      </c>
      <c r="M4873">
        <v>0.62</v>
      </c>
      <c r="N4873">
        <v>1.602</v>
      </c>
      <c r="O4873">
        <v>22.75</v>
      </c>
      <c r="P4873">
        <v>28.85</v>
      </c>
      <c r="Q4873">
        <v>18.22</v>
      </c>
      <c r="R4873">
        <v>0.62</v>
      </c>
    </row>
    <row r="4874">
      <c r="A4874" s="9">
        <v>43405</v>
      </c>
      <c r="B4874" s="2" t="inlineStr">
        <is>
          <t xml:space="preserve">2018-11</t>
        </is>
      </c>
      <c r="C4874" s="2" t="inlineStr">
        <is>
          <t xml:space="preserve">2018/19</t>
        </is>
      </c>
      <c r="D4874">
        <v>0.0</v>
      </c>
      <c r="E4874">
        <v>22.3</v>
      </c>
      <c r="F4874">
        <v>27.9</v>
      </c>
      <c r="G4874">
        <v>17.6</v>
      </c>
      <c r="H4874">
        <v>0.43</v>
      </c>
      <c r="I4874">
        <v>0.0</v>
      </c>
      <c r="J4874">
        <v>21.91</v>
      </c>
      <c r="K4874">
        <v>26.17</v>
      </c>
      <c r="L4874">
        <v>19.5</v>
      </c>
      <c r="M4874">
        <v>0.29</v>
      </c>
      <c r="N4874">
        <v>0.0</v>
      </c>
      <c r="O4874">
        <v>23.95</v>
      </c>
      <c r="P4874">
        <v>29.34</v>
      </c>
      <c r="Q4874">
        <v>20.48</v>
      </c>
      <c r="R4874">
        <v>0.44</v>
      </c>
    </row>
    <row r="4875">
      <c r="A4875" s="9">
        <v>43406</v>
      </c>
      <c r="B4875" s="2" t="inlineStr">
        <is>
          <t xml:space="preserve">2018-11</t>
        </is>
      </c>
      <c r="C4875" s="2" t="inlineStr">
        <is>
          <t xml:space="preserve">2018/19</t>
        </is>
      </c>
      <c r="D4875">
        <v>1.797</v>
      </c>
      <c r="E4875">
        <v>22.56</v>
      </c>
      <c r="F4875">
        <v>27.99</v>
      </c>
      <c r="G4875">
        <v>18.54</v>
      </c>
      <c r="H4875">
        <v>0.96</v>
      </c>
      <c r="I4875">
        <v>1.066</v>
      </c>
      <c r="J4875">
        <v>21.66</v>
      </c>
      <c r="K4875">
        <v>25.11</v>
      </c>
      <c r="L4875">
        <v>18.97</v>
      </c>
      <c r="M4875">
        <v>2.63</v>
      </c>
      <c r="N4875">
        <v>2.84</v>
      </c>
      <c r="O4875">
        <v>22.25</v>
      </c>
      <c r="P4875">
        <v>24.62</v>
      </c>
      <c r="Q4875">
        <v>20.51</v>
      </c>
      <c r="R4875">
        <v>1.79</v>
      </c>
    </row>
    <row r="4876">
      <c r="A4876" s="9">
        <v>43407</v>
      </c>
      <c r="B4876" s="2" t="inlineStr">
        <is>
          <t xml:space="preserve">2018-11</t>
        </is>
      </c>
      <c r="C4876" s="2" t="inlineStr">
        <is>
          <t xml:space="preserve">2018/19</t>
        </is>
      </c>
      <c r="D4876">
        <v>1.825</v>
      </c>
      <c r="E4876">
        <v>22.48</v>
      </c>
      <c r="F4876">
        <v>28.12</v>
      </c>
      <c r="G4876">
        <v>18.43</v>
      </c>
      <c r="H4876">
        <v>2.33</v>
      </c>
      <c r="I4876">
        <v>4.414</v>
      </c>
      <c r="J4876">
        <v>22.53</v>
      </c>
      <c r="K4876">
        <v>26.6</v>
      </c>
      <c r="L4876">
        <v>19.72</v>
      </c>
      <c r="M4876">
        <v>3.95</v>
      </c>
      <c r="N4876">
        <v>0.417</v>
      </c>
      <c r="O4876">
        <v>23.25</v>
      </c>
      <c r="P4876">
        <v>28.46</v>
      </c>
      <c r="Q4876">
        <v>20.25</v>
      </c>
      <c r="R4876">
        <v>0.77</v>
      </c>
    </row>
    <row r="4877">
      <c r="A4877" s="9">
        <v>43408</v>
      </c>
      <c r="B4877" s="2" t="inlineStr">
        <is>
          <t xml:space="preserve">2018-11</t>
        </is>
      </c>
      <c r="C4877" s="2" t="inlineStr">
        <is>
          <t xml:space="preserve">2018/19</t>
        </is>
      </c>
      <c r="D4877">
        <v>2.935</v>
      </c>
      <c r="E4877">
        <v>21.58</v>
      </c>
      <c r="F4877">
        <v>25.44</v>
      </c>
      <c r="G4877">
        <v>18.86</v>
      </c>
      <c r="H4877">
        <v>2.68</v>
      </c>
      <c r="I4877">
        <v>16.516</v>
      </c>
      <c r="J4877">
        <v>22.21</v>
      </c>
      <c r="K4877">
        <v>25.49</v>
      </c>
      <c r="L4877">
        <v>19.71</v>
      </c>
      <c r="M4877">
        <v>9.74</v>
      </c>
      <c r="N4877">
        <v>3.583</v>
      </c>
      <c r="O4877">
        <v>23.02</v>
      </c>
      <c r="P4877">
        <v>27.21</v>
      </c>
      <c r="Q4877">
        <v>20.64</v>
      </c>
      <c r="R4877">
        <v>1.93</v>
      </c>
    </row>
    <row r="4878">
      <c r="A4878" s="9">
        <v>43409</v>
      </c>
      <c r="B4878" s="2" t="inlineStr">
        <is>
          <t xml:space="preserve">2018-11</t>
        </is>
      </c>
      <c r="C4878" s="2" t="inlineStr">
        <is>
          <t xml:space="preserve">2018/19</t>
        </is>
      </c>
      <c r="D4878">
        <v>0.347</v>
      </c>
      <c r="E4878">
        <v>21.98</v>
      </c>
      <c r="F4878">
        <v>28.04</v>
      </c>
      <c r="G4878">
        <v>17.22</v>
      </c>
      <c r="H4878">
        <v>0.17</v>
      </c>
      <c r="I4878">
        <v>0.0</v>
      </c>
      <c r="J4878">
        <v>22.78</v>
      </c>
      <c r="K4878">
        <v>27.43</v>
      </c>
      <c r="L4878">
        <v>19.08</v>
      </c>
      <c r="M4878">
        <v>0.0</v>
      </c>
      <c r="N4878">
        <v>0.0</v>
      </c>
      <c r="O4878">
        <v>23.93</v>
      </c>
      <c r="P4878">
        <v>30.45</v>
      </c>
      <c r="Q4878">
        <v>19.59</v>
      </c>
      <c r="R4878">
        <v>0.01</v>
      </c>
    </row>
    <row r="4879">
      <c r="A4879" s="9">
        <v>43410</v>
      </c>
      <c r="B4879" s="2" t="inlineStr">
        <is>
          <t xml:space="preserve">2018-11</t>
        </is>
      </c>
      <c r="C4879" s="2" t="inlineStr">
        <is>
          <t xml:space="preserve">2018/19</t>
        </is>
      </c>
      <c r="D4879">
        <v>0.0</v>
      </c>
      <c r="E4879">
        <v>21.87</v>
      </c>
      <c r="F4879">
        <v>28.25</v>
      </c>
      <c r="G4879">
        <v>17.23</v>
      </c>
      <c r="H4879">
        <v>0.06</v>
      </c>
      <c r="I4879">
        <v>0.0</v>
      </c>
      <c r="J4879">
        <v>22.55</v>
      </c>
      <c r="K4879">
        <v>27.34</v>
      </c>
      <c r="L4879">
        <v>18.29</v>
      </c>
      <c r="M4879">
        <v>6.38</v>
      </c>
      <c r="N4879">
        <v>0.0</v>
      </c>
      <c r="O4879">
        <v>23.55</v>
      </c>
      <c r="P4879">
        <v>29.81</v>
      </c>
      <c r="Q4879">
        <v>19.46</v>
      </c>
      <c r="R4879">
        <v>0.63</v>
      </c>
    </row>
    <row r="4880">
      <c r="A4880" s="9">
        <v>43411</v>
      </c>
      <c r="B4880" s="2" t="inlineStr">
        <is>
          <t xml:space="preserve">2018-11</t>
        </is>
      </c>
      <c r="C4880" s="2" t="inlineStr">
        <is>
          <t xml:space="preserve">2018/19</t>
        </is>
      </c>
      <c r="D4880">
        <v>0.0</v>
      </c>
      <c r="E4880">
        <v>21.6</v>
      </c>
      <c r="F4880">
        <v>28.09</v>
      </c>
      <c r="G4880">
        <v>16.88</v>
      </c>
      <c r="H4880">
        <v>0.13</v>
      </c>
      <c r="I4880">
        <v>17.381</v>
      </c>
      <c r="J4880">
        <v>22.21</v>
      </c>
      <c r="K4880">
        <v>26.92</v>
      </c>
      <c r="L4880">
        <v>18.65</v>
      </c>
      <c r="M4880">
        <v>5.16</v>
      </c>
      <c r="N4880">
        <v>0.803</v>
      </c>
      <c r="O4880">
        <v>23.01</v>
      </c>
      <c r="P4880">
        <v>29.31</v>
      </c>
      <c r="Q4880">
        <v>19.01</v>
      </c>
      <c r="R4880">
        <v>0.69</v>
      </c>
    </row>
    <row r="4881">
      <c r="A4881" s="9">
        <v>43412</v>
      </c>
      <c r="B4881" s="2" t="inlineStr">
        <is>
          <t xml:space="preserve">2018-11</t>
        </is>
      </c>
      <c r="C4881" s="2" t="inlineStr">
        <is>
          <t xml:space="preserve">2018/19</t>
        </is>
      </c>
      <c r="D4881">
        <v>0.0</v>
      </c>
      <c r="E4881">
        <v>21.82</v>
      </c>
      <c r="F4881">
        <v>27.88</v>
      </c>
      <c r="G4881">
        <v>17.21</v>
      </c>
      <c r="H4881">
        <v>0.1</v>
      </c>
      <c r="I4881">
        <v>1.776</v>
      </c>
      <c r="J4881">
        <v>22.32</v>
      </c>
      <c r="K4881">
        <v>27.08</v>
      </c>
      <c r="L4881">
        <v>18.18</v>
      </c>
      <c r="M4881">
        <v>0.97</v>
      </c>
      <c r="N4881">
        <v>0.112</v>
      </c>
      <c r="O4881">
        <v>23.21</v>
      </c>
      <c r="P4881">
        <v>29.38</v>
      </c>
      <c r="Q4881">
        <v>18.75</v>
      </c>
      <c r="R4881">
        <v>0.25</v>
      </c>
    </row>
    <row r="4882">
      <c r="A4882" s="9">
        <v>43413</v>
      </c>
      <c r="B4882" s="2" t="inlineStr">
        <is>
          <t xml:space="preserve">2018-11</t>
        </is>
      </c>
      <c r="C4882" s="2" t="inlineStr">
        <is>
          <t xml:space="preserve">2018/19</t>
        </is>
      </c>
      <c r="D4882">
        <v>0.159</v>
      </c>
      <c r="E4882">
        <v>22.25</v>
      </c>
      <c r="F4882">
        <v>29.05</v>
      </c>
      <c r="G4882">
        <v>17.65</v>
      </c>
      <c r="H4882">
        <v>0.05</v>
      </c>
      <c r="I4882">
        <v>0.031</v>
      </c>
      <c r="J4882">
        <v>22.29</v>
      </c>
      <c r="K4882">
        <v>27.25</v>
      </c>
      <c r="L4882">
        <v>18.58</v>
      </c>
      <c r="M4882">
        <v>0.03</v>
      </c>
      <c r="N4882">
        <v>0.0</v>
      </c>
      <c r="O4882">
        <v>23.45</v>
      </c>
      <c r="P4882">
        <v>29.84</v>
      </c>
      <c r="Q4882">
        <v>19.35</v>
      </c>
      <c r="R4882">
        <v>0.04</v>
      </c>
    </row>
    <row r="4883">
      <c r="A4883" s="9">
        <v>43414</v>
      </c>
      <c r="B4883" s="2" t="inlineStr">
        <is>
          <t xml:space="preserve">2018-11</t>
        </is>
      </c>
      <c r="C4883" s="2" t="inlineStr">
        <is>
          <t xml:space="preserve">2018/19</t>
        </is>
      </c>
      <c r="D4883">
        <v>0.038</v>
      </c>
      <c r="E4883">
        <v>21.74</v>
      </c>
      <c r="F4883">
        <v>27.93</v>
      </c>
      <c r="G4883">
        <v>17.7</v>
      </c>
      <c r="H4883">
        <v>0.19</v>
      </c>
      <c r="I4883">
        <v>0.0</v>
      </c>
      <c r="J4883">
        <v>20.84</v>
      </c>
      <c r="K4883">
        <v>26.07</v>
      </c>
      <c r="L4883">
        <v>17.13</v>
      </c>
      <c r="M4883">
        <v>0.0</v>
      </c>
      <c r="N4883">
        <v>0.0</v>
      </c>
      <c r="O4883">
        <v>22.36</v>
      </c>
      <c r="P4883">
        <v>28.35</v>
      </c>
      <c r="Q4883">
        <v>18.74</v>
      </c>
      <c r="R4883">
        <v>0.01</v>
      </c>
    </row>
    <row r="4884">
      <c r="A4884" s="9">
        <v>43415</v>
      </c>
      <c r="B4884" s="2" t="inlineStr">
        <is>
          <t xml:space="preserve">2018-11</t>
        </is>
      </c>
      <c r="C4884" s="2" t="inlineStr">
        <is>
          <t xml:space="preserve">2018/19</t>
        </is>
      </c>
      <c r="D4884">
        <v>0.039</v>
      </c>
      <c r="E4884">
        <v>21.17</v>
      </c>
      <c r="F4884">
        <v>27.6</v>
      </c>
      <c r="G4884">
        <v>16.99</v>
      </c>
      <c r="H4884">
        <v>0.18</v>
      </c>
      <c r="I4884">
        <v>0.0</v>
      </c>
      <c r="J4884">
        <v>20.33</v>
      </c>
      <c r="K4884">
        <v>25.91</v>
      </c>
      <c r="L4884">
        <v>16.62</v>
      </c>
      <c r="M4884">
        <v>0.0</v>
      </c>
      <c r="N4884">
        <v>0.0</v>
      </c>
      <c r="O4884">
        <v>21.79</v>
      </c>
      <c r="P4884">
        <v>27.82</v>
      </c>
      <c r="Q4884">
        <v>17.47</v>
      </c>
      <c r="R4884">
        <v>0.15</v>
      </c>
    </row>
    <row r="4885">
      <c r="A4885" s="9">
        <v>43416</v>
      </c>
      <c r="B4885" s="2" t="inlineStr">
        <is>
          <t xml:space="preserve">2018-11</t>
        </is>
      </c>
      <c r="C4885" s="2" t="inlineStr">
        <is>
          <t xml:space="preserve">2018/19</t>
        </is>
      </c>
      <c r="D4885">
        <v>0.0</v>
      </c>
      <c r="E4885">
        <v>21.56</v>
      </c>
      <c r="F4885">
        <v>28.72</v>
      </c>
      <c r="G4885">
        <v>16.23</v>
      </c>
      <c r="H4885">
        <v>0.04</v>
      </c>
      <c r="I4885">
        <v>0.0</v>
      </c>
      <c r="J4885">
        <v>21.35</v>
      </c>
      <c r="K4885">
        <v>27.5</v>
      </c>
      <c r="L4885">
        <v>16.06</v>
      </c>
      <c r="M4885">
        <v>0.01</v>
      </c>
      <c r="N4885">
        <v>0.0</v>
      </c>
      <c r="O4885">
        <v>22.53</v>
      </c>
      <c r="P4885">
        <v>29.75</v>
      </c>
      <c r="Q4885">
        <v>17.55</v>
      </c>
      <c r="R4885">
        <v>0.16</v>
      </c>
    </row>
    <row r="4886">
      <c r="A4886" s="9">
        <v>43417</v>
      </c>
      <c r="B4886" s="2" t="inlineStr">
        <is>
          <t xml:space="preserve">2018-11</t>
        </is>
      </c>
      <c r="C4886" s="2" t="inlineStr">
        <is>
          <t xml:space="preserve">2018/19</t>
        </is>
      </c>
      <c r="D4886">
        <v>0.0</v>
      </c>
      <c r="E4886">
        <v>22.13</v>
      </c>
      <c r="F4886">
        <v>29.24</v>
      </c>
      <c r="G4886">
        <v>16.75</v>
      </c>
      <c r="H4886">
        <v>0.0</v>
      </c>
      <c r="I4886">
        <v>0.0</v>
      </c>
      <c r="J4886">
        <v>21.7</v>
      </c>
      <c r="K4886">
        <v>27.44</v>
      </c>
      <c r="L4886">
        <v>16.84</v>
      </c>
      <c r="M4886">
        <v>0.0</v>
      </c>
      <c r="N4886">
        <v>0.0</v>
      </c>
      <c r="O4886">
        <v>23.27</v>
      </c>
      <c r="P4886">
        <v>29.86</v>
      </c>
      <c r="Q4886">
        <v>18.81</v>
      </c>
      <c r="R4886">
        <v>0.01</v>
      </c>
    </row>
    <row r="4887">
      <c r="A4887" s="9">
        <v>43418</v>
      </c>
      <c r="B4887" s="2" t="inlineStr">
        <is>
          <t xml:space="preserve">2018-11</t>
        </is>
      </c>
      <c r="C4887" s="2" t="inlineStr">
        <is>
          <t xml:space="preserve">2018/19</t>
        </is>
      </c>
      <c r="D4887">
        <v>0.0</v>
      </c>
      <c r="E4887">
        <v>21.4</v>
      </c>
      <c r="F4887">
        <v>27.47</v>
      </c>
      <c r="G4887">
        <v>17.41</v>
      </c>
      <c r="H4887">
        <v>0.32</v>
      </c>
      <c r="I4887">
        <v>0.0</v>
      </c>
      <c r="J4887">
        <v>19.97</v>
      </c>
      <c r="K4887">
        <v>24.97</v>
      </c>
      <c r="L4887">
        <v>15.58</v>
      </c>
      <c r="M4887">
        <v>0.3</v>
      </c>
      <c r="N4887">
        <v>0.0</v>
      </c>
      <c r="O4887">
        <v>21.41</v>
      </c>
      <c r="P4887">
        <v>26.61</v>
      </c>
      <c r="Q4887">
        <v>16.62</v>
      </c>
      <c r="R4887">
        <v>0.55</v>
      </c>
    </row>
    <row r="4888">
      <c r="A4888" s="9">
        <v>43419</v>
      </c>
      <c r="B4888" s="2" t="inlineStr">
        <is>
          <t xml:space="preserve">2018-11</t>
        </is>
      </c>
      <c r="C4888" s="2" t="inlineStr">
        <is>
          <t xml:space="preserve">2018/19</t>
        </is>
      </c>
      <c r="D4888">
        <v>0.0</v>
      </c>
      <c r="E4888">
        <v>17.73</v>
      </c>
      <c r="F4888">
        <v>22.61</v>
      </c>
      <c r="G4888">
        <v>14.2</v>
      </c>
      <c r="H4888">
        <v>1.27</v>
      </c>
      <c r="I4888">
        <v>0.52</v>
      </c>
      <c r="J4888">
        <v>16.86</v>
      </c>
      <c r="K4888">
        <v>20.64</v>
      </c>
      <c r="L4888">
        <v>14.22</v>
      </c>
      <c r="M4888">
        <v>0.83</v>
      </c>
      <c r="N4888">
        <v>2.023</v>
      </c>
      <c r="O4888">
        <v>17.42</v>
      </c>
      <c r="P4888">
        <v>20.98</v>
      </c>
      <c r="Q4888">
        <v>14.64</v>
      </c>
      <c r="R4888">
        <v>1.4</v>
      </c>
    </row>
    <row r="4889">
      <c r="A4889" s="9">
        <v>43420</v>
      </c>
      <c r="B4889" s="2" t="inlineStr">
        <is>
          <t xml:space="preserve">2018-11</t>
        </is>
      </c>
      <c r="C4889" s="2" t="inlineStr">
        <is>
          <t xml:space="preserve">2018/19</t>
        </is>
      </c>
      <c r="D4889">
        <v>0.03</v>
      </c>
      <c r="E4889">
        <v>18.02</v>
      </c>
      <c r="F4889">
        <v>22.76</v>
      </c>
      <c r="G4889">
        <v>15.54</v>
      </c>
      <c r="H4889">
        <v>1.63</v>
      </c>
      <c r="I4889">
        <v>0.467</v>
      </c>
      <c r="J4889">
        <v>17.78</v>
      </c>
      <c r="K4889">
        <v>22.1</v>
      </c>
      <c r="L4889">
        <v>14.8</v>
      </c>
      <c r="M4889">
        <v>0.82</v>
      </c>
      <c r="N4889">
        <v>1.848</v>
      </c>
      <c r="O4889">
        <v>17.87</v>
      </c>
      <c r="P4889">
        <v>22.24</v>
      </c>
      <c r="Q4889">
        <v>15.37</v>
      </c>
      <c r="R4889">
        <v>2.68</v>
      </c>
    </row>
    <row r="4890">
      <c r="A4890" s="9">
        <v>43421</v>
      </c>
      <c r="B4890" s="2" t="inlineStr">
        <is>
          <t xml:space="preserve">2018-11</t>
        </is>
      </c>
      <c r="C4890" s="2" t="inlineStr">
        <is>
          <t xml:space="preserve">2018/19</t>
        </is>
      </c>
      <c r="D4890">
        <v>0.0</v>
      </c>
      <c r="E4890">
        <v>20.4</v>
      </c>
      <c r="F4890">
        <v>26.14</v>
      </c>
      <c r="G4890">
        <v>16.16</v>
      </c>
      <c r="H4890">
        <v>0.18</v>
      </c>
      <c r="I4890">
        <v>0.072</v>
      </c>
      <c r="J4890">
        <v>18.86</v>
      </c>
      <c r="K4890">
        <v>23.06</v>
      </c>
      <c r="L4890">
        <v>15.66</v>
      </c>
      <c r="M4890">
        <v>0.27</v>
      </c>
      <c r="N4890">
        <v>0.813</v>
      </c>
      <c r="O4890">
        <v>19.6</v>
      </c>
      <c r="P4890">
        <v>23.47</v>
      </c>
      <c r="Q4890">
        <v>16.56</v>
      </c>
      <c r="R4890">
        <v>0.52</v>
      </c>
    </row>
    <row r="4891">
      <c r="A4891" s="9">
        <v>43422</v>
      </c>
      <c r="B4891" s="2" t="inlineStr">
        <is>
          <t xml:space="preserve">2018-11</t>
        </is>
      </c>
      <c r="C4891" s="2" t="inlineStr">
        <is>
          <t xml:space="preserve">2018/19</t>
        </is>
      </c>
      <c r="D4891">
        <v>0.0</v>
      </c>
      <c r="E4891">
        <v>21.94</v>
      </c>
      <c r="F4891">
        <v>28.23</v>
      </c>
      <c r="G4891">
        <v>17.37</v>
      </c>
      <c r="H4891">
        <v>0.11</v>
      </c>
      <c r="I4891">
        <v>0.0</v>
      </c>
      <c r="J4891">
        <v>21.4</v>
      </c>
      <c r="K4891">
        <v>26.96</v>
      </c>
      <c r="L4891">
        <v>17.32</v>
      </c>
      <c r="M4891">
        <v>0.05</v>
      </c>
      <c r="N4891">
        <v>0.161</v>
      </c>
      <c r="O4891">
        <v>22.73</v>
      </c>
      <c r="P4891">
        <v>28.48</v>
      </c>
      <c r="Q4891">
        <v>19.04</v>
      </c>
      <c r="R4891">
        <v>0.07</v>
      </c>
    </row>
    <row r="4892">
      <c r="A4892" s="9">
        <v>43423</v>
      </c>
      <c r="B4892" s="2" t="inlineStr">
        <is>
          <t xml:space="preserve">2018-11</t>
        </is>
      </c>
      <c r="C4892" s="2" t="inlineStr">
        <is>
          <t xml:space="preserve">2018/19</t>
        </is>
      </c>
      <c r="D4892">
        <v>0.105</v>
      </c>
      <c r="E4892">
        <v>21.92</v>
      </c>
      <c r="F4892">
        <v>28.04</v>
      </c>
      <c r="G4892">
        <v>17.68</v>
      </c>
      <c r="H4892">
        <v>0.06</v>
      </c>
      <c r="I4892">
        <v>0.0</v>
      </c>
      <c r="J4892">
        <v>21.94</v>
      </c>
      <c r="K4892">
        <v>27.32</v>
      </c>
      <c r="L4892">
        <v>18.11</v>
      </c>
      <c r="M4892">
        <v>0.03</v>
      </c>
      <c r="N4892">
        <v>0.0</v>
      </c>
      <c r="O4892">
        <v>22.91</v>
      </c>
      <c r="P4892">
        <v>28.69</v>
      </c>
      <c r="Q4892">
        <v>18.97</v>
      </c>
      <c r="R4892">
        <v>0.05</v>
      </c>
    </row>
    <row r="4893">
      <c r="A4893" s="9">
        <v>43424</v>
      </c>
      <c r="B4893" s="2" t="inlineStr">
        <is>
          <t xml:space="preserve">2018-11</t>
        </is>
      </c>
      <c r="C4893" s="2" t="inlineStr">
        <is>
          <t xml:space="preserve">2018/19</t>
        </is>
      </c>
      <c r="D4893">
        <v>0.0</v>
      </c>
      <c r="E4893">
        <v>22.21</v>
      </c>
      <c r="F4893">
        <v>28.53</v>
      </c>
      <c r="G4893">
        <v>17.9</v>
      </c>
      <c r="H4893">
        <v>0.22</v>
      </c>
      <c r="I4893">
        <v>0.0</v>
      </c>
      <c r="J4893">
        <v>21.89</v>
      </c>
      <c r="K4893">
        <v>27.6</v>
      </c>
      <c r="L4893">
        <v>17.72</v>
      </c>
      <c r="M4893">
        <v>0.09</v>
      </c>
      <c r="N4893">
        <v>0.0</v>
      </c>
      <c r="O4893">
        <v>22.89</v>
      </c>
      <c r="P4893">
        <v>28.98</v>
      </c>
      <c r="Q4893">
        <v>19.05</v>
      </c>
      <c r="R4893">
        <v>0.49</v>
      </c>
    </row>
    <row r="4894">
      <c r="A4894" s="9">
        <v>43425</v>
      </c>
      <c r="B4894" s="2" t="inlineStr">
        <is>
          <t xml:space="preserve">2018-11</t>
        </is>
      </c>
      <c r="C4894" s="2" t="inlineStr">
        <is>
          <t xml:space="preserve">2018/19</t>
        </is>
      </c>
      <c r="D4894">
        <v>0.062</v>
      </c>
      <c r="E4894">
        <v>21.8</v>
      </c>
      <c r="F4894">
        <v>27.9</v>
      </c>
      <c r="G4894">
        <v>18.05</v>
      </c>
      <c r="H4894">
        <v>0.22</v>
      </c>
      <c r="I4894">
        <v>0.0</v>
      </c>
      <c r="J4894">
        <v>21.64</v>
      </c>
      <c r="K4894">
        <v>26.84</v>
      </c>
      <c r="L4894">
        <v>18.28</v>
      </c>
      <c r="M4894">
        <v>0.31</v>
      </c>
      <c r="N4894">
        <v>0.105</v>
      </c>
      <c r="O4894">
        <v>22.4</v>
      </c>
      <c r="P4894">
        <v>28.15</v>
      </c>
      <c r="Q4894">
        <v>19.41</v>
      </c>
      <c r="R4894">
        <v>0.8</v>
      </c>
    </row>
    <row r="4895">
      <c r="A4895" s="9">
        <v>43426</v>
      </c>
      <c r="B4895" s="2" t="inlineStr">
        <is>
          <t xml:space="preserve">2018-11</t>
        </is>
      </c>
      <c r="C4895" s="2" t="inlineStr">
        <is>
          <t xml:space="preserve">2018/19</t>
        </is>
      </c>
      <c r="D4895">
        <v>0.0</v>
      </c>
      <c r="E4895">
        <v>21.54</v>
      </c>
      <c r="F4895">
        <v>28.48</v>
      </c>
      <c r="G4895">
        <v>16.63</v>
      </c>
      <c r="H4895">
        <v>0.01</v>
      </c>
      <c r="I4895">
        <v>0.0</v>
      </c>
      <c r="J4895">
        <v>21.04</v>
      </c>
      <c r="K4895">
        <v>26.72</v>
      </c>
      <c r="L4895">
        <v>17.33</v>
      </c>
      <c r="M4895">
        <v>0.01</v>
      </c>
      <c r="N4895">
        <v>0.0</v>
      </c>
      <c r="O4895">
        <v>22.08</v>
      </c>
      <c r="P4895">
        <v>28.18</v>
      </c>
      <c r="Q4895">
        <v>17.79</v>
      </c>
      <c r="R4895">
        <v>0.0</v>
      </c>
    </row>
    <row r="4896">
      <c r="A4896" s="9">
        <v>43427</v>
      </c>
      <c r="B4896" s="2" t="inlineStr">
        <is>
          <t xml:space="preserve">2018-11</t>
        </is>
      </c>
      <c r="C4896" s="2" t="inlineStr">
        <is>
          <t xml:space="preserve">2018/19</t>
        </is>
      </c>
      <c r="D4896">
        <v>0.0</v>
      </c>
      <c r="E4896">
        <v>21.74</v>
      </c>
      <c r="F4896">
        <v>29.04</v>
      </c>
      <c r="G4896">
        <v>17.07</v>
      </c>
      <c r="H4896">
        <v>0.0</v>
      </c>
      <c r="I4896">
        <v>0.0</v>
      </c>
      <c r="J4896">
        <v>21.05</v>
      </c>
      <c r="K4896">
        <v>27.17</v>
      </c>
      <c r="L4896">
        <v>16.89</v>
      </c>
      <c r="M4896">
        <v>0.0</v>
      </c>
      <c r="N4896">
        <v>0.0</v>
      </c>
      <c r="O4896">
        <v>22.19</v>
      </c>
      <c r="P4896">
        <v>28.87</v>
      </c>
      <c r="Q4896">
        <v>17.65</v>
      </c>
      <c r="R4896">
        <v>0.0</v>
      </c>
    </row>
    <row r="4897">
      <c r="A4897" s="9">
        <v>43428</v>
      </c>
      <c r="B4897" s="2" t="inlineStr">
        <is>
          <t xml:space="preserve">2018-11</t>
        </is>
      </c>
      <c r="C4897" s="2" t="inlineStr">
        <is>
          <t xml:space="preserve">2018/19</t>
        </is>
      </c>
      <c r="D4897">
        <v>0.0</v>
      </c>
      <c r="E4897">
        <v>22.27</v>
      </c>
      <c r="F4897">
        <v>30.18</v>
      </c>
      <c r="G4897">
        <v>16.68</v>
      </c>
      <c r="H4897">
        <v>0.0</v>
      </c>
      <c r="I4897">
        <v>0.0</v>
      </c>
      <c r="J4897">
        <v>22.39</v>
      </c>
      <c r="K4897">
        <v>29.06</v>
      </c>
      <c r="L4897">
        <v>17.06</v>
      </c>
      <c r="M4897">
        <v>0.0</v>
      </c>
      <c r="N4897">
        <v>0.0</v>
      </c>
      <c r="O4897">
        <v>23.45</v>
      </c>
      <c r="P4897">
        <v>31.11</v>
      </c>
      <c r="Q4897">
        <v>18.76</v>
      </c>
      <c r="R4897">
        <v>0.0</v>
      </c>
    </row>
    <row r="4898">
      <c r="A4898" s="9">
        <v>43429</v>
      </c>
      <c r="B4898" s="2" t="inlineStr">
        <is>
          <t xml:space="preserve">2018-11</t>
        </is>
      </c>
      <c r="C4898" s="2" t="inlineStr">
        <is>
          <t xml:space="preserve">2018/19</t>
        </is>
      </c>
      <c r="D4898">
        <v>0.0</v>
      </c>
      <c r="E4898">
        <v>22.74</v>
      </c>
      <c r="F4898">
        <v>30.51</v>
      </c>
      <c r="G4898">
        <v>15.96</v>
      </c>
      <c r="H4898">
        <v>0.0</v>
      </c>
      <c r="I4898">
        <v>0.0</v>
      </c>
      <c r="J4898">
        <v>22.68</v>
      </c>
      <c r="K4898">
        <v>28.91</v>
      </c>
      <c r="L4898">
        <v>17.66</v>
      </c>
      <c r="M4898">
        <v>0.0</v>
      </c>
      <c r="N4898">
        <v>0.0</v>
      </c>
      <c r="O4898">
        <v>24.29</v>
      </c>
      <c r="P4898">
        <v>32.32</v>
      </c>
      <c r="Q4898">
        <v>18.59</v>
      </c>
      <c r="R4898">
        <v>0.0</v>
      </c>
    </row>
    <row r="4899">
      <c r="A4899" s="9">
        <v>43430</v>
      </c>
      <c r="B4899" s="2" t="inlineStr">
        <is>
          <t xml:space="preserve">2018-11</t>
        </is>
      </c>
      <c r="C4899" s="2" t="inlineStr">
        <is>
          <t xml:space="preserve">2018/19</t>
        </is>
      </c>
      <c r="D4899">
        <v>0.0</v>
      </c>
      <c r="E4899">
        <v>23.15</v>
      </c>
      <c r="F4899">
        <v>30.73</v>
      </c>
      <c r="G4899">
        <v>17.26</v>
      </c>
      <c r="H4899">
        <v>0.07</v>
      </c>
      <c r="I4899">
        <v>0.0</v>
      </c>
      <c r="J4899">
        <v>22.75</v>
      </c>
      <c r="K4899">
        <v>28.33</v>
      </c>
      <c r="L4899">
        <v>17.16</v>
      </c>
      <c r="M4899">
        <v>0.0</v>
      </c>
      <c r="N4899">
        <v>0.0</v>
      </c>
      <c r="O4899">
        <v>24.08</v>
      </c>
      <c r="P4899">
        <v>30.81</v>
      </c>
      <c r="Q4899">
        <v>19.1</v>
      </c>
      <c r="R4899">
        <v>0.02</v>
      </c>
    </row>
    <row r="4900">
      <c r="A4900" s="9">
        <v>43431</v>
      </c>
      <c r="B4900" s="2" t="inlineStr">
        <is>
          <t xml:space="preserve">2018-11</t>
        </is>
      </c>
      <c r="C4900" s="2" t="inlineStr">
        <is>
          <t xml:space="preserve">2018/19</t>
        </is>
      </c>
      <c r="D4900">
        <v>0.0</v>
      </c>
      <c r="E4900">
        <v>22.07</v>
      </c>
      <c r="F4900">
        <v>28.43</v>
      </c>
      <c r="G4900">
        <v>17.77</v>
      </c>
      <c r="H4900">
        <v>0.61</v>
      </c>
      <c r="I4900">
        <v>0.0</v>
      </c>
      <c r="J4900">
        <v>22.2</v>
      </c>
      <c r="K4900">
        <v>27.43</v>
      </c>
      <c r="L4900">
        <v>18.28</v>
      </c>
      <c r="M4900">
        <v>0.01</v>
      </c>
      <c r="N4900">
        <v>0.0</v>
      </c>
      <c r="O4900">
        <v>23.13</v>
      </c>
      <c r="P4900">
        <v>29.15</v>
      </c>
      <c r="Q4900">
        <v>19.04</v>
      </c>
      <c r="R4900">
        <v>0.13</v>
      </c>
    </row>
    <row r="4901">
      <c r="A4901" s="9">
        <v>43432</v>
      </c>
      <c r="B4901" s="2" t="inlineStr">
        <is>
          <t xml:space="preserve">2018-11</t>
        </is>
      </c>
      <c r="C4901" s="2" t="inlineStr">
        <is>
          <t xml:space="preserve">2018/19</t>
        </is>
      </c>
      <c r="D4901">
        <v>0.0</v>
      </c>
      <c r="E4901">
        <v>22.15</v>
      </c>
      <c r="F4901">
        <v>29.05</v>
      </c>
      <c r="G4901">
        <v>17.11</v>
      </c>
      <c r="H4901">
        <v>0.25</v>
      </c>
      <c r="I4901">
        <v>0.0</v>
      </c>
      <c r="J4901">
        <v>21.66</v>
      </c>
      <c r="K4901">
        <v>27.57</v>
      </c>
      <c r="L4901">
        <v>16.97</v>
      </c>
      <c r="M4901">
        <v>0.14</v>
      </c>
      <c r="N4901">
        <v>0.0</v>
      </c>
      <c r="O4901">
        <v>22.33</v>
      </c>
      <c r="P4901">
        <v>28.67</v>
      </c>
      <c r="Q4901">
        <v>17.92</v>
      </c>
      <c r="R4901">
        <v>0.39</v>
      </c>
    </row>
    <row r="4902">
      <c r="A4902" s="9">
        <v>43433</v>
      </c>
      <c r="B4902" s="2" t="inlineStr">
        <is>
          <t xml:space="preserve">2018-11</t>
        </is>
      </c>
      <c r="C4902" s="2" t="inlineStr">
        <is>
          <t xml:space="preserve">2018/19</t>
        </is>
      </c>
      <c r="D4902">
        <v>1.694</v>
      </c>
      <c r="E4902">
        <v>20.29</v>
      </c>
      <c r="F4902">
        <v>24.92</v>
      </c>
      <c r="G4902">
        <v>17.13</v>
      </c>
      <c r="H4902">
        <v>1.79</v>
      </c>
      <c r="I4902">
        <v>2.407</v>
      </c>
      <c r="J4902">
        <v>21.42</v>
      </c>
      <c r="K4902">
        <v>26.09</v>
      </c>
      <c r="L4902">
        <v>18.28</v>
      </c>
      <c r="M4902">
        <v>2.06</v>
      </c>
      <c r="N4902">
        <v>0.875</v>
      </c>
      <c r="O4902">
        <v>21.94</v>
      </c>
      <c r="P4902">
        <v>27.34</v>
      </c>
      <c r="Q4902">
        <v>18.76</v>
      </c>
      <c r="R4902">
        <v>3.8</v>
      </c>
    </row>
    <row r="4903">
      <c r="A4903" s="9">
        <v>43434</v>
      </c>
      <c r="B4903" s="2" t="inlineStr">
        <is>
          <t xml:space="preserve">2018-11</t>
        </is>
      </c>
      <c r="C4903" s="2" t="inlineStr">
        <is>
          <t xml:space="preserve">2018/19</t>
        </is>
      </c>
      <c r="D4903">
        <v>0.0</v>
      </c>
      <c r="E4903">
        <v>21.38</v>
      </c>
      <c r="F4903">
        <v>29.6</v>
      </c>
      <c r="G4903">
        <v>15.54</v>
      </c>
      <c r="H4903">
        <v>0.0</v>
      </c>
      <c r="I4903">
        <v>0.0</v>
      </c>
      <c r="J4903">
        <v>22.14</v>
      </c>
      <c r="K4903">
        <v>27.88</v>
      </c>
      <c r="L4903">
        <v>18.07</v>
      </c>
      <c r="M4903">
        <v>0.0</v>
      </c>
      <c r="N4903">
        <v>0.0</v>
      </c>
      <c r="O4903">
        <v>24.08</v>
      </c>
      <c r="P4903">
        <v>31.73</v>
      </c>
      <c r="Q4903">
        <v>18.14</v>
      </c>
      <c r="R4903">
        <v>0.0</v>
      </c>
    </row>
    <row r="4904">
      <c r="A4904" s="9">
        <v>43435</v>
      </c>
      <c r="B4904" s="2" t="inlineStr">
        <is>
          <t xml:space="preserve">2018-12</t>
        </is>
      </c>
      <c r="C4904" s="2" t="inlineStr">
        <is>
          <t xml:space="preserve">2018/19</t>
        </is>
      </c>
      <c r="D4904">
        <v>0.0</v>
      </c>
      <c r="E4904">
        <v>21.6</v>
      </c>
      <c r="F4904">
        <v>30.39</v>
      </c>
      <c r="G4904">
        <v>15.0</v>
      </c>
      <c r="H4904">
        <v>0.0</v>
      </c>
      <c r="I4904">
        <v>0.0</v>
      </c>
      <c r="J4904">
        <v>21.45</v>
      </c>
      <c r="K4904">
        <v>27.55</v>
      </c>
      <c r="L4904">
        <v>17.35</v>
      </c>
      <c r="M4904">
        <v>0.0</v>
      </c>
      <c r="N4904">
        <v>0.0</v>
      </c>
      <c r="O4904">
        <v>24.28</v>
      </c>
      <c r="P4904">
        <v>32.72</v>
      </c>
      <c r="Q4904">
        <v>17.89</v>
      </c>
      <c r="R4904">
        <v>0.0</v>
      </c>
    </row>
    <row r="4905">
      <c r="A4905" s="9">
        <v>43436</v>
      </c>
      <c r="B4905" s="2" t="inlineStr">
        <is>
          <t xml:space="preserve">2018-12</t>
        </is>
      </c>
      <c r="C4905" s="2" t="inlineStr">
        <is>
          <t xml:space="preserve">2018/19</t>
        </is>
      </c>
      <c r="D4905">
        <v>0.0</v>
      </c>
      <c r="E4905">
        <v>21.75</v>
      </c>
      <c r="F4905">
        <v>30.28</v>
      </c>
      <c r="G4905">
        <v>15.63</v>
      </c>
      <c r="H4905">
        <v>0.0</v>
      </c>
      <c r="I4905">
        <v>0.0</v>
      </c>
      <c r="J4905">
        <v>21.45</v>
      </c>
      <c r="K4905">
        <v>27.73</v>
      </c>
      <c r="L4905">
        <v>17.06</v>
      </c>
      <c r="M4905">
        <v>0.0</v>
      </c>
      <c r="N4905">
        <v>0.0</v>
      </c>
      <c r="O4905">
        <v>24.55</v>
      </c>
      <c r="P4905">
        <v>33.28</v>
      </c>
      <c r="Q4905">
        <v>17.6</v>
      </c>
      <c r="R4905">
        <v>0.0</v>
      </c>
    </row>
    <row r="4906">
      <c r="A4906" s="9">
        <v>43437</v>
      </c>
      <c r="B4906" s="2" t="inlineStr">
        <is>
          <t xml:space="preserve">2018-12</t>
        </is>
      </c>
      <c r="C4906" s="2" t="inlineStr">
        <is>
          <t xml:space="preserve">2018/19</t>
        </is>
      </c>
      <c r="D4906">
        <v>0.0</v>
      </c>
      <c r="E4906">
        <v>22.13</v>
      </c>
      <c r="F4906">
        <v>30.35</v>
      </c>
      <c r="G4906">
        <v>14.9</v>
      </c>
      <c r="H4906">
        <v>0.0</v>
      </c>
      <c r="I4906">
        <v>0.0</v>
      </c>
      <c r="J4906">
        <v>22.37</v>
      </c>
      <c r="K4906">
        <v>29.02</v>
      </c>
      <c r="L4906">
        <v>16.84</v>
      </c>
      <c r="M4906">
        <v>0.45</v>
      </c>
      <c r="N4906">
        <v>0.0</v>
      </c>
      <c r="O4906">
        <v>24.32</v>
      </c>
      <c r="P4906">
        <v>32.96</v>
      </c>
      <c r="Q4906">
        <v>17.5</v>
      </c>
      <c r="R4906">
        <v>0.0</v>
      </c>
    </row>
    <row r="4907">
      <c r="A4907" s="9">
        <v>43438</v>
      </c>
      <c r="B4907" s="2" t="inlineStr">
        <is>
          <t xml:space="preserve">2018-12</t>
        </is>
      </c>
      <c r="C4907" s="2" t="inlineStr">
        <is>
          <t xml:space="preserve">2018/19</t>
        </is>
      </c>
      <c r="D4907">
        <v>0.0</v>
      </c>
      <c r="E4907">
        <v>22.62</v>
      </c>
      <c r="F4907">
        <v>30.14</v>
      </c>
      <c r="G4907">
        <v>17.52</v>
      </c>
      <c r="H4907">
        <v>0.0</v>
      </c>
      <c r="I4907">
        <v>7.246</v>
      </c>
      <c r="J4907">
        <v>21.78</v>
      </c>
      <c r="K4907">
        <v>27.86</v>
      </c>
      <c r="L4907">
        <v>16.61</v>
      </c>
      <c r="M4907">
        <v>3.08</v>
      </c>
      <c r="N4907">
        <v>0.265</v>
      </c>
      <c r="O4907">
        <v>23.47</v>
      </c>
      <c r="P4907">
        <v>30.11</v>
      </c>
      <c r="Q4907">
        <v>18.99</v>
      </c>
      <c r="R4907">
        <v>0.28</v>
      </c>
    </row>
    <row r="4908">
      <c r="A4908" s="9">
        <v>43439</v>
      </c>
      <c r="B4908" s="2" t="inlineStr">
        <is>
          <t xml:space="preserve">2018-12</t>
        </is>
      </c>
      <c r="C4908" s="2" t="inlineStr">
        <is>
          <t xml:space="preserve">2018/19</t>
        </is>
      </c>
      <c r="D4908">
        <v>0.0</v>
      </c>
      <c r="E4908">
        <v>21.24</v>
      </c>
      <c r="F4908">
        <v>28.75</v>
      </c>
      <c r="G4908">
        <v>16.53</v>
      </c>
      <c r="H4908">
        <v>0.11</v>
      </c>
      <c r="I4908">
        <v>0.028</v>
      </c>
      <c r="J4908">
        <v>21.0</v>
      </c>
      <c r="K4908">
        <v>27.21</v>
      </c>
      <c r="L4908">
        <v>16.9</v>
      </c>
      <c r="M4908">
        <v>0.14</v>
      </c>
      <c r="N4908">
        <v>0.0</v>
      </c>
      <c r="O4908">
        <v>22.07</v>
      </c>
      <c r="P4908">
        <v>28.08</v>
      </c>
      <c r="Q4908">
        <v>18.0</v>
      </c>
      <c r="R4908">
        <v>0.33</v>
      </c>
    </row>
    <row r="4909">
      <c r="A4909" s="9">
        <v>43440</v>
      </c>
      <c r="B4909" s="2" t="inlineStr">
        <is>
          <t xml:space="preserve">2018-12</t>
        </is>
      </c>
      <c r="C4909" s="2" t="inlineStr">
        <is>
          <t xml:space="preserve">2018/19</t>
        </is>
      </c>
      <c r="D4909">
        <v>0.0</v>
      </c>
      <c r="E4909">
        <v>20.51</v>
      </c>
      <c r="F4909">
        <v>27.22</v>
      </c>
      <c r="G4909">
        <v>16.37</v>
      </c>
      <c r="H4909">
        <v>0.9</v>
      </c>
      <c r="I4909">
        <v>0.439</v>
      </c>
      <c r="J4909">
        <v>19.86</v>
      </c>
      <c r="K4909">
        <v>25.99</v>
      </c>
      <c r="L4909">
        <v>15.49</v>
      </c>
      <c r="M4909">
        <v>1.06</v>
      </c>
      <c r="N4909">
        <v>1.902</v>
      </c>
      <c r="O4909">
        <v>20.4</v>
      </c>
      <c r="P4909">
        <v>25.9</v>
      </c>
      <c r="Q4909">
        <v>16.85</v>
      </c>
      <c r="R4909">
        <v>3.17</v>
      </c>
    </row>
    <row r="4910">
      <c r="A4910" s="9">
        <v>43441</v>
      </c>
      <c r="B4910" s="2" t="inlineStr">
        <is>
          <t xml:space="preserve">2018-12</t>
        </is>
      </c>
      <c r="C4910" s="2" t="inlineStr">
        <is>
          <t xml:space="preserve">2018/19</t>
        </is>
      </c>
      <c r="D4910">
        <v>0.0</v>
      </c>
      <c r="E4910">
        <v>21.07</v>
      </c>
      <c r="F4910">
        <v>28.61</v>
      </c>
      <c r="G4910">
        <v>15.38</v>
      </c>
      <c r="H4910">
        <v>0.0</v>
      </c>
      <c r="I4910">
        <v>0.0</v>
      </c>
      <c r="J4910">
        <v>21.03</v>
      </c>
      <c r="K4910">
        <v>27.45</v>
      </c>
      <c r="L4910">
        <v>16.02</v>
      </c>
      <c r="M4910">
        <v>0.0</v>
      </c>
      <c r="N4910">
        <v>0.0</v>
      </c>
      <c r="O4910">
        <v>21.74</v>
      </c>
      <c r="P4910">
        <v>28.06</v>
      </c>
      <c r="Q4910">
        <v>17.23</v>
      </c>
      <c r="R4910">
        <v>0.01</v>
      </c>
    </row>
    <row r="4911">
      <c r="A4911" s="9">
        <v>43442</v>
      </c>
      <c r="B4911" s="2" t="inlineStr">
        <is>
          <t xml:space="preserve">2018-12</t>
        </is>
      </c>
      <c r="C4911" s="2" t="inlineStr">
        <is>
          <t xml:space="preserve">2018/19</t>
        </is>
      </c>
      <c r="D4911">
        <v>0.0</v>
      </c>
      <c r="E4911">
        <v>21.22</v>
      </c>
      <c r="F4911">
        <v>29.43</v>
      </c>
      <c r="G4911">
        <v>14.93</v>
      </c>
      <c r="H4911">
        <v>0.0</v>
      </c>
      <c r="I4911">
        <v>0.0</v>
      </c>
      <c r="J4911">
        <v>21.97</v>
      </c>
      <c r="K4911">
        <v>29.29</v>
      </c>
      <c r="L4911">
        <v>16.96</v>
      </c>
      <c r="M4911">
        <v>0.0</v>
      </c>
      <c r="N4911">
        <v>0.0</v>
      </c>
      <c r="O4911">
        <v>22.79</v>
      </c>
      <c r="P4911">
        <v>31.2</v>
      </c>
      <c r="Q4911">
        <v>17.8</v>
      </c>
      <c r="R4911">
        <v>0.0</v>
      </c>
    </row>
    <row r="4912">
      <c r="A4912" s="9">
        <v>43443</v>
      </c>
      <c r="B4912" s="2" t="inlineStr">
        <is>
          <t xml:space="preserve">2018-12</t>
        </is>
      </c>
      <c r="C4912" s="2" t="inlineStr">
        <is>
          <t xml:space="preserve">2018/19</t>
        </is>
      </c>
      <c r="D4912">
        <v>0.0</v>
      </c>
      <c r="E4912">
        <v>21.66</v>
      </c>
      <c r="F4912">
        <v>29.28</v>
      </c>
      <c r="G4912">
        <v>15.65</v>
      </c>
      <c r="H4912">
        <v>0.26</v>
      </c>
      <c r="I4912">
        <v>0.0</v>
      </c>
      <c r="J4912">
        <v>21.33</v>
      </c>
      <c r="K4912">
        <v>28.07</v>
      </c>
      <c r="L4912">
        <v>16.01</v>
      </c>
      <c r="M4912">
        <v>0.42</v>
      </c>
      <c r="N4912">
        <v>0.0</v>
      </c>
      <c r="O4912">
        <v>22.26</v>
      </c>
      <c r="P4912">
        <v>28.92</v>
      </c>
      <c r="Q4912">
        <v>18.09</v>
      </c>
      <c r="R4912">
        <v>0.78</v>
      </c>
    </row>
    <row r="4913">
      <c r="A4913" s="9">
        <v>43444</v>
      </c>
      <c r="B4913" s="2" t="inlineStr">
        <is>
          <t xml:space="preserve">2018-12</t>
        </is>
      </c>
      <c r="C4913" s="2" t="inlineStr">
        <is>
          <t xml:space="preserve">2018/19</t>
        </is>
      </c>
      <c r="D4913">
        <v>0.02</v>
      </c>
      <c r="E4913">
        <v>20.51</v>
      </c>
      <c r="F4913">
        <v>26.89</v>
      </c>
      <c r="G4913">
        <v>16.95</v>
      </c>
      <c r="H4913">
        <v>3.47</v>
      </c>
      <c r="I4913">
        <v>1.767</v>
      </c>
      <c r="J4913">
        <v>19.79</v>
      </c>
      <c r="K4913">
        <v>25.1</v>
      </c>
      <c r="L4913">
        <v>16.72</v>
      </c>
      <c r="M4913">
        <v>4.44</v>
      </c>
      <c r="N4913">
        <v>7.303</v>
      </c>
      <c r="O4913">
        <v>20.06</v>
      </c>
      <c r="P4913">
        <v>24.86</v>
      </c>
      <c r="Q4913">
        <v>17.63</v>
      </c>
      <c r="R4913">
        <v>9.45</v>
      </c>
    </row>
    <row r="4914">
      <c r="A4914" s="9">
        <v>43445</v>
      </c>
      <c r="B4914" s="2" t="inlineStr">
        <is>
          <t xml:space="preserve">2018-12</t>
        </is>
      </c>
      <c r="C4914" s="2" t="inlineStr">
        <is>
          <t xml:space="preserve">2018/19</t>
        </is>
      </c>
      <c r="D4914">
        <v>0.68</v>
      </c>
      <c r="E4914">
        <v>19.43</v>
      </c>
      <c r="F4914">
        <v>24.47</v>
      </c>
      <c r="G4914">
        <v>16.63</v>
      </c>
      <c r="H4914">
        <v>7.74</v>
      </c>
      <c r="I4914">
        <v>2.379</v>
      </c>
      <c r="J4914">
        <v>17.85</v>
      </c>
      <c r="K4914">
        <v>21.46</v>
      </c>
      <c r="L4914">
        <v>15.29</v>
      </c>
      <c r="M4914">
        <v>4.08</v>
      </c>
      <c r="N4914">
        <v>9.085</v>
      </c>
      <c r="O4914">
        <v>17.48</v>
      </c>
      <c r="P4914">
        <v>20.34</v>
      </c>
      <c r="Q4914">
        <v>15.66</v>
      </c>
      <c r="R4914">
        <v>8.26</v>
      </c>
    </row>
    <row r="4915">
      <c r="A4915" s="9">
        <v>43446</v>
      </c>
      <c r="B4915" s="2" t="inlineStr">
        <is>
          <t xml:space="preserve">2018-12</t>
        </is>
      </c>
      <c r="C4915" s="2" t="inlineStr">
        <is>
          <t xml:space="preserve">2018/19</t>
        </is>
      </c>
      <c r="D4915">
        <v>0.093</v>
      </c>
      <c r="E4915">
        <v>19.4</v>
      </c>
      <c r="F4915">
        <v>25.23</v>
      </c>
      <c r="G4915">
        <v>16.37</v>
      </c>
      <c r="H4915">
        <v>4.58</v>
      </c>
      <c r="I4915">
        <v>0.487</v>
      </c>
      <c r="J4915">
        <v>17.87</v>
      </c>
      <c r="K4915">
        <v>23.62</v>
      </c>
      <c r="L4915">
        <v>13.93</v>
      </c>
      <c r="M4915">
        <v>0.63</v>
      </c>
      <c r="N4915">
        <v>1.875</v>
      </c>
      <c r="O4915">
        <v>17.35</v>
      </c>
      <c r="P4915">
        <v>22.1</v>
      </c>
      <c r="Q4915">
        <v>14.42</v>
      </c>
      <c r="R4915">
        <v>2.05</v>
      </c>
    </row>
    <row r="4916">
      <c r="A4916" s="9">
        <v>43447</v>
      </c>
      <c r="B4916" s="2" t="inlineStr">
        <is>
          <t xml:space="preserve">2018-12</t>
        </is>
      </c>
      <c r="C4916" s="2" t="inlineStr">
        <is>
          <t xml:space="preserve">2018/19</t>
        </is>
      </c>
      <c r="D4916">
        <v>0.0</v>
      </c>
      <c r="E4916">
        <v>20.94</v>
      </c>
      <c r="F4916">
        <v>28.65</v>
      </c>
      <c r="G4916">
        <v>15.98</v>
      </c>
      <c r="H4916">
        <v>0.01</v>
      </c>
      <c r="I4916">
        <v>0.0</v>
      </c>
      <c r="J4916">
        <v>21.22</v>
      </c>
      <c r="K4916">
        <v>29.04</v>
      </c>
      <c r="L4916">
        <v>15.33</v>
      </c>
      <c r="M4916">
        <v>0.0</v>
      </c>
      <c r="N4916">
        <v>0.0</v>
      </c>
      <c r="O4916">
        <v>22.3</v>
      </c>
      <c r="P4916">
        <v>30.48</v>
      </c>
      <c r="Q4916">
        <v>16.41</v>
      </c>
      <c r="R4916">
        <v>0.0</v>
      </c>
    </row>
    <row r="4917">
      <c r="A4917" s="9">
        <v>43448</v>
      </c>
      <c r="B4917" s="2" t="inlineStr">
        <is>
          <t xml:space="preserve">2018-12</t>
        </is>
      </c>
      <c r="C4917" s="2" t="inlineStr">
        <is>
          <t xml:space="preserve">2018/19</t>
        </is>
      </c>
      <c r="D4917">
        <v>0.0</v>
      </c>
      <c r="E4917">
        <v>21.33</v>
      </c>
      <c r="F4917">
        <v>29.76</v>
      </c>
      <c r="G4917">
        <v>14.37</v>
      </c>
      <c r="H4917">
        <v>0.02</v>
      </c>
      <c r="I4917">
        <v>0.0</v>
      </c>
      <c r="J4917">
        <v>21.62</v>
      </c>
      <c r="K4917">
        <v>28.33</v>
      </c>
      <c r="L4917">
        <v>16.03</v>
      </c>
      <c r="M4917">
        <v>0.08</v>
      </c>
      <c r="N4917">
        <v>0.0</v>
      </c>
      <c r="O4917">
        <v>22.46</v>
      </c>
      <c r="P4917">
        <v>30.6</v>
      </c>
      <c r="Q4917">
        <v>15.81</v>
      </c>
      <c r="R4917">
        <v>0.08</v>
      </c>
    </row>
    <row r="4918">
      <c r="A4918" s="9">
        <v>43449</v>
      </c>
      <c r="B4918" s="2" t="inlineStr">
        <is>
          <t xml:space="preserve">2018-12</t>
        </is>
      </c>
      <c r="C4918" s="2" t="inlineStr">
        <is>
          <t xml:space="preserve">2018/19</t>
        </is>
      </c>
      <c r="D4918">
        <v>0.226</v>
      </c>
      <c r="E4918">
        <v>19.27</v>
      </c>
      <c r="F4918">
        <v>25.61</v>
      </c>
      <c r="G4918">
        <v>15.61</v>
      </c>
      <c r="H4918">
        <v>4.82</v>
      </c>
      <c r="I4918">
        <v>0.634</v>
      </c>
      <c r="J4918">
        <v>18.53</v>
      </c>
      <c r="K4918">
        <v>22.75</v>
      </c>
      <c r="L4918">
        <v>15.01</v>
      </c>
      <c r="M4918">
        <v>1.61</v>
      </c>
      <c r="N4918">
        <v>2.587</v>
      </c>
      <c r="O4918">
        <v>18.7</v>
      </c>
      <c r="P4918">
        <v>22.18</v>
      </c>
      <c r="Q4918">
        <v>15.88</v>
      </c>
      <c r="R4918">
        <v>5.62</v>
      </c>
    </row>
    <row r="4919">
      <c r="A4919" s="9">
        <v>43450</v>
      </c>
      <c r="B4919" s="2" t="inlineStr">
        <is>
          <t xml:space="preserve">2018-12</t>
        </is>
      </c>
      <c r="C4919" s="2" t="inlineStr">
        <is>
          <t xml:space="preserve">2018/19</t>
        </is>
      </c>
      <c r="D4919">
        <v>0.034</v>
      </c>
      <c r="E4919">
        <v>16.65</v>
      </c>
      <c r="F4919">
        <v>21.78</v>
      </c>
      <c r="G4919">
        <v>13.84</v>
      </c>
      <c r="H4919">
        <v>0.75</v>
      </c>
      <c r="I4919">
        <v>0.338</v>
      </c>
      <c r="J4919">
        <v>16.82</v>
      </c>
      <c r="K4919">
        <v>21.6</v>
      </c>
      <c r="L4919">
        <v>14.33</v>
      </c>
      <c r="M4919">
        <v>0.55</v>
      </c>
      <c r="N4919">
        <v>1.393</v>
      </c>
      <c r="O4919">
        <v>16.57</v>
      </c>
      <c r="P4919">
        <v>20.73</v>
      </c>
      <c r="Q4919">
        <v>14.43</v>
      </c>
      <c r="R4919">
        <v>0.9</v>
      </c>
    </row>
    <row r="4920">
      <c r="A4920" s="9">
        <v>43451</v>
      </c>
      <c r="B4920" s="2" t="inlineStr">
        <is>
          <t xml:space="preserve">2018-12</t>
        </is>
      </c>
      <c r="C4920" s="2" t="inlineStr">
        <is>
          <t xml:space="preserve">2018/19</t>
        </is>
      </c>
      <c r="D4920">
        <v>0.0</v>
      </c>
      <c r="E4920">
        <v>16.9</v>
      </c>
      <c r="F4920">
        <v>22.11</v>
      </c>
      <c r="G4920">
        <v>13.97</v>
      </c>
      <c r="H4920">
        <v>0.15</v>
      </c>
      <c r="I4920">
        <v>0.26</v>
      </c>
      <c r="J4920">
        <v>17.95</v>
      </c>
      <c r="K4920">
        <v>23.95</v>
      </c>
      <c r="L4920">
        <v>13.92</v>
      </c>
      <c r="M4920">
        <v>0.96</v>
      </c>
      <c r="N4920">
        <v>1.012</v>
      </c>
      <c r="O4920">
        <v>17.3</v>
      </c>
      <c r="P4920">
        <v>22.56</v>
      </c>
      <c r="Q4920">
        <v>14.11</v>
      </c>
      <c r="R4920">
        <v>0.79</v>
      </c>
    </row>
    <row r="4921">
      <c r="A4921" s="9">
        <v>43452</v>
      </c>
      <c r="B4921" s="2" t="inlineStr">
        <is>
          <t xml:space="preserve">2018-12</t>
        </is>
      </c>
      <c r="C4921" s="2" t="inlineStr">
        <is>
          <t xml:space="preserve">2018/19</t>
        </is>
      </c>
      <c r="D4921">
        <v>0.098</v>
      </c>
      <c r="E4921">
        <v>18.88</v>
      </c>
      <c r="F4921">
        <v>26.92</v>
      </c>
      <c r="G4921">
        <v>13.73</v>
      </c>
      <c r="H4921">
        <v>0.14</v>
      </c>
      <c r="I4921">
        <v>0.686</v>
      </c>
      <c r="J4921">
        <v>19.15</v>
      </c>
      <c r="K4921">
        <v>26.36</v>
      </c>
      <c r="L4921">
        <v>14.69</v>
      </c>
      <c r="M4921">
        <v>0.64</v>
      </c>
      <c r="N4921">
        <v>2.597</v>
      </c>
      <c r="O4921">
        <v>18.69</v>
      </c>
      <c r="P4921">
        <v>25.84</v>
      </c>
      <c r="Q4921">
        <v>14.63</v>
      </c>
      <c r="R4921">
        <v>0.63</v>
      </c>
    </row>
    <row r="4922">
      <c r="A4922" s="9">
        <v>43453</v>
      </c>
      <c r="B4922" s="2" t="inlineStr">
        <is>
          <t xml:space="preserve">2018-12</t>
        </is>
      </c>
      <c r="C4922" s="2" t="inlineStr">
        <is>
          <t xml:space="preserve">2018/19</t>
        </is>
      </c>
      <c r="D4922">
        <v>0.0</v>
      </c>
      <c r="E4922">
        <v>20.75</v>
      </c>
      <c r="F4922">
        <v>28.73</v>
      </c>
      <c r="G4922">
        <v>14.87</v>
      </c>
      <c r="H4922">
        <v>0.01</v>
      </c>
      <c r="I4922">
        <v>0.0</v>
      </c>
      <c r="J4922">
        <v>20.03</v>
      </c>
      <c r="K4922">
        <v>28.0</v>
      </c>
      <c r="L4922">
        <v>14.41</v>
      </c>
      <c r="M4922">
        <v>0.01</v>
      </c>
      <c r="N4922">
        <v>0.0</v>
      </c>
      <c r="O4922">
        <v>21.76</v>
      </c>
      <c r="P4922">
        <v>30.65</v>
      </c>
      <c r="Q4922">
        <v>15.04</v>
      </c>
      <c r="R4922">
        <v>0.0</v>
      </c>
    </row>
    <row r="4923">
      <c r="A4923" s="9">
        <v>43454</v>
      </c>
      <c r="B4923" s="2" t="inlineStr">
        <is>
          <t xml:space="preserve">2018-12</t>
        </is>
      </c>
      <c r="C4923" s="2" t="inlineStr">
        <is>
          <t xml:space="preserve">2018/19</t>
        </is>
      </c>
      <c r="D4923">
        <v>0.0</v>
      </c>
      <c r="E4923">
        <v>21.85</v>
      </c>
      <c r="F4923">
        <v>30.02</v>
      </c>
      <c r="G4923">
        <v>14.86</v>
      </c>
      <c r="H4923">
        <v>0.11</v>
      </c>
      <c r="I4923">
        <v>0.0</v>
      </c>
      <c r="J4923">
        <v>20.99</v>
      </c>
      <c r="K4923">
        <v>28.01</v>
      </c>
      <c r="L4923">
        <v>14.95</v>
      </c>
      <c r="M4923">
        <v>0.07</v>
      </c>
      <c r="N4923">
        <v>0.0</v>
      </c>
      <c r="O4923">
        <v>22.28</v>
      </c>
      <c r="P4923">
        <v>30.51</v>
      </c>
      <c r="Q4923">
        <v>15.72</v>
      </c>
      <c r="R4923">
        <v>0.55</v>
      </c>
    </row>
    <row r="4924">
      <c r="A4924" s="9">
        <v>43455</v>
      </c>
      <c r="B4924" s="2" t="inlineStr">
        <is>
          <t xml:space="preserve">2018-12</t>
        </is>
      </c>
      <c r="C4924" s="2" t="inlineStr">
        <is>
          <t xml:space="preserve">2018/19</t>
        </is>
      </c>
      <c r="D4924">
        <v>0.0</v>
      </c>
      <c r="E4924">
        <v>17.37</v>
      </c>
      <c r="F4924">
        <v>22.59</v>
      </c>
      <c r="G4924">
        <v>12.88</v>
      </c>
      <c r="H4924">
        <v>0.84</v>
      </c>
      <c r="I4924">
        <v>0.0</v>
      </c>
      <c r="J4924">
        <v>17.42</v>
      </c>
      <c r="K4924">
        <v>21.11</v>
      </c>
      <c r="L4924">
        <v>14.0</v>
      </c>
      <c r="M4924">
        <v>0.15</v>
      </c>
      <c r="N4924">
        <v>0.117</v>
      </c>
      <c r="O4924">
        <v>17.71</v>
      </c>
      <c r="P4924">
        <v>21.36</v>
      </c>
      <c r="Q4924">
        <v>15.03</v>
      </c>
      <c r="R4924">
        <v>1.43</v>
      </c>
    </row>
    <row r="4925">
      <c r="A4925" s="9">
        <v>43456</v>
      </c>
      <c r="B4925" s="2" t="inlineStr">
        <is>
          <t xml:space="preserve">2018-12</t>
        </is>
      </c>
      <c r="C4925" s="2" t="inlineStr">
        <is>
          <t xml:space="preserve">2018/19</t>
        </is>
      </c>
      <c r="D4925">
        <v>0.0</v>
      </c>
      <c r="E4925">
        <v>17.43</v>
      </c>
      <c r="F4925">
        <v>24.68</v>
      </c>
      <c r="G4925">
        <v>12.43</v>
      </c>
      <c r="H4925">
        <v>0.0</v>
      </c>
      <c r="I4925">
        <v>0.0</v>
      </c>
      <c r="J4925">
        <v>16.9</v>
      </c>
      <c r="K4925">
        <v>24.08</v>
      </c>
      <c r="L4925">
        <v>12.05</v>
      </c>
      <c r="M4925">
        <v>0.0</v>
      </c>
      <c r="N4925">
        <v>0.0</v>
      </c>
      <c r="O4925">
        <v>17.46</v>
      </c>
      <c r="P4925">
        <v>23.42</v>
      </c>
      <c r="Q4925">
        <v>13.79</v>
      </c>
      <c r="R4925">
        <v>0.0</v>
      </c>
    </row>
    <row r="4926">
      <c r="A4926" s="9">
        <v>43457</v>
      </c>
      <c r="B4926" s="2" t="inlineStr">
        <is>
          <t xml:space="preserve">2018-12</t>
        </is>
      </c>
      <c r="C4926" s="2" t="inlineStr">
        <is>
          <t xml:space="preserve">2018/19</t>
        </is>
      </c>
      <c r="D4926">
        <v>0.0</v>
      </c>
      <c r="E4926">
        <v>19.71</v>
      </c>
      <c r="F4926">
        <v>26.98</v>
      </c>
      <c r="G4926">
        <v>14.33</v>
      </c>
      <c r="H4926">
        <v>0.3</v>
      </c>
      <c r="I4926">
        <v>0.0</v>
      </c>
      <c r="J4926">
        <v>19.85</v>
      </c>
      <c r="K4926">
        <v>27.2</v>
      </c>
      <c r="L4926">
        <v>14.48</v>
      </c>
      <c r="M4926">
        <v>0.28</v>
      </c>
      <c r="N4926">
        <v>0.0</v>
      </c>
      <c r="O4926">
        <v>19.78</v>
      </c>
      <c r="P4926">
        <v>26.56</v>
      </c>
      <c r="Q4926">
        <v>14.97</v>
      </c>
      <c r="R4926">
        <v>0.71</v>
      </c>
    </row>
    <row r="4927">
      <c r="A4927" s="9">
        <v>43458</v>
      </c>
      <c r="B4927" s="2" t="inlineStr">
        <is>
          <t xml:space="preserve">2018-12</t>
        </is>
      </c>
      <c r="C4927" s="2" t="inlineStr">
        <is>
          <t xml:space="preserve">2018/19</t>
        </is>
      </c>
      <c r="D4927">
        <v>0.0</v>
      </c>
      <c r="E4927">
        <v>20.17</v>
      </c>
      <c r="F4927">
        <v>27.02</v>
      </c>
      <c r="G4927">
        <v>15.89</v>
      </c>
      <c r="H4927">
        <v>1.24</v>
      </c>
      <c r="I4927">
        <v>0.786</v>
      </c>
      <c r="J4927">
        <v>20.05</v>
      </c>
      <c r="K4927">
        <v>24.42</v>
      </c>
      <c r="L4927">
        <v>17.01</v>
      </c>
      <c r="M4927">
        <v>1.84</v>
      </c>
      <c r="N4927">
        <v>3.273</v>
      </c>
      <c r="O4927">
        <v>20.2</v>
      </c>
      <c r="P4927">
        <v>24.97</v>
      </c>
      <c r="Q4927">
        <v>17.95</v>
      </c>
      <c r="R4927">
        <v>4.53</v>
      </c>
    </row>
    <row r="4928">
      <c r="A4928" s="9">
        <v>43459</v>
      </c>
      <c r="B4928" s="2" t="inlineStr">
        <is>
          <t xml:space="preserve">2018-12</t>
        </is>
      </c>
      <c r="C4928" s="2" t="inlineStr">
        <is>
          <t xml:space="preserve">2018/19</t>
        </is>
      </c>
      <c r="D4928">
        <v>0.0</v>
      </c>
      <c r="E4928">
        <v>20.23</v>
      </c>
      <c r="F4928">
        <v>27.42</v>
      </c>
      <c r="G4928">
        <v>15.71</v>
      </c>
      <c r="H4928">
        <v>0.56</v>
      </c>
      <c r="I4928">
        <v>0.306</v>
      </c>
      <c r="J4928">
        <v>20.89</v>
      </c>
      <c r="K4928">
        <v>27.64</v>
      </c>
      <c r="L4928">
        <v>16.67</v>
      </c>
      <c r="M4928">
        <v>0.53</v>
      </c>
      <c r="N4928">
        <v>1.295</v>
      </c>
      <c r="O4928">
        <v>20.77</v>
      </c>
      <c r="P4928">
        <v>26.92</v>
      </c>
      <c r="Q4928">
        <v>17.24</v>
      </c>
      <c r="R4928">
        <v>1.6</v>
      </c>
    </row>
    <row r="4929">
      <c r="A4929" s="9">
        <v>43460</v>
      </c>
      <c r="B4929" s="2" t="inlineStr">
        <is>
          <t xml:space="preserve">2018-12</t>
        </is>
      </c>
      <c r="C4929" s="2" t="inlineStr">
        <is>
          <t xml:space="preserve">2018/19</t>
        </is>
      </c>
      <c r="D4929">
        <v>0.0</v>
      </c>
      <c r="E4929">
        <v>20.08</v>
      </c>
      <c r="F4929">
        <v>27.63</v>
      </c>
      <c r="G4929">
        <v>14.52</v>
      </c>
      <c r="H4929">
        <v>0.12</v>
      </c>
      <c r="I4929">
        <v>0.0</v>
      </c>
      <c r="J4929">
        <v>21.4</v>
      </c>
      <c r="K4929">
        <v>28.36</v>
      </c>
      <c r="L4929">
        <v>16.47</v>
      </c>
      <c r="M4929">
        <v>0.08</v>
      </c>
      <c r="N4929">
        <v>0.212</v>
      </c>
      <c r="O4929">
        <v>21.22</v>
      </c>
      <c r="P4929">
        <v>27.78</v>
      </c>
      <c r="Q4929">
        <v>17.2</v>
      </c>
      <c r="R4929">
        <v>0.32</v>
      </c>
    </row>
    <row r="4930">
      <c r="A4930" s="9">
        <v>43461</v>
      </c>
      <c r="B4930" s="2" t="inlineStr">
        <is>
          <t xml:space="preserve">2018-12</t>
        </is>
      </c>
      <c r="C4930" s="2" t="inlineStr">
        <is>
          <t xml:space="preserve">2018/19</t>
        </is>
      </c>
      <c r="D4930">
        <v>0.0</v>
      </c>
      <c r="E4930">
        <v>20.79</v>
      </c>
      <c r="F4930">
        <v>29.2</v>
      </c>
      <c r="G4930">
        <v>14.11</v>
      </c>
      <c r="H4930">
        <v>0.0</v>
      </c>
      <c r="I4930">
        <v>0.0</v>
      </c>
      <c r="J4930">
        <v>22.49</v>
      </c>
      <c r="K4930">
        <v>29.92</v>
      </c>
      <c r="L4930">
        <v>17.38</v>
      </c>
      <c r="M4930">
        <v>0.0</v>
      </c>
      <c r="N4930">
        <v>0.0</v>
      </c>
      <c r="O4930">
        <v>22.98</v>
      </c>
      <c r="P4930">
        <v>30.85</v>
      </c>
      <c r="Q4930">
        <v>17.04</v>
      </c>
      <c r="R4930">
        <v>0.0</v>
      </c>
    </row>
    <row r="4931">
      <c r="A4931" s="9">
        <v>43462</v>
      </c>
      <c r="B4931" s="2" t="inlineStr">
        <is>
          <t xml:space="preserve">2018-12</t>
        </is>
      </c>
      <c r="C4931" s="2" t="inlineStr">
        <is>
          <t xml:space="preserve">2018/19</t>
        </is>
      </c>
      <c r="D4931">
        <v>0.0</v>
      </c>
      <c r="E4931">
        <v>20.81</v>
      </c>
      <c r="F4931">
        <v>29.32</v>
      </c>
      <c r="G4931">
        <v>13.9</v>
      </c>
      <c r="H4931">
        <v>0.03</v>
      </c>
      <c r="I4931">
        <v>0.0</v>
      </c>
      <c r="J4931">
        <v>23.11</v>
      </c>
      <c r="K4931">
        <v>30.59</v>
      </c>
      <c r="L4931">
        <v>17.16</v>
      </c>
      <c r="M4931">
        <v>0.0</v>
      </c>
      <c r="N4931">
        <v>0.0</v>
      </c>
      <c r="O4931">
        <v>23.3</v>
      </c>
      <c r="P4931">
        <v>30.84</v>
      </c>
      <c r="Q4931">
        <v>18.15</v>
      </c>
      <c r="R4931">
        <v>0.0</v>
      </c>
    </row>
    <row r="4932">
      <c r="A4932" s="9">
        <v>43463</v>
      </c>
      <c r="B4932" s="2" t="inlineStr">
        <is>
          <t xml:space="preserve">2018-12</t>
        </is>
      </c>
      <c r="C4932" s="2" t="inlineStr">
        <is>
          <t xml:space="preserve">2018/19</t>
        </is>
      </c>
      <c r="D4932">
        <v>0.0</v>
      </c>
      <c r="E4932">
        <v>20.78</v>
      </c>
      <c r="F4932">
        <v>28.86</v>
      </c>
      <c r="G4932">
        <v>15.41</v>
      </c>
      <c r="H4932">
        <v>0.0</v>
      </c>
      <c r="I4932">
        <v>0.0</v>
      </c>
      <c r="J4932">
        <v>22.59</v>
      </c>
      <c r="K4932">
        <v>30.16</v>
      </c>
      <c r="L4932">
        <v>16.65</v>
      </c>
      <c r="M4932">
        <v>0.0</v>
      </c>
      <c r="N4932">
        <v>0.0</v>
      </c>
      <c r="O4932">
        <v>22.48</v>
      </c>
      <c r="P4932">
        <v>29.8</v>
      </c>
      <c r="Q4932">
        <v>17.9</v>
      </c>
      <c r="R4932">
        <v>0.0</v>
      </c>
    </row>
    <row r="4933">
      <c r="A4933" s="9">
        <v>43464</v>
      </c>
      <c r="B4933" s="2" t="inlineStr">
        <is>
          <t xml:space="preserve">2018-12</t>
        </is>
      </c>
      <c r="C4933" s="2" t="inlineStr">
        <is>
          <t xml:space="preserve">2018/19</t>
        </is>
      </c>
      <c r="D4933">
        <v>0.0</v>
      </c>
      <c r="E4933">
        <v>21.19</v>
      </c>
      <c r="F4933">
        <v>29.69</v>
      </c>
      <c r="G4933">
        <v>14.37</v>
      </c>
      <c r="H4933">
        <v>0.02</v>
      </c>
      <c r="I4933">
        <v>0.0</v>
      </c>
      <c r="J4933">
        <v>22.62</v>
      </c>
      <c r="K4933">
        <v>31.13</v>
      </c>
      <c r="L4933">
        <v>16.56</v>
      </c>
      <c r="M4933">
        <v>0.0</v>
      </c>
      <c r="N4933">
        <v>0.0</v>
      </c>
      <c r="O4933">
        <v>22.42</v>
      </c>
      <c r="P4933">
        <v>30.77</v>
      </c>
      <c r="Q4933">
        <v>17.34</v>
      </c>
      <c r="R4933">
        <v>0.0</v>
      </c>
    </row>
    <row r="4934">
      <c r="A4934" s="9">
        <v>43465</v>
      </c>
      <c r="B4934" s="2" t="inlineStr">
        <is>
          <t xml:space="preserve">2018-12</t>
        </is>
      </c>
      <c r="C4934" s="2" t="inlineStr">
        <is>
          <t xml:space="preserve">2018/19</t>
        </is>
      </c>
      <c r="D4934">
        <v>0.0</v>
      </c>
      <c r="E4934">
        <v>21.21</v>
      </c>
      <c r="F4934">
        <v>29.01</v>
      </c>
      <c r="G4934">
        <v>15.32</v>
      </c>
      <c r="H4934">
        <v>0.04</v>
      </c>
      <c r="I4934">
        <v>0.0</v>
      </c>
      <c r="J4934">
        <v>22.18</v>
      </c>
      <c r="K4934">
        <v>30.49</v>
      </c>
      <c r="L4934">
        <v>16.36</v>
      </c>
      <c r="M4934">
        <v>0.0</v>
      </c>
      <c r="N4934">
        <v>0.0</v>
      </c>
      <c r="O4934">
        <v>22.67</v>
      </c>
      <c r="P4934">
        <v>30.39</v>
      </c>
      <c r="Q4934">
        <v>18.03</v>
      </c>
      <c r="R4934">
        <v>0.0</v>
      </c>
    </row>
    <row r="4935">
      <c r="A4935" s="9">
        <v>43466</v>
      </c>
      <c r="B4935" s="2" t="inlineStr">
        <is>
          <t xml:space="preserve">2019-01</t>
        </is>
      </c>
      <c r="C4935" s="2" t="inlineStr">
        <is>
          <t xml:space="preserve">2018/19</t>
        </is>
      </c>
      <c r="D4935">
        <v>0.0</v>
      </c>
      <c r="E4935">
        <v>20.48</v>
      </c>
      <c r="F4935">
        <v>27.61</v>
      </c>
      <c r="G4935">
        <v>14.73</v>
      </c>
      <c r="H4935">
        <v>0.16</v>
      </c>
      <c r="I4935">
        <v>0.0</v>
      </c>
      <c r="J4935">
        <v>22.25</v>
      </c>
      <c r="K4935">
        <v>29.94</v>
      </c>
      <c r="L4935">
        <v>17.15</v>
      </c>
      <c r="M4935">
        <v>0.0</v>
      </c>
      <c r="N4935">
        <v>0.0</v>
      </c>
      <c r="O4935">
        <v>22.15</v>
      </c>
      <c r="P4935">
        <v>28.87</v>
      </c>
      <c r="Q4935">
        <v>17.41</v>
      </c>
      <c r="R4935">
        <v>0.01</v>
      </c>
    </row>
    <row r="4936">
      <c r="A4936" s="9">
        <v>43467</v>
      </c>
      <c r="B4936" s="2" t="inlineStr">
        <is>
          <t xml:space="preserve">2019-01</t>
        </is>
      </c>
      <c r="C4936" s="2" t="inlineStr">
        <is>
          <t xml:space="preserve">2018/19</t>
        </is>
      </c>
      <c r="D4936">
        <v>0.0</v>
      </c>
      <c r="E4936">
        <v>20.63</v>
      </c>
      <c r="F4936">
        <v>28.45</v>
      </c>
      <c r="G4936">
        <v>15.83</v>
      </c>
      <c r="H4936">
        <v>0.0</v>
      </c>
      <c r="I4936">
        <v>0.0</v>
      </c>
      <c r="J4936">
        <v>22.12</v>
      </c>
      <c r="K4936">
        <v>29.52</v>
      </c>
      <c r="L4936">
        <v>17.54</v>
      </c>
      <c r="M4936">
        <v>0.0</v>
      </c>
      <c r="N4936">
        <v>0.0</v>
      </c>
      <c r="O4936">
        <v>22.13</v>
      </c>
      <c r="P4936">
        <v>28.87</v>
      </c>
      <c r="Q4936">
        <v>18.15</v>
      </c>
      <c r="R4936">
        <v>0.0</v>
      </c>
    </row>
    <row r="4937">
      <c r="A4937" s="9">
        <v>43468</v>
      </c>
      <c r="B4937" s="2" t="inlineStr">
        <is>
          <t xml:space="preserve">2019-01</t>
        </is>
      </c>
      <c r="C4937" s="2" t="inlineStr">
        <is>
          <t xml:space="preserve">2018/19</t>
        </is>
      </c>
      <c r="D4937">
        <v>0.0</v>
      </c>
      <c r="E4937">
        <v>20.82</v>
      </c>
      <c r="F4937">
        <v>29.56</v>
      </c>
      <c r="G4937">
        <v>14.2</v>
      </c>
      <c r="H4937">
        <v>0.01</v>
      </c>
      <c r="I4937">
        <v>0.0</v>
      </c>
      <c r="J4937">
        <v>22.4</v>
      </c>
      <c r="K4937">
        <v>31.12</v>
      </c>
      <c r="L4937">
        <v>16.43</v>
      </c>
      <c r="M4937">
        <v>0.0</v>
      </c>
      <c r="N4937">
        <v>0.0</v>
      </c>
      <c r="O4937">
        <v>22.38</v>
      </c>
      <c r="P4937">
        <v>30.72</v>
      </c>
      <c r="Q4937">
        <v>16.89</v>
      </c>
      <c r="R4937">
        <v>0.0</v>
      </c>
    </row>
    <row r="4938">
      <c r="A4938" s="9">
        <v>43469</v>
      </c>
      <c r="B4938" s="2" t="inlineStr">
        <is>
          <t xml:space="preserve">2019-01</t>
        </is>
      </c>
      <c r="C4938" s="2" t="inlineStr">
        <is>
          <t xml:space="preserve">2018/19</t>
        </is>
      </c>
      <c r="D4938">
        <v>0.0</v>
      </c>
      <c r="E4938">
        <v>21.96</v>
      </c>
      <c r="F4938">
        <v>30.48</v>
      </c>
      <c r="G4938">
        <v>15.48</v>
      </c>
      <c r="H4938">
        <v>0.01</v>
      </c>
      <c r="I4938">
        <v>0.0</v>
      </c>
      <c r="J4938">
        <v>22.92</v>
      </c>
      <c r="K4938">
        <v>30.76</v>
      </c>
      <c r="L4938">
        <v>16.85</v>
      </c>
      <c r="M4938">
        <v>0.0</v>
      </c>
      <c r="N4938">
        <v>0.0</v>
      </c>
      <c r="O4938">
        <v>22.78</v>
      </c>
      <c r="P4938">
        <v>30.1</v>
      </c>
      <c r="Q4938">
        <v>18.27</v>
      </c>
      <c r="R4938">
        <v>0.0</v>
      </c>
    </row>
    <row r="4939">
      <c r="A4939" s="9">
        <v>43470</v>
      </c>
      <c r="B4939" s="2" t="inlineStr">
        <is>
          <t xml:space="preserve">2019-01</t>
        </is>
      </c>
      <c r="C4939" s="2" t="inlineStr">
        <is>
          <t xml:space="preserve">2018/19</t>
        </is>
      </c>
      <c r="D4939">
        <v>0.0</v>
      </c>
      <c r="E4939">
        <v>21.48</v>
      </c>
      <c r="F4939">
        <v>28.77</v>
      </c>
      <c r="G4939">
        <v>16.83</v>
      </c>
      <c r="H4939">
        <v>0.04</v>
      </c>
      <c r="I4939">
        <v>0.0</v>
      </c>
      <c r="J4939">
        <v>21.68</v>
      </c>
      <c r="K4939">
        <v>28.52</v>
      </c>
      <c r="L4939">
        <v>16.94</v>
      </c>
      <c r="M4939">
        <v>0.0</v>
      </c>
      <c r="N4939">
        <v>0.0</v>
      </c>
      <c r="O4939">
        <v>21.46</v>
      </c>
      <c r="P4939">
        <v>27.56</v>
      </c>
      <c r="Q4939">
        <v>17.23</v>
      </c>
      <c r="R4939">
        <v>0.01</v>
      </c>
    </row>
    <row r="4940">
      <c r="A4940" s="9">
        <v>43471</v>
      </c>
      <c r="B4940" s="2" t="inlineStr">
        <is>
          <t xml:space="preserve">2019-01</t>
        </is>
      </c>
      <c r="C4940" s="2" t="inlineStr">
        <is>
          <t xml:space="preserve">2018/19</t>
        </is>
      </c>
      <c r="D4940">
        <v>0.0</v>
      </c>
      <c r="E4940">
        <v>20.36</v>
      </c>
      <c r="F4940">
        <v>27.5</v>
      </c>
      <c r="G4940">
        <v>15.68</v>
      </c>
      <c r="H4940">
        <v>1.61</v>
      </c>
      <c r="I4940">
        <v>0.0</v>
      </c>
      <c r="J4940">
        <v>20.78</v>
      </c>
      <c r="K4940">
        <v>27.68</v>
      </c>
      <c r="L4940">
        <v>15.97</v>
      </c>
      <c r="M4940">
        <v>0.03</v>
      </c>
      <c r="N4940">
        <v>0.0</v>
      </c>
      <c r="O4940">
        <v>20.68</v>
      </c>
      <c r="P4940">
        <v>26.67</v>
      </c>
      <c r="Q4940">
        <v>16.63</v>
      </c>
      <c r="R4940">
        <v>0.2</v>
      </c>
    </row>
    <row r="4941">
      <c r="A4941" s="9">
        <v>43472</v>
      </c>
      <c r="B4941" s="2" t="inlineStr">
        <is>
          <t xml:space="preserve">2019-01</t>
        </is>
      </c>
      <c r="C4941" s="2" t="inlineStr">
        <is>
          <t xml:space="preserve">2018/19</t>
        </is>
      </c>
      <c r="D4941">
        <v>2.043</v>
      </c>
      <c r="E4941">
        <v>19.63</v>
      </c>
      <c r="F4941">
        <v>25.91</v>
      </c>
      <c r="G4941">
        <v>15.7</v>
      </c>
      <c r="H4941">
        <v>5.6</v>
      </c>
      <c r="I4941">
        <v>0.0</v>
      </c>
      <c r="J4941">
        <v>20.7</v>
      </c>
      <c r="K4941">
        <v>27.46</v>
      </c>
      <c r="L4941">
        <v>16.04</v>
      </c>
      <c r="M4941">
        <v>0.14</v>
      </c>
      <c r="N4941">
        <v>0.0</v>
      </c>
      <c r="O4941">
        <v>20.34</v>
      </c>
      <c r="P4941">
        <v>26.2</v>
      </c>
      <c r="Q4941">
        <v>16.53</v>
      </c>
      <c r="R4941">
        <v>0.26</v>
      </c>
    </row>
    <row r="4942">
      <c r="A4942" s="9">
        <v>43473</v>
      </c>
      <c r="B4942" s="2" t="inlineStr">
        <is>
          <t xml:space="preserve">2019-01</t>
        </is>
      </c>
      <c r="C4942" s="2" t="inlineStr">
        <is>
          <t xml:space="preserve">2018/19</t>
        </is>
      </c>
      <c r="D4942">
        <v>2.401</v>
      </c>
      <c r="E4942">
        <v>19.7</v>
      </c>
      <c r="F4942">
        <v>26.01</v>
      </c>
      <c r="G4942">
        <v>15.88</v>
      </c>
      <c r="H4942">
        <v>1.74</v>
      </c>
      <c r="I4942">
        <v>0.0</v>
      </c>
      <c r="J4942">
        <v>20.93</v>
      </c>
      <c r="K4942">
        <v>28.05</v>
      </c>
      <c r="L4942">
        <v>15.39</v>
      </c>
      <c r="M4942">
        <v>0.2</v>
      </c>
      <c r="N4942">
        <v>0.0</v>
      </c>
      <c r="O4942">
        <v>20.7</v>
      </c>
      <c r="P4942">
        <v>27.18</v>
      </c>
      <c r="Q4942">
        <v>16.03</v>
      </c>
      <c r="R4942">
        <v>0.3</v>
      </c>
    </row>
    <row r="4943">
      <c r="A4943" s="9">
        <v>43474</v>
      </c>
      <c r="B4943" s="2" t="inlineStr">
        <is>
          <t xml:space="preserve">2019-01</t>
        </is>
      </c>
      <c r="C4943" s="2" t="inlineStr">
        <is>
          <t xml:space="preserve">2018/19</t>
        </is>
      </c>
      <c r="D4943">
        <v>0.265</v>
      </c>
      <c r="E4943">
        <v>19.6</v>
      </c>
      <c r="F4943">
        <v>26.43</v>
      </c>
      <c r="G4943">
        <v>15.32</v>
      </c>
      <c r="H4943">
        <v>0.67</v>
      </c>
      <c r="I4943">
        <v>0.354</v>
      </c>
      <c r="J4943">
        <v>20.6</v>
      </c>
      <c r="K4943">
        <v>27.18</v>
      </c>
      <c r="L4943">
        <v>16.68</v>
      </c>
      <c r="M4943">
        <v>1.13</v>
      </c>
      <c r="N4943">
        <v>1.314</v>
      </c>
      <c r="O4943">
        <v>20.46</v>
      </c>
      <c r="P4943">
        <v>26.27</v>
      </c>
      <c r="Q4943">
        <v>17.03</v>
      </c>
      <c r="R4943">
        <v>1.87</v>
      </c>
    </row>
    <row r="4944">
      <c r="A4944" s="9">
        <v>43475</v>
      </c>
      <c r="B4944" s="2" t="inlineStr">
        <is>
          <t xml:space="preserve">2019-01</t>
        </is>
      </c>
      <c r="C4944" s="2" t="inlineStr">
        <is>
          <t xml:space="preserve">2018/19</t>
        </is>
      </c>
      <c r="D4944">
        <v>0.584</v>
      </c>
      <c r="E4944">
        <v>18.8</v>
      </c>
      <c r="F4944">
        <v>25.06</v>
      </c>
      <c r="G4944">
        <v>15.01</v>
      </c>
      <c r="H4944">
        <v>2.94</v>
      </c>
      <c r="I4944">
        <v>2.023</v>
      </c>
      <c r="J4944">
        <v>19.44</v>
      </c>
      <c r="K4944">
        <v>25.31</v>
      </c>
      <c r="L4944">
        <v>15.75</v>
      </c>
      <c r="M4944">
        <v>4.59</v>
      </c>
      <c r="N4944">
        <v>8.031</v>
      </c>
      <c r="O4944">
        <v>18.98</v>
      </c>
      <c r="P4944">
        <v>24.14</v>
      </c>
      <c r="Q4944">
        <v>16.19</v>
      </c>
      <c r="R4944">
        <v>8.69</v>
      </c>
    </row>
    <row r="4945">
      <c r="A4945" s="9">
        <v>43476</v>
      </c>
      <c r="B4945" s="2" t="inlineStr">
        <is>
          <t xml:space="preserve">2019-01</t>
        </is>
      </c>
      <c r="C4945" s="2" t="inlineStr">
        <is>
          <t xml:space="preserve">2018/19</t>
        </is>
      </c>
      <c r="D4945">
        <v>0.021</v>
      </c>
      <c r="E4945">
        <v>19.18</v>
      </c>
      <c r="F4945">
        <v>25.87</v>
      </c>
      <c r="G4945">
        <v>15.57</v>
      </c>
      <c r="H4945">
        <v>1.01</v>
      </c>
      <c r="I4945">
        <v>1.216</v>
      </c>
      <c r="J4945">
        <v>19.47</v>
      </c>
      <c r="K4945">
        <v>26.06</v>
      </c>
      <c r="L4945">
        <v>15.15</v>
      </c>
      <c r="M4945">
        <v>1.62</v>
      </c>
      <c r="N4945">
        <v>4.786</v>
      </c>
      <c r="O4945">
        <v>18.57</v>
      </c>
      <c r="P4945">
        <v>24.66</v>
      </c>
      <c r="Q4945">
        <v>15.03</v>
      </c>
      <c r="R4945">
        <v>2.38</v>
      </c>
    </row>
    <row r="4946">
      <c r="A4946" s="9">
        <v>43477</v>
      </c>
      <c r="B4946" s="2" t="inlineStr">
        <is>
          <t xml:space="preserve">2019-01</t>
        </is>
      </c>
      <c r="C4946" s="2" t="inlineStr">
        <is>
          <t xml:space="preserve">2018/19</t>
        </is>
      </c>
      <c r="D4946">
        <v>0.261</v>
      </c>
      <c r="E4946">
        <v>20.18</v>
      </c>
      <c r="F4946">
        <v>28.69</v>
      </c>
      <c r="G4946">
        <v>13.51</v>
      </c>
      <c r="H4946">
        <v>0.05</v>
      </c>
      <c r="I4946">
        <v>0.0</v>
      </c>
      <c r="J4946">
        <v>21.18</v>
      </c>
      <c r="K4946">
        <v>29.66</v>
      </c>
      <c r="L4946">
        <v>14.85</v>
      </c>
      <c r="M4946">
        <v>0.01</v>
      </c>
      <c r="N4946">
        <v>0.0</v>
      </c>
      <c r="O4946">
        <v>20.35</v>
      </c>
      <c r="P4946">
        <v>28.78</v>
      </c>
      <c r="Q4946">
        <v>14.76</v>
      </c>
      <c r="R4946">
        <v>0.05</v>
      </c>
    </row>
    <row r="4947">
      <c r="A4947" s="9">
        <v>43478</v>
      </c>
      <c r="B4947" s="2" t="inlineStr">
        <is>
          <t xml:space="preserve">2019-01</t>
        </is>
      </c>
      <c r="C4947" s="2" t="inlineStr">
        <is>
          <t xml:space="preserve">2018/19</t>
        </is>
      </c>
      <c r="D4947">
        <v>0.0</v>
      </c>
      <c r="E4947">
        <v>20.64</v>
      </c>
      <c r="F4947">
        <v>28.14</v>
      </c>
      <c r="G4947">
        <v>15.52</v>
      </c>
      <c r="H4947">
        <v>0.29</v>
      </c>
      <c r="I4947">
        <v>0.0</v>
      </c>
      <c r="J4947">
        <v>20.73</v>
      </c>
      <c r="K4947">
        <v>27.97</v>
      </c>
      <c r="L4947">
        <v>15.4</v>
      </c>
      <c r="M4947">
        <v>0.85</v>
      </c>
      <c r="N4947">
        <v>0.0</v>
      </c>
      <c r="O4947">
        <v>20.67</v>
      </c>
      <c r="P4947">
        <v>26.7</v>
      </c>
      <c r="Q4947">
        <v>16.66</v>
      </c>
      <c r="R4947">
        <v>1.08</v>
      </c>
    </row>
    <row r="4948">
      <c r="A4948" s="9">
        <v>43479</v>
      </c>
      <c r="B4948" s="2" t="inlineStr">
        <is>
          <t xml:space="preserve">2019-01</t>
        </is>
      </c>
      <c r="C4948" s="2" t="inlineStr">
        <is>
          <t xml:space="preserve">2018/19</t>
        </is>
      </c>
      <c r="D4948">
        <v>0.0</v>
      </c>
      <c r="E4948">
        <v>19.82</v>
      </c>
      <c r="F4948">
        <v>26.75</v>
      </c>
      <c r="G4948">
        <v>15.56</v>
      </c>
      <c r="H4948">
        <v>0.91</v>
      </c>
      <c r="I4948">
        <v>1.998</v>
      </c>
      <c r="J4948">
        <v>19.55</v>
      </c>
      <c r="K4948">
        <v>25.47</v>
      </c>
      <c r="L4948">
        <v>16.21</v>
      </c>
      <c r="M4948">
        <v>3.3</v>
      </c>
      <c r="N4948">
        <v>7.897</v>
      </c>
      <c r="O4948">
        <v>19.42</v>
      </c>
      <c r="P4948">
        <v>24.55</v>
      </c>
      <c r="Q4948">
        <v>16.45</v>
      </c>
      <c r="R4948">
        <v>4.21</v>
      </c>
    </row>
    <row r="4949">
      <c r="A4949" s="9">
        <v>43480</v>
      </c>
      <c r="B4949" s="2" t="inlineStr">
        <is>
          <t xml:space="preserve">2019-01</t>
        </is>
      </c>
      <c r="C4949" s="2" t="inlineStr">
        <is>
          <t xml:space="preserve">2018/19</t>
        </is>
      </c>
      <c r="D4949">
        <v>0.0</v>
      </c>
      <c r="E4949">
        <v>19.59</v>
      </c>
      <c r="F4949">
        <v>26.95</v>
      </c>
      <c r="G4949">
        <v>14.74</v>
      </c>
      <c r="H4949">
        <v>0.49</v>
      </c>
      <c r="I4949">
        <v>0.46</v>
      </c>
      <c r="J4949">
        <v>19.52</v>
      </c>
      <c r="K4949">
        <v>26.37</v>
      </c>
      <c r="L4949">
        <v>15.16</v>
      </c>
      <c r="M4949">
        <v>0.87</v>
      </c>
      <c r="N4949">
        <v>1.844</v>
      </c>
      <c r="O4949">
        <v>19.26</v>
      </c>
      <c r="P4949">
        <v>25.48</v>
      </c>
      <c r="Q4949">
        <v>15.33</v>
      </c>
      <c r="R4949">
        <v>1.81</v>
      </c>
    </row>
    <row r="4950">
      <c r="A4950" s="9">
        <v>43481</v>
      </c>
      <c r="B4950" s="2" t="inlineStr">
        <is>
          <t xml:space="preserve">2019-01</t>
        </is>
      </c>
      <c r="C4950" s="2" t="inlineStr">
        <is>
          <t xml:space="preserve">2018/19</t>
        </is>
      </c>
      <c r="D4950">
        <v>0.0</v>
      </c>
      <c r="E4950">
        <v>19.87</v>
      </c>
      <c r="F4950">
        <v>27.26</v>
      </c>
      <c r="G4950">
        <v>15.04</v>
      </c>
      <c r="H4950">
        <v>0.54</v>
      </c>
      <c r="I4950">
        <v>0.062</v>
      </c>
      <c r="J4950">
        <v>20.09</v>
      </c>
      <c r="K4950">
        <v>27.06</v>
      </c>
      <c r="L4950">
        <v>16.01</v>
      </c>
      <c r="M4950">
        <v>1.2</v>
      </c>
      <c r="N4950">
        <v>0.707</v>
      </c>
      <c r="O4950">
        <v>19.97</v>
      </c>
      <c r="P4950">
        <v>25.97</v>
      </c>
      <c r="Q4950">
        <v>16.58</v>
      </c>
      <c r="R4950">
        <v>2.12</v>
      </c>
    </row>
    <row r="4951">
      <c r="A4951" s="9">
        <v>43482</v>
      </c>
      <c r="B4951" s="2" t="inlineStr">
        <is>
          <t xml:space="preserve">2019-01</t>
        </is>
      </c>
      <c r="C4951" s="2" t="inlineStr">
        <is>
          <t xml:space="preserve">2018/19</t>
        </is>
      </c>
      <c r="D4951">
        <v>0.028</v>
      </c>
      <c r="E4951">
        <v>20.12</v>
      </c>
      <c r="F4951">
        <v>27.07</v>
      </c>
      <c r="G4951">
        <v>15.65</v>
      </c>
      <c r="H4951">
        <v>2.41</v>
      </c>
      <c r="I4951">
        <v>2.913</v>
      </c>
      <c r="J4951">
        <v>19.91</v>
      </c>
      <c r="K4951">
        <v>26.33</v>
      </c>
      <c r="L4951">
        <v>16.38</v>
      </c>
      <c r="M4951">
        <v>5.34</v>
      </c>
      <c r="N4951">
        <v>11.603</v>
      </c>
      <c r="O4951">
        <v>19.6</v>
      </c>
      <c r="P4951">
        <v>25.01</v>
      </c>
      <c r="Q4951">
        <v>16.97</v>
      </c>
      <c r="R4951">
        <v>7.68</v>
      </c>
    </row>
    <row r="4952">
      <c r="A4952" s="9">
        <v>43483</v>
      </c>
      <c r="B4952" s="2" t="inlineStr">
        <is>
          <t xml:space="preserve">2019-01</t>
        </is>
      </c>
      <c r="C4952" s="2" t="inlineStr">
        <is>
          <t xml:space="preserve">2018/19</t>
        </is>
      </c>
      <c r="D4952">
        <v>0.0</v>
      </c>
      <c r="E4952">
        <v>20.37</v>
      </c>
      <c r="F4952">
        <v>27.15</v>
      </c>
      <c r="G4952">
        <v>15.6</v>
      </c>
      <c r="H4952">
        <v>0.98</v>
      </c>
      <c r="I4952">
        <v>1.131</v>
      </c>
      <c r="J4952">
        <v>19.99</v>
      </c>
      <c r="K4952">
        <v>26.76</v>
      </c>
      <c r="L4952">
        <v>15.49</v>
      </c>
      <c r="M4952">
        <v>1.76</v>
      </c>
      <c r="N4952">
        <v>4.52</v>
      </c>
      <c r="O4952">
        <v>19.55</v>
      </c>
      <c r="P4952">
        <v>25.51</v>
      </c>
      <c r="Q4952">
        <v>16.43</v>
      </c>
      <c r="R4952">
        <v>3.16</v>
      </c>
    </row>
    <row r="4953">
      <c r="A4953" s="9">
        <v>43484</v>
      </c>
      <c r="B4953" s="2" t="inlineStr">
        <is>
          <t xml:space="preserve">2019-01</t>
        </is>
      </c>
      <c r="C4953" s="2" t="inlineStr">
        <is>
          <t xml:space="preserve">2018/19</t>
        </is>
      </c>
      <c r="D4953">
        <v>0.0</v>
      </c>
      <c r="E4953">
        <v>21.47</v>
      </c>
      <c r="F4953">
        <v>29.93</v>
      </c>
      <c r="G4953">
        <v>15.45</v>
      </c>
      <c r="H4953">
        <v>0.02</v>
      </c>
      <c r="I4953">
        <v>0.0</v>
      </c>
      <c r="J4953">
        <v>21.92</v>
      </c>
      <c r="K4953">
        <v>30.35</v>
      </c>
      <c r="L4953">
        <v>15.98</v>
      </c>
      <c r="M4953">
        <v>0.0</v>
      </c>
      <c r="N4953">
        <v>0.0</v>
      </c>
      <c r="O4953">
        <v>21.76</v>
      </c>
      <c r="P4953">
        <v>30.16</v>
      </c>
      <c r="Q4953">
        <v>16.5</v>
      </c>
      <c r="R4953">
        <v>0.02</v>
      </c>
    </row>
    <row r="4954">
      <c r="A4954" s="9">
        <v>43485</v>
      </c>
      <c r="B4954" s="2" t="inlineStr">
        <is>
          <t xml:space="preserve">2019-01</t>
        </is>
      </c>
      <c r="C4954" s="2" t="inlineStr">
        <is>
          <t xml:space="preserve">2018/19</t>
        </is>
      </c>
      <c r="D4954">
        <v>0.0</v>
      </c>
      <c r="E4954">
        <v>19.47</v>
      </c>
      <c r="F4954">
        <v>25.93</v>
      </c>
      <c r="G4954">
        <v>14.9</v>
      </c>
      <c r="H4954">
        <v>2.3</v>
      </c>
      <c r="I4954">
        <v>0.021</v>
      </c>
      <c r="J4954">
        <v>19.93</v>
      </c>
      <c r="K4954">
        <v>26.19</v>
      </c>
      <c r="L4954">
        <v>15.11</v>
      </c>
      <c r="M4954">
        <v>0.15</v>
      </c>
      <c r="N4954">
        <v>0.239</v>
      </c>
      <c r="O4954">
        <v>19.99</v>
      </c>
      <c r="P4954">
        <v>25.11</v>
      </c>
      <c r="Q4954">
        <v>16.66</v>
      </c>
      <c r="R4954">
        <v>1.38</v>
      </c>
    </row>
    <row r="4955">
      <c r="A4955" s="9">
        <v>43486</v>
      </c>
      <c r="B4955" s="2" t="inlineStr">
        <is>
          <t xml:space="preserve">2019-01</t>
        </is>
      </c>
      <c r="C4955" s="2" t="inlineStr">
        <is>
          <t xml:space="preserve">2018/19</t>
        </is>
      </c>
      <c r="D4955">
        <v>0.586</v>
      </c>
      <c r="E4955">
        <v>17.81</v>
      </c>
      <c r="F4955">
        <v>23.39</v>
      </c>
      <c r="G4955">
        <v>14.7</v>
      </c>
      <c r="H4955">
        <v>1.32</v>
      </c>
      <c r="I4955">
        <v>0.024</v>
      </c>
      <c r="J4955">
        <v>15.11</v>
      </c>
      <c r="K4955">
        <v>19.75</v>
      </c>
      <c r="L4955">
        <v>12.6</v>
      </c>
      <c r="M4955">
        <v>0.05</v>
      </c>
      <c r="N4955">
        <v>0.248</v>
      </c>
      <c r="O4955">
        <v>14.7</v>
      </c>
      <c r="P4955">
        <v>18.13</v>
      </c>
      <c r="Q4955">
        <v>12.93</v>
      </c>
      <c r="R4955">
        <v>0.57</v>
      </c>
    </row>
    <row r="4956">
      <c r="A4956" s="9">
        <v>43487</v>
      </c>
      <c r="B4956" s="2" t="inlineStr">
        <is>
          <t xml:space="preserve">2019-01</t>
        </is>
      </c>
      <c r="C4956" s="2" t="inlineStr">
        <is>
          <t xml:space="preserve">2018/19</t>
        </is>
      </c>
      <c r="D4956">
        <v>0.0</v>
      </c>
      <c r="E4956">
        <v>20.25</v>
      </c>
      <c r="F4956">
        <v>28.55</v>
      </c>
      <c r="G4956">
        <v>14.2</v>
      </c>
      <c r="H4956">
        <v>0.0</v>
      </c>
      <c r="I4956">
        <v>0.0</v>
      </c>
      <c r="J4956">
        <v>18.57</v>
      </c>
      <c r="K4956">
        <v>26.64</v>
      </c>
      <c r="L4956">
        <v>12.42</v>
      </c>
      <c r="M4956">
        <v>0.0</v>
      </c>
      <c r="N4956">
        <v>0.0</v>
      </c>
      <c r="O4956">
        <v>17.81</v>
      </c>
      <c r="P4956">
        <v>24.07</v>
      </c>
      <c r="Q4956">
        <v>12.73</v>
      </c>
      <c r="R4956">
        <v>0.0</v>
      </c>
    </row>
    <row r="4957">
      <c r="A4957" s="9">
        <v>43488</v>
      </c>
      <c r="B4957" s="2" t="inlineStr">
        <is>
          <t xml:space="preserve">2019-01</t>
        </is>
      </c>
      <c r="C4957" s="2" t="inlineStr">
        <is>
          <t xml:space="preserve">2018/19</t>
        </is>
      </c>
      <c r="D4957">
        <v>0.0</v>
      </c>
      <c r="E4957">
        <v>21.45</v>
      </c>
      <c r="F4957">
        <v>30.2</v>
      </c>
      <c r="G4957">
        <v>14.61</v>
      </c>
      <c r="H4957">
        <v>0.0</v>
      </c>
      <c r="I4957">
        <v>0.0</v>
      </c>
      <c r="J4957">
        <v>22.63</v>
      </c>
      <c r="K4957">
        <v>31.81</v>
      </c>
      <c r="L4957">
        <v>15.84</v>
      </c>
      <c r="M4957">
        <v>0.0</v>
      </c>
      <c r="N4957">
        <v>0.0</v>
      </c>
      <c r="O4957">
        <v>22.46</v>
      </c>
      <c r="P4957">
        <v>32.15</v>
      </c>
      <c r="Q4957">
        <v>16.07</v>
      </c>
      <c r="R4957">
        <v>0.0</v>
      </c>
    </row>
    <row r="4958">
      <c r="A4958" s="9">
        <v>43489</v>
      </c>
      <c r="B4958" s="2" t="inlineStr">
        <is>
          <t xml:space="preserve">2019-01</t>
        </is>
      </c>
      <c r="C4958" s="2" t="inlineStr">
        <is>
          <t xml:space="preserve">2018/19</t>
        </is>
      </c>
      <c r="D4958">
        <v>0.0</v>
      </c>
      <c r="E4958">
        <v>21.49</v>
      </c>
      <c r="F4958">
        <v>29.68</v>
      </c>
      <c r="G4958">
        <v>15.45</v>
      </c>
      <c r="H4958">
        <v>0.0</v>
      </c>
      <c r="I4958">
        <v>0.0</v>
      </c>
      <c r="J4958">
        <v>21.61</v>
      </c>
      <c r="K4958">
        <v>28.97</v>
      </c>
      <c r="L4958">
        <v>16.06</v>
      </c>
      <c r="M4958">
        <v>0.0</v>
      </c>
      <c r="N4958">
        <v>0.0</v>
      </c>
      <c r="O4958">
        <v>21.36</v>
      </c>
      <c r="P4958">
        <v>27.8</v>
      </c>
      <c r="Q4958">
        <v>16.91</v>
      </c>
      <c r="R4958">
        <v>0.0</v>
      </c>
    </row>
    <row r="4959">
      <c r="A4959" s="9">
        <v>43490</v>
      </c>
      <c r="B4959" s="2" t="inlineStr">
        <is>
          <t xml:space="preserve">2019-01</t>
        </is>
      </c>
      <c r="C4959" s="2" t="inlineStr">
        <is>
          <t xml:space="preserve">2018/19</t>
        </is>
      </c>
      <c r="D4959">
        <v>0.0</v>
      </c>
      <c r="E4959">
        <v>21.61</v>
      </c>
      <c r="F4959">
        <v>29.58</v>
      </c>
      <c r="G4959">
        <v>16.33</v>
      </c>
      <c r="H4959">
        <v>0.04</v>
      </c>
      <c r="I4959">
        <v>0.0</v>
      </c>
      <c r="J4959">
        <v>22.0</v>
      </c>
      <c r="K4959">
        <v>29.05</v>
      </c>
      <c r="L4959">
        <v>17.29</v>
      </c>
      <c r="M4959">
        <v>0.05</v>
      </c>
      <c r="N4959">
        <v>0.0</v>
      </c>
      <c r="O4959">
        <v>21.33</v>
      </c>
      <c r="P4959">
        <v>27.45</v>
      </c>
      <c r="Q4959">
        <v>17.28</v>
      </c>
      <c r="R4959">
        <v>0.11</v>
      </c>
    </row>
    <row r="4960">
      <c r="A4960" s="9">
        <v>43491</v>
      </c>
      <c r="B4960" s="2" t="inlineStr">
        <is>
          <t xml:space="preserve">2019-01</t>
        </is>
      </c>
      <c r="C4960" s="2" t="inlineStr">
        <is>
          <t xml:space="preserve">2018/19</t>
        </is>
      </c>
      <c r="D4960">
        <v>0.028</v>
      </c>
      <c r="E4960">
        <v>21.53</v>
      </c>
      <c r="F4960">
        <v>29.4</v>
      </c>
      <c r="G4960">
        <v>16.13</v>
      </c>
      <c r="H4960">
        <v>0.15</v>
      </c>
      <c r="I4960">
        <v>0.06</v>
      </c>
      <c r="J4960">
        <v>21.68</v>
      </c>
      <c r="K4960">
        <v>29.25</v>
      </c>
      <c r="L4960">
        <v>16.07</v>
      </c>
      <c r="M4960">
        <v>0.25</v>
      </c>
      <c r="N4960">
        <v>0.678</v>
      </c>
      <c r="O4960">
        <v>21.14</v>
      </c>
      <c r="P4960">
        <v>27.96</v>
      </c>
      <c r="Q4960">
        <v>16.35</v>
      </c>
      <c r="R4960">
        <v>0.52</v>
      </c>
    </row>
    <row r="4961">
      <c r="A4961" s="9">
        <v>43492</v>
      </c>
      <c r="B4961" s="2" t="inlineStr">
        <is>
          <t xml:space="preserve">2019-01</t>
        </is>
      </c>
      <c r="C4961" s="2" t="inlineStr">
        <is>
          <t xml:space="preserve">2018/19</t>
        </is>
      </c>
      <c r="D4961">
        <v>0.0</v>
      </c>
      <c r="E4961">
        <v>22.97</v>
      </c>
      <c r="F4961">
        <v>31.69</v>
      </c>
      <c r="G4961">
        <v>15.74</v>
      </c>
      <c r="H4961">
        <v>0.03</v>
      </c>
      <c r="I4961">
        <v>0.0</v>
      </c>
      <c r="J4961">
        <v>22.75</v>
      </c>
      <c r="K4961">
        <v>30.64</v>
      </c>
      <c r="L4961">
        <v>16.0</v>
      </c>
      <c r="M4961">
        <v>0.14</v>
      </c>
      <c r="N4961">
        <v>0.0</v>
      </c>
      <c r="O4961">
        <v>23.69</v>
      </c>
      <c r="P4961">
        <v>32.27</v>
      </c>
      <c r="Q4961">
        <v>16.28</v>
      </c>
      <c r="R4961">
        <v>0.1</v>
      </c>
    </row>
    <row r="4962">
      <c r="A4962" s="9">
        <v>43493</v>
      </c>
      <c r="B4962" s="2" t="inlineStr">
        <is>
          <t xml:space="preserve">2019-01</t>
        </is>
      </c>
      <c r="C4962" s="2" t="inlineStr">
        <is>
          <t xml:space="preserve">2018/19</t>
        </is>
      </c>
      <c r="D4962">
        <v>0.0</v>
      </c>
      <c r="E4962">
        <v>20.26</v>
      </c>
      <c r="F4962">
        <v>27.11</v>
      </c>
      <c r="G4962">
        <v>14.53</v>
      </c>
      <c r="H4962">
        <v>0.16</v>
      </c>
      <c r="I4962">
        <v>0.347</v>
      </c>
      <c r="J4962">
        <v>19.36</v>
      </c>
      <c r="K4962">
        <v>27.14</v>
      </c>
      <c r="L4962">
        <v>13.95</v>
      </c>
      <c r="M4962">
        <v>0.48</v>
      </c>
      <c r="N4962">
        <v>1.349</v>
      </c>
      <c r="O4962">
        <v>19.1</v>
      </c>
      <c r="P4962">
        <v>26.17</v>
      </c>
      <c r="Q4962">
        <v>13.9</v>
      </c>
      <c r="R4962">
        <v>0.5</v>
      </c>
    </row>
    <row r="4963">
      <c r="A4963" s="9">
        <v>43494</v>
      </c>
      <c r="B4963" s="2" t="inlineStr">
        <is>
          <t xml:space="preserve">2019-01</t>
        </is>
      </c>
      <c r="C4963" s="2" t="inlineStr">
        <is>
          <t xml:space="preserve">2018/19</t>
        </is>
      </c>
      <c r="D4963">
        <v>0.0</v>
      </c>
      <c r="E4963">
        <v>21.47</v>
      </c>
      <c r="F4963">
        <v>31.03</v>
      </c>
      <c r="G4963">
        <v>13.22</v>
      </c>
      <c r="H4963">
        <v>0.0</v>
      </c>
      <c r="I4963">
        <v>0.0</v>
      </c>
      <c r="J4963">
        <v>21.34</v>
      </c>
      <c r="K4963">
        <v>30.89</v>
      </c>
      <c r="L4963">
        <v>13.63</v>
      </c>
      <c r="M4963">
        <v>0.0</v>
      </c>
      <c r="N4963">
        <v>0.0</v>
      </c>
      <c r="O4963">
        <v>20.64</v>
      </c>
      <c r="P4963">
        <v>30.68</v>
      </c>
      <c r="Q4963">
        <v>13.28</v>
      </c>
      <c r="R4963">
        <v>0.0</v>
      </c>
    </row>
    <row r="4964">
      <c r="A4964" s="9">
        <v>43495</v>
      </c>
      <c r="B4964" s="2" t="inlineStr">
        <is>
          <t xml:space="preserve">2019-01</t>
        </is>
      </c>
      <c r="C4964" s="2" t="inlineStr">
        <is>
          <t xml:space="preserve">2018/19</t>
        </is>
      </c>
      <c r="D4964">
        <v>0.0</v>
      </c>
      <c r="E4964">
        <v>20.98</v>
      </c>
      <c r="F4964">
        <v>28.57</v>
      </c>
      <c r="G4964">
        <v>15.94</v>
      </c>
      <c r="H4964">
        <v>0.0</v>
      </c>
      <c r="I4964">
        <v>0.0</v>
      </c>
      <c r="J4964">
        <v>20.36</v>
      </c>
      <c r="K4964">
        <v>27.98</v>
      </c>
      <c r="L4964">
        <v>14.69</v>
      </c>
      <c r="M4964">
        <v>0.0</v>
      </c>
      <c r="N4964">
        <v>0.0</v>
      </c>
      <c r="O4964">
        <v>19.62</v>
      </c>
      <c r="P4964">
        <v>26.39</v>
      </c>
      <c r="Q4964">
        <v>15.02</v>
      </c>
      <c r="R4964">
        <v>0.0</v>
      </c>
    </row>
    <row r="4965">
      <c r="A4965" s="9">
        <v>43496</v>
      </c>
      <c r="B4965" s="2" t="inlineStr">
        <is>
          <t xml:space="preserve">2019-01</t>
        </is>
      </c>
      <c r="C4965" s="2" t="inlineStr">
        <is>
          <t xml:space="preserve">2018/19</t>
        </is>
      </c>
      <c r="D4965">
        <v>0.0</v>
      </c>
      <c r="E4965">
        <v>21.56</v>
      </c>
      <c r="F4965">
        <v>29.78</v>
      </c>
      <c r="G4965">
        <v>15.28</v>
      </c>
      <c r="H4965">
        <v>0.03</v>
      </c>
      <c r="I4965">
        <v>0.0</v>
      </c>
      <c r="J4965">
        <v>21.88</v>
      </c>
      <c r="K4965">
        <v>30.41</v>
      </c>
      <c r="L4965">
        <v>15.75</v>
      </c>
      <c r="M4965">
        <v>0.0</v>
      </c>
      <c r="N4965">
        <v>0.0</v>
      </c>
      <c r="O4965">
        <v>21.22</v>
      </c>
      <c r="P4965">
        <v>29.02</v>
      </c>
      <c r="Q4965">
        <v>15.83</v>
      </c>
      <c r="R4965">
        <v>0.0</v>
      </c>
    </row>
    <row r="4966">
      <c r="A4966" s="9">
        <v>43497</v>
      </c>
      <c r="B4966" s="2" t="inlineStr">
        <is>
          <t xml:space="preserve">2019-02</t>
        </is>
      </c>
      <c r="C4966" s="2" t="inlineStr">
        <is>
          <t xml:space="preserve">2018/19</t>
        </is>
      </c>
      <c r="D4966">
        <v>0.0</v>
      </c>
      <c r="E4966">
        <v>22.38</v>
      </c>
      <c r="F4966">
        <v>30.47</v>
      </c>
      <c r="G4966">
        <v>15.97</v>
      </c>
      <c r="H4966">
        <v>0.06</v>
      </c>
      <c r="I4966">
        <v>0.0</v>
      </c>
      <c r="J4966">
        <v>23.02</v>
      </c>
      <c r="K4966">
        <v>30.92</v>
      </c>
      <c r="L4966">
        <v>16.46</v>
      </c>
      <c r="M4966">
        <v>0.0</v>
      </c>
      <c r="N4966">
        <v>0.0</v>
      </c>
      <c r="O4966">
        <v>22.69</v>
      </c>
      <c r="P4966">
        <v>30.72</v>
      </c>
      <c r="Q4966">
        <v>17.26</v>
      </c>
      <c r="R4966">
        <v>0.0</v>
      </c>
    </row>
    <row r="4967">
      <c r="A4967" s="9">
        <v>43498</v>
      </c>
      <c r="B4967" s="2" t="inlineStr">
        <is>
          <t xml:space="preserve">2019-02</t>
        </is>
      </c>
      <c r="C4967" s="2" t="inlineStr">
        <is>
          <t xml:space="preserve">2018/19</t>
        </is>
      </c>
      <c r="D4967">
        <v>0.0</v>
      </c>
      <c r="E4967">
        <v>21.83</v>
      </c>
      <c r="F4967">
        <v>30.47</v>
      </c>
      <c r="G4967">
        <v>15.71</v>
      </c>
      <c r="H4967">
        <v>0.03</v>
      </c>
      <c r="I4967">
        <v>0.0</v>
      </c>
      <c r="J4967">
        <v>22.93</v>
      </c>
      <c r="K4967">
        <v>30.64</v>
      </c>
      <c r="L4967">
        <v>17.5</v>
      </c>
      <c r="M4967">
        <v>0.0</v>
      </c>
      <c r="N4967">
        <v>0.0</v>
      </c>
      <c r="O4967">
        <v>22.48</v>
      </c>
      <c r="P4967">
        <v>29.93</v>
      </c>
      <c r="Q4967">
        <v>18.23</v>
      </c>
      <c r="R4967">
        <v>0.0</v>
      </c>
    </row>
    <row r="4968">
      <c r="A4968" s="9">
        <v>43499</v>
      </c>
      <c r="B4968" s="2" t="inlineStr">
        <is>
          <t xml:space="preserve">2019-02</t>
        </is>
      </c>
      <c r="C4968" s="2" t="inlineStr">
        <is>
          <t xml:space="preserve">2018/19</t>
        </is>
      </c>
      <c r="D4968">
        <v>0.0</v>
      </c>
      <c r="E4968">
        <v>21.46</v>
      </c>
      <c r="F4968">
        <v>30.24</v>
      </c>
      <c r="G4968">
        <v>14.36</v>
      </c>
      <c r="H4968">
        <v>0.08</v>
      </c>
      <c r="I4968">
        <v>0.0</v>
      </c>
      <c r="J4968">
        <v>22.68</v>
      </c>
      <c r="K4968">
        <v>31.21</v>
      </c>
      <c r="L4968">
        <v>15.76</v>
      </c>
      <c r="M4968">
        <v>0.0</v>
      </c>
      <c r="N4968">
        <v>0.0</v>
      </c>
      <c r="O4968">
        <v>22.52</v>
      </c>
      <c r="P4968">
        <v>30.56</v>
      </c>
      <c r="Q4968">
        <v>17.15</v>
      </c>
      <c r="R4968">
        <v>0.0</v>
      </c>
    </row>
    <row r="4969">
      <c r="A4969" s="9">
        <v>43500</v>
      </c>
      <c r="B4969" s="2" t="inlineStr">
        <is>
          <t xml:space="preserve">2019-02</t>
        </is>
      </c>
      <c r="C4969" s="2" t="inlineStr">
        <is>
          <t xml:space="preserve">2018/19</t>
        </is>
      </c>
      <c r="D4969">
        <v>0.0</v>
      </c>
      <c r="E4969">
        <v>22.72</v>
      </c>
      <c r="F4969">
        <v>31.87</v>
      </c>
      <c r="G4969">
        <v>15.31</v>
      </c>
      <c r="H4969">
        <v>0.0</v>
      </c>
      <c r="I4969">
        <v>0.0</v>
      </c>
      <c r="J4969">
        <v>23.89</v>
      </c>
      <c r="K4969">
        <v>32.49</v>
      </c>
      <c r="L4969">
        <v>16.98</v>
      </c>
      <c r="M4969">
        <v>0.0</v>
      </c>
      <c r="N4969">
        <v>0.0</v>
      </c>
      <c r="O4969">
        <v>23.45</v>
      </c>
      <c r="P4969">
        <v>32.2</v>
      </c>
      <c r="Q4969">
        <v>17.23</v>
      </c>
      <c r="R4969">
        <v>0.0</v>
      </c>
    </row>
    <row r="4970">
      <c r="A4970" s="9">
        <v>43501</v>
      </c>
      <c r="B4970" s="2" t="inlineStr">
        <is>
          <t xml:space="preserve">2019-02</t>
        </is>
      </c>
      <c r="C4970" s="2" t="inlineStr">
        <is>
          <t xml:space="preserve">2018/19</t>
        </is>
      </c>
      <c r="D4970">
        <v>0.0</v>
      </c>
      <c r="E4970">
        <v>22.56</v>
      </c>
      <c r="F4970">
        <v>31.26</v>
      </c>
      <c r="G4970">
        <v>15.98</v>
      </c>
      <c r="H4970">
        <v>0.0</v>
      </c>
      <c r="I4970">
        <v>0.0</v>
      </c>
      <c r="J4970">
        <v>23.67</v>
      </c>
      <c r="K4970">
        <v>31.7</v>
      </c>
      <c r="L4970">
        <v>17.79</v>
      </c>
      <c r="M4970">
        <v>0.0</v>
      </c>
      <c r="N4970">
        <v>0.0</v>
      </c>
      <c r="O4970">
        <v>22.92</v>
      </c>
      <c r="P4970">
        <v>30.47</v>
      </c>
      <c r="Q4970">
        <v>18.34</v>
      </c>
      <c r="R4970">
        <v>0.0</v>
      </c>
    </row>
    <row r="4971">
      <c r="A4971" s="9">
        <v>43502</v>
      </c>
      <c r="B4971" s="2" t="inlineStr">
        <is>
          <t xml:space="preserve">2019-02</t>
        </is>
      </c>
      <c r="C4971" s="2" t="inlineStr">
        <is>
          <t xml:space="preserve">2018/19</t>
        </is>
      </c>
      <c r="D4971">
        <v>0.0</v>
      </c>
      <c r="E4971">
        <v>22.33</v>
      </c>
      <c r="F4971">
        <v>31.2</v>
      </c>
      <c r="G4971">
        <v>16.01</v>
      </c>
      <c r="H4971">
        <v>0.0</v>
      </c>
      <c r="I4971">
        <v>0.0</v>
      </c>
      <c r="J4971">
        <v>23.04</v>
      </c>
      <c r="K4971">
        <v>31.23</v>
      </c>
      <c r="L4971">
        <v>16.94</v>
      </c>
      <c r="M4971">
        <v>0.0</v>
      </c>
      <c r="N4971">
        <v>0.0</v>
      </c>
      <c r="O4971">
        <v>22.44</v>
      </c>
      <c r="P4971">
        <v>29.93</v>
      </c>
      <c r="Q4971">
        <v>17.53</v>
      </c>
      <c r="R4971">
        <v>0.0</v>
      </c>
    </row>
    <row r="4972">
      <c r="A4972" s="9">
        <v>43503</v>
      </c>
      <c r="B4972" s="2" t="inlineStr">
        <is>
          <t xml:space="preserve">2019-02</t>
        </is>
      </c>
      <c r="C4972" s="2" t="inlineStr">
        <is>
          <t xml:space="preserve">2018/19</t>
        </is>
      </c>
      <c r="D4972">
        <v>0.0</v>
      </c>
      <c r="E4972">
        <v>22.4</v>
      </c>
      <c r="F4972">
        <v>31.17</v>
      </c>
      <c r="G4972">
        <v>15.96</v>
      </c>
      <c r="H4972">
        <v>0.0</v>
      </c>
      <c r="I4972">
        <v>0.0</v>
      </c>
      <c r="J4972">
        <v>23.23</v>
      </c>
      <c r="K4972">
        <v>31.73</v>
      </c>
      <c r="L4972">
        <v>16.7</v>
      </c>
      <c r="M4972">
        <v>0.0</v>
      </c>
      <c r="N4972">
        <v>0.0</v>
      </c>
      <c r="O4972">
        <v>22.74</v>
      </c>
      <c r="P4972">
        <v>30.53</v>
      </c>
      <c r="Q4972">
        <v>17.6</v>
      </c>
      <c r="R4972">
        <v>0.0</v>
      </c>
    </row>
    <row r="4973">
      <c r="A4973" s="9">
        <v>43504</v>
      </c>
      <c r="B4973" s="2" t="inlineStr">
        <is>
          <t xml:space="preserve">2019-02</t>
        </is>
      </c>
      <c r="C4973" s="2" t="inlineStr">
        <is>
          <t xml:space="preserve">2018/19</t>
        </is>
      </c>
      <c r="D4973">
        <v>0.0</v>
      </c>
      <c r="E4973">
        <v>22.1</v>
      </c>
      <c r="F4973">
        <v>30.39</v>
      </c>
      <c r="G4973">
        <v>15.97</v>
      </c>
      <c r="H4973">
        <v>0.35</v>
      </c>
      <c r="I4973">
        <v>0.0</v>
      </c>
      <c r="J4973">
        <v>22.32</v>
      </c>
      <c r="K4973">
        <v>30.21</v>
      </c>
      <c r="L4973">
        <v>17.29</v>
      </c>
      <c r="M4973">
        <v>0.5</v>
      </c>
      <c r="N4973">
        <v>0.0</v>
      </c>
      <c r="O4973">
        <v>22.09</v>
      </c>
      <c r="P4973">
        <v>28.74</v>
      </c>
      <c r="Q4973">
        <v>18.12</v>
      </c>
      <c r="R4973">
        <v>0.58</v>
      </c>
    </row>
    <row r="4974">
      <c r="A4974" s="9">
        <v>43505</v>
      </c>
      <c r="B4974" s="2" t="inlineStr">
        <is>
          <t xml:space="preserve">2019-02</t>
        </is>
      </c>
      <c r="C4974" s="2" t="inlineStr">
        <is>
          <t xml:space="preserve">2018/19</t>
        </is>
      </c>
      <c r="D4974">
        <v>0.109</v>
      </c>
      <c r="E4974">
        <v>20.75</v>
      </c>
      <c r="F4974">
        <v>27.85</v>
      </c>
      <c r="G4974">
        <v>16.51</v>
      </c>
      <c r="H4974">
        <v>0.94</v>
      </c>
      <c r="I4974">
        <v>0.888</v>
      </c>
      <c r="J4974">
        <v>20.92</v>
      </c>
      <c r="K4974">
        <v>27.64</v>
      </c>
      <c r="L4974">
        <v>16.88</v>
      </c>
      <c r="M4974">
        <v>1.27</v>
      </c>
      <c r="N4974">
        <v>3.61</v>
      </c>
      <c r="O4974">
        <v>20.84</v>
      </c>
      <c r="P4974">
        <v>26.65</v>
      </c>
      <c r="Q4974">
        <v>17.35</v>
      </c>
      <c r="R4974">
        <v>1.54</v>
      </c>
    </row>
    <row r="4975">
      <c r="A4975" s="9">
        <v>43506</v>
      </c>
      <c r="B4975" s="2" t="inlineStr">
        <is>
          <t xml:space="preserve">2019-02</t>
        </is>
      </c>
      <c r="C4975" s="2" t="inlineStr">
        <is>
          <t xml:space="preserve">2018/19</t>
        </is>
      </c>
      <c r="D4975">
        <v>0.072</v>
      </c>
      <c r="E4975">
        <v>21.01</v>
      </c>
      <c r="F4975">
        <v>29.05</v>
      </c>
      <c r="G4975">
        <v>14.84</v>
      </c>
      <c r="H4975">
        <v>0.22</v>
      </c>
      <c r="I4975">
        <v>0.212</v>
      </c>
      <c r="J4975">
        <v>20.48</v>
      </c>
      <c r="K4975">
        <v>28.3</v>
      </c>
      <c r="L4975">
        <v>14.5</v>
      </c>
      <c r="M4975">
        <v>0.4</v>
      </c>
      <c r="N4975">
        <v>0.842</v>
      </c>
      <c r="O4975">
        <v>19.94</v>
      </c>
      <c r="P4975">
        <v>26.83</v>
      </c>
      <c r="Q4975">
        <v>14.87</v>
      </c>
      <c r="R4975">
        <v>0.68</v>
      </c>
    </row>
    <row r="4976">
      <c r="A4976" s="9">
        <v>43507</v>
      </c>
      <c r="B4976" s="2" t="inlineStr">
        <is>
          <t xml:space="preserve">2019-02</t>
        </is>
      </c>
      <c r="C4976" s="2" t="inlineStr">
        <is>
          <t xml:space="preserve">2018/19</t>
        </is>
      </c>
      <c r="D4976">
        <v>0.0</v>
      </c>
      <c r="E4976">
        <v>22.2</v>
      </c>
      <c r="F4976">
        <v>30.54</v>
      </c>
      <c r="G4976">
        <v>15.57</v>
      </c>
      <c r="H4976">
        <v>0.01</v>
      </c>
      <c r="I4976">
        <v>0.0</v>
      </c>
      <c r="J4976">
        <v>22.39</v>
      </c>
      <c r="K4976">
        <v>30.4</v>
      </c>
      <c r="L4976">
        <v>16.18</v>
      </c>
      <c r="M4976">
        <v>0.0</v>
      </c>
      <c r="N4976">
        <v>0.0</v>
      </c>
      <c r="O4976">
        <v>21.91</v>
      </c>
      <c r="P4976">
        <v>29.66</v>
      </c>
      <c r="Q4976">
        <v>16.44</v>
      </c>
      <c r="R4976">
        <v>0.0</v>
      </c>
    </row>
    <row r="4977">
      <c r="A4977" s="9">
        <v>43508</v>
      </c>
      <c r="B4977" s="2" t="inlineStr">
        <is>
          <t xml:space="preserve">2019-02</t>
        </is>
      </c>
      <c r="C4977" s="2" t="inlineStr">
        <is>
          <t xml:space="preserve">2018/19</t>
        </is>
      </c>
      <c r="D4977">
        <v>0.0</v>
      </c>
      <c r="E4977">
        <v>23.79</v>
      </c>
      <c r="F4977">
        <v>32.69</v>
      </c>
      <c r="G4977">
        <v>16.3</v>
      </c>
      <c r="H4977">
        <v>0.02</v>
      </c>
      <c r="I4977">
        <v>0.0</v>
      </c>
      <c r="J4977">
        <v>24.3</v>
      </c>
      <c r="K4977">
        <v>33.02</v>
      </c>
      <c r="L4977">
        <v>17.28</v>
      </c>
      <c r="M4977">
        <v>0.09</v>
      </c>
      <c r="N4977">
        <v>0.0</v>
      </c>
      <c r="O4977">
        <v>24.11</v>
      </c>
      <c r="P4977">
        <v>33.25</v>
      </c>
      <c r="Q4977">
        <v>17.42</v>
      </c>
      <c r="R4977">
        <v>0.09</v>
      </c>
    </row>
    <row r="4978">
      <c r="A4978" s="9">
        <v>43509</v>
      </c>
      <c r="B4978" s="2" t="inlineStr">
        <is>
          <t xml:space="preserve">2019-02</t>
        </is>
      </c>
      <c r="C4978" s="2" t="inlineStr">
        <is>
          <t xml:space="preserve">2018/19</t>
        </is>
      </c>
      <c r="D4978">
        <v>0.0</v>
      </c>
      <c r="E4978">
        <v>22.5</v>
      </c>
      <c r="F4978">
        <v>29.08</v>
      </c>
      <c r="G4978">
        <v>17.7</v>
      </c>
      <c r="H4978">
        <v>0.31</v>
      </c>
      <c r="I4978">
        <v>0.282</v>
      </c>
      <c r="J4978">
        <v>22.5</v>
      </c>
      <c r="K4978">
        <v>28.78</v>
      </c>
      <c r="L4978">
        <v>18.09</v>
      </c>
      <c r="M4978">
        <v>0.5</v>
      </c>
      <c r="N4978">
        <v>1.119</v>
      </c>
      <c r="O4978">
        <v>22.22</v>
      </c>
      <c r="P4978">
        <v>28.55</v>
      </c>
      <c r="Q4978">
        <v>18.03</v>
      </c>
      <c r="R4978">
        <v>1.03</v>
      </c>
    </row>
    <row r="4979">
      <c r="A4979" s="9">
        <v>43510</v>
      </c>
      <c r="B4979" s="2" t="inlineStr">
        <is>
          <t xml:space="preserve">2019-02</t>
        </is>
      </c>
      <c r="C4979" s="2" t="inlineStr">
        <is>
          <t xml:space="preserve">2018/19</t>
        </is>
      </c>
      <c r="D4979">
        <v>0.0</v>
      </c>
      <c r="E4979">
        <v>21.65</v>
      </c>
      <c r="F4979">
        <v>29.37</v>
      </c>
      <c r="G4979">
        <v>16.46</v>
      </c>
      <c r="H4979">
        <v>0.68</v>
      </c>
      <c r="I4979">
        <v>0.0</v>
      </c>
      <c r="J4979">
        <v>22.64</v>
      </c>
      <c r="K4979">
        <v>30.12</v>
      </c>
      <c r="L4979">
        <v>17.58</v>
      </c>
      <c r="M4979">
        <v>0.28</v>
      </c>
      <c r="N4979">
        <v>0.168</v>
      </c>
      <c r="O4979">
        <v>21.87</v>
      </c>
      <c r="P4979">
        <v>28.03</v>
      </c>
      <c r="Q4979">
        <v>18.51</v>
      </c>
      <c r="R4979">
        <v>2.2</v>
      </c>
    </row>
    <row r="4980">
      <c r="A4980" s="9">
        <v>43511</v>
      </c>
      <c r="B4980" s="2" t="inlineStr">
        <is>
          <t xml:space="preserve">2019-02</t>
        </is>
      </c>
      <c r="C4980" s="2" t="inlineStr">
        <is>
          <t xml:space="preserve">2018/19</t>
        </is>
      </c>
      <c r="D4980">
        <v>0.0</v>
      </c>
      <c r="E4980">
        <v>24.15</v>
      </c>
      <c r="F4980">
        <v>33.91</v>
      </c>
      <c r="G4980">
        <v>16.05</v>
      </c>
      <c r="H4980">
        <v>0.0</v>
      </c>
      <c r="I4980">
        <v>0.0</v>
      </c>
      <c r="J4980">
        <v>24.32</v>
      </c>
      <c r="K4980">
        <v>34.17</v>
      </c>
      <c r="L4980">
        <v>16.69</v>
      </c>
      <c r="M4980">
        <v>0.0</v>
      </c>
      <c r="N4980">
        <v>0.0</v>
      </c>
      <c r="O4980">
        <v>24.02</v>
      </c>
      <c r="P4980">
        <v>33.32</v>
      </c>
      <c r="Q4980">
        <v>17.27</v>
      </c>
      <c r="R4980">
        <v>0.0</v>
      </c>
    </row>
    <row r="4981">
      <c r="A4981" s="9">
        <v>43512</v>
      </c>
      <c r="B4981" s="2" t="inlineStr">
        <is>
          <t xml:space="preserve">2019-02</t>
        </is>
      </c>
      <c r="C4981" s="2" t="inlineStr">
        <is>
          <t xml:space="preserve">2018/19</t>
        </is>
      </c>
      <c r="D4981">
        <v>0.0</v>
      </c>
      <c r="E4981">
        <v>25.15</v>
      </c>
      <c r="F4981">
        <v>34.58</v>
      </c>
      <c r="G4981">
        <v>17.42</v>
      </c>
      <c r="H4981">
        <v>0.0</v>
      </c>
      <c r="I4981">
        <v>0.0</v>
      </c>
      <c r="J4981">
        <v>23.9</v>
      </c>
      <c r="K4981">
        <v>32.97</v>
      </c>
      <c r="L4981">
        <v>17.44</v>
      </c>
      <c r="M4981">
        <v>0.0</v>
      </c>
      <c r="N4981">
        <v>0.0</v>
      </c>
      <c r="O4981">
        <v>25.34</v>
      </c>
      <c r="P4981">
        <v>35.48</v>
      </c>
      <c r="Q4981">
        <v>17.03</v>
      </c>
      <c r="R4981">
        <v>0.0</v>
      </c>
    </row>
    <row r="4982">
      <c r="A4982" s="9">
        <v>43513</v>
      </c>
      <c r="B4982" s="2" t="inlineStr">
        <is>
          <t xml:space="preserve">2019-02</t>
        </is>
      </c>
      <c r="C4982" s="2" t="inlineStr">
        <is>
          <t xml:space="preserve">2018/19</t>
        </is>
      </c>
      <c r="D4982">
        <v>0.0</v>
      </c>
      <c r="E4982">
        <v>24.1</v>
      </c>
      <c r="F4982">
        <v>32.82</v>
      </c>
      <c r="G4982">
        <v>17.72</v>
      </c>
      <c r="H4982">
        <v>0.0</v>
      </c>
      <c r="I4982">
        <v>0.0</v>
      </c>
      <c r="J4982">
        <v>23.06</v>
      </c>
      <c r="K4982">
        <v>31.64</v>
      </c>
      <c r="L4982">
        <v>17.13</v>
      </c>
      <c r="M4982">
        <v>0.0</v>
      </c>
      <c r="N4982">
        <v>0.0</v>
      </c>
      <c r="O4982">
        <v>25.45</v>
      </c>
      <c r="P4982">
        <v>34.69</v>
      </c>
      <c r="Q4982">
        <v>19.07</v>
      </c>
      <c r="R4982">
        <v>0.0</v>
      </c>
    </row>
    <row r="4983">
      <c r="A4983" s="9">
        <v>43514</v>
      </c>
      <c r="B4983" s="2" t="inlineStr">
        <is>
          <t xml:space="preserve">2019-02</t>
        </is>
      </c>
      <c r="C4983" s="2" t="inlineStr">
        <is>
          <t xml:space="preserve">2018/19</t>
        </is>
      </c>
      <c r="D4983">
        <v>0.0</v>
      </c>
      <c r="E4983">
        <v>24.48</v>
      </c>
      <c r="F4983">
        <v>34.48</v>
      </c>
      <c r="G4983">
        <v>15.44</v>
      </c>
      <c r="H4983">
        <v>0.0</v>
      </c>
      <c r="I4983">
        <v>0.0</v>
      </c>
      <c r="J4983">
        <v>23.71</v>
      </c>
      <c r="K4983">
        <v>32.96</v>
      </c>
      <c r="L4983">
        <v>16.45</v>
      </c>
      <c r="M4983">
        <v>0.0</v>
      </c>
      <c r="N4983">
        <v>0.0</v>
      </c>
      <c r="O4983">
        <v>25.82</v>
      </c>
      <c r="P4983">
        <v>36.21</v>
      </c>
      <c r="Q4983">
        <v>16.52</v>
      </c>
      <c r="R4983">
        <v>0.0</v>
      </c>
    </row>
    <row r="4984">
      <c r="A4984" s="9">
        <v>43515</v>
      </c>
      <c r="B4984" s="2" t="inlineStr">
        <is>
          <t xml:space="preserve">2019-02</t>
        </is>
      </c>
      <c r="C4984" s="2" t="inlineStr">
        <is>
          <t xml:space="preserve">2018/19</t>
        </is>
      </c>
      <c r="D4984">
        <v>0.0</v>
      </c>
      <c r="E4984">
        <v>24.63</v>
      </c>
      <c r="F4984">
        <v>33.71</v>
      </c>
      <c r="G4984">
        <v>17.49</v>
      </c>
      <c r="H4984">
        <v>0.0</v>
      </c>
      <c r="I4984">
        <v>0.0</v>
      </c>
      <c r="J4984">
        <v>25.11</v>
      </c>
      <c r="K4984">
        <v>33.58</v>
      </c>
      <c r="L4984">
        <v>17.51</v>
      </c>
      <c r="M4984">
        <v>0.0</v>
      </c>
      <c r="N4984">
        <v>0.0</v>
      </c>
      <c r="O4984">
        <v>25.51</v>
      </c>
      <c r="P4984">
        <v>34.42</v>
      </c>
      <c r="Q4984">
        <v>17.97</v>
      </c>
      <c r="R4984">
        <v>0.0</v>
      </c>
    </row>
    <row r="4985">
      <c r="A4985" s="9">
        <v>43516</v>
      </c>
      <c r="B4985" s="2" t="inlineStr">
        <is>
          <t xml:space="preserve">2019-02</t>
        </is>
      </c>
      <c r="C4985" s="2" t="inlineStr">
        <is>
          <t xml:space="preserve">2018/19</t>
        </is>
      </c>
      <c r="D4985">
        <v>0.0</v>
      </c>
      <c r="E4985">
        <v>24.23</v>
      </c>
      <c r="F4985">
        <v>33.4</v>
      </c>
      <c r="G4985">
        <v>15.88</v>
      </c>
      <c r="H4985">
        <v>0.0</v>
      </c>
      <c r="I4985">
        <v>0.0</v>
      </c>
      <c r="J4985">
        <v>25.05</v>
      </c>
      <c r="K4985">
        <v>32.96</v>
      </c>
      <c r="L4985">
        <v>18.92</v>
      </c>
      <c r="M4985">
        <v>0.0</v>
      </c>
      <c r="N4985">
        <v>0.0</v>
      </c>
      <c r="O4985">
        <v>25.5</v>
      </c>
      <c r="P4985">
        <v>33.79</v>
      </c>
      <c r="Q4985">
        <v>18.91</v>
      </c>
      <c r="R4985">
        <v>0.0</v>
      </c>
    </row>
    <row r="4986">
      <c r="A4986" s="9">
        <v>43517</v>
      </c>
      <c r="B4986" s="2" t="inlineStr">
        <is>
          <t xml:space="preserve">2019-02</t>
        </is>
      </c>
      <c r="C4986" s="2" t="inlineStr">
        <is>
          <t xml:space="preserve">2018/19</t>
        </is>
      </c>
      <c r="D4986">
        <v>0.0</v>
      </c>
      <c r="E4986">
        <v>24.09</v>
      </c>
      <c r="F4986">
        <v>31.87</v>
      </c>
      <c r="G4986">
        <v>17.29</v>
      </c>
      <c r="H4986">
        <v>0.04</v>
      </c>
      <c r="I4986">
        <v>0.0</v>
      </c>
      <c r="J4986">
        <v>25.49</v>
      </c>
      <c r="K4986">
        <v>33.46</v>
      </c>
      <c r="L4986">
        <v>18.87</v>
      </c>
      <c r="M4986">
        <v>0.0</v>
      </c>
      <c r="N4986">
        <v>0.0</v>
      </c>
      <c r="O4986">
        <v>25.09</v>
      </c>
      <c r="P4986">
        <v>32.65</v>
      </c>
      <c r="Q4986">
        <v>19.47</v>
      </c>
      <c r="R4986">
        <v>0.0</v>
      </c>
    </row>
    <row r="4987">
      <c r="A4987" s="9">
        <v>43518</v>
      </c>
      <c r="B4987" s="2" t="inlineStr">
        <is>
          <t xml:space="preserve">2019-02</t>
        </is>
      </c>
      <c r="C4987" s="2" t="inlineStr">
        <is>
          <t xml:space="preserve">2018/19</t>
        </is>
      </c>
      <c r="D4987">
        <v>0.224</v>
      </c>
      <c r="E4987">
        <v>23.89</v>
      </c>
      <c r="F4987">
        <v>30.32</v>
      </c>
      <c r="G4987">
        <v>19.53</v>
      </c>
      <c r="H4987">
        <v>1.15</v>
      </c>
      <c r="I4987">
        <v>0.0</v>
      </c>
      <c r="J4987">
        <v>25.92</v>
      </c>
      <c r="K4987">
        <v>33.06</v>
      </c>
      <c r="L4987">
        <v>20.39</v>
      </c>
      <c r="M4987">
        <v>0.74</v>
      </c>
      <c r="N4987">
        <v>0.0</v>
      </c>
      <c r="O4987">
        <v>24.79</v>
      </c>
      <c r="P4987">
        <v>32.23</v>
      </c>
      <c r="Q4987">
        <v>19.13</v>
      </c>
      <c r="R4987">
        <v>0.66</v>
      </c>
    </row>
    <row r="4988">
      <c r="A4988" s="9">
        <v>43519</v>
      </c>
      <c r="B4988" s="2" t="inlineStr">
        <is>
          <t xml:space="preserve">2019-02</t>
        </is>
      </c>
      <c r="C4988" s="2" t="inlineStr">
        <is>
          <t xml:space="preserve">2018/19</t>
        </is>
      </c>
      <c r="D4988">
        <v>3.42</v>
      </c>
      <c r="E4988">
        <v>24.47</v>
      </c>
      <c r="F4988">
        <v>32.3</v>
      </c>
      <c r="G4988">
        <v>18.06</v>
      </c>
      <c r="H4988">
        <v>1.53</v>
      </c>
      <c r="I4988">
        <v>5.027</v>
      </c>
      <c r="J4988">
        <v>25.25</v>
      </c>
      <c r="K4988">
        <v>31.58</v>
      </c>
      <c r="L4988">
        <v>20.51</v>
      </c>
      <c r="M4988">
        <v>3.9</v>
      </c>
      <c r="N4988">
        <v>5.252</v>
      </c>
      <c r="O4988">
        <v>24.46</v>
      </c>
      <c r="P4988">
        <v>32.27</v>
      </c>
      <c r="Q4988">
        <v>20.02</v>
      </c>
      <c r="R4988">
        <v>2.69</v>
      </c>
    </row>
    <row r="4989">
      <c r="A4989" s="9">
        <v>43520</v>
      </c>
      <c r="B4989" s="2" t="inlineStr">
        <is>
          <t xml:space="preserve">2019-02</t>
        </is>
      </c>
      <c r="C4989" s="2" t="inlineStr">
        <is>
          <t xml:space="preserve">2018/19</t>
        </is>
      </c>
      <c r="D4989">
        <v>0.913</v>
      </c>
      <c r="E4989">
        <v>24.72</v>
      </c>
      <c r="F4989">
        <v>32.36</v>
      </c>
      <c r="G4989">
        <v>18.64</v>
      </c>
      <c r="H4989">
        <v>0.41</v>
      </c>
      <c r="I4989">
        <v>0.061</v>
      </c>
      <c r="J4989">
        <v>24.97</v>
      </c>
      <c r="K4989">
        <v>31.98</v>
      </c>
      <c r="L4989">
        <v>19.49</v>
      </c>
      <c r="M4989">
        <v>0.18</v>
      </c>
      <c r="N4989">
        <v>0.182</v>
      </c>
      <c r="O4989">
        <v>23.99</v>
      </c>
      <c r="P4989">
        <v>31.01</v>
      </c>
      <c r="Q4989">
        <v>19.52</v>
      </c>
      <c r="R4989">
        <v>0.31</v>
      </c>
    </row>
    <row r="4990">
      <c r="A4990" s="9">
        <v>43521</v>
      </c>
      <c r="B4990" s="2" t="inlineStr">
        <is>
          <t xml:space="preserve">2019-02</t>
        </is>
      </c>
      <c r="C4990" s="2" t="inlineStr">
        <is>
          <t xml:space="preserve">2018/19</t>
        </is>
      </c>
      <c r="D4990">
        <v>0.0</v>
      </c>
      <c r="E4990">
        <v>22.64</v>
      </c>
      <c r="F4990">
        <v>30.89</v>
      </c>
      <c r="G4990">
        <v>15.84</v>
      </c>
      <c r="H4990">
        <v>0.01</v>
      </c>
      <c r="I4990">
        <v>0.0</v>
      </c>
      <c r="J4990">
        <v>23.75</v>
      </c>
      <c r="K4990">
        <v>31.56</v>
      </c>
      <c r="L4990">
        <v>18.94</v>
      </c>
      <c r="M4990">
        <v>0.02</v>
      </c>
      <c r="N4990">
        <v>0.0</v>
      </c>
      <c r="O4990">
        <v>23.3</v>
      </c>
      <c r="P4990">
        <v>30.28</v>
      </c>
      <c r="Q4990">
        <v>19.53</v>
      </c>
      <c r="R4990">
        <v>0.0</v>
      </c>
    </row>
    <row r="4991">
      <c r="A4991" s="9">
        <v>43522</v>
      </c>
      <c r="B4991" s="2" t="inlineStr">
        <is>
          <t xml:space="preserve">2019-02</t>
        </is>
      </c>
      <c r="C4991" s="2" t="inlineStr">
        <is>
          <t xml:space="preserve">2018/19</t>
        </is>
      </c>
      <c r="D4991">
        <v>0.0</v>
      </c>
      <c r="E4991">
        <v>21.93</v>
      </c>
      <c r="F4991">
        <v>30.94</v>
      </c>
      <c r="G4991">
        <v>14.35</v>
      </c>
      <c r="H4991">
        <v>0.0</v>
      </c>
      <c r="I4991">
        <v>0.0</v>
      </c>
      <c r="J4991">
        <v>23.12</v>
      </c>
      <c r="K4991">
        <v>31.84</v>
      </c>
      <c r="L4991">
        <v>17.37</v>
      </c>
      <c r="M4991">
        <v>0.0</v>
      </c>
      <c r="N4991">
        <v>0.0</v>
      </c>
      <c r="O4991">
        <v>22.51</v>
      </c>
      <c r="P4991">
        <v>30.13</v>
      </c>
      <c r="Q4991">
        <v>17.14</v>
      </c>
      <c r="R4991">
        <v>0.0</v>
      </c>
    </row>
    <row r="4992">
      <c r="A4992" s="9">
        <v>43523</v>
      </c>
      <c r="B4992" s="2" t="inlineStr">
        <is>
          <t xml:space="preserve">2019-02</t>
        </is>
      </c>
      <c r="C4992" s="2" t="inlineStr">
        <is>
          <t xml:space="preserve">2018/19</t>
        </is>
      </c>
      <c r="D4992">
        <v>0.0</v>
      </c>
      <c r="E4992">
        <v>21.85</v>
      </c>
      <c r="F4992">
        <v>30.63</v>
      </c>
      <c r="G4992">
        <v>13.38</v>
      </c>
      <c r="H4992">
        <v>0.01</v>
      </c>
      <c r="I4992">
        <v>0.0</v>
      </c>
      <c r="J4992">
        <v>23.45</v>
      </c>
      <c r="K4992">
        <v>31.89</v>
      </c>
      <c r="L4992">
        <v>17.24</v>
      </c>
      <c r="M4992">
        <v>0.0</v>
      </c>
      <c r="N4992">
        <v>0.0</v>
      </c>
      <c r="O4992">
        <v>22.93</v>
      </c>
      <c r="P4992">
        <v>30.71</v>
      </c>
      <c r="Q4992">
        <v>17.74</v>
      </c>
      <c r="R4992">
        <v>0.0</v>
      </c>
    </row>
    <row r="4993">
      <c r="A4993" s="9">
        <v>43524</v>
      </c>
      <c r="B4993" s="2" t="inlineStr">
        <is>
          <t xml:space="preserve">2019-02</t>
        </is>
      </c>
      <c r="C4993" s="2" t="inlineStr">
        <is>
          <t xml:space="preserve">2018/19</t>
        </is>
      </c>
      <c r="D4993">
        <v>0.0</v>
      </c>
      <c r="E4993">
        <v>23.36</v>
      </c>
      <c r="F4993">
        <v>31.65</v>
      </c>
      <c r="G4993">
        <v>16.42</v>
      </c>
      <c r="H4993">
        <v>0.0</v>
      </c>
      <c r="I4993">
        <v>0.0</v>
      </c>
      <c r="J4993">
        <v>23.86</v>
      </c>
      <c r="K4993">
        <v>31.83</v>
      </c>
      <c r="L4993">
        <v>17.18</v>
      </c>
      <c r="M4993">
        <v>0.55</v>
      </c>
      <c r="N4993">
        <v>0.0</v>
      </c>
      <c r="O4993">
        <v>23.1</v>
      </c>
      <c r="P4993">
        <v>30.58</v>
      </c>
      <c r="Q4993">
        <v>17.89</v>
      </c>
      <c r="R4993">
        <v>0.02</v>
      </c>
    </row>
    <row r="4994">
      <c r="A4994" s="9">
        <v>43525</v>
      </c>
      <c r="B4994" s="2" t="inlineStr">
        <is>
          <t xml:space="preserve">2019-03</t>
        </is>
      </c>
      <c r="C4994" s="2" t="inlineStr">
        <is>
          <t xml:space="preserve">2018/19</t>
        </is>
      </c>
      <c r="D4994">
        <v>0.0</v>
      </c>
      <c r="E4994">
        <v>24.25</v>
      </c>
      <c r="F4994">
        <v>32.38</v>
      </c>
      <c r="G4994">
        <v>17.21</v>
      </c>
      <c r="H4994">
        <v>0.0</v>
      </c>
      <c r="I4994">
        <v>0.0</v>
      </c>
      <c r="J4994">
        <v>24.48</v>
      </c>
      <c r="K4994">
        <v>32.57</v>
      </c>
      <c r="L4994">
        <v>18.27</v>
      </c>
      <c r="M4994">
        <v>1.76</v>
      </c>
      <c r="N4994">
        <v>0.0</v>
      </c>
      <c r="O4994">
        <v>23.73</v>
      </c>
      <c r="P4994">
        <v>32.3</v>
      </c>
      <c r="Q4994">
        <v>18.31</v>
      </c>
      <c r="R4994">
        <v>0.07</v>
      </c>
    </row>
    <row r="4995">
      <c r="A4995" s="9">
        <v>43526</v>
      </c>
      <c r="B4995" s="2" t="inlineStr">
        <is>
          <t xml:space="preserve">2019-03</t>
        </is>
      </c>
      <c r="C4995" s="2" t="inlineStr">
        <is>
          <t xml:space="preserve">2018/19</t>
        </is>
      </c>
      <c r="D4995">
        <v>0.0</v>
      </c>
      <c r="E4995">
        <v>24.47</v>
      </c>
      <c r="F4995">
        <v>33.0</v>
      </c>
      <c r="G4995">
        <v>17.32</v>
      </c>
      <c r="H4995">
        <v>0.06</v>
      </c>
      <c r="I4995">
        <v>0.07</v>
      </c>
      <c r="J4995">
        <v>24.94</v>
      </c>
      <c r="K4995">
        <v>32.99</v>
      </c>
      <c r="L4995">
        <v>18.48</v>
      </c>
      <c r="M4995">
        <v>0.01</v>
      </c>
      <c r="N4995">
        <v>0.0</v>
      </c>
      <c r="O4995">
        <v>23.72</v>
      </c>
      <c r="P4995">
        <v>31.6</v>
      </c>
      <c r="Q4995">
        <v>18.22</v>
      </c>
      <c r="R4995">
        <v>0.0</v>
      </c>
    </row>
    <row r="4996">
      <c r="A4996" s="9">
        <v>43527</v>
      </c>
      <c r="B4996" s="2" t="inlineStr">
        <is>
          <t xml:space="preserve">2019-03</t>
        </is>
      </c>
      <c r="C4996" s="2" t="inlineStr">
        <is>
          <t xml:space="preserve">2018/19</t>
        </is>
      </c>
      <c r="D4996">
        <v>0.058</v>
      </c>
      <c r="E4996">
        <v>25.4</v>
      </c>
      <c r="F4996">
        <v>34.07</v>
      </c>
      <c r="G4996">
        <v>18.31</v>
      </c>
      <c r="H4996">
        <v>0.02</v>
      </c>
      <c r="I4996">
        <v>0.0</v>
      </c>
      <c r="J4996">
        <v>25.77</v>
      </c>
      <c r="K4996">
        <v>34.17</v>
      </c>
      <c r="L4996">
        <v>18.89</v>
      </c>
      <c r="M4996">
        <v>0.0</v>
      </c>
      <c r="N4996">
        <v>0.0</v>
      </c>
      <c r="O4996">
        <v>25.5</v>
      </c>
      <c r="P4996">
        <v>34.45</v>
      </c>
      <c r="Q4996">
        <v>18.93</v>
      </c>
      <c r="R4996">
        <v>0.0</v>
      </c>
    </row>
    <row r="4997">
      <c r="A4997" s="9">
        <v>43528</v>
      </c>
      <c r="B4997" s="2" t="inlineStr">
        <is>
          <t xml:space="preserve">2019-03</t>
        </is>
      </c>
      <c r="C4997" s="2" t="inlineStr">
        <is>
          <t xml:space="preserve">2018/19</t>
        </is>
      </c>
      <c r="D4997">
        <v>0.0</v>
      </c>
      <c r="E4997">
        <v>25.53</v>
      </c>
      <c r="F4997">
        <v>33.8</v>
      </c>
      <c r="G4997">
        <v>17.9</v>
      </c>
      <c r="H4997">
        <v>0.01</v>
      </c>
      <c r="I4997">
        <v>0.0</v>
      </c>
      <c r="J4997">
        <v>25.94</v>
      </c>
      <c r="K4997">
        <v>33.13</v>
      </c>
      <c r="L4997">
        <v>19.5</v>
      </c>
      <c r="M4997">
        <v>0.0</v>
      </c>
      <c r="N4997">
        <v>0.0</v>
      </c>
      <c r="O4997">
        <v>25.52</v>
      </c>
      <c r="P4997">
        <v>33.52</v>
      </c>
      <c r="Q4997">
        <v>19.28</v>
      </c>
      <c r="R4997">
        <v>0.0</v>
      </c>
    </row>
    <row r="4998">
      <c r="A4998" s="9">
        <v>43529</v>
      </c>
      <c r="B4998" s="2" t="inlineStr">
        <is>
          <t xml:space="preserve">2019-03</t>
        </is>
      </c>
      <c r="C4998" s="2" t="inlineStr">
        <is>
          <t xml:space="preserve">2018/19</t>
        </is>
      </c>
      <c r="D4998">
        <v>0.0</v>
      </c>
      <c r="E4998">
        <v>24.31</v>
      </c>
      <c r="F4998">
        <v>32.96</v>
      </c>
      <c r="G4998">
        <v>18.02</v>
      </c>
      <c r="H4998">
        <v>0.0</v>
      </c>
      <c r="I4998">
        <v>0.0</v>
      </c>
      <c r="J4998">
        <v>24.46</v>
      </c>
      <c r="K4998">
        <v>31.82</v>
      </c>
      <c r="L4998">
        <v>19.06</v>
      </c>
      <c r="M4998">
        <v>0.0</v>
      </c>
      <c r="N4998">
        <v>0.0</v>
      </c>
      <c r="O4998">
        <v>23.49</v>
      </c>
      <c r="P4998">
        <v>30.33</v>
      </c>
      <c r="Q4998">
        <v>19.07</v>
      </c>
      <c r="R4998">
        <v>0.0</v>
      </c>
    </row>
    <row r="4999">
      <c r="A4999" s="9">
        <v>43530</v>
      </c>
      <c r="B4999" s="2" t="inlineStr">
        <is>
          <t xml:space="preserve">2019-03</t>
        </is>
      </c>
      <c r="C4999" s="2" t="inlineStr">
        <is>
          <t xml:space="preserve">2018/19</t>
        </is>
      </c>
      <c r="D4999">
        <v>0.0</v>
      </c>
      <c r="E4999">
        <v>23.04</v>
      </c>
      <c r="F4999">
        <v>30.96</v>
      </c>
      <c r="G4999">
        <v>17.66</v>
      </c>
      <c r="H4999">
        <v>0.0</v>
      </c>
      <c r="I4999">
        <v>0.0</v>
      </c>
      <c r="J4999">
        <v>22.75</v>
      </c>
      <c r="K4999">
        <v>30.35</v>
      </c>
      <c r="L4999">
        <v>17.57</v>
      </c>
      <c r="M4999">
        <v>0.0</v>
      </c>
      <c r="N4999">
        <v>0.0</v>
      </c>
      <c r="O4999">
        <v>22.55</v>
      </c>
      <c r="P4999">
        <v>29.16</v>
      </c>
      <c r="Q4999">
        <v>18.33</v>
      </c>
      <c r="R4999">
        <v>0.0</v>
      </c>
    </row>
    <row r="5000">
      <c r="A5000" s="9">
        <v>43531</v>
      </c>
      <c r="B5000" s="2" t="inlineStr">
        <is>
          <t xml:space="preserve">2019-03</t>
        </is>
      </c>
      <c r="C5000" s="2" t="inlineStr">
        <is>
          <t xml:space="preserve">2018/19</t>
        </is>
      </c>
      <c r="D5000">
        <v>0.0</v>
      </c>
      <c r="E5000">
        <v>23.48</v>
      </c>
      <c r="F5000">
        <v>31.99</v>
      </c>
      <c r="G5000">
        <v>16.9</v>
      </c>
      <c r="H5000">
        <v>0.0</v>
      </c>
      <c r="I5000">
        <v>0.0</v>
      </c>
      <c r="J5000">
        <v>23.5</v>
      </c>
      <c r="K5000">
        <v>32.38</v>
      </c>
      <c r="L5000">
        <v>17.4</v>
      </c>
      <c r="M5000">
        <v>0.0</v>
      </c>
      <c r="N5000">
        <v>0.0</v>
      </c>
      <c r="O5000">
        <v>22.8</v>
      </c>
      <c r="P5000">
        <v>30.11</v>
      </c>
      <c r="Q5000">
        <v>17.91</v>
      </c>
      <c r="R5000">
        <v>0.0</v>
      </c>
    </row>
    <row r="5001">
      <c r="A5001" s="9">
        <v>43532</v>
      </c>
      <c r="B5001" s="2" t="inlineStr">
        <is>
          <t xml:space="preserve">2019-03</t>
        </is>
      </c>
      <c r="C5001" s="2" t="inlineStr">
        <is>
          <t xml:space="preserve">2018/19</t>
        </is>
      </c>
      <c r="D5001">
        <v>0.0</v>
      </c>
      <c r="E5001">
        <v>23.81</v>
      </c>
      <c r="F5001">
        <v>32.29</v>
      </c>
      <c r="G5001">
        <v>17.16</v>
      </c>
      <c r="H5001">
        <v>0.0</v>
      </c>
      <c r="I5001">
        <v>0.0</v>
      </c>
      <c r="J5001">
        <v>23.75</v>
      </c>
      <c r="K5001">
        <v>32.23</v>
      </c>
      <c r="L5001">
        <v>17.75</v>
      </c>
      <c r="M5001">
        <v>0.0</v>
      </c>
      <c r="N5001">
        <v>0.0</v>
      </c>
      <c r="O5001">
        <v>22.96</v>
      </c>
      <c r="P5001">
        <v>30.36</v>
      </c>
      <c r="Q5001">
        <v>18.12</v>
      </c>
      <c r="R5001">
        <v>0.0</v>
      </c>
    </row>
    <row r="5002">
      <c r="A5002" s="9">
        <v>43533</v>
      </c>
      <c r="B5002" s="2" t="inlineStr">
        <is>
          <t xml:space="preserve">2019-03</t>
        </is>
      </c>
      <c r="C5002" s="2" t="inlineStr">
        <is>
          <t xml:space="preserve">2018/19</t>
        </is>
      </c>
      <c r="D5002">
        <v>0.0</v>
      </c>
      <c r="E5002">
        <v>24.43</v>
      </c>
      <c r="F5002">
        <v>33.71</v>
      </c>
      <c r="G5002">
        <v>17.4</v>
      </c>
      <c r="H5002">
        <v>0.01</v>
      </c>
      <c r="I5002">
        <v>0.0</v>
      </c>
      <c r="J5002">
        <v>25.3</v>
      </c>
      <c r="K5002">
        <v>34.64</v>
      </c>
      <c r="L5002">
        <v>17.78</v>
      </c>
      <c r="M5002">
        <v>0.0</v>
      </c>
      <c r="N5002">
        <v>0.0</v>
      </c>
      <c r="O5002">
        <v>24.24</v>
      </c>
      <c r="P5002">
        <v>33.35</v>
      </c>
      <c r="Q5002">
        <v>17.72</v>
      </c>
      <c r="R5002">
        <v>0.0</v>
      </c>
    </row>
    <row r="5003">
      <c r="A5003" s="9">
        <v>43534</v>
      </c>
      <c r="B5003" s="2" t="inlineStr">
        <is>
          <t xml:space="preserve">2019-03</t>
        </is>
      </c>
      <c r="C5003" s="2" t="inlineStr">
        <is>
          <t xml:space="preserve">2018/19</t>
        </is>
      </c>
      <c r="D5003">
        <v>0.0</v>
      </c>
      <c r="E5003">
        <v>24.27</v>
      </c>
      <c r="F5003">
        <v>33.02</v>
      </c>
      <c r="G5003">
        <v>16.44</v>
      </c>
      <c r="H5003">
        <v>0.05</v>
      </c>
      <c r="I5003">
        <v>0.0</v>
      </c>
      <c r="J5003">
        <v>25.43</v>
      </c>
      <c r="K5003">
        <v>34.69</v>
      </c>
      <c r="L5003">
        <v>18.39</v>
      </c>
      <c r="M5003">
        <v>0.0</v>
      </c>
      <c r="N5003">
        <v>0.0</v>
      </c>
      <c r="O5003">
        <v>24.46</v>
      </c>
      <c r="P5003">
        <v>33.04</v>
      </c>
      <c r="Q5003">
        <v>18.4</v>
      </c>
      <c r="R5003">
        <v>0.0</v>
      </c>
    </row>
    <row r="5004">
      <c r="A5004" s="9">
        <v>43535</v>
      </c>
      <c r="B5004" s="2" t="inlineStr">
        <is>
          <t xml:space="preserve">2019-03</t>
        </is>
      </c>
      <c r="C5004" s="2" t="inlineStr">
        <is>
          <t xml:space="preserve">2018/19</t>
        </is>
      </c>
      <c r="D5004">
        <v>0.0</v>
      </c>
      <c r="E5004">
        <v>24.02</v>
      </c>
      <c r="F5004">
        <v>32.88</v>
      </c>
      <c r="G5004">
        <v>15.37</v>
      </c>
      <c r="H5004">
        <v>0.0</v>
      </c>
      <c r="I5004">
        <v>0.0</v>
      </c>
      <c r="J5004">
        <v>25.4</v>
      </c>
      <c r="K5004">
        <v>34.19</v>
      </c>
      <c r="L5004">
        <v>18.73</v>
      </c>
      <c r="M5004">
        <v>0.0</v>
      </c>
      <c r="N5004">
        <v>0.0</v>
      </c>
      <c r="O5004">
        <v>24.54</v>
      </c>
      <c r="P5004">
        <v>32.74</v>
      </c>
      <c r="Q5004">
        <v>19.32</v>
      </c>
      <c r="R5004">
        <v>0.0</v>
      </c>
    </row>
    <row r="5005">
      <c r="A5005" s="9">
        <v>43536</v>
      </c>
      <c r="B5005" s="2" t="inlineStr">
        <is>
          <t xml:space="preserve">2019-03</t>
        </is>
      </c>
      <c r="C5005" s="2" t="inlineStr">
        <is>
          <t xml:space="preserve">2018/19</t>
        </is>
      </c>
      <c r="D5005">
        <v>0.0</v>
      </c>
      <c r="E5005">
        <v>24.6</v>
      </c>
      <c r="F5005">
        <v>32.74</v>
      </c>
      <c r="G5005">
        <v>17.55</v>
      </c>
      <c r="H5005">
        <v>0.0</v>
      </c>
      <c r="I5005">
        <v>0.0</v>
      </c>
      <c r="J5005">
        <v>25.24</v>
      </c>
      <c r="K5005">
        <v>33.62</v>
      </c>
      <c r="L5005">
        <v>19.48</v>
      </c>
      <c r="M5005">
        <v>0.0</v>
      </c>
      <c r="N5005">
        <v>0.0</v>
      </c>
      <c r="O5005">
        <v>24.11</v>
      </c>
      <c r="P5005">
        <v>31.68</v>
      </c>
      <c r="Q5005">
        <v>19.8</v>
      </c>
      <c r="R5005">
        <v>0.0</v>
      </c>
    </row>
    <row r="5006">
      <c r="A5006" s="9">
        <v>43537</v>
      </c>
      <c r="B5006" s="2" t="inlineStr">
        <is>
          <t xml:space="preserve">2019-03</t>
        </is>
      </c>
      <c r="C5006" s="2" t="inlineStr">
        <is>
          <t xml:space="preserve">2018/19</t>
        </is>
      </c>
      <c r="D5006">
        <v>0.0</v>
      </c>
      <c r="E5006">
        <v>24.19</v>
      </c>
      <c r="F5006">
        <v>32.94</v>
      </c>
      <c r="G5006">
        <v>16.27</v>
      </c>
      <c r="H5006">
        <v>0.0</v>
      </c>
      <c r="I5006">
        <v>0.0</v>
      </c>
      <c r="J5006">
        <v>25.32</v>
      </c>
      <c r="K5006">
        <v>34.54</v>
      </c>
      <c r="L5006">
        <v>18.38</v>
      </c>
      <c r="M5006">
        <v>0.0</v>
      </c>
      <c r="N5006">
        <v>0.0</v>
      </c>
      <c r="O5006">
        <v>24.86</v>
      </c>
      <c r="P5006">
        <v>33.98</v>
      </c>
      <c r="Q5006">
        <v>18.67</v>
      </c>
      <c r="R5006">
        <v>0.0</v>
      </c>
    </row>
    <row r="5007">
      <c r="A5007" s="9">
        <v>43538</v>
      </c>
      <c r="B5007" s="2" t="inlineStr">
        <is>
          <t xml:space="preserve">2019-03</t>
        </is>
      </c>
      <c r="C5007" s="2" t="inlineStr">
        <is>
          <t xml:space="preserve">2018/19</t>
        </is>
      </c>
      <c r="D5007">
        <v>0.0</v>
      </c>
      <c r="E5007">
        <v>24.71</v>
      </c>
      <c r="F5007">
        <v>34.73</v>
      </c>
      <c r="G5007">
        <v>16.31</v>
      </c>
      <c r="H5007">
        <v>0.0</v>
      </c>
      <c r="I5007">
        <v>0.0</v>
      </c>
      <c r="J5007">
        <v>26.09</v>
      </c>
      <c r="K5007">
        <v>35.22</v>
      </c>
      <c r="L5007">
        <v>18.66</v>
      </c>
      <c r="M5007">
        <v>0.0</v>
      </c>
      <c r="N5007">
        <v>0.0</v>
      </c>
      <c r="O5007">
        <v>26.31</v>
      </c>
      <c r="P5007">
        <v>36.2</v>
      </c>
      <c r="Q5007">
        <v>18.81</v>
      </c>
      <c r="R5007">
        <v>0.0</v>
      </c>
    </row>
    <row r="5008">
      <c r="A5008" s="9">
        <v>43539</v>
      </c>
      <c r="B5008" s="2" t="inlineStr">
        <is>
          <t xml:space="preserve">2019-03</t>
        </is>
      </c>
      <c r="C5008" s="2" t="inlineStr">
        <is>
          <t xml:space="preserve">2018/19</t>
        </is>
      </c>
      <c r="D5008">
        <v>0.0</v>
      </c>
      <c r="E5008">
        <v>25.0</v>
      </c>
      <c r="F5008">
        <v>34.23</v>
      </c>
      <c r="G5008">
        <v>16.45</v>
      </c>
      <c r="H5008">
        <v>0.0</v>
      </c>
      <c r="I5008">
        <v>0.0</v>
      </c>
      <c r="J5008">
        <v>26.12</v>
      </c>
      <c r="K5008">
        <v>34.98</v>
      </c>
      <c r="L5008">
        <v>18.47</v>
      </c>
      <c r="M5008">
        <v>0.0</v>
      </c>
      <c r="N5008">
        <v>0.0</v>
      </c>
      <c r="O5008">
        <v>24.95</v>
      </c>
      <c r="P5008">
        <v>33.31</v>
      </c>
      <c r="Q5008">
        <v>18.95</v>
      </c>
      <c r="R5008">
        <v>0.0</v>
      </c>
    </row>
    <row r="5009">
      <c r="A5009" s="9">
        <v>43540</v>
      </c>
      <c r="B5009" s="2" t="inlineStr">
        <is>
          <t xml:space="preserve">2019-03</t>
        </is>
      </c>
      <c r="C5009" s="2" t="inlineStr">
        <is>
          <t xml:space="preserve">2018/19</t>
        </is>
      </c>
      <c r="D5009">
        <v>0.0</v>
      </c>
      <c r="E5009">
        <v>24.26</v>
      </c>
      <c r="F5009">
        <v>33.29</v>
      </c>
      <c r="G5009">
        <v>17.78</v>
      </c>
      <c r="H5009">
        <v>0.02</v>
      </c>
      <c r="I5009">
        <v>0.0</v>
      </c>
      <c r="J5009">
        <v>24.14</v>
      </c>
      <c r="K5009">
        <v>32.26</v>
      </c>
      <c r="L5009">
        <v>18.9</v>
      </c>
      <c r="M5009">
        <v>0.01</v>
      </c>
      <c r="N5009">
        <v>0.0</v>
      </c>
      <c r="O5009">
        <v>23.32</v>
      </c>
      <c r="P5009">
        <v>30.17</v>
      </c>
      <c r="Q5009">
        <v>19.16</v>
      </c>
      <c r="R5009">
        <v>0.0</v>
      </c>
    </row>
    <row r="5010">
      <c r="A5010" s="9">
        <v>43541</v>
      </c>
      <c r="B5010" s="2" t="inlineStr">
        <is>
          <t xml:space="preserve">2019-03</t>
        </is>
      </c>
      <c r="C5010" s="2" t="inlineStr">
        <is>
          <t xml:space="preserve">2018/19</t>
        </is>
      </c>
      <c r="D5010">
        <v>0.0</v>
      </c>
      <c r="E5010">
        <v>23.78</v>
      </c>
      <c r="F5010">
        <v>32.69</v>
      </c>
      <c r="G5010">
        <v>17.3</v>
      </c>
      <c r="H5010">
        <v>0.02</v>
      </c>
      <c r="I5010">
        <v>0.0</v>
      </c>
      <c r="J5010">
        <v>23.28</v>
      </c>
      <c r="K5010">
        <v>31.24</v>
      </c>
      <c r="L5010">
        <v>17.56</v>
      </c>
      <c r="M5010">
        <v>0.0</v>
      </c>
      <c r="N5010">
        <v>0.0</v>
      </c>
      <c r="O5010">
        <v>22.9</v>
      </c>
      <c r="P5010">
        <v>29.96</v>
      </c>
      <c r="Q5010">
        <v>18.36</v>
      </c>
      <c r="R5010">
        <v>0.0</v>
      </c>
    </row>
    <row r="5011">
      <c r="A5011" s="9">
        <v>43542</v>
      </c>
      <c r="B5011" s="2" t="inlineStr">
        <is>
          <t xml:space="preserve">2019-03</t>
        </is>
      </c>
      <c r="C5011" s="2" t="inlineStr">
        <is>
          <t xml:space="preserve">2018/19</t>
        </is>
      </c>
      <c r="D5011">
        <v>0.0</v>
      </c>
      <c r="E5011">
        <v>23.32</v>
      </c>
      <c r="F5011">
        <v>31.99</v>
      </c>
      <c r="G5011">
        <v>17.16</v>
      </c>
      <c r="H5011">
        <v>0.0</v>
      </c>
      <c r="I5011">
        <v>0.0</v>
      </c>
      <c r="J5011">
        <v>23.15</v>
      </c>
      <c r="K5011">
        <v>31.27</v>
      </c>
      <c r="L5011">
        <v>16.41</v>
      </c>
      <c r="M5011">
        <v>0.0</v>
      </c>
      <c r="N5011">
        <v>0.0</v>
      </c>
      <c r="O5011">
        <v>22.4</v>
      </c>
      <c r="P5011">
        <v>29.61</v>
      </c>
      <c r="Q5011">
        <v>17.34</v>
      </c>
      <c r="R5011">
        <v>0.0</v>
      </c>
    </row>
    <row r="5012">
      <c r="A5012" s="9">
        <v>43543</v>
      </c>
      <c r="B5012" s="2" t="inlineStr">
        <is>
          <t xml:space="preserve">2019-03</t>
        </is>
      </c>
      <c r="C5012" s="2" t="inlineStr">
        <is>
          <t xml:space="preserve">2018/19</t>
        </is>
      </c>
      <c r="D5012">
        <v>0.0</v>
      </c>
      <c r="E5012">
        <v>23.6</v>
      </c>
      <c r="F5012">
        <v>32.02</v>
      </c>
      <c r="G5012">
        <v>16.62</v>
      </c>
      <c r="H5012">
        <v>0.0</v>
      </c>
      <c r="I5012">
        <v>0.0</v>
      </c>
      <c r="J5012">
        <v>23.68</v>
      </c>
      <c r="K5012">
        <v>32.43</v>
      </c>
      <c r="L5012">
        <v>16.14</v>
      </c>
      <c r="M5012">
        <v>0.0</v>
      </c>
      <c r="N5012">
        <v>0.0</v>
      </c>
      <c r="O5012">
        <v>22.46</v>
      </c>
      <c r="P5012">
        <v>30.94</v>
      </c>
      <c r="Q5012">
        <v>16.02</v>
      </c>
      <c r="R5012">
        <v>0.0</v>
      </c>
    </row>
    <row r="5013">
      <c r="A5013" s="9">
        <v>43544</v>
      </c>
      <c r="B5013" s="2" t="inlineStr">
        <is>
          <t xml:space="preserve">2019-03</t>
        </is>
      </c>
      <c r="C5013" s="2" t="inlineStr">
        <is>
          <t xml:space="preserve">2018/19</t>
        </is>
      </c>
      <c r="D5013">
        <v>0.0</v>
      </c>
      <c r="E5013">
        <v>23.17</v>
      </c>
      <c r="F5013">
        <v>31.45</v>
      </c>
      <c r="G5013">
        <v>16.43</v>
      </c>
      <c r="H5013">
        <v>0.02</v>
      </c>
      <c r="I5013">
        <v>0.0</v>
      </c>
      <c r="J5013">
        <v>23.64</v>
      </c>
      <c r="K5013">
        <v>32.12</v>
      </c>
      <c r="L5013">
        <v>16.11</v>
      </c>
      <c r="M5013">
        <v>0.01</v>
      </c>
      <c r="N5013">
        <v>0.0</v>
      </c>
      <c r="O5013">
        <v>22.38</v>
      </c>
      <c r="P5013">
        <v>29.97</v>
      </c>
      <c r="Q5013">
        <v>16.01</v>
      </c>
      <c r="R5013">
        <v>0.01</v>
      </c>
    </row>
    <row r="5014">
      <c r="A5014" s="9">
        <v>43545</v>
      </c>
      <c r="B5014" s="2" t="inlineStr">
        <is>
          <t xml:space="preserve">2019-03</t>
        </is>
      </c>
      <c r="C5014" s="2" t="inlineStr">
        <is>
          <t xml:space="preserve">2018/19</t>
        </is>
      </c>
      <c r="D5014">
        <v>0.0</v>
      </c>
      <c r="E5014">
        <v>22.27</v>
      </c>
      <c r="F5014">
        <v>30.73</v>
      </c>
      <c r="G5014">
        <v>16.33</v>
      </c>
      <c r="H5014">
        <v>0.22</v>
      </c>
      <c r="I5014">
        <v>0.069</v>
      </c>
      <c r="J5014">
        <v>22.77</v>
      </c>
      <c r="K5014">
        <v>30.17</v>
      </c>
      <c r="L5014">
        <v>17.01</v>
      </c>
      <c r="M5014">
        <v>0.48</v>
      </c>
      <c r="N5014">
        <v>0.736</v>
      </c>
      <c r="O5014">
        <v>22.09</v>
      </c>
      <c r="P5014">
        <v>28.39</v>
      </c>
      <c r="Q5014">
        <v>17.14</v>
      </c>
      <c r="R5014">
        <v>0.7</v>
      </c>
    </row>
    <row r="5015">
      <c r="A5015" s="9">
        <v>43546</v>
      </c>
      <c r="B5015" s="2" t="inlineStr">
        <is>
          <t xml:space="preserve">2019-03</t>
        </is>
      </c>
      <c r="C5015" s="2" t="inlineStr">
        <is>
          <t xml:space="preserve">2018/19</t>
        </is>
      </c>
      <c r="D5015">
        <v>0.0</v>
      </c>
      <c r="E5015">
        <v>21.64</v>
      </c>
      <c r="F5015">
        <v>30.16</v>
      </c>
      <c r="G5015">
        <v>15.56</v>
      </c>
      <c r="H5015">
        <v>0.06</v>
      </c>
      <c r="I5015">
        <v>0.039</v>
      </c>
      <c r="J5015">
        <v>22.35</v>
      </c>
      <c r="K5015">
        <v>30.4</v>
      </c>
      <c r="L5015">
        <v>16.11</v>
      </c>
      <c r="M5015">
        <v>0.16</v>
      </c>
      <c r="N5015">
        <v>0.418</v>
      </c>
      <c r="O5015">
        <v>21.63</v>
      </c>
      <c r="P5015">
        <v>28.62</v>
      </c>
      <c r="Q5015">
        <v>15.97</v>
      </c>
      <c r="R5015">
        <v>0.15</v>
      </c>
    </row>
    <row r="5016">
      <c r="A5016" s="9">
        <v>43547</v>
      </c>
      <c r="B5016" s="2" t="inlineStr">
        <is>
          <t xml:space="preserve">2019-03</t>
        </is>
      </c>
      <c r="C5016" s="2" t="inlineStr">
        <is>
          <t xml:space="preserve">2018/19</t>
        </is>
      </c>
      <c r="D5016">
        <v>0.0</v>
      </c>
      <c r="E5016">
        <v>21.29</v>
      </c>
      <c r="F5016">
        <v>30.69</v>
      </c>
      <c r="G5016">
        <v>14.58</v>
      </c>
      <c r="H5016">
        <v>0.14</v>
      </c>
      <c r="I5016">
        <v>0.0</v>
      </c>
      <c r="J5016">
        <v>22.11</v>
      </c>
      <c r="K5016">
        <v>30.65</v>
      </c>
      <c r="L5016">
        <v>15.69</v>
      </c>
      <c r="M5016">
        <v>0.0</v>
      </c>
      <c r="N5016">
        <v>0.0</v>
      </c>
      <c r="O5016">
        <v>21.05</v>
      </c>
      <c r="P5016">
        <v>28.83</v>
      </c>
      <c r="Q5016">
        <v>15.89</v>
      </c>
      <c r="R5016">
        <v>0.05</v>
      </c>
    </row>
    <row r="5017">
      <c r="A5017" s="9">
        <v>43548</v>
      </c>
      <c r="B5017" s="2" t="inlineStr">
        <is>
          <t xml:space="preserve">2019-03</t>
        </is>
      </c>
      <c r="C5017" s="2" t="inlineStr">
        <is>
          <t xml:space="preserve">2018/19</t>
        </is>
      </c>
      <c r="D5017">
        <v>0.0</v>
      </c>
      <c r="E5017">
        <v>21.79</v>
      </c>
      <c r="F5017">
        <v>31.84</v>
      </c>
      <c r="G5017">
        <v>13.86</v>
      </c>
      <c r="H5017">
        <v>0.0</v>
      </c>
      <c r="I5017">
        <v>0.0</v>
      </c>
      <c r="J5017">
        <v>21.45</v>
      </c>
      <c r="K5017">
        <v>31.5</v>
      </c>
      <c r="L5017">
        <v>13.49</v>
      </c>
      <c r="M5017">
        <v>0.0</v>
      </c>
      <c r="N5017">
        <v>0.0</v>
      </c>
      <c r="O5017">
        <v>20.27</v>
      </c>
      <c r="P5017">
        <v>29.32</v>
      </c>
      <c r="Q5017">
        <v>13.48</v>
      </c>
      <c r="R5017">
        <v>0.0</v>
      </c>
    </row>
    <row r="5018">
      <c r="A5018" s="9">
        <v>43549</v>
      </c>
      <c r="B5018" s="2" t="inlineStr">
        <is>
          <t xml:space="preserve">2019-03</t>
        </is>
      </c>
      <c r="C5018" s="2" t="inlineStr">
        <is>
          <t xml:space="preserve">2018/19</t>
        </is>
      </c>
      <c r="D5018">
        <v>0.0</v>
      </c>
      <c r="E5018">
        <v>23.13</v>
      </c>
      <c r="F5018">
        <v>32.11</v>
      </c>
      <c r="G5018">
        <v>15.26</v>
      </c>
      <c r="H5018">
        <v>0.0</v>
      </c>
      <c r="I5018">
        <v>0.0</v>
      </c>
      <c r="J5018">
        <v>22.46</v>
      </c>
      <c r="K5018">
        <v>32.57</v>
      </c>
      <c r="L5018">
        <v>12.66</v>
      </c>
      <c r="M5018">
        <v>0.0</v>
      </c>
      <c r="N5018">
        <v>0.0</v>
      </c>
      <c r="O5018">
        <v>21.71</v>
      </c>
      <c r="P5018">
        <v>31.34</v>
      </c>
      <c r="Q5018">
        <v>12.85</v>
      </c>
      <c r="R5018">
        <v>0.0</v>
      </c>
    </row>
    <row r="5019">
      <c r="A5019" s="9">
        <v>43550</v>
      </c>
      <c r="B5019" s="2" t="inlineStr">
        <is>
          <t xml:space="preserve">2019-03</t>
        </is>
      </c>
      <c r="C5019" s="2" t="inlineStr">
        <is>
          <t xml:space="preserve">2018/19</t>
        </is>
      </c>
      <c r="D5019">
        <v>0.0</v>
      </c>
      <c r="E5019">
        <v>23.02</v>
      </c>
      <c r="F5019">
        <v>31.24</v>
      </c>
      <c r="G5019">
        <v>17.35</v>
      </c>
      <c r="H5019">
        <v>0.0</v>
      </c>
      <c r="I5019">
        <v>0.0</v>
      </c>
      <c r="J5019">
        <v>22.83</v>
      </c>
      <c r="K5019">
        <v>30.6</v>
      </c>
      <c r="L5019">
        <v>16.59</v>
      </c>
      <c r="M5019">
        <v>0.01</v>
      </c>
      <c r="N5019">
        <v>0.0</v>
      </c>
      <c r="O5019">
        <v>22.35</v>
      </c>
      <c r="P5019">
        <v>29.1</v>
      </c>
      <c r="Q5019">
        <v>17.12</v>
      </c>
      <c r="R5019">
        <v>0.0</v>
      </c>
    </row>
    <row r="5020">
      <c r="A5020" s="9">
        <v>43551</v>
      </c>
      <c r="B5020" s="2" t="inlineStr">
        <is>
          <t xml:space="preserve">2019-03</t>
        </is>
      </c>
      <c r="C5020" s="2" t="inlineStr">
        <is>
          <t xml:space="preserve">2018/19</t>
        </is>
      </c>
      <c r="D5020">
        <v>0.0</v>
      </c>
      <c r="E5020">
        <v>21.25</v>
      </c>
      <c r="F5020">
        <v>28.89</v>
      </c>
      <c r="G5020">
        <v>15.86</v>
      </c>
      <c r="H5020">
        <v>0.07</v>
      </c>
      <c r="I5020">
        <v>0.0</v>
      </c>
      <c r="J5020">
        <v>22.15</v>
      </c>
      <c r="K5020">
        <v>29.44</v>
      </c>
      <c r="L5020">
        <v>16.8</v>
      </c>
      <c r="M5020">
        <v>0.07</v>
      </c>
      <c r="N5020">
        <v>0.084</v>
      </c>
      <c r="O5020">
        <v>21.92</v>
      </c>
      <c r="P5020">
        <v>28.58</v>
      </c>
      <c r="Q5020">
        <v>17.57</v>
      </c>
      <c r="R5020">
        <v>0.11</v>
      </c>
    </row>
    <row r="5021">
      <c r="A5021" s="9">
        <v>43552</v>
      </c>
      <c r="B5021" s="2" t="inlineStr">
        <is>
          <t xml:space="preserve">2019-03</t>
        </is>
      </c>
      <c r="C5021" s="2" t="inlineStr">
        <is>
          <t xml:space="preserve">2018/19</t>
        </is>
      </c>
      <c r="D5021">
        <v>0.0</v>
      </c>
      <c r="E5021">
        <v>20.99</v>
      </c>
      <c r="F5021">
        <v>29.76</v>
      </c>
      <c r="G5021">
        <v>14.97</v>
      </c>
      <c r="H5021">
        <v>0.49</v>
      </c>
      <c r="I5021">
        <v>0.217</v>
      </c>
      <c r="J5021">
        <v>21.98</v>
      </c>
      <c r="K5021">
        <v>30.59</v>
      </c>
      <c r="L5021">
        <v>15.82</v>
      </c>
      <c r="M5021">
        <v>0.66</v>
      </c>
      <c r="N5021">
        <v>0.862</v>
      </c>
      <c r="O5021">
        <v>21.02</v>
      </c>
      <c r="P5021">
        <v>28.44</v>
      </c>
      <c r="Q5021">
        <v>16.39</v>
      </c>
      <c r="R5021">
        <v>1.63</v>
      </c>
    </row>
    <row r="5022">
      <c r="A5022" s="9">
        <v>43553</v>
      </c>
      <c r="B5022" s="2" t="inlineStr">
        <is>
          <t xml:space="preserve">2019-03</t>
        </is>
      </c>
      <c r="C5022" s="2" t="inlineStr">
        <is>
          <t xml:space="preserve">2018/19</t>
        </is>
      </c>
      <c r="D5022">
        <v>0.0</v>
      </c>
      <c r="E5022">
        <v>21.51</v>
      </c>
      <c r="F5022">
        <v>31.09</v>
      </c>
      <c r="G5022">
        <v>12.91</v>
      </c>
      <c r="H5022">
        <v>0.03</v>
      </c>
      <c r="I5022">
        <v>0.282</v>
      </c>
      <c r="J5022">
        <v>22.86</v>
      </c>
      <c r="K5022">
        <v>31.52</v>
      </c>
      <c r="L5022">
        <v>15.24</v>
      </c>
      <c r="M5022">
        <v>0.3</v>
      </c>
      <c r="N5022">
        <v>1.097</v>
      </c>
      <c r="O5022">
        <v>21.29</v>
      </c>
      <c r="P5022">
        <v>29.56</v>
      </c>
      <c r="Q5022">
        <v>14.49</v>
      </c>
      <c r="R5022">
        <v>0.26</v>
      </c>
    </row>
    <row r="5023">
      <c r="A5023" s="9">
        <v>43554</v>
      </c>
      <c r="B5023" s="2" t="inlineStr">
        <is>
          <t xml:space="preserve">2019-03</t>
        </is>
      </c>
      <c r="C5023" s="2" t="inlineStr">
        <is>
          <t xml:space="preserve">2018/19</t>
        </is>
      </c>
      <c r="D5023">
        <v>0.0</v>
      </c>
      <c r="E5023">
        <v>23.54</v>
      </c>
      <c r="F5023">
        <v>34.19</v>
      </c>
      <c r="G5023">
        <v>13.96</v>
      </c>
      <c r="H5023">
        <v>0.0</v>
      </c>
      <c r="I5023">
        <v>0.0</v>
      </c>
      <c r="J5023">
        <v>24.94</v>
      </c>
      <c r="K5023">
        <v>34.92</v>
      </c>
      <c r="L5023">
        <v>15.65</v>
      </c>
      <c r="M5023">
        <v>0.0</v>
      </c>
      <c r="N5023">
        <v>0.0</v>
      </c>
      <c r="O5023">
        <v>23.57</v>
      </c>
      <c r="P5023">
        <v>33.63</v>
      </c>
      <c r="Q5023">
        <v>15.08</v>
      </c>
      <c r="R5023">
        <v>0.0</v>
      </c>
    </row>
    <row r="5024">
      <c r="A5024" s="9">
        <v>43555</v>
      </c>
      <c r="B5024" s="2" t="inlineStr">
        <is>
          <t xml:space="preserve">2019-03</t>
        </is>
      </c>
      <c r="C5024" s="2" t="inlineStr">
        <is>
          <t xml:space="preserve">2018/19</t>
        </is>
      </c>
      <c r="D5024">
        <v>0.0</v>
      </c>
      <c r="E5024">
        <v>24.59</v>
      </c>
      <c r="F5024">
        <v>34.31</v>
      </c>
      <c r="G5024">
        <v>15.64</v>
      </c>
      <c r="H5024">
        <v>0.0</v>
      </c>
      <c r="I5024">
        <v>0.0</v>
      </c>
      <c r="J5024">
        <v>25.69</v>
      </c>
      <c r="K5024">
        <v>35.11</v>
      </c>
      <c r="L5024">
        <v>17.02</v>
      </c>
      <c r="M5024">
        <v>0.0</v>
      </c>
      <c r="N5024">
        <v>0.0</v>
      </c>
      <c r="O5024">
        <v>24.24</v>
      </c>
      <c r="P5024">
        <v>34.33</v>
      </c>
      <c r="Q5024">
        <v>15.88</v>
      </c>
      <c r="R5024">
        <v>0.0</v>
      </c>
    </row>
    <row r="5025">
      <c r="A5025" s="9">
        <v>43556</v>
      </c>
      <c r="B5025" s="2" t="inlineStr">
        <is>
          <t xml:space="preserve">2019-04</t>
        </is>
      </c>
      <c r="C5025" s="2" t="inlineStr">
        <is>
          <t xml:space="preserve">2018/19</t>
        </is>
      </c>
      <c r="D5025">
        <v>0.0</v>
      </c>
      <c r="E5025">
        <v>24.9</v>
      </c>
      <c r="F5025">
        <v>34.11</v>
      </c>
      <c r="G5025">
        <v>17.17</v>
      </c>
      <c r="H5025">
        <v>0.0</v>
      </c>
      <c r="I5025">
        <v>0.0</v>
      </c>
      <c r="J5025">
        <v>26.16</v>
      </c>
      <c r="K5025">
        <v>35.16</v>
      </c>
      <c r="L5025">
        <v>19.08</v>
      </c>
      <c r="M5025">
        <v>0.0</v>
      </c>
      <c r="N5025">
        <v>0.0</v>
      </c>
      <c r="O5025">
        <v>24.27</v>
      </c>
      <c r="P5025">
        <v>33.05</v>
      </c>
      <c r="Q5025">
        <v>18.37</v>
      </c>
      <c r="R5025">
        <v>0.0</v>
      </c>
    </row>
    <row r="5026">
      <c r="A5026" s="9">
        <v>43557</v>
      </c>
      <c r="B5026" s="2" t="inlineStr">
        <is>
          <t xml:space="preserve">2019-04</t>
        </is>
      </c>
      <c r="C5026" s="2" t="inlineStr">
        <is>
          <t xml:space="preserve">2018/19</t>
        </is>
      </c>
      <c r="D5026">
        <v>0.0</v>
      </c>
      <c r="E5026">
        <v>25.29</v>
      </c>
      <c r="F5026">
        <v>33.68</v>
      </c>
      <c r="G5026">
        <v>18.76</v>
      </c>
      <c r="H5026">
        <v>0.07</v>
      </c>
      <c r="I5026">
        <v>0.0</v>
      </c>
      <c r="J5026">
        <v>25.15</v>
      </c>
      <c r="K5026">
        <v>33.74</v>
      </c>
      <c r="L5026">
        <v>17.12</v>
      </c>
      <c r="M5026">
        <v>0.0</v>
      </c>
      <c r="N5026">
        <v>0.0</v>
      </c>
      <c r="O5026">
        <v>23.61</v>
      </c>
      <c r="P5026">
        <v>31.89</v>
      </c>
      <c r="Q5026">
        <v>16.92</v>
      </c>
      <c r="R5026">
        <v>0.02</v>
      </c>
    </row>
    <row r="5027">
      <c r="A5027" s="9">
        <v>43558</v>
      </c>
      <c r="B5027" s="2" t="inlineStr">
        <is>
          <t xml:space="preserve">2019-04</t>
        </is>
      </c>
      <c r="C5027" s="2" t="inlineStr">
        <is>
          <t xml:space="preserve">2018/19</t>
        </is>
      </c>
      <c r="D5027">
        <v>0.0</v>
      </c>
      <c r="E5027">
        <v>25.22</v>
      </c>
      <c r="F5027">
        <v>32.88</v>
      </c>
      <c r="G5027">
        <v>19.21</v>
      </c>
      <c r="H5027">
        <v>0.16</v>
      </c>
      <c r="I5027">
        <v>0.021</v>
      </c>
      <c r="J5027">
        <v>25.36</v>
      </c>
      <c r="K5027">
        <v>31.75</v>
      </c>
      <c r="L5027">
        <v>19.02</v>
      </c>
      <c r="M5027">
        <v>0.02</v>
      </c>
      <c r="N5027">
        <v>0.0</v>
      </c>
      <c r="O5027">
        <v>24.55</v>
      </c>
      <c r="P5027">
        <v>31.92</v>
      </c>
      <c r="Q5027">
        <v>19.1</v>
      </c>
      <c r="R5027">
        <v>0.1</v>
      </c>
    </row>
    <row r="5028">
      <c r="A5028" s="9">
        <v>43559</v>
      </c>
      <c r="B5028" s="2" t="inlineStr">
        <is>
          <t xml:space="preserve">2019-04</t>
        </is>
      </c>
      <c r="C5028" s="2" t="inlineStr">
        <is>
          <t xml:space="preserve">2018/19</t>
        </is>
      </c>
      <c r="D5028">
        <v>0.0</v>
      </c>
      <c r="E5028">
        <v>25.05</v>
      </c>
      <c r="F5028">
        <v>32.67</v>
      </c>
      <c r="G5028">
        <v>17.75</v>
      </c>
      <c r="H5028">
        <v>0.03</v>
      </c>
      <c r="I5028">
        <v>0.0</v>
      </c>
      <c r="J5028">
        <v>26.16</v>
      </c>
      <c r="K5028">
        <v>33.49</v>
      </c>
      <c r="L5028">
        <v>19.78</v>
      </c>
      <c r="M5028">
        <v>0.52</v>
      </c>
      <c r="N5028">
        <v>0.0</v>
      </c>
      <c r="O5028">
        <v>24.95</v>
      </c>
      <c r="P5028">
        <v>32.0</v>
      </c>
      <c r="Q5028">
        <v>19.58</v>
      </c>
      <c r="R5028">
        <v>0.07</v>
      </c>
    </row>
    <row r="5029">
      <c r="A5029" s="9">
        <v>43560</v>
      </c>
      <c r="B5029" s="2" t="inlineStr">
        <is>
          <t xml:space="preserve">2019-04</t>
        </is>
      </c>
      <c r="C5029" s="2" t="inlineStr">
        <is>
          <t xml:space="preserve">2018/19</t>
        </is>
      </c>
      <c r="D5029">
        <v>0.1</v>
      </c>
      <c r="E5029">
        <v>25.72</v>
      </c>
      <c r="F5029">
        <v>33.37</v>
      </c>
      <c r="G5029">
        <v>18.63</v>
      </c>
      <c r="H5029">
        <v>0.5</v>
      </c>
      <c r="I5029">
        <v>11.715</v>
      </c>
      <c r="J5029">
        <v>24.4</v>
      </c>
      <c r="K5029">
        <v>31.47</v>
      </c>
      <c r="L5029">
        <v>20.48</v>
      </c>
      <c r="M5029">
        <v>5.98</v>
      </c>
      <c r="N5029">
        <v>0.429</v>
      </c>
      <c r="O5029">
        <v>25.04</v>
      </c>
      <c r="P5029">
        <v>32.47</v>
      </c>
      <c r="Q5029">
        <v>19.96</v>
      </c>
      <c r="R5029">
        <v>1.23</v>
      </c>
    </row>
    <row r="5030">
      <c r="A5030" s="9">
        <v>43561</v>
      </c>
      <c r="B5030" s="2" t="inlineStr">
        <is>
          <t xml:space="preserve">2019-04</t>
        </is>
      </c>
      <c r="C5030" s="2" t="inlineStr">
        <is>
          <t xml:space="preserve">2018/19</t>
        </is>
      </c>
      <c r="D5030">
        <v>1.473</v>
      </c>
      <c r="E5030">
        <v>25.64</v>
      </c>
      <c r="F5030">
        <v>33.87</v>
      </c>
      <c r="G5030">
        <v>17.89</v>
      </c>
      <c r="H5030">
        <v>0.52</v>
      </c>
      <c r="I5030">
        <v>0.981</v>
      </c>
      <c r="J5030">
        <v>25.81</v>
      </c>
      <c r="K5030">
        <v>33.21</v>
      </c>
      <c r="L5030">
        <v>19.5</v>
      </c>
      <c r="M5030">
        <v>1.01</v>
      </c>
      <c r="N5030">
        <v>3.45</v>
      </c>
      <c r="O5030">
        <v>25.89</v>
      </c>
      <c r="P5030">
        <v>33.84</v>
      </c>
      <c r="Q5030">
        <v>19.31</v>
      </c>
      <c r="R5030">
        <v>0.99</v>
      </c>
    </row>
    <row r="5031">
      <c r="A5031" s="9">
        <v>43562</v>
      </c>
      <c r="B5031" s="2" t="inlineStr">
        <is>
          <t xml:space="preserve">2019-04</t>
        </is>
      </c>
      <c r="C5031" s="2" t="inlineStr">
        <is>
          <t xml:space="preserve">2018/19</t>
        </is>
      </c>
      <c r="D5031">
        <v>0.0</v>
      </c>
      <c r="E5031">
        <v>25.88</v>
      </c>
      <c r="F5031">
        <v>33.61</v>
      </c>
      <c r="G5031">
        <v>18.45</v>
      </c>
      <c r="H5031">
        <v>0.51</v>
      </c>
      <c r="I5031">
        <v>0.0</v>
      </c>
      <c r="J5031">
        <v>26.04</v>
      </c>
      <c r="K5031">
        <v>33.32</v>
      </c>
      <c r="L5031">
        <v>19.46</v>
      </c>
      <c r="M5031">
        <v>0.1</v>
      </c>
      <c r="N5031">
        <v>0.0</v>
      </c>
      <c r="O5031">
        <v>26.74</v>
      </c>
      <c r="P5031">
        <v>34.93</v>
      </c>
      <c r="Q5031">
        <v>19.95</v>
      </c>
      <c r="R5031">
        <v>0.21</v>
      </c>
    </row>
    <row r="5032">
      <c r="A5032" s="9">
        <v>43563</v>
      </c>
      <c r="B5032" s="2" t="inlineStr">
        <is>
          <t xml:space="preserve">2019-04</t>
        </is>
      </c>
      <c r="C5032" s="2" t="inlineStr">
        <is>
          <t xml:space="preserve">2018/19</t>
        </is>
      </c>
      <c r="D5032">
        <v>15.738</v>
      </c>
      <c r="E5032">
        <v>25.16</v>
      </c>
      <c r="F5032">
        <v>33.39</v>
      </c>
      <c r="G5032">
        <v>18.61</v>
      </c>
      <c r="H5032">
        <v>7.95</v>
      </c>
      <c r="I5032">
        <v>0.045</v>
      </c>
      <c r="J5032">
        <v>26.14</v>
      </c>
      <c r="K5032">
        <v>32.98</v>
      </c>
      <c r="L5032">
        <v>20.16</v>
      </c>
      <c r="M5032">
        <v>1.2</v>
      </c>
      <c r="N5032">
        <v>0.593</v>
      </c>
      <c r="O5032">
        <v>26.37</v>
      </c>
      <c r="P5032">
        <v>34.14</v>
      </c>
      <c r="Q5032">
        <v>20.14</v>
      </c>
      <c r="R5032">
        <v>2.01</v>
      </c>
    </row>
    <row r="5033">
      <c r="A5033" s="9">
        <v>43564</v>
      </c>
      <c r="B5033" s="2" t="inlineStr">
        <is>
          <t xml:space="preserve">2019-04</t>
        </is>
      </c>
      <c r="C5033" s="2" t="inlineStr">
        <is>
          <t xml:space="preserve">2018/19</t>
        </is>
      </c>
      <c r="D5033">
        <v>1.907</v>
      </c>
      <c r="E5033">
        <v>22.95</v>
      </c>
      <c r="F5033">
        <v>27.44</v>
      </c>
      <c r="G5033">
        <v>20.44</v>
      </c>
      <c r="H5033">
        <v>6.21</v>
      </c>
      <c r="I5033">
        <v>1.097</v>
      </c>
      <c r="J5033">
        <v>25.47</v>
      </c>
      <c r="K5033">
        <v>31.89</v>
      </c>
      <c r="L5033">
        <v>20.98</v>
      </c>
      <c r="M5033">
        <v>2.41</v>
      </c>
      <c r="N5033">
        <v>4.143</v>
      </c>
      <c r="O5033">
        <v>25.35</v>
      </c>
      <c r="P5033">
        <v>31.4</v>
      </c>
      <c r="Q5033">
        <v>21.01</v>
      </c>
      <c r="R5033">
        <v>2.41</v>
      </c>
    </row>
    <row r="5034">
      <c r="A5034" s="9">
        <v>43565</v>
      </c>
      <c r="B5034" s="2" t="inlineStr">
        <is>
          <t xml:space="preserve">2019-04</t>
        </is>
      </c>
      <c r="C5034" s="2" t="inlineStr">
        <is>
          <t xml:space="preserve">2018/19</t>
        </is>
      </c>
      <c r="D5034">
        <v>3.78</v>
      </c>
      <c r="E5034">
        <v>23.45</v>
      </c>
      <c r="F5034">
        <v>29.3</v>
      </c>
      <c r="G5034">
        <v>19.12</v>
      </c>
      <c r="H5034">
        <v>4.96</v>
      </c>
      <c r="I5034">
        <v>1.591</v>
      </c>
      <c r="J5034">
        <v>24.92</v>
      </c>
      <c r="K5034">
        <v>32.1</v>
      </c>
      <c r="L5034">
        <v>18.78</v>
      </c>
      <c r="M5034">
        <v>1.97</v>
      </c>
      <c r="N5034">
        <v>5.464</v>
      </c>
      <c r="O5034">
        <v>24.88</v>
      </c>
      <c r="P5034">
        <v>32.02</v>
      </c>
      <c r="Q5034">
        <v>19.24</v>
      </c>
      <c r="R5034">
        <v>3.54</v>
      </c>
    </row>
    <row r="5035">
      <c r="A5035" s="9">
        <v>43566</v>
      </c>
      <c r="B5035" s="2" t="inlineStr">
        <is>
          <t xml:space="preserve">2019-04</t>
        </is>
      </c>
      <c r="C5035" s="2" t="inlineStr">
        <is>
          <t xml:space="preserve">2018/19</t>
        </is>
      </c>
      <c r="D5035">
        <v>0.545</v>
      </c>
      <c r="E5035">
        <v>25.35</v>
      </c>
      <c r="F5035">
        <v>33.35</v>
      </c>
      <c r="G5035">
        <v>18.42</v>
      </c>
      <c r="H5035">
        <v>0.57</v>
      </c>
      <c r="I5035">
        <v>0.214</v>
      </c>
      <c r="J5035">
        <v>25.98</v>
      </c>
      <c r="K5035">
        <v>34.07</v>
      </c>
      <c r="L5035">
        <v>20.21</v>
      </c>
      <c r="M5035">
        <v>0.2</v>
      </c>
      <c r="N5035">
        <v>0.113</v>
      </c>
      <c r="O5035">
        <v>27.42</v>
      </c>
      <c r="P5035">
        <v>36.25</v>
      </c>
      <c r="Q5035">
        <v>19.96</v>
      </c>
      <c r="R5035">
        <v>0.17</v>
      </c>
    </row>
    <row r="5036">
      <c r="A5036" s="9">
        <v>43567</v>
      </c>
      <c r="B5036" s="2" t="inlineStr">
        <is>
          <t xml:space="preserve">2019-04</t>
        </is>
      </c>
      <c r="C5036" s="2" t="inlineStr">
        <is>
          <t xml:space="preserve">2018/19</t>
        </is>
      </c>
      <c r="D5036">
        <v>0.0</v>
      </c>
      <c r="E5036">
        <v>26.13</v>
      </c>
      <c r="F5036">
        <v>34.78</v>
      </c>
      <c r="G5036">
        <v>18.96</v>
      </c>
      <c r="H5036">
        <v>0.0</v>
      </c>
      <c r="I5036">
        <v>0.0</v>
      </c>
      <c r="J5036">
        <v>25.92</v>
      </c>
      <c r="K5036">
        <v>34.46</v>
      </c>
      <c r="L5036">
        <v>19.75</v>
      </c>
      <c r="M5036">
        <v>0.0</v>
      </c>
      <c r="N5036">
        <v>0.0</v>
      </c>
      <c r="O5036">
        <v>27.77</v>
      </c>
      <c r="P5036">
        <v>37.1</v>
      </c>
      <c r="Q5036">
        <v>19.9</v>
      </c>
      <c r="R5036">
        <v>0.0</v>
      </c>
    </row>
    <row r="5037">
      <c r="A5037" s="9">
        <v>43568</v>
      </c>
      <c r="B5037" s="2" t="inlineStr">
        <is>
          <t xml:space="preserve">2019-04</t>
        </is>
      </c>
      <c r="C5037" s="2" t="inlineStr">
        <is>
          <t xml:space="preserve">2018/19</t>
        </is>
      </c>
      <c r="D5037">
        <v>0.0</v>
      </c>
      <c r="E5037">
        <v>26.15</v>
      </c>
      <c r="F5037">
        <v>34.8</v>
      </c>
      <c r="G5037">
        <v>18.71</v>
      </c>
      <c r="H5037">
        <v>0.0</v>
      </c>
      <c r="I5037">
        <v>0.0</v>
      </c>
      <c r="J5037">
        <v>25.18</v>
      </c>
      <c r="K5037">
        <v>33.36</v>
      </c>
      <c r="L5037">
        <v>18.56</v>
      </c>
      <c r="M5037">
        <v>0.0</v>
      </c>
      <c r="N5037">
        <v>0.0</v>
      </c>
      <c r="O5037">
        <v>27.17</v>
      </c>
      <c r="P5037">
        <v>35.8</v>
      </c>
      <c r="Q5037">
        <v>19.7</v>
      </c>
      <c r="R5037">
        <v>0.0</v>
      </c>
    </row>
    <row r="5038">
      <c r="A5038" s="9">
        <v>43569</v>
      </c>
      <c r="B5038" s="2" t="inlineStr">
        <is>
          <t xml:space="preserve">2019-04</t>
        </is>
      </c>
      <c r="C5038" s="2" t="inlineStr">
        <is>
          <t xml:space="preserve">2018/19</t>
        </is>
      </c>
      <c r="D5038">
        <v>0.0</v>
      </c>
      <c r="E5038">
        <v>27.09</v>
      </c>
      <c r="F5038">
        <v>36.71</v>
      </c>
      <c r="G5038">
        <v>18.39</v>
      </c>
      <c r="H5038">
        <v>0.03</v>
      </c>
      <c r="I5038">
        <v>0.0</v>
      </c>
      <c r="J5038">
        <v>26.9</v>
      </c>
      <c r="K5038">
        <v>37.35</v>
      </c>
      <c r="L5038">
        <v>17.74</v>
      </c>
      <c r="M5038">
        <v>0.0</v>
      </c>
      <c r="N5038">
        <v>0.0</v>
      </c>
      <c r="O5038">
        <v>28.0</v>
      </c>
      <c r="P5038">
        <v>37.9</v>
      </c>
      <c r="Q5038">
        <v>19.39</v>
      </c>
      <c r="R5038">
        <v>0.0</v>
      </c>
    </row>
    <row r="5039">
      <c r="A5039" s="9">
        <v>43570</v>
      </c>
      <c r="B5039" s="2" t="inlineStr">
        <is>
          <t xml:space="preserve">2019-04</t>
        </is>
      </c>
      <c r="C5039" s="2" t="inlineStr">
        <is>
          <t xml:space="preserve">2018/19</t>
        </is>
      </c>
      <c r="D5039">
        <v>0.0</v>
      </c>
      <c r="E5039">
        <v>25.41</v>
      </c>
      <c r="F5039">
        <v>31.4</v>
      </c>
      <c r="G5039">
        <v>21.44</v>
      </c>
      <c r="H5039">
        <v>0.3</v>
      </c>
      <c r="I5039">
        <v>0.0</v>
      </c>
      <c r="J5039">
        <v>26.06</v>
      </c>
      <c r="K5039">
        <v>32.74</v>
      </c>
      <c r="L5039">
        <v>20.84</v>
      </c>
      <c r="M5039">
        <v>0.0</v>
      </c>
      <c r="N5039">
        <v>0.0</v>
      </c>
      <c r="O5039">
        <v>24.96</v>
      </c>
      <c r="P5039">
        <v>30.8</v>
      </c>
      <c r="Q5039">
        <v>20.67</v>
      </c>
      <c r="R5039">
        <v>0.12</v>
      </c>
    </row>
    <row r="5040">
      <c r="A5040" s="9">
        <v>43571</v>
      </c>
      <c r="B5040" s="2" t="inlineStr">
        <is>
          <t xml:space="preserve">2019-04</t>
        </is>
      </c>
      <c r="C5040" s="2" t="inlineStr">
        <is>
          <t xml:space="preserve">2018/19</t>
        </is>
      </c>
      <c r="D5040">
        <v>0.0</v>
      </c>
      <c r="E5040">
        <v>24.54</v>
      </c>
      <c r="F5040">
        <v>30.43</v>
      </c>
      <c r="G5040">
        <v>20.21</v>
      </c>
      <c r="H5040">
        <v>0.02</v>
      </c>
      <c r="I5040">
        <v>0.0</v>
      </c>
      <c r="J5040">
        <v>25.76</v>
      </c>
      <c r="K5040">
        <v>32.81</v>
      </c>
      <c r="L5040">
        <v>20.33</v>
      </c>
      <c r="M5040">
        <v>0.0</v>
      </c>
      <c r="N5040">
        <v>0.0</v>
      </c>
      <c r="O5040">
        <v>25.17</v>
      </c>
      <c r="P5040">
        <v>32.09</v>
      </c>
      <c r="Q5040">
        <v>20.65</v>
      </c>
      <c r="R5040">
        <v>0.0</v>
      </c>
    </row>
    <row r="5041">
      <c r="A5041" s="9">
        <v>43572</v>
      </c>
      <c r="B5041" s="2" t="inlineStr">
        <is>
          <t xml:space="preserve">2019-04</t>
        </is>
      </c>
      <c r="C5041" s="2" t="inlineStr">
        <is>
          <t xml:space="preserve">2018/19</t>
        </is>
      </c>
      <c r="D5041">
        <v>0.0</v>
      </c>
      <c r="E5041">
        <v>24.96</v>
      </c>
      <c r="F5041">
        <v>31.68</v>
      </c>
      <c r="G5041">
        <v>19.48</v>
      </c>
      <c r="H5041">
        <v>0.0</v>
      </c>
      <c r="I5041">
        <v>0.0</v>
      </c>
      <c r="J5041">
        <v>26.08</v>
      </c>
      <c r="K5041">
        <v>33.49</v>
      </c>
      <c r="L5041">
        <v>19.89</v>
      </c>
      <c r="M5041">
        <v>0.0</v>
      </c>
      <c r="N5041">
        <v>0.0</v>
      </c>
      <c r="O5041">
        <v>25.39</v>
      </c>
      <c r="P5041">
        <v>32.17</v>
      </c>
      <c r="Q5041">
        <v>20.32</v>
      </c>
      <c r="R5041">
        <v>0.0</v>
      </c>
    </row>
    <row r="5042">
      <c r="A5042" s="9">
        <v>43573</v>
      </c>
      <c r="B5042" s="2" t="inlineStr">
        <is>
          <t xml:space="preserve">2019-04</t>
        </is>
      </c>
      <c r="C5042" s="2" t="inlineStr">
        <is>
          <t xml:space="preserve">2018/19</t>
        </is>
      </c>
      <c r="D5042">
        <v>0.0</v>
      </c>
      <c r="E5042">
        <v>25.83</v>
      </c>
      <c r="F5042">
        <v>34.43</v>
      </c>
      <c r="G5042">
        <v>18.21</v>
      </c>
      <c r="H5042">
        <v>0.0</v>
      </c>
      <c r="I5042">
        <v>0.0</v>
      </c>
      <c r="J5042">
        <v>25.6</v>
      </c>
      <c r="K5042">
        <v>32.39</v>
      </c>
      <c r="L5042">
        <v>20.49</v>
      </c>
      <c r="M5042">
        <v>0.0</v>
      </c>
      <c r="N5042">
        <v>0.0</v>
      </c>
      <c r="O5042">
        <v>26.99</v>
      </c>
      <c r="P5042">
        <v>35.74</v>
      </c>
      <c r="Q5042">
        <v>19.06</v>
      </c>
      <c r="R5042">
        <v>0.0</v>
      </c>
    </row>
    <row r="5043">
      <c r="A5043" s="9">
        <v>43574</v>
      </c>
      <c r="B5043" s="2" t="inlineStr">
        <is>
          <t xml:space="preserve">2019-04</t>
        </is>
      </c>
      <c r="C5043" s="2" t="inlineStr">
        <is>
          <t xml:space="preserve">2018/19</t>
        </is>
      </c>
      <c r="D5043">
        <v>0.0</v>
      </c>
      <c r="E5043">
        <v>25.09</v>
      </c>
      <c r="F5043">
        <v>31.73</v>
      </c>
      <c r="G5043">
        <v>19.88</v>
      </c>
      <c r="H5043">
        <v>1.54</v>
      </c>
      <c r="I5043">
        <v>0.0</v>
      </c>
      <c r="J5043">
        <v>26.04</v>
      </c>
      <c r="K5043">
        <v>33.0</v>
      </c>
      <c r="L5043">
        <v>21.15</v>
      </c>
      <c r="M5043">
        <v>0.66</v>
      </c>
      <c r="N5043">
        <v>0.0</v>
      </c>
      <c r="O5043">
        <v>26.15</v>
      </c>
      <c r="P5043">
        <v>32.01</v>
      </c>
      <c r="Q5043">
        <v>21.93</v>
      </c>
      <c r="R5043">
        <v>1.83</v>
      </c>
    </row>
    <row r="5044">
      <c r="A5044" s="9">
        <v>43575</v>
      </c>
      <c r="B5044" s="2" t="inlineStr">
        <is>
          <t xml:space="preserve">2019-04</t>
        </is>
      </c>
      <c r="C5044" s="2" t="inlineStr">
        <is>
          <t xml:space="preserve">2018/19</t>
        </is>
      </c>
      <c r="D5044">
        <v>1.38</v>
      </c>
      <c r="E5044">
        <v>21.63</v>
      </c>
      <c r="F5044">
        <v>27.99</v>
      </c>
      <c r="G5044">
        <v>16.62</v>
      </c>
      <c r="H5044">
        <v>4.71</v>
      </c>
      <c r="I5044">
        <v>0.172</v>
      </c>
      <c r="J5044">
        <v>21.78</v>
      </c>
      <c r="K5044">
        <v>28.51</v>
      </c>
      <c r="L5044">
        <v>16.24</v>
      </c>
      <c r="M5044">
        <v>0.42</v>
      </c>
      <c r="N5044">
        <v>1.119</v>
      </c>
      <c r="O5044">
        <v>20.66</v>
      </c>
      <c r="P5044">
        <v>25.44</v>
      </c>
      <c r="Q5044">
        <v>16.41</v>
      </c>
      <c r="R5044">
        <v>5.13</v>
      </c>
    </row>
    <row r="5045">
      <c r="A5045" s="9">
        <v>43576</v>
      </c>
      <c r="B5045" s="2" t="inlineStr">
        <is>
          <t xml:space="preserve">2019-04</t>
        </is>
      </c>
      <c r="C5045" s="2" t="inlineStr">
        <is>
          <t xml:space="preserve">2018/19</t>
        </is>
      </c>
      <c r="D5045">
        <v>0.0</v>
      </c>
      <c r="E5045">
        <v>22.65</v>
      </c>
      <c r="F5045">
        <v>30.56</v>
      </c>
      <c r="G5045">
        <v>16.04</v>
      </c>
      <c r="H5045">
        <v>0.1</v>
      </c>
      <c r="I5045">
        <v>0.0</v>
      </c>
      <c r="J5045">
        <v>23.94</v>
      </c>
      <c r="K5045">
        <v>33.19</v>
      </c>
      <c r="L5045">
        <v>15.09</v>
      </c>
      <c r="M5045">
        <v>0.0</v>
      </c>
      <c r="N5045">
        <v>0.0</v>
      </c>
      <c r="O5045">
        <v>22.04</v>
      </c>
      <c r="P5045">
        <v>30.41</v>
      </c>
      <c r="Q5045">
        <v>14.27</v>
      </c>
      <c r="R5045">
        <v>0.04</v>
      </c>
    </row>
    <row r="5046">
      <c r="A5046" s="9">
        <v>43577</v>
      </c>
      <c r="B5046" s="2" t="inlineStr">
        <is>
          <t xml:space="preserve">2019-04</t>
        </is>
      </c>
      <c r="C5046" s="2" t="inlineStr">
        <is>
          <t xml:space="preserve">2018/19</t>
        </is>
      </c>
      <c r="D5046">
        <v>0.0</v>
      </c>
      <c r="E5046">
        <v>24.14</v>
      </c>
      <c r="F5046">
        <v>31.63</v>
      </c>
      <c r="G5046">
        <v>17.95</v>
      </c>
      <c r="H5046">
        <v>0.0</v>
      </c>
      <c r="I5046">
        <v>0.0</v>
      </c>
      <c r="J5046">
        <v>25.49</v>
      </c>
      <c r="K5046">
        <v>33.99</v>
      </c>
      <c r="L5046">
        <v>18.09</v>
      </c>
      <c r="M5046">
        <v>0.0</v>
      </c>
      <c r="N5046">
        <v>0.0</v>
      </c>
      <c r="O5046">
        <v>23.94</v>
      </c>
      <c r="P5046">
        <v>31.82</v>
      </c>
      <c r="Q5046">
        <v>18.05</v>
      </c>
      <c r="R5046">
        <v>0.0</v>
      </c>
    </row>
    <row r="5047">
      <c r="A5047" s="9">
        <v>43578</v>
      </c>
      <c r="B5047" s="2" t="inlineStr">
        <is>
          <t xml:space="preserve">2019-04</t>
        </is>
      </c>
      <c r="C5047" s="2" t="inlineStr">
        <is>
          <t xml:space="preserve">2018/19</t>
        </is>
      </c>
      <c r="D5047">
        <v>0.0</v>
      </c>
      <c r="E5047">
        <v>24.89</v>
      </c>
      <c r="F5047">
        <v>32.84</v>
      </c>
      <c r="G5047">
        <v>17.86</v>
      </c>
      <c r="H5047">
        <v>0.0</v>
      </c>
      <c r="I5047">
        <v>0.0</v>
      </c>
      <c r="J5047">
        <v>26.73</v>
      </c>
      <c r="K5047">
        <v>34.86</v>
      </c>
      <c r="L5047">
        <v>19.47</v>
      </c>
      <c r="M5047">
        <v>0.01</v>
      </c>
      <c r="N5047">
        <v>0.0</v>
      </c>
      <c r="O5047">
        <v>25.04</v>
      </c>
      <c r="P5047">
        <v>32.99</v>
      </c>
      <c r="Q5047">
        <v>19.17</v>
      </c>
      <c r="R5047">
        <v>0.0</v>
      </c>
    </row>
    <row r="5048">
      <c r="A5048" s="9">
        <v>43579</v>
      </c>
      <c r="B5048" s="2" t="inlineStr">
        <is>
          <t xml:space="preserve">2019-04</t>
        </is>
      </c>
      <c r="C5048" s="2" t="inlineStr">
        <is>
          <t xml:space="preserve">2018/19</t>
        </is>
      </c>
      <c r="D5048">
        <v>0.0</v>
      </c>
      <c r="E5048">
        <v>25.46</v>
      </c>
      <c r="F5048">
        <v>32.7</v>
      </c>
      <c r="G5048">
        <v>18.8</v>
      </c>
      <c r="H5048">
        <v>0.0</v>
      </c>
      <c r="I5048">
        <v>0.045</v>
      </c>
      <c r="J5048">
        <v>26.19</v>
      </c>
      <c r="K5048">
        <v>33.8</v>
      </c>
      <c r="L5048">
        <v>21.18</v>
      </c>
      <c r="M5048">
        <v>0.06</v>
      </c>
      <c r="N5048">
        <v>0.0</v>
      </c>
      <c r="O5048">
        <v>25.98</v>
      </c>
      <c r="P5048">
        <v>33.63</v>
      </c>
      <c r="Q5048">
        <v>19.67</v>
      </c>
      <c r="R5048">
        <v>0.0</v>
      </c>
    </row>
    <row r="5049">
      <c r="A5049" s="9">
        <v>43580</v>
      </c>
      <c r="B5049" s="2" t="inlineStr">
        <is>
          <t xml:space="preserve">2019-04</t>
        </is>
      </c>
      <c r="C5049" s="2" t="inlineStr">
        <is>
          <t xml:space="preserve">2018/19</t>
        </is>
      </c>
      <c r="D5049">
        <v>0.0</v>
      </c>
      <c r="E5049">
        <v>26.5</v>
      </c>
      <c r="F5049">
        <v>34.48</v>
      </c>
      <c r="G5049">
        <v>19.21</v>
      </c>
      <c r="H5049">
        <v>0.0</v>
      </c>
      <c r="I5049">
        <v>0.0</v>
      </c>
      <c r="J5049">
        <v>26.27</v>
      </c>
      <c r="K5049">
        <v>34.08</v>
      </c>
      <c r="L5049">
        <v>19.57</v>
      </c>
      <c r="M5049">
        <v>0.0</v>
      </c>
      <c r="N5049">
        <v>0.0</v>
      </c>
      <c r="O5049">
        <v>27.78</v>
      </c>
      <c r="P5049">
        <v>36.23</v>
      </c>
      <c r="Q5049">
        <v>19.96</v>
      </c>
      <c r="R5049">
        <v>0.0</v>
      </c>
    </row>
    <row r="5050">
      <c r="A5050" s="9">
        <v>43581</v>
      </c>
      <c r="B5050" s="2" t="inlineStr">
        <is>
          <t xml:space="preserve">2019-04</t>
        </is>
      </c>
      <c r="C5050" s="2" t="inlineStr">
        <is>
          <t xml:space="preserve">2018/19</t>
        </is>
      </c>
      <c r="D5050">
        <v>0.0</v>
      </c>
      <c r="E5050">
        <v>26.14</v>
      </c>
      <c r="F5050">
        <v>33.8</v>
      </c>
      <c r="G5050">
        <v>19.49</v>
      </c>
      <c r="H5050">
        <v>0.0</v>
      </c>
      <c r="I5050">
        <v>0.0</v>
      </c>
      <c r="J5050">
        <v>26.86</v>
      </c>
      <c r="K5050">
        <v>33.76</v>
      </c>
      <c r="L5050">
        <v>20.84</v>
      </c>
      <c r="M5050">
        <v>0.0</v>
      </c>
      <c r="N5050">
        <v>0.0</v>
      </c>
      <c r="O5050">
        <v>26.44</v>
      </c>
      <c r="P5050">
        <v>33.45</v>
      </c>
      <c r="Q5050">
        <v>20.5</v>
      </c>
      <c r="R5050">
        <v>0.0</v>
      </c>
    </row>
    <row r="5051">
      <c r="A5051" s="9">
        <v>43582</v>
      </c>
      <c r="B5051" s="2" t="inlineStr">
        <is>
          <t xml:space="preserve">2019-04</t>
        </is>
      </c>
      <c r="C5051" s="2" t="inlineStr">
        <is>
          <t xml:space="preserve">2018/19</t>
        </is>
      </c>
      <c r="D5051">
        <v>0.0</v>
      </c>
      <c r="E5051">
        <v>25.87</v>
      </c>
      <c r="F5051">
        <v>34.11</v>
      </c>
      <c r="G5051">
        <v>19.25</v>
      </c>
      <c r="H5051">
        <v>0.0</v>
      </c>
      <c r="I5051">
        <v>0.0</v>
      </c>
      <c r="J5051">
        <v>26.24</v>
      </c>
      <c r="K5051">
        <v>34.43</v>
      </c>
      <c r="L5051">
        <v>18.82</v>
      </c>
      <c r="M5051">
        <v>0.0</v>
      </c>
      <c r="N5051">
        <v>0.0</v>
      </c>
      <c r="O5051">
        <v>24.79</v>
      </c>
      <c r="P5051">
        <v>32.4</v>
      </c>
      <c r="Q5051">
        <v>18.59</v>
      </c>
      <c r="R5051">
        <v>0.01</v>
      </c>
    </row>
    <row r="5052">
      <c r="A5052" s="9">
        <v>43583</v>
      </c>
      <c r="B5052" s="2" t="inlineStr">
        <is>
          <t xml:space="preserve">2019-04</t>
        </is>
      </c>
      <c r="C5052" s="2" t="inlineStr">
        <is>
          <t xml:space="preserve">2018/19</t>
        </is>
      </c>
      <c r="D5052">
        <v>0.0</v>
      </c>
      <c r="E5052">
        <v>25.77</v>
      </c>
      <c r="F5052">
        <v>33.4</v>
      </c>
      <c r="G5052">
        <v>18.82</v>
      </c>
      <c r="H5052">
        <v>0.0</v>
      </c>
      <c r="I5052">
        <v>0.0</v>
      </c>
      <c r="J5052">
        <v>26.65</v>
      </c>
      <c r="K5052">
        <v>35.28</v>
      </c>
      <c r="L5052">
        <v>18.52</v>
      </c>
      <c r="M5052">
        <v>0.0</v>
      </c>
      <c r="N5052">
        <v>0.0</v>
      </c>
      <c r="O5052">
        <v>25.29</v>
      </c>
      <c r="P5052">
        <v>33.42</v>
      </c>
      <c r="Q5052">
        <v>18.79</v>
      </c>
      <c r="R5052">
        <v>0.0</v>
      </c>
    </row>
    <row r="5053">
      <c r="A5053" s="9">
        <v>43584</v>
      </c>
      <c r="B5053" s="2" t="inlineStr">
        <is>
          <t xml:space="preserve">2019-04</t>
        </is>
      </c>
      <c r="C5053" s="2" t="inlineStr">
        <is>
          <t xml:space="preserve">2018/19</t>
        </is>
      </c>
      <c r="D5053">
        <v>0.0</v>
      </c>
      <c r="E5053">
        <v>26.85</v>
      </c>
      <c r="F5053">
        <v>34.05</v>
      </c>
      <c r="G5053">
        <v>20.29</v>
      </c>
      <c r="H5053">
        <v>0.0</v>
      </c>
      <c r="I5053">
        <v>0.0</v>
      </c>
      <c r="J5053">
        <v>27.07</v>
      </c>
      <c r="K5053">
        <v>35.06</v>
      </c>
      <c r="L5053">
        <v>21.0</v>
      </c>
      <c r="M5053">
        <v>0.96</v>
      </c>
      <c r="N5053">
        <v>0.0</v>
      </c>
      <c r="O5053">
        <v>25.79</v>
      </c>
      <c r="P5053">
        <v>32.96</v>
      </c>
      <c r="Q5053">
        <v>20.65</v>
      </c>
      <c r="R5053">
        <v>0.05</v>
      </c>
    </row>
    <row r="5054">
      <c r="A5054" s="9">
        <v>43585</v>
      </c>
      <c r="B5054" s="2" t="inlineStr">
        <is>
          <t xml:space="preserve">2019-04</t>
        </is>
      </c>
      <c r="C5054" s="2" t="inlineStr">
        <is>
          <t xml:space="preserve">2018/19</t>
        </is>
      </c>
      <c r="D5054">
        <v>0.0</v>
      </c>
      <c r="E5054">
        <v>26.77</v>
      </c>
      <c r="F5054">
        <v>33.98</v>
      </c>
      <c r="G5054">
        <v>20.23</v>
      </c>
      <c r="H5054">
        <v>0.06</v>
      </c>
      <c r="I5054">
        <v>5.671</v>
      </c>
      <c r="J5054">
        <v>25.76</v>
      </c>
      <c r="K5054">
        <v>32.04</v>
      </c>
      <c r="L5054">
        <v>21.53</v>
      </c>
      <c r="M5054">
        <v>10.59</v>
      </c>
      <c r="N5054">
        <v>0.146</v>
      </c>
      <c r="O5054">
        <v>26.18</v>
      </c>
      <c r="P5054">
        <v>33.79</v>
      </c>
      <c r="Q5054">
        <v>21.3</v>
      </c>
      <c r="R5054">
        <v>1.02</v>
      </c>
    </row>
    <row r="5055">
      <c r="A5055" s="9">
        <v>43586</v>
      </c>
      <c r="B5055" s="2" t="inlineStr">
        <is>
          <t xml:space="preserve">2019-05</t>
        </is>
      </c>
      <c r="C5055" s="2" t="inlineStr">
        <is>
          <t xml:space="preserve">2018/19</t>
        </is>
      </c>
      <c r="D5055">
        <v>0.0</v>
      </c>
      <c r="E5055">
        <v>26.91</v>
      </c>
      <c r="F5055">
        <v>34.6</v>
      </c>
      <c r="G5055">
        <v>20.61</v>
      </c>
      <c r="H5055">
        <v>0.16</v>
      </c>
      <c r="I5055">
        <v>20.037</v>
      </c>
      <c r="J5055">
        <v>25.14</v>
      </c>
      <c r="K5055">
        <v>30.53</v>
      </c>
      <c r="L5055">
        <v>21.61</v>
      </c>
      <c r="M5055">
        <v>8.12</v>
      </c>
      <c r="N5055">
        <v>0.979</v>
      </c>
      <c r="O5055">
        <v>26.22</v>
      </c>
      <c r="P5055">
        <v>33.92</v>
      </c>
      <c r="Q5055">
        <v>21.14</v>
      </c>
      <c r="R5055">
        <v>1.0</v>
      </c>
    </row>
    <row r="5056">
      <c r="A5056" s="9">
        <v>43587</v>
      </c>
      <c r="B5056" s="2" t="inlineStr">
        <is>
          <t xml:space="preserve">2019-05</t>
        </is>
      </c>
      <c r="C5056" s="2" t="inlineStr">
        <is>
          <t xml:space="preserve">2018/19</t>
        </is>
      </c>
      <c r="D5056">
        <v>4.87</v>
      </c>
      <c r="E5056">
        <v>24.73</v>
      </c>
      <c r="F5056">
        <v>31.25</v>
      </c>
      <c r="G5056">
        <v>20.47</v>
      </c>
      <c r="H5056">
        <v>3.62</v>
      </c>
      <c r="I5056">
        <v>25.827</v>
      </c>
      <c r="J5056">
        <v>24.82</v>
      </c>
      <c r="K5056">
        <v>30.63</v>
      </c>
      <c r="L5056">
        <v>20.07</v>
      </c>
      <c r="M5056">
        <v>16.04</v>
      </c>
      <c r="N5056">
        <v>2.629</v>
      </c>
      <c r="O5056">
        <v>25.01</v>
      </c>
      <c r="P5056">
        <v>31.83</v>
      </c>
      <c r="Q5056">
        <v>20.53</v>
      </c>
      <c r="R5056">
        <v>4.99</v>
      </c>
    </row>
    <row r="5057">
      <c r="A5057" s="9">
        <v>43588</v>
      </c>
      <c r="B5057" s="2" t="inlineStr">
        <is>
          <t xml:space="preserve">2019-05</t>
        </is>
      </c>
      <c r="C5057" s="2" t="inlineStr">
        <is>
          <t xml:space="preserve">2018/19</t>
        </is>
      </c>
      <c r="D5057">
        <v>0.122</v>
      </c>
      <c r="E5057">
        <v>24.37</v>
      </c>
      <c r="F5057">
        <v>30.55</v>
      </c>
      <c r="G5057">
        <v>20.26</v>
      </c>
      <c r="H5057">
        <v>4.23</v>
      </c>
      <c r="I5057">
        <v>6.598</v>
      </c>
      <c r="J5057">
        <v>24.99</v>
      </c>
      <c r="K5057">
        <v>30.83</v>
      </c>
      <c r="L5057">
        <v>20.74</v>
      </c>
      <c r="M5057">
        <v>14.48</v>
      </c>
      <c r="N5057">
        <v>25.553</v>
      </c>
      <c r="O5057">
        <v>25.16</v>
      </c>
      <c r="P5057">
        <v>31.53</v>
      </c>
      <c r="Q5057">
        <v>21.21</v>
      </c>
      <c r="R5057">
        <v>11.0</v>
      </c>
    </row>
    <row r="5058">
      <c r="A5058" s="9">
        <v>43589</v>
      </c>
      <c r="B5058" s="2" t="inlineStr">
        <is>
          <t xml:space="preserve">2019-05</t>
        </is>
      </c>
      <c r="C5058" s="2" t="inlineStr">
        <is>
          <t xml:space="preserve">2018/19</t>
        </is>
      </c>
      <c r="D5058">
        <v>10.546</v>
      </c>
      <c r="E5058">
        <v>25.99</v>
      </c>
      <c r="F5058">
        <v>33.68</v>
      </c>
      <c r="G5058">
        <v>19.36</v>
      </c>
      <c r="H5058">
        <v>3.72</v>
      </c>
      <c r="I5058">
        <v>5.939</v>
      </c>
      <c r="J5058">
        <v>24.82</v>
      </c>
      <c r="K5058">
        <v>30.14</v>
      </c>
      <c r="L5058">
        <v>21.13</v>
      </c>
      <c r="M5058">
        <v>3.64</v>
      </c>
      <c r="N5058">
        <v>2.598</v>
      </c>
      <c r="O5058">
        <v>26.74</v>
      </c>
      <c r="P5058">
        <v>33.89</v>
      </c>
      <c r="Q5058">
        <v>20.72</v>
      </c>
      <c r="R5058">
        <v>3.49</v>
      </c>
    </row>
    <row r="5059">
      <c r="A5059" s="9">
        <v>43590</v>
      </c>
      <c r="B5059" s="2" t="inlineStr">
        <is>
          <t xml:space="preserve">2019-05</t>
        </is>
      </c>
      <c r="C5059" s="2" t="inlineStr">
        <is>
          <t xml:space="preserve">2018/19</t>
        </is>
      </c>
      <c r="D5059">
        <v>1.013</v>
      </c>
      <c r="E5059">
        <v>25.15</v>
      </c>
      <c r="F5059">
        <v>29.61</v>
      </c>
      <c r="G5059">
        <v>21.41</v>
      </c>
      <c r="H5059">
        <v>1.88</v>
      </c>
      <c r="I5059">
        <v>6.827</v>
      </c>
      <c r="J5059">
        <v>25.99</v>
      </c>
      <c r="K5059">
        <v>32.69</v>
      </c>
      <c r="L5059">
        <v>20.26</v>
      </c>
      <c r="M5059">
        <v>7.18</v>
      </c>
      <c r="N5059">
        <v>11.3</v>
      </c>
      <c r="O5059">
        <v>26.67</v>
      </c>
      <c r="P5059">
        <v>32.88</v>
      </c>
      <c r="Q5059">
        <v>21.37</v>
      </c>
      <c r="R5059">
        <v>4.04</v>
      </c>
    </row>
    <row r="5060">
      <c r="A5060" s="9">
        <v>43591</v>
      </c>
      <c r="B5060" s="2" t="inlineStr">
        <is>
          <t xml:space="preserve">2019-05</t>
        </is>
      </c>
      <c r="C5060" s="2" t="inlineStr">
        <is>
          <t xml:space="preserve">2018/19</t>
        </is>
      </c>
      <c r="D5060">
        <v>0.481</v>
      </c>
      <c r="E5060">
        <v>26.03</v>
      </c>
      <c r="F5060">
        <v>32.86</v>
      </c>
      <c r="G5060">
        <v>20.23</v>
      </c>
      <c r="H5060">
        <v>1.56</v>
      </c>
      <c r="I5060">
        <v>1.495</v>
      </c>
      <c r="J5060">
        <v>26.01</v>
      </c>
      <c r="K5060">
        <v>31.22</v>
      </c>
      <c r="L5060">
        <v>22.38</v>
      </c>
      <c r="M5060">
        <v>4.12</v>
      </c>
      <c r="N5060">
        <v>0.472</v>
      </c>
      <c r="O5060">
        <v>26.09</v>
      </c>
      <c r="P5060">
        <v>32.09</v>
      </c>
      <c r="Q5060">
        <v>22.49</v>
      </c>
      <c r="R5060">
        <v>2.47</v>
      </c>
    </row>
    <row r="5061">
      <c r="A5061" s="9">
        <v>43592</v>
      </c>
      <c r="B5061" s="2" t="inlineStr">
        <is>
          <t xml:space="preserve">2019-05</t>
        </is>
      </c>
      <c r="C5061" s="2" t="inlineStr">
        <is>
          <t xml:space="preserve">2018/19</t>
        </is>
      </c>
      <c r="D5061">
        <v>4.86</v>
      </c>
      <c r="E5061">
        <v>25.63</v>
      </c>
      <c r="F5061">
        <v>31.64</v>
      </c>
      <c r="G5061">
        <v>20.91</v>
      </c>
      <c r="H5061">
        <v>1.94</v>
      </c>
      <c r="I5061">
        <v>9.376</v>
      </c>
      <c r="J5061">
        <v>24.86</v>
      </c>
      <c r="K5061">
        <v>29.58</v>
      </c>
      <c r="L5061">
        <v>21.29</v>
      </c>
      <c r="M5061">
        <v>8.73</v>
      </c>
      <c r="N5061">
        <v>8.25</v>
      </c>
      <c r="O5061">
        <v>25.43</v>
      </c>
      <c r="P5061">
        <v>31.19</v>
      </c>
      <c r="Q5061">
        <v>21.38</v>
      </c>
      <c r="R5061">
        <v>3.51</v>
      </c>
    </row>
    <row r="5062">
      <c r="A5062" s="9">
        <v>43593</v>
      </c>
      <c r="B5062" s="2" t="inlineStr">
        <is>
          <t xml:space="preserve">2019-05</t>
        </is>
      </c>
      <c r="C5062" s="2" t="inlineStr">
        <is>
          <t xml:space="preserve">2018/19</t>
        </is>
      </c>
      <c r="D5062">
        <v>2.378</v>
      </c>
      <c r="E5062">
        <v>26.18</v>
      </c>
      <c r="F5062">
        <v>34.29</v>
      </c>
      <c r="G5062">
        <v>19.14</v>
      </c>
      <c r="H5062">
        <v>1.01</v>
      </c>
      <c r="I5062">
        <v>16.988</v>
      </c>
      <c r="J5062">
        <v>25.43</v>
      </c>
      <c r="K5062">
        <v>31.07</v>
      </c>
      <c r="L5062">
        <v>20.83</v>
      </c>
      <c r="M5062">
        <v>5.88</v>
      </c>
      <c r="N5062">
        <v>1.161</v>
      </c>
      <c r="O5062">
        <v>27.18</v>
      </c>
      <c r="P5062">
        <v>35.13</v>
      </c>
      <c r="Q5062">
        <v>20.94</v>
      </c>
      <c r="R5062">
        <v>0.42</v>
      </c>
    </row>
    <row r="5063">
      <c r="A5063" s="9">
        <v>43594</v>
      </c>
      <c r="B5063" s="2" t="inlineStr">
        <is>
          <t xml:space="preserve">2019-05</t>
        </is>
      </c>
      <c r="C5063" s="2" t="inlineStr">
        <is>
          <t xml:space="preserve">2018/19</t>
        </is>
      </c>
      <c r="D5063">
        <v>2.395</v>
      </c>
      <c r="E5063">
        <v>26.13</v>
      </c>
      <c r="F5063">
        <v>33.29</v>
      </c>
      <c r="G5063">
        <v>20.81</v>
      </c>
      <c r="H5063">
        <v>3.85</v>
      </c>
      <c r="I5063">
        <v>0.0</v>
      </c>
      <c r="J5063">
        <v>25.72</v>
      </c>
      <c r="K5063">
        <v>32.4</v>
      </c>
      <c r="L5063">
        <v>21.31</v>
      </c>
      <c r="M5063">
        <v>0.69</v>
      </c>
      <c r="N5063">
        <v>0.0</v>
      </c>
      <c r="O5063">
        <v>27.89</v>
      </c>
      <c r="P5063">
        <v>35.93</v>
      </c>
      <c r="Q5063">
        <v>22.31</v>
      </c>
      <c r="R5063">
        <v>0.42</v>
      </c>
    </row>
    <row r="5064">
      <c r="A5064" s="9">
        <v>43595</v>
      </c>
      <c r="B5064" s="2" t="inlineStr">
        <is>
          <t xml:space="preserve">2019-05</t>
        </is>
      </c>
      <c r="C5064" s="2" t="inlineStr">
        <is>
          <t xml:space="preserve">2018/19</t>
        </is>
      </c>
      <c r="D5064">
        <v>0.0</v>
      </c>
      <c r="E5064">
        <v>25.64</v>
      </c>
      <c r="F5064">
        <v>31.81</v>
      </c>
      <c r="G5064">
        <v>21.56</v>
      </c>
      <c r="H5064">
        <v>5.92</v>
      </c>
      <c r="I5064">
        <v>1.895</v>
      </c>
      <c r="J5064">
        <v>25.34</v>
      </c>
      <c r="K5064">
        <v>31.13</v>
      </c>
      <c r="L5064">
        <v>21.24</v>
      </c>
      <c r="M5064">
        <v>2.85</v>
      </c>
      <c r="N5064">
        <v>3.416</v>
      </c>
      <c r="O5064">
        <v>26.72</v>
      </c>
      <c r="P5064">
        <v>33.49</v>
      </c>
      <c r="Q5064">
        <v>22.68</v>
      </c>
      <c r="R5064">
        <v>3.24</v>
      </c>
    </row>
    <row r="5065">
      <c r="A5065" s="9">
        <v>43596</v>
      </c>
      <c r="B5065" s="2" t="inlineStr">
        <is>
          <t xml:space="preserve">2019-05</t>
        </is>
      </c>
      <c r="C5065" s="2" t="inlineStr">
        <is>
          <t xml:space="preserve">2018/19</t>
        </is>
      </c>
      <c r="D5065">
        <v>11.456</v>
      </c>
      <c r="E5065">
        <v>23.19</v>
      </c>
      <c r="F5065">
        <v>26.06</v>
      </c>
      <c r="G5065">
        <v>21.22</v>
      </c>
      <c r="H5065">
        <v>5.82</v>
      </c>
      <c r="I5065">
        <v>3.126</v>
      </c>
      <c r="J5065">
        <v>24.8</v>
      </c>
      <c r="K5065">
        <v>30.85</v>
      </c>
      <c r="L5065">
        <v>21.08</v>
      </c>
      <c r="M5065">
        <v>10.97</v>
      </c>
      <c r="N5065">
        <v>5.357</v>
      </c>
      <c r="O5065">
        <v>25.74</v>
      </c>
      <c r="P5065">
        <v>31.11</v>
      </c>
      <c r="Q5065">
        <v>22.2</v>
      </c>
      <c r="R5065">
        <v>11.91</v>
      </c>
    </row>
    <row r="5066">
      <c r="A5066" s="9">
        <v>43597</v>
      </c>
      <c r="B5066" s="2" t="inlineStr">
        <is>
          <t xml:space="preserve">2019-05</t>
        </is>
      </c>
      <c r="C5066" s="2" t="inlineStr">
        <is>
          <t xml:space="preserve">2018/19</t>
        </is>
      </c>
      <c r="D5066">
        <v>9.408</v>
      </c>
      <c r="E5066">
        <v>24.81</v>
      </c>
      <c r="F5066">
        <v>30.43</v>
      </c>
      <c r="G5066">
        <v>19.98</v>
      </c>
      <c r="H5066">
        <v>4.88</v>
      </c>
      <c r="I5066">
        <v>8.246</v>
      </c>
      <c r="J5066">
        <v>25.01</v>
      </c>
      <c r="K5066">
        <v>31.7</v>
      </c>
      <c r="L5066">
        <v>19.45</v>
      </c>
      <c r="M5066">
        <v>7.78</v>
      </c>
      <c r="N5066">
        <v>27.437</v>
      </c>
      <c r="O5066">
        <v>26.14</v>
      </c>
      <c r="P5066">
        <v>33.2</v>
      </c>
      <c r="Q5066">
        <v>20.63</v>
      </c>
      <c r="R5066">
        <v>7.93</v>
      </c>
    </row>
    <row r="5067">
      <c r="A5067" s="9">
        <v>43598</v>
      </c>
      <c r="B5067" s="2" t="inlineStr">
        <is>
          <t xml:space="preserve">2019-05</t>
        </is>
      </c>
      <c r="C5067" s="2" t="inlineStr">
        <is>
          <t xml:space="preserve">2018/19</t>
        </is>
      </c>
      <c r="D5067">
        <v>0.161</v>
      </c>
      <c r="E5067">
        <v>25.88</v>
      </c>
      <c r="F5067">
        <v>31.48</v>
      </c>
      <c r="G5067">
        <v>20.74</v>
      </c>
      <c r="H5067">
        <v>1.1</v>
      </c>
      <c r="I5067">
        <v>0.351</v>
      </c>
      <c r="J5067">
        <v>24.76</v>
      </c>
      <c r="K5067">
        <v>29.77</v>
      </c>
      <c r="L5067">
        <v>21.18</v>
      </c>
      <c r="M5067">
        <v>1.62</v>
      </c>
      <c r="N5067">
        <v>0.3</v>
      </c>
      <c r="O5067">
        <v>27.07</v>
      </c>
      <c r="P5067">
        <v>33.68</v>
      </c>
      <c r="Q5067">
        <v>22.24</v>
      </c>
      <c r="R5067">
        <v>1.42</v>
      </c>
    </row>
    <row r="5068">
      <c r="A5068" s="9">
        <v>43599</v>
      </c>
      <c r="B5068" s="2" t="inlineStr">
        <is>
          <t xml:space="preserve">2019-05</t>
        </is>
      </c>
      <c r="C5068" s="2" t="inlineStr">
        <is>
          <t xml:space="preserve">2018/19</t>
        </is>
      </c>
      <c r="D5068">
        <v>4.886</v>
      </c>
      <c r="E5068">
        <v>26.34</v>
      </c>
      <c r="F5068">
        <v>32.81</v>
      </c>
      <c r="G5068">
        <v>21.01</v>
      </c>
      <c r="H5068">
        <v>2.7</v>
      </c>
      <c r="I5068">
        <v>1.861</v>
      </c>
      <c r="J5068">
        <v>24.5</v>
      </c>
      <c r="K5068">
        <v>28.18</v>
      </c>
      <c r="L5068">
        <v>22.04</v>
      </c>
      <c r="M5068">
        <v>2.11</v>
      </c>
      <c r="N5068">
        <v>1.767</v>
      </c>
      <c r="O5068">
        <v>26.81</v>
      </c>
      <c r="P5068">
        <v>33.37</v>
      </c>
      <c r="Q5068">
        <v>22.45</v>
      </c>
      <c r="R5068">
        <v>2.21</v>
      </c>
    </row>
    <row r="5069">
      <c r="A5069" s="9">
        <v>43600</v>
      </c>
      <c r="B5069" s="2" t="inlineStr">
        <is>
          <t xml:space="preserve">2019-05</t>
        </is>
      </c>
      <c r="C5069" s="2" t="inlineStr">
        <is>
          <t xml:space="preserve">2018/19</t>
        </is>
      </c>
      <c r="D5069">
        <v>3.493</v>
      </c>
      <c r="E5069">
        <v>24.9</v>
      </c>
      <c r="F5069">
        <v>28.98</v>
      </c>
      <c r="G5069">
        <v>22.33</v>
      </c>
      <c r="H5069">
        <v>3.72</v>
      </c>
      <c r="I5069">
        <v>1.783</v>
      </c>
      <c r="J5069">
        <v>23.37</v>
      </c>
      <c r="K5069">
        <v>26.9</v>
      </c>
      <c r="L5069">
        <v>21.34</v>
      </c>
      <c r="M5069">
        <v>3.27</v>
      </c>
      <c r="N5069">
        <v>0.782</v>
      </c>
      <c r="O5069">
        <v>25.79</v>
      </c>
      <c r="P5069">
        <v>30.26</v>
      </c>
      <c r="Q5069">
        <v>23.27</v>
      </c>
      <c r="R5069">
        <v>3.04</v>
      </c>
    </row>
    <row r="5070">
      <c r="A5070" s="9">
        <v>43601</v>
      </c>
      <c r="B5070" s="2" t="inlineStr">
        <is>
          <t xml:space="preserve">2019-05</t>
        </is>
      </c>
      <c r="C5070" s="2" t="inlineStr">
        <is>
          <t xml:space="preserve">2018/19</t>
        </is>
      </c>
      <c r="D5070">
        <v>7.925</v>
      </c>
      <c r="E5070">
        <v>23.34</v>
      </c>
      <c r="F5070">
        <v>26.11</v>
      </c>
      <c r="G5070">
        <v>21.39</v>
      </c>
      <c r="H5070">
        <v>4.18</v>
      </c>
      <c r="I5070">
        <v>3.428</v>
      </c>
      <c r="J5070">
        <v>24.37</v>
      </c>
      <c r="K5070">
        <v>28.52</v>
      </c>
      <c r="L5070">
        <v>21.48</v>
      </c>
      <c r="M5070">
        <v>3.25</v>
      </c>
      <c r="N5070">
        <v>2.825</v>
      </c>
      <c r="O5070">
        <v>25.97</v>
      </c>
      <c r="P5070">
        <v>32.16</v>
      </c>
      <c r="Q5070">
        <v>21.99</v>
      </c>
      <c r="R5070">
        <v>2.52</v>
      </c>
    </row>
    <row r="5071">
      <c r="A5071" s="9">
        <v>43602</v>
      </c>
      <c r="B5071" s="2" t="inlineStr">
        <is>
          <t xml:space="preserve">2019-05</t>
        </is>
      </c>
      <c r="C5071" s="2" t="inlineStr">
        <is>
          <t xml:space="preserve">2018/19</t>
        </is>
      </c>
      <c r="D5071">
        <v>14.646</v>
      </c>
      <c r="E5071">
        <v>23.15</v>
      </c>
      <c r="F5071">
        <v>27.25</v>
      </c>
      <c r="G5071">
        <v>20.85</v>
      </c>
      <c r="H5071">
        <v>12.0</v>
      </c>
      <c r="I5071">
        <v>9.872</v>
      </c>
      <c r="J5071">
        <v>23.95</v>
      </c>
      <c r="K5071">
        <v>28.89</v>
      </c>
      <c r="L5071">
        <v>20.93</v>
      </c>
      <c r="M5071">
        <v>17.78</v>
      </c>
      <c r="N5071">
        <v>2.583</v>
      </c>
      <c r="O5071">
        <v>25.21</v>
      </c>
      <c r="P5071">
        <v>31.62</v>
      </c>
      <c r="Q5071">
        <v>21.39</v>
      </c>
      <c r="R5071">
        <v>7.7</v>
      </c>
    </row>
    <row r="5072">
      <c r="A5072" s="9">
        <v>43603</v>
      </c>
      <c r="B5072" s="2" t="inlineStr">
        <is>
          <t xml:space="preserve">2019-05</t>
        </is>
      </c>
      <c r="C5072" s="2" t="inlineStr">
        <is>
          <t xml:space="preserve">2018/19</t>
        </is>
      </c>
      <c r="D5072">
        <v>7.817</v>
      </c>
      <c r="E5072">
        <v>22.52</v>
      </c>
      <c r="F5072">
        <v>26.86</v>
      </c>
      <c r="G5072">
        <v>20.07</v>
      </c>
      <c r="H5072">
        <v>14.64</v>
      </c>
      <c r="I5072">
        <v>28.576</v>
      </c>
      <c r="J5072">
        <v>23.39</v>
      </c>
      <c r="K5072">
        <v>28.84</v>
      </c>
      <c r="L5072">
        <v>19.79</v>
      </c>
      <c r="M5072">
        <v>12.79</v>
      </c>
      <c r="N5072">
        <v>8.827</v>
      </c>
      <c r="O5072">
        <v>24.72</v>
      </c>
      <c r="P5072">
        <v>30.53</v>
      </c>
      <c r="Q5072">
        <v>21.4</v>
      </c>
      <c r="R5072">
        <v>9.45</v>
      </c>
    </row>
    <row r="5073">
      <c r="A5073" s="9">
        <v>43604</v>
      </c>
      <c r="B5073" s="2" t="inlineStr">
        <is>
          <t xml:space="preserve">2019-05</t>
        </is>
      </c>
      <c r="C5073" s="2" t="inlineStr">
        <is>
          <t xml:space="preserve">2018/19</t>
        </is>
      </c>
      <c r="D5073">
        <v>7.124</v>
      </c>
      <c r="E5073">
        <v>24.75</v>
      </c>
      <c r="F5073">
        <v>31.66</v>
      </c>
      <c r="G5073">
        <v>18.9</v>
      </c>
      <c r="H5073">
        <v>0.84</v>
      </c>
      <c r="I5073">
        <v>2.777</v>
      </c>
      <c r="J5073">
        <v>24.06</v>
      </c>
      <c r="K5073">
        <v>30.26</v>
      </c>
      <c r="L5073">
        <v>18.88</v>
      </c>
      <c r="M5073">
        <v>1.13</v>
      </c>
      <c r="N5073">
        <v>7.489</v>
      </c>
      <c r="O5073">
        <v>25.89</v>
      </c>
      <c r="P5073">
        <v>33.71</v>
      </c>
      <c r="Q5073">
        <v>19.49</v>
      </c>
      <c r="R5073">
        <v>0.49</v>
      </c>
    </row>
    <row r="5074">
      <c r="A5074" s="9">
        <v>43605</v>
      </c>
      <c r="B5074" s="2" t="inlineStr">
        <is>
          <t xml:space="preserve">2019-05</t>
        </is>
      </c>
      <c r="C5074" s="2" t="inlineStr">
        <is>
          <t xml:space="preserve">2018/19</t>
        </is>
      </c>
      <c r="D5074">
        <v>0.711</v>
      </c>
      <c r="E5074">
        <v>25.0</v>
      </c>
      <c r="F5074">
        <v>31.78</v>
      </c>
      <c r="G5074">
        <v>20.4</v>
      </c>
      <c r="H5074">
        <v>3.12</v>
      </c>
      <c r="I5074">
        <v>13.641</v>
      </c>
      <c r="J5074">
        <v>23.77</v>
      </c>
      <c r="K5074">
        <v>28.23</v>
      </c>
      <c r="L5074">
        <v>20.35</v>
      </c>
      <c r="M5074">
        <v>11.66</v>
      </c>
      <c r="N5074">
        <v>0.519</v>
      </c>
      <c r="O5074">
        <v>25.77</v>
      </c>
      <c r="P5074">
        <v>32.25</v>
      </c>
      <c r="Q5074">
        <v>21.2</v>
      </c>
      <c r="R5074">
        <v>6.18</v>
      </c>
    </row>
    <row r="5075">
      <c r="A5075" s="9">
        <v>43606</v>
      </c>
      <c r="B5075" s="2" t="inlineStr">
        <is>
          <t xml:space="preserve">2019-05</t>
        </is>
      </c>
      <c r="C5075" s="2" t="inlineStr">
        <is>
          <t xml:space="preserve">2018/19</t>
        </is>
      </c>
      <c r="D5075">
        <v>6.215</v>
      </c>
      <c r="E5075">
        <v>24.3</v>
      </c>
      <c r="F5075">
        <v>30.89</v>
      </c>
      <c r="G5075">
        <v>19.66</v>
      </c>
      <c r="H5075">
        <v>3.04</v>
      </c>
      <c r="I5075">
        <v>5.938</v>
      </c>
      <c r="J5075">
        <v>24.13</v>
      </c>
      <c r="K5075">
        <v>29.36</v>
      </c>
      <c r="L5075">
        <v>20.23</v>
      </c>
      <c r="M5075">
        <v>5.96</v>
      </c>
      <c r="N5075">
        <v>20.903</v>
      </c>
      <c r="O5075">
        <v>25.26</v>
      </c>
      <c r="P5075">
        <v>31.33</v>
      </c>
      <c r="Q5075">
        <v>21.41</v>
      </c>
      <c r="R5075">
        <v>5.12</v>
      </c>
    </row>
    <row r="5076">
      <c r="A5076" s="9">
        <v>43607</v>
      </c>
      <c r="B5076" s="2" t="inlineStr">
        <is>
          <t xml:space="preserve">2019-05</t>
        </is>
      </c>
      <c r="C5076" s="2" t="inlineStr">
        <is>
          <t xml:space="preserve">2018/19</t>
        </is>
      </c>
      <c r="D5076">
        <v>2.491</v>
      </c>
      <c r="E5076">
        <v>22.98</v>
      </c>
      <c r="F5076">
        <v>28.78</v>
      </c>
      <c r="G5076">
        <v>19.2</v>
      </c>
      <c r="H5076">
        <v>6.72</v>
      </c>
      <c r="I5076">
        <v>3.074</v>
      </c>
      <c r="J5076">
        <v>23.31</v>
      </c>
      <c r="K5076">
        <v>26.2</v>
      </c>
      <c r="L5076">
        <v>21.37</v>
      </c>
      <c r="M5076">
        <v>21.75</v>
      </c>
      <c r="N5076">
        <v>3.25</v>
      </c>
      <c r="O5076">
        <v>25.0</v>
      </c>
      <c r="P5076">
        <v>31.46</v>
      </c>
      <c r="Q5076">
        <v>20.86</v>
      </c>
      <c r="R5076">
        <v>16.51</v>
      </c>
    </row>
    <row r="5077">
      <c r="A5077" s="9">
        <v>43608</v>
      </c>
      <c r="B5077" s="2" t="inlineStr">
        <is>
          <t xml:space="preserve">2019-05</t>
        </is>
      </c>
      <c r="C5077" s="2" t="inlineStr">
        <is>
          <t xml:space="preserve">2018/19</t>
        </is>
      </c>
      <c r="D5077">
        <v>4.682</v>
      </c>
      <c r="E5077">
        <v>22.3</v>
      </c>
      <c r="F5077">
        <v>26.02</v>
      </c>
      <c r="G5077">
        <v>19.18</v>
      </c>
      <c r="H5077">
        <v>11.37</v>
      </c>
      <c r="I5077">
        <v>18.056</v>
      </c>
      <c r="J5077">
        <v>23.25</v>
      </c>
      <c r="K5077">
        <v>27.07</v>
      </c>
      <c r="L5077">
        <v>20.76</v>
      </c>
      <c r="M5077">
        <v>18.72</v>
      </c>
      <c r="N5077">
        <v>70.072</v>
      </c>
      <c r="O5077">
        <v>23.68</v>
      </c>
      <c r="P5077">
        <v>27.8</v>
      </c>
      <c r="Q5077">
        <v>21.37</v>
      </c>
      <c r="R5077">
        <v>16.48</v>
      </c>
    </row>
    <row r="5078">
      <c r="A5078" s="9">
        <v>43609</v>
      </c>
      <c r="B5078" s="2" t="inlineStr">
        <is>
          <t xml:space="preserve">2019-05</t>
        </is>
      </c>
      <c r="C5078" s="2" t="inlineStr">
        <is>
          <t xml:space="preserve">2018/19</t>
        </is>
      </c>
      <c r="D5078">
        <v>7.731</v>
      </c>
      <c r="E5078">
        <v>22.56</v>
      </c>
      <c r="F5078">
        <v>27.18</v>
      </c>
      <c r="G5078">
        <v>19.38</v>
      </c>
      <c r="H5078">
        <v>6.68</v>
      </c>
      <c r="I5078">
        <v>29.561</v>
      </c>
      <c r="J5078">
        <v>23.15</v>
      </c>
      <c r="K5078">
        <v>28.08</v>
      </c>
      <c r="L5078">
        <v>20.75</v>
      </c>
      <c r="M5078">
        <v>14.17</v>
      </c>
      <c r="N5078">
        <v>6.984</v>
      </c>
      <c r="O5078">
        <v>23.51</v>
      </c>
      <c r="P5078">
        <v>29.01</v>
      </c>
      <c r="Q5078">
        <v>20.79</v>
      </c>
      <c r="R5078">
        <v>3.85</v>
      </c>
    </row>
    <row r="5079">
      <c r="A5079" s="9">
        <v>43610</v>
      </c>
      <c r="B5079" s="2" t="inlineStr">
        <is>
          <t xml:space="preserve">2019-05</t>
        </is>
      </c>
      <c r="C5079" s="2" t="inlineStr">
        <is>
          <t xml:space="preserve">2018/19</t>
        </is>
      </c>
      <c r="D5079">
        <v>3.861</v>
      </c>
      <c r="E5079">
        <v>22.93</v>
      </c>
      <c r="F5079">
        <v>28.99</v>
      </c>
      <c r="G5079">
        <v>18.73</v>
      </c>
      <c r="H5079">
        <v>3.61</v>
      </c>
      <c r="I5079">
        <v>3.002</v>
      </c>
      <c r="J5079">
        <v>23.21</v>
      </c>
      <c r="K5079">
        <v>27.54</v>
      </c>
      <c r="L5079">
        <v>20.11</v>
      </c>
      <c r="M5079">
        <v>2.22</v>
      </c>
      <c r="N5079">
        <v>3.764</v>
      </c>
      <c r="O5079">
        <v>23.75</v>
      </c>
      <c r="P5079">
        <v>29.17</v>
      </c>
      <c r="Q5079">
        <v>20.44</v>
      </c>
      <c r="R5079">
        <v>1.63</v>
      </c>
    </row>
    <row r="5080">
      <c r="A5080" s="9">
        <v>43611</v>
      </c>
      <c r="B5080" s="2" t="inlineStr">
        <is>
          <t xml:space="preserve">2019-05</t>
        </is>
      </c>
      <c r="C5080" s="2" t="inlineStr">
        <is>
          <t xml:space="preserve">2018/19</t>
        </is>
      </c>
      <c r="D5080">
        <v>3.155</v>
      </c>
      <c r="E5080">
        <v>22.59</v>
      </c>
      <c r="F5080">
        <v>27.94</v>
      </c>
      <c r="G5080">
        <v>18.74</v>
      </c>
      <c r="H5080">
        <v>2.07</v>
      </c>
      <c r="I5080">
        <v>0.357</v>
      </c>
      <c r="J5080">
        <v>23.06</v>
      </c>
      <c r="K5080">
        <v>28.17</v>
      </c>
      <c r="L5080">
        <v>19.33</v>
      </c>
      <c r="M5080">
        <v>0.41</v>
      </c>
      <c r="N5080">
        <v>0.022</v>
      </c>
      <c r="O5080">
        <v>23.65</v>
      </c>
      <c r="P5080">
        <v>29.21</v>
      </c>
      <c r="Q5080">
        <v>19.74</v>
      </c>
      <c r="R5080">
        <v>0.55</v>
      </c>
    </row>
    <row r="5081">
      <c r="A5081" s="9">
        <v>43612</v>
      </c>
      <c r="B5081" s="2" t="inlineStr">
        <is>
          <t xml:space="preserve">2019-05</t>
        </is>
      </c>
      <c r="C5081" s="2" t="inlineStr">
        <is>
          <t xml:space="preserve">2018/19</t>
        </is>
      </c>
      <c r="D5081">
        <v>0.0</v>
      </c>
      <c r="E5081">
        <v>21.55</v>
      </c>
      <c r="F5081">
        <v>24.82</v>
      </c>
      <c r="G5081">
        <v>19.53</v>
      </c>
      <c r="H5081">
        <v>1.75</v>
      </c>
      <c r="I5081">
        <v>0.0</v>
      </c>
      <c r="J5081">
        <v>22.58</v>
      </c>
      <c r="K5081">
        <v>27.21</v>
      </c>
      <c r="L5081">
        <v>19.13</v>
      </c>
      <c r="M5081">
        <v>7.87</v>
      </c>
      <c r="N5081">
        <v>0.0</v>
      </c>
      <c r="O5081">
        <v>23.46</v>
      </c>
      <c r="P5081">
        <v>28.75</v>
      </c>
      <c r="Q5081">
        <v>19.82</v>
      </c>
      <c r="R5081">
        <v>4.25</v>
      </c>
    </row>
    <row r="5082">
      <c r="A5082" s="9">
        <v>43613</v>
      </c>
      <c r="B5082" s="2" t="inlineStr">
        <is>
          <t xml:space="preserve">2019-05</t>
        </is>
      </c>
      <c r="C5082" s="2" t="inlineStr">
        <is>
          <t xml:space="preserve">2018/19</t>
        </is>
      </c>
      <c r="D5082">
        <v>6.643</v>
      </c>
      <c r="E5082">
        <v>22.84</v>
      </c>
      <c r="F5082">
        <v>29.55</v>
      </c>
      <c r="G5082">
        <v>18.44</v>
      </c>
      <c r="H5082">
        <v>4.06</v>
      </c>
      <c r="I5082">
        <v>18.915</v>
      </c>
      <c r="J5082">
        <v>22.82</v>
      </c>
      <c r="K5082">
        <v>26.63</v>
      </c>
      <c r="L5082">
        <v>20.38</v>
      </c>
      <c r="M5082">
        <v>8.54</v>
      </c>
      <c r="N5082">
        <v>18.321</v>
      </c>
      <c r="O5082">
        <v>23.9</v>
      </c>
      <c r="P5082">
        <v>29.55</v>
      </c>
      <c r="Q5082">
        <v>20.37</v>
      </c>
      <c r="R5082">
        <v>5.42</v>
      </c>
    </row>
    <row r="5083">
      <c r="A5083" s="9">
        <v>43614</v>
      </c>
      <c r="B5083" s="2" t="inlineStr">
        <is>
          <t xml:space="preserve">2019-05</t>
        </is>
      </c>
      <c r="C5083" s="2" t="inlineStr">
        <is>
          <t xml:space="preserve">2018/19</t>
        </is>
      </c>
      <c r="D5083">
        <v>5.674</v>
      </c>
      <c r="E5083">
        <v>22.55</v>
      </c>
      <c r="F5083">
        <v>27.48</v>
      </c>
      <c r="G5083">
        <v>19.12</v>
      </c>
      <c r="H5083">
        <v>4.12</v>
      </c>
      <c r="I5083">
        <v>1.509</v>
      </c>
      <c r="J5083">
        <v>22.53</v>
      </c>
      <c r="K5083">
        <v>26.41</v>
      </c>
      <c r="L5083">
        <v>19.7</v>
      </c>
      <c r="M5083">
        <v>2.11</v>
      </c>
      <c r="N5083">
        <v>1.594</v>
      </c>
      <c r="O5083">
        <v>24.26</v>
      </c>
      <c r="P5083">
        <v>30.02</v>
      </c>
      <c r="Q5083">
        <v>20.32</v>
      </c>
      <c r="R5083">
        <v>2.74</v>
      </c>
    </row>
    <row r="5084">
      <c r="A5084" s="9">
        <v>43615</v>
      </c>
      <c r="B5084" s="2" t="inlineStr">
        <is>
          <t xml:space="preserve">2019-05</t>
        </is>
      </c>
      <c r="C5084" s="2" t="inlineStr">
        <is>
          <t xml:space="preserve">2018/19</t>
        </is>
      </c>
      <c r="D5084">
        <v>0.283</v>
      </c>
      <c r="E5084">
        <v>22.66</v>
      </c>
      <c r="F5084">
        <v>28.03</v>
      </c>
      <c r="G5084">
        <v>18.77</v>
      </c>
      <c r="H5084">
        <v>0.49</v>
      </c>
      <c r="I5084">
        <v>0.779</v>
      </c>
      <c r="J5084">
        <v>22.48</v>
      </c>
      <c r="K5084">
        <v>26.58</v>
      </c>
      <c r="L5084">
        <v>19.01</v>
      </c>
      <c r="M5084">
        <v>0.68</v>
      </c>
      <c r="N5084">
        <v>0.093</v>
      </c>
      <c r="O5084">
        <v>24.29</v>
      </c>
      <c r="P5084">
        <v>29.92</v>
      </c>
      <c r="Q5084">
        <v>20.01</v>
      </c>
      <c r="R5084">
        <v>0.65</v>
      </c>
    </row>
    <row r="5085">
      <c r="A5085" s="9">
        <v>43616</v>
      </c>
      <c r="B5085" s="2" t="inlineStr">
        <is>
          <t xml:space="preserve">2019-05</t>
        </is>
      </c>
      <c r="C5085" s="2" t="inlineStr">
        <is>
          <t xml:space="preserve">2018/19</t>
        </is>
      </c>
      <c r="D5085">
        <v>0.336</v>
      </c>
      <c r="E5085">
        <v>22.61</v>
      </c>
      <c r="F5085">
        <v>28.03</v>
      </c>
      <c r="G5085">
        <v>18.74</v>
      </c>
      <c r="H5085">
        <v>2.52</v>
      </c>
      <c r="I5085">
        <v>0.571</v>
      </c>
      <c r="J5085">
        <v>22.3</v>
      </c>
      <c r="K5085">
        <v>25.51</v>
      </c>
      <c r="L5085">
        <v>19.94</v>
      </c>
      <c r="M5085">
        <v>0.94</v>
      </c>
      <c r="N5085">
        <v>0.338</v>
      </c>
      <c r="O5085">
        <v>23.76</v>
      </c>
      <c r="P5085">
        <v>28.0</v>
      </c>
      <c r="Q5085">
        <v>20.66</v>
      </c>
      <c r="R5085">
        <v>4.73</v>
      </c>
    </row>
    <row r="5086">
      <c r="A5086" s="9">
        <v>43617</v>
      </c>
      <c r="B5086" s="2" t="inlineStr">
        <is>
          <t xml:space="preserve">2019-06</t>
        </is>
      </c>
      <c r="C5086" s="2" t="inlineStr">
        <is>
          <t xml:space="preserve">2018/19</t>
        </is>
      </c>
      <c r="D5086">
        <v>0.0</v>
      </c>
      <c r="E5086">
        <v>24.06</v>
      </c>
      <c r="F5086">
        <v>31.1</v>
      </c>
      <c r="G5086">
        <v>18.47</v>
      </c>
      <c r="H5086">
        <v>2.54</v>
      </c>
      <c r="I5086">
        <v>0.483</v>
      </c>
      <c r="J5086">
        <v>23.11</v>
      </c>
      <c r="K5086">
        <v>28.15</v>
      </c>
      <c r="L5086">
        <v>19.16</v>
      </c>
      <c r="M5086">
        <v>1.13</v>
      </c>
      <c r="N5086">
        <v>0.0</v>
      </c>
      <c r="O5086">
        <v>25.31</v>
      </c>
      <c r="P5086">
        <v>31.86</v>
      </c>
      <c r="Q5086">
        <v>20.02</v>
      </c>
      <c r="R5086">
        <v>3.94</v>
      </c>
    </row>
    <row r="5087">
      <c r="A5087" s="9">
        <v>43618</v>
      </c>
      <c r="B5087" s="2" t="inlineStr">
        <is>
          <t xml:space="preserve">2019-06</t>
        </is>
      </c>
      <c r="C5087" s="2" t="inlineStr">
        <is>
          <t xml:space="preserve">2018/19</t>
        </is>
      </c>
      <c r="D5087">
        <v>0.234</v>
      </c>
      <c r="E5087">
        <v>23.97</v>
      </c>
      <c r="F5087">
        <v>28.71</v>
      </c>
      <c r="G5087">
        <v>20.21</v>
      </c>
      <c r="H5087">
        <v>5.49</v>
      </c>
      <c r="I5087">
        <v>0.736</v>
      </c>
      <c r="J5087">
        <v>23.18</v>
      </c>
      <c r="K5087">
        <v>27.39</v>
      </c>
      <c r="L5087">
        <v>20.11</v>
      </c>
      <c r="M5087">
        <v>1.73</v>
      </c>
      <c r="N5087">
        <v>2.643</v>
      </c>
      <c r="O5087">
        <v>25.52</v>
      </c>
      <c r="P5087">
        <v>32.14</v>
      </c>
      <c r="Q5087">
        <v>20.99</v>
      </c>
      <c r="R5087">
        <v>5.91</v>
      </c>
    </row>
    <row r="5088">
      <c r="A5088" s="9">
        <v>43619</v>
      </c>
      <c r="B5088" s="2" t="inlineStr">
        <is>
          <t xml:space="preserve">2019-06</t>
        </is>
      </c>
      <c r="C5088" s="2" t="inlineStr">
        <is>
          <t xml:space="preserve">2018/19</t>
        </is>
      </c>
      <c r="D5088">
        <v>9.587</v>
      </c>
      <c r="E5088">
        <v>24.57</v>
      </c>
      <c r="F5088">
        <v>30.25</v>
      </c>
      <c r="G5088">
        <v>20.85</v>
      </c>
      <c r="H5088">
        <v>10.51</v>
      </c>
      <c r="I5088">
        <v>0.763</v>
      </c>
      <c r="J5088">
        <v>23.5</v>
      </c>
      <c r="K5088">
        <v>28.53</v>
      </c>
      <c r="L5088">
        <v>19.93</v>
      </c>
      <c r="M5088">
        <v>3.65</v>
      </c>
      <c r="N5088">
        <v>3.442</v>
      </c>
      <c r="O5088">
        <v>24.88</v>
      </c>
      <c r="P5088">
        <v>29.64</v>
      </c>
      <c r="Q5088">
        <v>20.96</v>
      </c>
      <c r="R5088">
        <v>8.98</v>
      </c>
    </row>
    <row r="5089">
      <c r="A5089" s="9">
        <v>43620</v>
      </c>
      <c r="B5089" s="2" t="inlineStr">
        <is>
          <t xml:space="preserve">2019-06</t>
        </is>
      </c>
      <c r="C5089" s="2" t="inlineStr">
        <is>
          <t xml:space="preserve">2018/19</t>
        </is>
      </c>
      <c r="D5089">
        <v>5.199</v>
      </c>
      <c r="E5089">
        <v>24.96</v>
      </c>
      <c r="F5089">
        <v>32.27</v>
      </c>
      <c r="G5089">
        <v>19.23</v>
      </c>
      <c r="H5089">
        <v>5.44</v>
      </c>
      <c r="I5089">
        <v>4.046</v>
      </c>
      <c r="J5089">
        <v>24.6</v>
      </c>
      <c r="K5089">
        <v>30.09</v>
      </c>
      <c r="L5089">
        <v>20.49</v>
      </c>
      <c r="M5089">
        <v>6.83</v>
      </c>
      <c r="N5089">
        <v>0.221</v>
      </c>
      <c r="O5089">
        <v>25.86</v>
      </c>
      <c r="P5089">
        <v>32.84</v>
      </c>
      <c r="Q5089">
        <v>20.88</v>
      </c>
      <c r="R5089">
        <v>6.16</v>
      </c>
    </row>
    <row r="5090">
      <c r="A5090" s="9">
        <v>43621</v>
      </c>
      <c r="B5090" s="2" t="inlineStr">
        <is>
          <t xml:space="preserve">2019-06</t>
        </is>
      </c>
      <c r="C5090" s="2" t="inlineStr">
        <is>
          <t xml:space="preserve">2018/19</t>
        </is>
      </c>
      <c r="D5090">
        <v>11.433</v>
      </c>
      <c r="E5090">
        <v>25.72</v>
      </c>
      <c r="F5090">
        <v>32.54</v>
      </c>
      <c r="G5090">
        <v>20.26</v>
      </c>
      <c r="H5090">
        <v>3.4</v>
      </c>
      <c r="I5090">
        <v>5.755</v>
      </c>
      <c r="J5090">
        <v>23.83</v>
      </c>
      <c r="K5090">
        <v>28.4</v>
      </c>
      <c r="L5090">
        <v>21.04</v>
      </c>
      <c r="M5090">
        <v>6.21</v>
      </c>
      <c r="N5090">
        <v>19.634</v>
      </c>
      <c r="O5090">
        <v>26.21</v>
      </c>
      <c r="P5090">
        <v>32.63</v>
      </c>
      <c r="Q5090">
        <v>21.93</v>
      </c>
      <c r="R5090">
        <v>6.07</v>
      </c>
    </row>
    <row r="5091">
      <c r="A5091" s="9">
        <v>43622</v>
      </c>
      <c r="B5091" s="2" t="inlineStr">
        <is>
          <t xml:space="preserve">2019-06</t>
        </is>
      </c>
      <c r="C5091" s="2" t="inlineStr">
        <is>
          <t xml:space="preserve">2018/19</t>
        </is>
      </c>
      <c r="D5091">
        <v>1.154</v>
      </c>
      <c r="E5091">
        <v>25.29</v>
      </c>
      <c r="F5091">
        <v>31.21</v>
      </c>
      <c r="G5091">
        <v>20.87</v>
      </c>
      <c r="H5091">
        <v>6.86</v>
      </c>
      <c r="I5091">
        <v>0.332</v>
      </c>
      <c r="J5091">
        <v>24.56</v>
      </c>
      <c r="K5091">
        <v>29.79</v>
      </c>
      <c r="L5091">
        <v>20.0</v>
      </c>
      <c r="M5091">
        <v>2.22</v>
      </c>
      <c r="N5091">
        <v>2.046</v>
      </c>
      <c r="O5091">
        <v>26.29</v>
      </c>
      <c r="P5091">
        <v>32.01</v>
      </c>
      <c r="Q5091">
        <v>22.01</v>
      </c>
      <c r="R5091">
        <v>1.82</v>
      </c>
    </row>
    <row r="5092">
      <c r="A5092" s="9">
        <v>43623</v>
      </c>
      <c r="B5092" s="2" t="inlineStr">
        <is>
          <t xml:space="preserve">2019-06</t>
        </is>
      </c>
      <c r="C5092" s="2" t="inlineStr">
        <is>
          <t xml:space="preserve">2018/19</t>
        </is>
      </c>
      <c r="D5092">
        <v>7.763</v>
      </c>
      <c r="E5092">
        <v>24.54</v>
      </c>
      <c r="F5092">
        <v>29.13</v>
      </c>
      <c r="G5092">
        <v>21.29</v>
      </c>
      <c r="H5092">
        <v>7.86</v>
      </c>
      <c r="I5092">
        <v>4.721</v>
      </c>
      <c r="J5092">
        <v>24.1</v>
      </c>
      <c r="K5092">
        <v>27.77</v>
      </c>
      <c r="L5092">
        <v>21.46</v>
      </c>
      <c r="M5092">
        <v>3.25</v>
      </c>
      <c r="N5092">
        <v>0.552</v>
      </c>
      <c r="O5092">
        <v>25.23</v>
      </c>
      <c r="P5092">
        <v>29.95</v>
      </c>
      <c r="Q5092">
        <v>22.34</v>
      </c>
      <c r="R5092">
        <v>1.75</v>
      </c>
    </row>
    <row r="5093">
      <c r="A5093" s="9">
        <v>43624</v>
      </c>
      <c r="B5093" s="2" t="inlineStr">
        <is>
          <t xml:space="preserve">2019-06</t>
        </is>
      </c>
      <c r="C5093" s="2" t="inlineStr">
        <is>
          <t xml:space="preserve">2018/19</t>
        </is>
      </c>
      <c r="D5093">
        <v>4.29</v>
      </c>
      <c r="E5093">
        <v>24.38</v>
      </c>
      <c r="F5093">
        <v>29.03</v>
      </c>
      <c r="G5093">
        <v>21.05</v>
      </c>
      <c r="H5093">
        <v>4.15</v>
      </c>
      <c r="I5093">
        <v>5.474</v>
      </c>
      <c r="J5093">
        <v>23.28</v>
      </c>
      <c r="K5093">
        <v>28.01</v>
      </c>
      <c r="L5093">
        <v>19.95</v>
      </c>
      <c r="M5093">
        <v>2.23</v>
      </c>
      <c r="N5093">
        <v>2.341</v>
      </c>
      <c r="O5093">
        <v>24.55</v>
      </c>
      <c r="P5093">
        <v>29.12</v>
      </c>
      <c r="Q5093">
        <v>21.02</v>
      </c>
      <c r="R5093">
        <v>2.08</v>
      </c>
    </row>
    <row r="5094">
      <c r="A5094" s="9">
        <v>43625</v>
      </c>
      <c r="B5094" s="2" t="inlineStr">
        <is>
          <t xml:space="preserve">2019-06</t>
        </is>
      </c>
      <c r="C5094" s="2" t="inlineStr">
        <is>
          <t xml:space="preserve">2018/19</t>
        </is>
      </c>
      <c r="D5094">
        <v>26.768</v>
      </c>
      <c r="E5094">
        <v>23.99</v>
      </c>
      <c r="F5094">
        <v>27.69</v>
      </c>
      <c r="G5094">
        <v>21.02</v>
      </c>
      <c r="H5094">
        <v>15.42</v>
      </c>
      <c r="I5094">
        <v>3.455</v>
      </c>
      <c r="J5094">
        <v>22.86</v>
      </c>
      <c r="K5094">
        <v>24.93</v>
      </c>
      <c r="L5094">
        <v>20.91</v>
      </c>
      <c r="M5094">
        <v>6.51</v>
      </c>
      <c r="N5094">
        <v>5.482</v>
      </c>
      <c r="O5094">
        <v>24.26</v>
      </c>
      <c r="P5094">
        <v>27.51</v>
      </c>
      <c r="Q5094">
        <v>22.4</v>
      </c>
      <c r="R5094">
        <v>7.95</v>
      </c>
    </row>
    <row r="5095">
      <c r="A5095" s="9">
        <v>43626</v>
      </c>
      <c r="B5095" s="2" t="inlineStr">
        <is>
          <t xml:space="preserve">2019-06</t>
        </is>
      </c>
      <c r="C5095" s="2" t="inlineStr">
        <is>
          <t xml:space="preserve">2018/19</t>
        </is>
      </c>
      <c r="D5095">
        <v>10.395</v>
      </c>
      <c r="E5095">
        <v>23.2</v>
      </c>
      <c r="F5095">
        <v>27.43</v>
      </c>
      <c r="G5095">
        <v>20.13</v>
      </c>
      <c r="H5095">
        <v>4.92</v>
      </c>
      <c r="I5095">
        <v>3.309</v>
      </c>
      <c r="J5095">
        <v>22.87</v>
      </c>
      <c r="K5095">
        <v>25.4</v>
      </c>
      <c r="L5095">
        <v>21.02</v>
      </c>
      <c r="M5095">
        <v>4.35</v>
      </c>
      <c r="N5095">
        <v>4.273</v>
      </c>
      <c r="O5095">
        <v>23.7</v>
      </c>
      <c r="P5095">
        <v>26.46</v>
      </c>
      <c r="Q5095">
        <v>21.86</v>
      </c>
      <c r="R5095">
        <v>4.34</v>
      </c>
    </row>
    <row r="5096">
      <c r="A5096" s="9">
        <v>43627</v>
      </c>
      <c r="B5096" s="2" t="inlineStr">
        <is>
          <t xml:space="preserve">2019-06</t>
        </is>
      </c>
      <c r="C5096" s="2" t="inlineStr">
        <is>
          <t xml:space="preserve">2018/19</t>
        </is>
      </c>
      <c r="D5096">
        <v>2.408</v>
      </c>
      <c r="E5096">
        <v>23.29</v>
      </c>
      <c r="F5096">
        <v>27.82</v>
      </c>
      <c r="G5096">
        <v>19.63</v>
      </c>
      <c r="H5096">
        <v>3.44</v>
      </c>
      <c r="I5096">
        <v>13.75</v>
      </c>
      <c r="J5096">
        <v>23.09</v>
      </c>
      <c r="K5096">
        <v>26.81</v>
      </c>
      <c r="L5096">
        <v>20.88</v>
      </c>
      <c r="M5096">
        <v>9.68</v>
      </c>
      <c r="N5096">
        <v>13.649</v>
      </c>
      <c r="O5096">
        <v>23.22</v>
      </c>
      <c r="P5096">
        <v>26.57</v>
      </c>
      <c r="Q5096">
        <v>21.28</v>
      </c>
      <c r="R5096">
        <v>5.99</v>
      </c>
    </row>
    <row r="5097">
      <c r="A5097" s="9">
        <v>43628</v>
      </c>
      <c r="B5097" s="2" t="inlineStr">
        <is>
          <t xml:space="preserve">2019-06</t>
        </is>
      </c>
      <c r="C5097" s="2" t="inlineStr">
        <is>
          <t xml:space="preserve">2018/19</t>
        </is>
      </c>
      <c r="D5097">
        <v>19.04</v>
      </c>
      <c r="E5097">
        <v>23.13</v>
      </c>
      <c r="F5097">
        <v>28.48</v>
      </c>
      <c r="G5097">
        <v>18.76</v>
      </c>
      <c r="H5097">
        <v>10.97</v>
      </c>
      <c r="I5097">
        <v>3.501</v>
      </c>
      <c r="J5097">
        <v>23.58</v>
      </c>
      <c r="K5097">
        <v>28.11</v>
      </c>
      <c r="L5097">
        <v>19.98</v>
      </c>
      <c r="M5097">
        <v>17.36</v>
      </c>
      <c r="N5097">
        <v>12.67</v>
      </c>
      <c r="O5097">
        <v>24.0</v>
      </c>
      <c r="P5097">
        <v>29.14</v>
      </c>
      <c r="Q5097">
        <v>20.73</v>
      </c>
      <c r="R5097">
        <v>10.48</v>
      </c>
    </row>
    <row r="5098">
      <c r="A5098" s="9">
        <v>43629</v>
      </c>
      <c r="B5098" s="2" t="inlineStr">
        <is>
          <t xml:space="preserve">2019-06</t>
        </is>
      </c>
      <c r="C5098" s="2" t="inlineStr">
        <is>
          <t xml:space="preserve">2018/19</t>
        </is>
      </c>
      <c r="D5098">
        <v>7.827</v>
      </c>
      <c r="E5098">
        <v>22.95</v>
      </c>
      <c r="F5098">
        <v>28.03</v>
      </c>
      <c r="G5098">
        <v>19.85</v>
      </c>
      <c r="H5098">
        <v>7.73</v>
      </c>
      <c r="I5098">
        <v>18.781</v>
      </c>
      <c r="J5098">
        <v>22.27</v>
      </c>
      <c r="K5098">
        <v>24.67</v>
      </c>
      <c r="L5098">
        <v>20.38</v>
      </c>
      <c r="M5098">
        <v>2.89</v>
      </c>
      <c r="N5098">
        <v>6.418</v>
      </c>
      <c r="O5098">
        <v>22.95</v>
      </c>
      <c r="P5098">
        <v>26.08</v>
      </c>
      <c r="Q5098">
        <v>20.79</v>
      </c>
      <c r="R5098">
        <v>3.81</v>
      </c>
    </row>
    <row r="5099">
      <c r="A5099" s="9">
        <v>43630</v>
      </c>
      <c r="B5099" s="2" t="inlineStr">
        <is>
          <t xml:space="preserve">2019-06</t>
        </is>
      </c>
      <c r="C5099" s="2" t="inlineStr">
        <is>
          <t xml:space="preserve">2018/19</t>
        </is>
      </c>
      <c r="D5099">
        <v>3.008</v>
      </c>
      <c r="E5099">
        <v>23.34</v>
      </c>
      <c r="F5099">
        <v>28.77</v>
      </c>
      <c r="G5099">
        <v>18.74</v>
      </c>
      <c r="H5099">
        <v>0.57</v>
      </c>
      <c r="I5099">
        <v>0.309</v>
      </c>
      <c r="J5099">
        <v>22.8</v>
      </c>
      <c r="K5099">
        <v>26.9</v>
      </c>
      <c r="L5099">
        <v>19.95</v>
      </c>
      <c r="M5099">
        <v>0.36</v>
      </c>
      <c r="N5099">
        <v>0.945</v>
      </c>
      <c r="O5099">
        <v>23.93</v>
      </c>
      <c r="P5099">
        <v>29.23</v>
      </c>
      <c r="Q5099">
        <v>20.95</v>
      </c>
      <c r="R5099">
        <v>0.36</v>
      </c>
    </row>
    <row r="5100">
      <c r="A5100" s="9">
        <v>43631</v>
      </c>
      <c r="B5100" s="2" t="inlineStr">
        <is>
          <t xml:space="preserve">2019-06</t>
        </is>
      </c>
      <c r="C5100" s="2" t="inlineStr">
        <is>
          <t xml:space="preserve">2018/19</t>
        </is>
      </c>
      <c r="D5100">
        <v>0.0</v>
      </c>
      <c r="E5100">
        <v>24.97</v>
      </c>
      <c r="F5100">
        <v>31.21</v>
      </c>
      <c r="G5100">
        <v>19.26</v>
      </c>
      <c r="H5100">
        <v>0.01</v>
      </c>
      <c r="I5100">
        <v>0.0</v>
      </c>
      <c r="J5100">
        <v>24.23</v>
      </c>
      <c r="K5100">
        <v>29.22</v>
      </c>
      <c r="L5100">
        <v>19.58</v>
      </c>
      <c r="M5100">
        <v>0.0</v>
      </c>
      <c r="N5100">
        <v>0.0</v>
      </c>
      <c r="O5100">
        <v>25.01</v>
      </c>
      <c r="P5100">
        <v>31.14</v>
      </c>
      <c r="Q5100">
        <v>20.95</v>
      </c>
      <c r="R5100">
        <v>0.0</v>
      </c>
    </row>
    <row r="5101">
      <c r="A5101" s="9">
        <v>43632</v>
      </c>
      <c r="B5101" s="2" t="inlineStr">
        <is>
          <t xml:space="preserve">2019-06</t>
        </is>
      </c>
      <c r="C5101" s="2" t="inlineStr">
        <is>
          <t xml:space="preserve">2018/19</t>
        </is>
      </c>
      <c r="D5101">
        <v>0.0</v>
      </c>
      <c r="E5101">
        <v>25.19</v>
      </c>
      <c r="F5101">
        <v>31.53</v>
      </c>
      <c r="G5101">
        <v>19.66</v>
      </c>
      <c r="H5101">
        <v>1.12</v>
      </c>
      <c r="I5101">
        <v>0.0</v>
      </c>
      <c r="J5101">
        <v>24.99</v>
      </c>
      <c r="K5101">
        <v>30.03</v>
      </c>
      <c r="L5101">
        <v>21.04</v>
      </c>
      <c r="M5101">
        <v>7.07</v>
      </c>
      <c r="N5101">
        <v>0.0</v>
      </c>
      <c r="O5101">
        <v>25.51</v>
      </c>
      <c r="P5101">
        <v>31.55</v>
      </c>
      <c r="Q5101">
        <v>20.86</v>
      </c>
      <c r="R5101">
        <v>6.99</v>
      </c>
    </row>
    <row r="5102">
      <c r="A5102" s="9">
        <v>43633</v>
      </c>
      <c r="B5102" s="2" t="inlineStr">
        <is>
          <t xml:space="preserve">2019-06</t>
        </is>
      </c>
      <c r="C5102" s="2" t="inlineStr">
        <is>
          <t xml:space="preserve">2018/19</t>
        </is>
      </c>
      <c r="D5102">
        <v>0.027</v>
      </c>
      <c r="E5102">
        <v>25.2</v>
      </c>
      <c r="F5102">
        <v>31.54</v>
      </c>
      <c r="G5102">
        <v>19.43</v>
      </c>
      <c r="H5102">
        <v>1.31</v>
      </c>
      <c r="I5102">
        <v>6.063</v>
      </c>
      <c r="J5102">
        <v>25.09</v>
      </c>
      <c r="K5102">
        <v>29.44</v>
      </c>
      <c r="L5102">
        <v>21.59</v>
      </c>
      <c r="M5102">
        <v>4.04</v>
      </c>
      <c r="N5102">
        <v>22.797</v>
      </c>
      <c r="O5102">
        <v>25.48</v>
      </c>
      <c r="P5102">
        <v>31.62</v>
      </c>
      <c r="Q5102">
        <v>21.66</v>
      </c>
      <c r="R5102">
        <v>3.06</v>
      </c>
    </row>
    <row r="5103">
      <c r="A5103" s="9">
        <v>43634</v>
      </c>
      <c r="B5103" s="2" t="inlineStr">
        <is>
          <t xml:space="preserve">2019-06</t>
        </is>
      </c>
      <c r="C5103" s="2" t="inlineStr">
        <is>
          <t xml:space="preserve">2018/19</t>
        </is>
      </c>
      <c r="D5103">
        <v>0.0</v>
      </c>
      <c r="E5103">
        <v>25.27</v>
      </c>
      <c r="F5103">
        <v>32.03</v>
      </c>
      <c r="G5103">
        <v>19.62</v>
      </c>
      <c r="H5103">
        <v>1.62</v>
      </c>
      <c r="I5103">
        <v>0.0</v>
      </c>
      <c r="J5103">
        <v>25.05</v>
      </c>
      <c r="K5103">
        <v>29.75</v>
      </c>
      <c r="L5103">
        <v>20.73</v>
      </c>
      <c r="M5103">
        <v>2.15</v>
      </c>
      <c r="N5103">
        <v>0.0</v>
      </c>
      <c r="O5103">
        <v>25.46</v>
      </c>
      <c r="P5103">
        <v>30.81</v>
      </c>
      <c r="Q5103">
        <v>22.01</v>
      </c>
      <c r="R5103">
        <v>2.68</v>
      </c>
    </row>
    <row r="5104">
      <c r="A5104" s="9">
        <v>43635</v>
      </c>
      <c r="B5104" s="2" t="inlineStr">
        <is>
          <t xml:space="preserve">2019-06</t>
        </is>
      </c>
      <c r="C5104" s="2" t="inlineStr">
        <is>
          <t xml:space="preserve">2018/19</t>
        </is>
      </c>
      <c r="D5104">
        <v>0.0</v>
      </c>
      <c r="E5104">
        <v>24.48</v>
      </c>
      <c r="F5104">
        <v>29.3</v>
      </c>
      <c r="G5104">
        <v>20.13</v>
      </c>
      <c r="H5104">
        <v>0.45</v>
      </c>
      <c r="I5104">
        <v>0.0</v>
      </c>
      <c r="J5104">
        <v>24.44</v>
      </c>
      <c r="K5104">
        <v>28.5</v>
      </c>
      <c r="L5104">
        <v>20.99</v>
      </c>
      <c r="M5104">
        <v>1.82</v>
      </c>
      <c r="N5104">
        <v>0.0</v>
      </c>
      <c r="O5104">
        <v>25.07</v>
      </c>
      <c r="P5104">
        <v>29.66</v>
      </c>
      <c r="Q5104">
        <v>21.92</v>
      </c>
      <c r="R5104">
        <v>0.21</v>
      </c>
    </row>
    <row r="5105">
      <c r="A5105" s="9">
        <v>43636</v>
      </c>
      <c r="B5105" s="2" t="inlineStr">
        <is>
          <t xml:space="preserve">2019-06</t>
        </is>
      </c>
      <c r="C5105" s="2" t="inlineStr">
        <is>
          <t xml:space="preserve">2018/19</t>
        </is>
      </c>
      <c r="D5105">
        <v>0.572</v>
      </c>
      <c r="E5105">
        <v>23.83</v>
      </c>
      <c r="F5105">
        <v>28.9</v>
      </c>
      <c r="G5105">
        <v>19.13</v>
      </c>
      <c r="H5105">
        <v>4.9</v>
      </c>
      <c r="I5105">
        <v>7.828</v>
      </c>
      <c r="J5105">
        <v>24.76</v>
      </c>
      <c r="K5105">
        <v>29.44</v>
      </c>
      <c r="L5105">
        <v>21.62</v>
      </c>
      <c r="M5105">
        <v>7.39</v>
      </c>
      <c r="N5105">
        <v>0.25</v>
      </c>
      <c r="O5105">
        <v>25.19</v>
      </c>
      <c r="P5105">
        <v>30.76</v>
      </c>
      <c r="Q5105">
        <v>22.3</v>
      </c>
      <c r="R5105">
        <v>9.48</v>
      </c>
    </row>
    <row r="5106">
      <c r="A5106" s="9">
        <v>43637</v>
      </c>
      <c r="B5106" s="2" t="inlineStr">
        <is>
          <t xml:space="preserve">2019-06</t>
        </is>
      </c>
      <c r="C5106" s="2" t="inlineStr">
        <is>
          <t xml:space="preserve">2018/19</t>
        </is>
      </c>
      <c r="D5106">
        <v>6.21</v>
      </c>
      <c r="E5106">
        <v>24.25</v>
      </c>
      <c r="F5106">
        <v>29.57</v>
      </c>
      <c r="G5106">
        <v>20.3</v>
      </c>
      <c r="H5106">
        <v>7.31</v>
      </c>
      <c r="I5106">
        <v>4.93</v>
      </c>
      <c r="J5106">
        <v>24.57</v>
      </c>
      <c r="K5106">
        <v>28.87</v>
      </c>
      <c r="L5106">
        <v>21.21</v>
      </c>
      <c r="M5106">
        <v>9.85</v>
      </c>
      <c r="N5106">
        <v>16.962</v>
      </c>
      <c r="O5106">
        <v>24.59</v>
      </c>
      <c r="P5106">
        <v>29.0</v>
      </c>
      <c r="Q5106">
        <v>22.05</v>
      </c>
      <c r="R5106">
        <v>13.34</v>
      </c>
    </row>
    <row r="5107">
      <c r="A5107" s="9">
        <v>43638</v>
      </c>
      <c r="B5107" s="2" t="inlineStr">
        <is>
          <t xml:space="preserve">2019-06</t>
        </is>
      </c>
      <c r="C5107" s="2" t="inlineStr">
        <is>
          <t xml:space="preserve">2018/19</t>
        </is>
      </c>
      <c r="D5107">
        <v>14.08</v>
      </c>
      <c r="E5107">
        <v>23.22</v>
      </c>
      <c r="F5107">
        <v>26.94</v>
      </c>
      <c r="G5107">
        <v>20.49</v>
      </c>
      <c r="H5107">
        <v>9.86</v>
      </c>
      <c r="I5107">
        <v>12.205</v>
      </c>
      <c r="J5107">
        <v>23.39</v>
      </c>
      <c r="K5107">
        <v>26.18</v>
      </c>
      <c r="L5107">
        <v>21.24</v>
      </c>
      <c r="M5107">
        <v>18.14</v>
      </c>
      <c r="N5107">
        <v>44.099</v>
      </c>
      <c r="O5107">
        <v>23.75</v>
      </c>
      <c r="P5107">
        <v>26.55</v>
      </c>
      <c r="Q5107">
        <v>21.89</v>
      </c>
      <c r="R5107">
        <v>17.08</v>
      </c>
    </row>
    <row r="5108">
      <c r="A5108" s="9">
        <v>43639</v>
      </c>
      <c r="B5108" s="2" t="inlineStr">
        <is>
          <t xml:space="preserve">2019-06</t>
        </is>
      </c>
      <c r="C5108" s="2" t="inlineStr">
        <is>
          <t xml:space="preserve">2018/19</t>
        </is>
      </c>
      <c r="D5108">
        <v>0.961</v>
      </c>
      <c r="E5108">
        <v>24.31</v>
      </c>
      <c r="F5108">
        <v>30.95</v>
      </c>
      <c r="G5108">
        <v>19.62</v>
      </c>
      <c r="H5108">
        <v>0.39</v>
      </c>
      <c r="I5108">
        <v>0.064</v>
      </c>
      <c r="J5108">
        <v>24.43</v>
      </c>
      <c r="K5108">
        <v>28.63</v>
      </c>
      <c r="L5108">
        <v>21.14</v>
      </c>
      <c r="M5108">
        <v>0.2</v>
      </c>
      <c r="N5108">
        <v>0.675</v>
      </c>
      <c r="O5108">
        <v>24.82</v>
      </c>
      <c r="P5108">
        <v>30.31</v>
      </c>
      <c r="Q5108">
        <v>21.75</v>
      </c>
      <c r="R5108">
        <v>0.17</v>
      </c>
    </row>
    <row r="5109">
      <c r="A5109" s="9">
        <v>43640</v>
      </c>
      <c r="B5109" s="2" t="inlineStr">
        <is>
          <t xml:space="preserve">2019-06</t>
        </is>
      </c>
      <c r="C5109" s="2" t="inlineStr">
        <is>
          <t xml:space="preserve">2018/19</t>
        </is>
      </c>
      <c r="D5109">
        <v>0.297</v>
      </c>
      <c r="E5109">
        <v>23.56</v>
      </c>
      <c r="F5109">
        <v>30.78</v>
      </c>
      <c r="G5109">
        <v>16.47</v>
      </c>
      <c r="H5109">
        <v>0.06</v>
      </c>
      <c r="I5109">
        <v>0.0</v>
      </c>
      <c r="J5109">
        <v>24.44</v>
      </c>
      <c r="K5109">
        <v>29.52</v>
      </c>
      <c r="L5109">
        <v>19.44</v>
      </c>
      <c r="M5109">
        <v>0.0</v>
      </c>
      <c r="N5109">
        <v>0.0</v>
      </c>
      <c r="O5109">
        <v>24.56</v>
      </c>
      <c r="P5109">
        <v>30.56</v>
      </c>
      <c r="Q5109">
        <v>19.94</v>
      </c>
      <c r="R5109">
        <v>0.0</v>
      </c>
    </row>
    <row r="5110">
      <c r="A5110" s="9">
        <v>43641</v>
      </c>
      <c r="B5110" s="2" t="inlineStr">
        <is>
          <t xml:space="preserve">2019-06</t>
        </is>
      </c>
      <c r="C5110" s="2" t="inlineStr">
        <is>
          <t xml:space="preserve">2018/19</t>
        </is>
      </c>
      <c r="D5110">
        <v>0.0</v>
      </c>
      <c r="E5110">
        <v>23.76</v>
      </c>
      <c r="F5110">
        <v>29.81</v>
      </c>
      <c r="G5110">
        <v>17.92</v>
      </c>
      <c r="H5110">
        <v>4.09</v>
      </c>
      <c r="I5110">
        <v>0.0</v>
      </c>
      <c r="J5110">
        <v>24.42</v>
      </c>
      <c r="K5110">
        <v>29.83</v>
      </c>
      <c r="L5110">
        <v>19.18</v>
      </c>
      <c r="M5110">
        <v>7.89</v>
      </c>
      <c r="N5110">
        <v>0.0</v>
      </c>
      <c r="O5110">
        <v>24.69</v>
      </c>
      <c r="P5110">
        <v>30.81</v>
      </c>
      <c r="Q5110">
        <v>20.14</v>
      </c>
      <c r="R5110">
        <v>2.17</v>
      </c>
    </row>
    <row r="5111">
      <c r="A5111" s="9">
        <v>43642</v>
      </c>
      <c r="B5111" s="2" t="inlineStr">
        <is>
          <t xml:space="preserve">2019-06</t>
        </is>
      </c>
      <c r="C5111" s="2" t="inlineStr">
        <is>
          <t xml:space="preserve">2018/19</t>
        </is>
      </c>
      <c r="D5111">
        <v>14.197</v>
      </c>
      <c r="E5111">
        <v>23.07</v>
      </c>
      <c r="F5111">
        <v>28.41</v>
      </c>
      <c r="G5111">
        <v>18.4</v>
      </c>
      <c r="H5111">
        <v>5.65</v>
      </c>
      <c r="I5111">
        <v>32.595</v>
      </c>
      <c r="J5111">
        <v>23.68</v>
      </c>
      <c r="K5111">
        <v>27.38</v>
      </c>
      <c r="L5111">
        <v>20.6</v>
      </c>
      <c r="M5111">
        <v>11.5</v>
      </c>
      <c r="N5111">
        <v>1.667</v>
      </c>
      <c r="O5111">
        <v>23.79</v>
      </c>
      <c r="P5111">
        <v>27.69</v>
      </c>
      <c r="Q5111">
        <v>21.15</v>
      </c>
      <c r="R5111">
        <v>4.38</v>
      </c>
    </row>
    <row r="5112">
      <c r="A5112" s="9">
        <v>43643</v>
      </c>
      <c r="B5112" s="2" t="inlineStr">
        <is>
          <t xml:space="preserve">2019-06</t>
        </is>
      </c>
      <c r="C5112" s="2" t="inlineStr">
        <is>
          <t xml:space="preserve">2018/19</t>
        </is>
      </c>
      <c r="D5112">
        <v>0.379</v>
      </c>
      <c r="E5112">
        <v>21.97</v>
      </c>
      <c r="F5112">
        <v>28.8</v>
      </c>
      <c r="G5112">
        <v>16.33</v>
      </c>
      <c r="H5112">
        <v>2.08</v>
      </c>
      <c r="I5112">
        <v>4.339</v>
      </c>
      <c r="J5112">
        <v>22.93</v>
      </c>
      <c r="K5112">
        <v>27.48</v>
      </c>
      <c r="L5112">
        <v>19.88</v>
      </c>
      <c r="M5112">
        <v>1.81</v>
      </c>
      <c r="N5112">
        <v>2.798</v>
      </c>
      <c r="O5112">
        <v>23.09</v>
      </c>
      <c r="P5112">
        <v>27.75</v>
      </c>
      <c r="Q5112">
        <v>19.82</v>
      </c>
      <c r="R5112">
        <v>2.1</v>
      </c>
    </row>
    <row r="5113">
      <c r="A5113" s="9">
        <v>43644</v>
      </c>
      <c r="B5113" s="2" t="inlineStr">
        <is>
          <t xml:space="preserve">2019-06</t>
        </is>
      </c>
      <c r="C5113" s="2" t="inlineStr">
        <is>
          <t xml:space="preserve">2018/19</t>
        </is>
      </c>
      <c r="D5113">
        <v>0.0</v>
      </c>
      <c r="E5113">
        <v>22.59</v>
      </c>
      <c r="F5113">
        <v>28.67</v>
      </c>
      <c r="G5113">
        <v>17.34</v>
      </c>
      <c r="H5113">
        <v>0.76</v>
      </c>
      <c r="I5113">
        <v>0.0</v>
      </c>
      <c r="J5113">
        <v>22.38</v>
      </c>
      <c r="K5113">
        <v>26.95</v>
      </c>
      <c r="L5113">
        <v>18.92</v>
      </c>
      <c r="M5113">
        <v>0.22</v>
      </c>
      <c r="N5113">
        <v>0.0</v>
      </c>
      <c r="O5113">
        <v>23.25</v>
      </c>
      <c r="P5113">
        <v>28.12</v>
      </c>
      <c r="Q5113">
        <v>19.86</v>
      </c>
      <c r="R5113">
        <v>0.51</v>
      </c>
    </row>
    <row r="5114">
      <c r="A5114" s="9">
        <v>43645</v>
      </c>
      <c r="B5114" s="2" t="inlineStr">
        <is>
          <t xml:space="preserve">2019-06</t>
        </is>
      </c>
      <c r="C5114" s="2" t="inlineStr">
        <is>
          <t xml:space="preserve">2018/19</t>
        </is>
      </c>
      <c r="D5114">
        <v>0.0</v>
      </c>
      <c r="E5114">
        <v>23.01</v>
      </c>
      <c r="F5114">
        <v>29.09</v>
      </c>
      <c r="G5114">
        <v>18.95</v>
      </c>
      <c r="H5114">
        <v>1.44</v>
      </c>
      <c r="I5114">
        <v>0.275</v>
      </c>
      <c r="J5114">
        <v>21.42</v>
      </c>
      <c r="K5114">
        <v>25.5</v>
      </c>
      <c r="L5114">
        <v>18.41</v>
      </c>
      <c r="M5114">
        <v>1.37</v>
      </c>
      <c r="N5114">
        <v>2.926</v>
      </c>
      <c r="O5114">
        <v>22.39</v>
      </c>
      <c r="P5114">
        <v>26.94</v>
      </c>
      <c r="Q5114">
        <v>19.55</v>
      </c>
      <c r="R5114">
        <v>1.79</v>
      </c>
    </row>
    <row r="5115">
      <c r="A5115" s="9">
        <v>43646</v>
      </c>
      <c r="B5115" s="2" t="inlineStr">
        <is>
          <t xml:space="preserve">2019-06</t>
        </is>
      </c>
      <c r="C5115" s="2" t="inlineStr">
        <is>
          <t xml:space="preserve">2018/19</t>
        </is>
      </c>
      <c r="D5115">
        <v>2.04</v>
      </c>
      <c r="E5115">
        <v>23.19</v>
      </c>
      <c r="F5115">
        <v>29.34</v>
      </c>
      <c r="G5115">
        <v>19.03</v>
      </c>
      <c r="H5115">
        <v>3.95</v>
      </c>
      <c r="I5115">
        <v>0.49</v>
      </c>
      <c r="J5115">
        <v>22.53</v>
      </c>
      <c r="K5115">
        <v>26.42</v>
      </c>
      <c r="L5115">
        <v>19.26</v>
      </c>
      <c r="M5115">
        <v>4.35</v>
      </c>
      <c r="N5115">
        <v>1.77</v>
      </c>
      <c r="O5115">
        <v>23.4</v>
      </c>
      <c r="P5115">
        <v>28.3</v>
      </c>
      <c r="Q5115">
        <v>20.11</v>
      </c>
      <c r="R5115">
        <v>2.7</v>
      </c>
    </row>
    <row r="5116">
      <c r="A5116" s="9">
        <v>43647</v>
      </c>
      <c r="B5116" s="2" t="inlineStr">
        <is>
          <t xml:space="preserve">2019-07</t>
        </is>
      </c>
      <c r="C5116" s="2" t="inlineStr">
        <is>
          <t xml:space="preserve">2019/20</t>
        </is>
      </c>
      <c r="D5116">
        <v>9.627</v>
      </c>
      <c r="E5116">
        <v>23.07</v>
      </c>
      <c r="F5116">
        <v>28.76</v>
      </c>
      <c r="G5116">
        <v>18.05</v>
      </c>
      <c r="H5116">
        <v>1.45</v>
      </c>
      <c r="I5116">
        <v>10.553</v>
      </c>
      <c r="J5116">
        <v>23.56</v>
      </c>
      <c r="K5116">
        <v>28.39</v>
      </c>
      <c r="L5116">
        <v>19.67</v>
      </c>
      <c r="M5116">
        <v>2.23</v>
      </c>
      <c r="N5116">
        <v>0.556</v>
      </c>
      <c r="O5116">
        <v>24.27</v>
      </c>
      <c r="P5116">
        <v>29.73</v>
      </c>
      <c r="Q5116">
        <v>20.66</v>
      </c>
      <c r="R5116">
        <v>0.39</v>
      </c>
    </row>
    <row r="5117">
      <c r="A5117" s="9">
        <v>43648</v>
      </c>
      <c r="B5117" s="2" t="inlineStr">
        <is>
          <t xml:space="preserve">2019-07</t>
        </is>
      </c>
      <c r="C5117" s="2" t="inlineStr">
        <is>
          <t xml:space="preserve">2019/20</t>
        </is>
      </c>
      <c r="D5117">
        <v>0.0</v>
      </c>
      <c r="E5117">
        <v>24.38</v>
      </c>
      <c r="F5117">
        <v>31.64</v>
      </c>
      <c r="G5117">
        <v>18.38</v>
      </c>
      <c r="H5117">
        <v>0.01</v>
      </c>
      <c r="I5117">
        <v>0.0</v>
      </c>
      <c r="J5117">
        <v>24.38</v>
      </c>
      <c r="K5117">
        <v>30.18</v>
      </c>
      <c r="L5117">
        <v>19.61</v>
      </c>
      <c r="M5117">
        <v>0.0</v>
      </c>
      <c r="N5117">
        <v>0.0</v>
      </c>
      <c r="O5117">
        <v>25.05</v>
      </c>
      <c r="P5117">
        <v>31.31</v>
      </c>
      <c r="Q5117">
        <v>21.07</v>
      </c>
      <c r="R5117">
        <v>0.05</v>
      </c>
    </row>
    <row r="5118">
      <c r="A5118" s="9">
        <v>43649</v>
      </c>
      <c r="B5118" s="2" t="inlineStr">
        <is>
          <t xml:space="preserve">2019-07</t>
        </is>
      </c>
      <c r="C5118" s="2" t="inlineStr">
        <is>
          <t xml:space="preserve">2019/20</t>
        </is>
      </c>
      <c r="D5118">
        <v>0.0</v>
      </c>
      <c r="E5118">
        <v>24.18</v>
      </c>
      <c r="F5118">
        <v>32.19</v>
      </c>
      <c r="G5118">
        <v>17.52</v>
      </c>
      <c r="H5118">
        <v>0.0</v>
      </c>
      <c r="I5118">
        <v>0.0</v>
      </c>
      <c r="J5118">
        <v>23.83</v>
      </c>
      <c r="K5118">
        <v>29.67</v>
      </c>
      <c r="L5118">
        <v>19.35</v>
      </c>
      <c r="M5118">
        <v>0.0</v>
      </c>
      <c r="N5118">
        <v>0.0</v>
      </c>
      <c r="O5118">
        <v>24.65</v>
      </c>
      <c r="P5118">
        <v>31.16</v>
      </c>
      <c r="Q5118">
        <v>20.6</v>
      </c>
      <c r="R5118">
        <v>0.0</v>
      </c>
    </row>
    <row r="5119">
      <c r="A5119" s="9">
        <v>43650</v>
      </c>
      <c r="B5119" s="2" t="inlineStr">
        <is>
          <t xml:space="preserve">2019-07</t>
        </is>
      </c>
      <c r="C5119" s="2" t="inlineStr">
        <is>
          <t xml:space="preserve">2019/20</t>
        </is>
      </c>
      <c r="D5119">
        <v>0.0</v>
      </c>
      <c r="E5119">
        <v>23.65</v>
      </c>
      <c r="F5119">
        <v>31.6</v>
      </c>
      <c r="G5119">
        <v>16.81</v>
      </c>
      <c r="H5119">
        <v>0.0</v>
      </c>
      <c r="I5119">
        <v>0.0</v>
      </c>
      <c r="J5119">
        <v>23.55</v>
      </c>
      <c r="K5119">
        <v>29.81</v>
      </c>
      <c r="L5119">
        <v>17.79</v>
      </c>
      <c r="M5119">
        <v>0.0</v>
      </c>
      <c r="N5119">
        <v>0.0</v>
      </c>
      <c r="O5119">
        <v>24.57</v>
      </c>
      <c r="P5119">
        <v>31.33</v>
      </c>
      <c r="Q5119">
        <v>19.4</v>
      </c>
      <c r="R5119">
        <v>0.0</v>
      </c>
    </row>
    <row r="5120">
      <c r="A5120" s="9">
        <v>43651</v>
      </c>
      <c r="B5120" s="2" t="inlineStr">
        <is>
          <t xml:space="preserve">2019-07</t>
        </is>
      </c>
      <c r="C5120" s="2" t="inlineStr">
        <is>
          <t xml:space="preserve">2019/20</t>
        </is>
      </c>
      <c r="D5120">
        <v>0.0</v>
      </c>
      <c r="E5120">
        <v>24.1</v>
      </c>
      <c r="F5120">
        <v>31.69</v>
      </c>
      <c r="G5120">
        <v>16.79</v>
      </c>
      <c r="H5120">
        <v>0.08</v>
      </c>
      <c r="I5120">
        <v>0.0</v>
      </c>
      <c r="J5120">
        <v>23.49</v>
      </c>
      <c r="K5120">
        <v>29.34</v>
      </c>
      <c r="L5120">
        <v>18.67</v>
      </c>
      <c r="M5120">
        <v>0.0</v>
      </c>
      <c r="N5120">
        <v>0.0</v>
      </c>
      <c r="O5120">
        <v>24.68</v>
      </c>
      <c r="P5120">
        <v>31.22</v>
      </c>
      <c r="Q5120">
        <v>20.15</v>
      </c>
      <c r="R5120">
        <v>0.06</v>
      </c>
    </row>
    <row r="5121">
      <c r="A5121" s="9">
        <v>43652</v>
      </c>
      <c r="B5121" s="2" t="inlineStr">
        <is>
          <t xml:space="preserve">2019-07</t>
        </is>
      </c>
      <c r="C5121" s="2" t="inlineStr">
        <is>
          <t xml:space="preserve">2019/20</t>
        </is>
      </c>
      <c r="D5121">
        <v>0.0</v>
      </c>
      <c r="E5121">
        <v>23.4</v>
      </c>
      <c r="F5121">
        <v>29.89</v>
      </c>
      <c r="G5121">
        <v>17.76</v>
      </c>
      <c r="H5121">
        <v>2.33</v>
      </c>
      <c r="I5121">
        <v>0.0</v>
      </c>
      <c r="J5121">
        <v>23.49</v>
      </c>
      <c r="K5121">
        <v>29.32</v>
      </c>
      <c r="L5121">
        <v>18.92</v>
      </c>
      <c r="M5121">
        <v>0.55</v>
      </c>
      <c r="N5121">
        <v>0.0</v>
      </c>
      <c r="O5121">
        <v>24.32</v>
      </c>
      <c r="P5121">
        <v>30.71</v>
      </c>
      <c r="Q5121">
        <v>20.51</v>
      </c>
      <c r="R5121">
        <v>2.82</v>
      </c>
    </row>
    <row r="5122">
      <c r="A5122" s="9">
        <v>43653</v>
      </c>
      <c r="B5122" s="2" t="inlineStr">
        <is>
          <t xml:space="preserve">2019-07</t>
        </is>
      </c>
      <c r="C5122" s="2" t="inlineStr">
        <is>
          <t xml:space="preserve">2019/20</t>
        </is>
      </c>
      <c r="D5122">
        <v>1.828</v>
      </c>
      <c r="E5122">
        <v>23.44</v>
      </c>
      <c r="F5122">
        <v>29.16</v>
      </c>
      <c r="G5122">
        <v>19.68</v>
      </c>
      <c r="H5122">
        <v>4.63</v>
      </c>
      <c r="I5122">
        <v>0.975</v>
      </c>
      <c r="J5122">
        <v>23.52</v>
      </c>
      <c r="K5122">
        <v>28.14</v>
      </c>
      <c r="L5122">
        <v>19.84</v>
      </c>
      <c r="M5122">
        <v>4.09</v>
      </c>
      <c r="N5122">
        <v>2.244</v>
      </c>
      <c r="O5122">
        <v>23.83</v>
      </c>
      <c r="P5122">
        <v>29.23</v>
      </c>
      <c r="Q5122">
        <v>20.87</v>
      </c>
      <c r="R5122">
        <v>6.89</v>
      </c>
    </row>
    <row r="5123">
      <c r="A5123" s="9">
        <v>43654</v>
      </c>
      <c r="B5123" s="2" t="inlineStr">
        <is>
          <t xml:space="preserve">2019-07</t>
        </is>
      </c>
      <c r="C5123" s="2" t="inlineStr">
        <is>
          <t xml:space="preserve">2019/20</t>
        </is>
      </c>
      <c r="D5123">
        <v>5.504</v>
      </c>
      <c r="E5123">
        <v>23.68</v>
      </c>
      <c r="F5123">
        <v>29.37</v>
      </c>
      <c r="G5123">
        <v>19.46</v>
      </c>
      <c r="H5123">
        <v>2.88</v>
      </c>
      <c r="I5123">
        <v>12.134</v>
      </c>
      <c r="J5123">
        <v>22.88</v>
      </c>
      <c r="K5123">
        <v>26.33</v>
      </c>
      <c r="L5123">
        <v>20.62</v>
      </c>
      <c r="M5123">
        <v>9.72</v>
      </c>
      <c r="N5123">
        <v>2.865</v>
      </c>
      <c r="O5123">
        <v>23.51</v>
      </c>
      <c r="P5123">
        <v>28.2</v>
      </c>
      <c r="Q5123">
        <v>21.21</v>
      </c>
      <c r="R5123">
        <v>4.05</v>
      </c>
    </row>
    <row r="5124">
      <c r="A5124" s="9">
        <v>43655</v>
      </c>
      <c r="B5124" s="2" t="inlineStr">
        <is>
          <t xml:space="preserve">2019-07</t>
        </is>
      </c>
      <c r="C5124" s="2" t="inlineStr">
        <is>
          <t xml:space="preserve">2019/20</t>
        </is>
      </c>
      <c r="D5124">
        <v>0.939</v>
      </c>
      <c r="E5124">
        <v>23.98</v>
      </c>
      <c r="F5124">
        <v>29.31</v>
      </c>
      <c r="G5124">
        <v>19.37</v>
      </c>
      <c r="H5124">
        <v>1.09</v>
      </c>
      <c r="I5124">
        <v>27.522</v>
      </c>
      <c r="J5124">
        <v>23.27</v>
      </c>
      <c r="K5124">
        <v>27.45</v>
      </c>
      <c r="L5124">
        <v>19.5</v>
      </c>
      <c r="M5124">
        <v>11.94</v>
      </c>
      <c r="N5124">
        <v>3.11</v>
      </c>
      <c r="O5124">
        <v>24.05</v>
      </c>
      <c r="P5124">
        <v>29.22</v>
      </c>
      <c r="Q5124">
        <v>20.77</v>
      </c>
      <c r="R5124">
        <v>2.6</v>
      </c>
    </row>
    <row r="5125">
      <c r="A5125" s="9">
        <v>43656</v>
      </c>
      <c r="B5125" s="2" t="inlineStr">
        <is>
          <t xml:space="preserve">2019-07</t>
        </is>
      </c>
      <c r="C5125" s="2" t="inlineStr">
        <is>
          <t xml:space="preserve">2019/20</t>
        </is>
      </c>
      <c r="D5125">
        <v>0.0</v>
      </c>
      <c r="E5125">
        <v>25.15</v>
      </c>
      <c r="F5125">
        <v>32.34</v>
      </c>
      <c r="G5125">
        <v>18.63</v>
      </c>
      <c r="H5125">
        <v>3.41</v>
      </c>
      <c r="I5125">
        <v>0.0</v>
      </c>
      <c r="J5125">
        <v>24.05</v>
      </c>
      <c r="K5125">
        <v>28.89</v>
      </c>
      <c r="L5125">
        <v>20.41</v>
      </c>
      <c r="M5125">
        <v>3.66</v>
      </c>
      <c r="N5125">
        <v>0.0</v>
      </c>
      <c r="O5125">
        <v>24.9</v>
      </c>
      <c r="P5125">
        <v>31.25</v>
      </c>
      <c r="Q5125">
        <v>20.81</v>
      </c>
      <c r="R5125">
        <v>2.0</v>
      </c>
    </row>
    <row r="5126">
      <c r="A5126" s="9">
        <v>43657</v>
      </c>
      <c r="B5126" s="2" t="inlineStr">
        <is>
          <t xml:space="preserve">2019-07</t>
        </is>
      </c>
      <c r="C5126" s="2" t="inlineStr">
        <is>
          <t xml:space="preserve">2019/20</t>
        </is>
      </c>
      <c r="D5126">
        <v>14.741</v>
      </c>
      <c r="E5126">
        <v>23.96</v>
      </c>
      <c r="F5126">
        <v>30.52</v>
      </c>
      <c r="G5126">
        <v>19.24</v>
      </c>
      <c r="H5126">
        <v>6.4</v>
      </c>
      <c r="I5126">
        <v>11.274</v>
      </c>
      <c r="J5126">
        <v>23.86</v>
      </c>
      <c r="K5126">
        <v>29.27</v>
      </c>
      <c r="L5126">
        <v>19.31</v>
      </c>
      <c r="M5126">
        <v>8.9</v>
      </c>
      <c r="N5126">
        <v>4.624</v>
      </c>
      <c r="O5126">
        <v>24.42</v>
      </c>
      <c r="P5126">
        <v>30.85</v>
      </c>
      <c r="Q5126">
        <v>20.61</v>
      </c>
      <c r="R5126">
        <v>6.05</v>
      </c>
    </row>
    <row r="5127">
      <c r="A5127" s="9">
        <v>43658</v>
      </c>
      <c r="B5127" s="2" t="inlineStr">
        <is>
          <t xml:space="preserve">2019-07</t>
        </is>
      </c>
      <c r="C5127" s="2" t="inlineStr">
        <is>
          <t xml:space="preserve">2019/20</t>
        </is>
      </c>
      <c r="D5127">
        <v>6.548</v>
      </c>
      <c r="E5127">
        <v>23.86</v>
      </c>
      <c r="F5127">
        <v>30.02</v>
      </c>
      <c r="G5127">
        <v>17.98</v>
      </c>
      <c r="H5127">
        <v>2.87</v>
      </c>
      <c r="I5127">
        <v>24.418</v>
      </c>
      <c r="J5127">
        <v>23.69</v>
      </c>
      <c r="K5127">
        <v>27.94</v>
      </c>
      <c r="L5127">
        <v>20.09</v>
      </c>
      <c r="M5127">
        <v>16.2</v>
      </c>
      <c r="N5127">
        <v>20.919</v>
      </c>
      <c r="O5127">
        <v>24.97</v>
      </c>
      <c r="P5127">
        <v>31.13</v>
      </c>
      <c r="Q5127">
        <v>21.1</v>
      </c>
      <c r="R5127">
        <v>7.11</v>
      </c>
    </row>
    <row r="5128">
      <c r="A5128" s="9">
        <v>43659</v>
      </c>
      <c r="B5128" s="2" t="inlineStr">
        <is>
          <t xml:space="preserve">2019-07</t>
        </is>
      </c>
      <c r="C5128" s="2" t="inlineStr">
        <is>
          <t xml:space="preserve">2019/20</t>
        </is>
      </c>
      <c r="D5128">
        <v>0.781</v>
      </c>
      <c r="E5128">
        <v>24.1</v>
      </c>
      <c r="F5128">
        <v>30.85</v>
      </c>
      <c r="G5128">
        <v>17.66</v>
      </c>
      <c r="H5128">
        <v>0.26</v>
      </c>
      <c r="I5128">
        <v>3.625</v>
      </c>
      <c r="J5128">
        <v>24.26</v>
      </c>
      <c r="K5128">
        <v>28.98</v>
      </c>
      <c r="L5128">
        <v>19.88</v>
      </c>
      <c r="M5128">
        <v>0.39</v>
      </c>
      <c r="N5128">
        <v>0.106</v>
      </c>
      <c r="O5128">
        <v>24.82</v>
      </c>
      <c r="P5128">
        <v>30.73</v>
      </c>
      <c r="Q5128">
        <v>20.08</v>
      </c>
      <c r="R5128">
        <v>0.05</v>
      </c>
    </row>
    <row r="5129">
      <c r="A5129" s="9">
        <v>43660</v>
      </c>
      <c r="B5129" s="2" t="inlineStr">
        <is>
          <t xml:space="preserve">2019-07</t>
        </is>
      </c>
      <c r="C5129" s="2" t="inlineStr">
        <is>
          <t xml:space="preserve">2019/20</t>
        </is>
      </c>
      <c r="D5129">
        <v>0.0</v>
      </c>
      <c r="E5129">
        <v>24.68</v>
      </c>
      <c r="F5129">
        <v>31.87</v>
      </c>
      <c r="G5129">
        <v>17.83</v>
      </c>
      <c r="H5129">
        <v>1.9</v>
      </c>
      <c r="I5129">
        <v>0.067</v>
      </c>
      <c r="J5129">
        <v>24.29</v>
      </c>
      <c r="K5129">
        <v>28.98</v>
      </c>
      <c r="L5129">
        <v>20.15</v>
      </c>
      <c r="M5129">
        <v>1.06</v>
      </c>
      <c r="N5129">
        <v>0.0</v>
      </c>
      <c r="O5129">
        <v>24.86</v>
      </c>
      <c r="P5129">
        <v>30.83</v>
      </c>
      <c r="Q5129">
        <v>20.4</v>
      </c>
      <c r="R5129">
        <v>1.31</v>
      </c>
    </row>
    <row r="5130">
      <c r="A5130" s="9">
        <v>43661</v>
      </c>
      <c r="B5130" s="2" t="inlineStr">
        <is>
          <t xml:space="preserve">2019-07</t>
        </is>
      </c>
      <c r="C5130" s="2" t="inlineStr">
        <is>
          <t xml:space="preserve">2019/20</t>
        </is>
      </c>
      <c r="D5130">
        <v>31.703</v>
      </c>
      <c r="E5130">
        <v>22.74</v>
      </c>
      <c r="F5130">
        <v>28.45</v>
      </c>
      <c r="G5130">
        <v>18.84</v>
      </c>
      <c r="H5130">
        <v>17.47</v>
      </c>
      <c r="I5130">
        <v>2.801</v>
      </c>
      <c r="J5130">
        <v>23.26</v>
      </c>
      <c r="K5130">
        <v>27.88</v>
      </c>
      <c r="L5130">
        <v>19.71</v>
      </c>
      <c r="M5130">
        <v>8.79</v>
      </c>
      <c r="N5130">
        <v>6.016</v>
      </c>
      <c r="O5130">
        <v>23.8</v>
      </c>
      <c r="P5130">
        <v>28.7</v>
      </c>
      <c r="Q5130">
        <v>20.8</v>
      </c>
      <c r="R5130">
        <v>9.14</v>
      </c>
    </row>
    <row r="5131">
      <c r="A5131" s="9">
        <v>43662</v>
      </c>
      <c r="B5131" s="2" t="inlineStr">
        <is>
          <t xml:space="preserve">2019-07</t>
        </is>
      </c>
      <c r="C5131" s="2" t="inlineStr">
        <is>
          <t xml:space="preserve">2019/20</t>
        </is>
      </c>
      <c r="D5131">
        <v>7.917</v>
      </c>
      <c r="E5131">
        <v>23.66</v>
      </c>
      <c r="F5131">
        <v>30.71</v>
      </c>
      <c r="G5131">
        <v>17.63</v>
      </c>
      <c r="H5131">
        <v>1.83</v>
      </c>
      <c r="I5131">
        <v>12.113</v>
      </c>
      <c r="J5131">
        <v>23.73</v>
      </c>
      <c r="K5131">
        <v>29.31</v>
      </c>
      <c r="L5131">
        <v>19.14</v>
      </c>
      <c r="M5131">
        <v>3.63</v>
      </c>
      <c r="N5131">
        <v>7.534</v>
      </c>
      <c r="O5131">
        <v>24.49</v>
      </c>
      <c r="P5131">
        <v>30.95</v>
      </c>
      <c r="Q5131">
        <v>20.4</v>
      </c>
      <c r="R5131">
        <v>2.06</v>
      </c>
    </row>
    <row r="5132">
      <c r="A5132" s="9">
        <v>43663</v>
      </c>
      <c r="B5132" s="2" t="inlineStr">
        <is>
          <t xml:space="preserve">2019-07</t>
        </is>
      </c>
      <c r="C5132" s="2" t="inlineStr">
        <is>
          <t xml:space="preserve">2019/20</t>
        </is>
      </c>
      <c r="D5132">
        <v>0.143</v>
      </c>
      <c r="E5132">
        <v>23.53</v>
      </c>
      <c r="F5132">
        <v>29.2</v>
      </c>
      <c r="G5132">
        <v>17.98</v>
      </c>
      <c r="H5132">
        <v>0.66</v>
      </c>
      <c r="I5132">
        <v>0.102</v>
      </c>
      <c r="J5132">
        <v>23.71</v>
      </c>
      <c r="K5132">
        <v>28.72</v>
      </c>
      <c r="L5132">
        <v>19.27</v>
      </c>
      <c r="M5132">
        <v>3.65</v>
      </c>
      <c r="N5132">
        <v>0.362</v>
      </c>
      <c r="O5132">
        <v>24.31</v>
      </c>
      <c r="P5132">
        <v>29.91</v>
      </c>
      <c r="Q5132">
        <v>20.4</v>
      </c>
      <c r="R5132">
        <v>0.7</v>
      </c>
    </row>
    <row r="5133">
      <c r="A5133" s="9">
        <v>43664</v>
      </c>
      <c r="B5133" s="2" t="inlineStr">
        <is>
          <t xml:space="preserve">2019-07</t>
        </is>
      </c>
      <c r="C5133" s="2" t="inlineStr">
        <is>
          <t xml:space="preserve">2019/20</t>
        </is>
      </c>
      <c r="D5133">
        <v>0.858</v>
      </c>
      <c r="E5133">
        <v>23.77</v>
      </c>
      <c r="F5133">
        <v>30.11</v>
      </c>
      <c r="G5133">
        <v>19.15</v>
      </c>
      <c r="H5133">
        <v>0.41</v>
      </c>
      <c r="I5133">
        <v>13.585</v>
      </c>
      <c r="J5133">
        <v>23.32</v>
      </c>
      <c r="K5133">
        <v>27.95</v>
      </c>
      <c r="L5133">
        <v>19.94</v>
      </c>
      <c r="M5133">
        <v>4.01</v>
      </c>
      <c r="N5133">
        <v>0.914</v>
      </c>
      <c r="O5133">
        <v>23.94</v>
      </c>
      <c r="P5133">
        <v>28.8</v>
      </c>
      <c r="Q5133">
        <v>20.85</v>
      </c>
      <c r="R5133">
        <v>0.95</v>
      </c>
    </row>
    <row r="5134">
      <c r="A5134" s="9">
        <v>43665</v>
      </c>
      <c r="B5134" s="2" t="inlineStr">
        <is>
          <t xml:space="preserve">2019-07</t>
        </is>
      </c>
      <c r="C5134" s="2" t="inlineStr">
        <is>
          <t xml:space="preserve">2019/20</t>
        </is>
      </c>
      <c r="D5134">
        <v>0.0</v>
      </c>
      <c r="E5134">
        <v>23.98</v>
      </c>
      <c r="F5134">
        <v>31.07</v>
      </c>
      <c r="G5134">
        <v>17.89</v>
      </c>
      <c r="H5134">
        <v>0.47</v>
      </c>
      <c r="I5134">
        <v>0.0</v>
      </c>
      <c r="J5134">
        <v>23.15</v>
      </c>
      <c r="K5134">
        <v>28.32</v>
      </c>
      <c r="L5134">
        <v>19.02</v>
      </c>
      <c r="M5134">
        <v>0.71</v>
      </c>
      <c r="N5134">
        <v>0.0</v>
      </c>
      <c r="O5134">
        <v>24.12</v>
      </c>
      <c r="P5134">
        <v>30.24</v>
      </c>
      <c r="Q5134">
        <v>20.01</v>
      </c>
      <c r="R5134">
        <v>1.02</v>
      </c>
    </row>
    <row r="5135">
      <c r="A5135" s="9">
        <v>43666</v>
      </c>
      <c r="B5135" s="2" t="inlineStr">
        <is>
          <t xml:space="preserve">2019-07</t>
        </is>
      </c>
      <c r="C5135" s="2" t="inlineStr">
        <is>
          <t xml:space="preserve">2019/20</t>
        </is>
      </c>
      <c r="D5135">
        <v>0.132</v>
      </c>
      <c r="E5135">
        <v>23.26</v>
      </c>
      <c r="F5135">
        <v>28.47</v>
      </c>
      <c r="G5135">
        <v>19.43</v>
      </c>
      <c r="H5135">
        <v>2.82</v>
      </c>
      <c r="I5135">
        <v>15.736</v>
      </c>
      <c r="J5135">
        <v>22.51</v>
      </c>
      <c r="K5135">
        <v>26.31</v>
      </c>
      <c r="L5135">
        <v>19.94</v>
      </c>
      <c r="M5135">
        <v>8.06</v>
      </c>
      <c r="N5135">
        <v>0.809</v>
      </c>
      <c r="O5135">
        <v>23.06</v>
      </c>
      <c r="P5135">
        <v>26.47</v>
      </c>
      <c r="Q5135">
        <v>21.27</v>
      </c>
      <c r="R5135">
        <v>5.54</v>
      </c>
    </row>
    <row r="5136">
      <c r="A5136" s="9">
        <v>43667</v>
      </c>
      <c r="B5136" s="2" t="inlineStr">
        <is>
          <t xml:space="preserve">2019-07</t>
        </is>
      </c>
      <c r="C5136" s="2" t="inlineStr">
        <is>
          <t xml:space="preserve">2019/20</t>
        </is>
      </c>
      <c r="D5136">
        <v>0.035</v>
      </c>
      <c r="E5136">
        <v>24.13</v>
      </c>
      <c r="F5136">
        <v>30.37</v>
      </c>
      <c r="G5136">
        <v>19.49</v>
      </c>
      <c r="H5136">
        <v>2.39</v>
      </c>
      <c r="I5136">
        <v>0.0</v>
      </c>
      <c r="J5136">
        <v>23.41</v>
      </c>
      <c r="K5136">
        <v>27.74</v>
      </c>
      <c r="L5136">
        <v>19.84</v>
      </c>
      <c r="M5136">
        <v>1.7</v>
      </c>
      <c r="N5136">
        <v>0.734</v>
      </c>
      <c r="O5136">
        <v>23.61</v>
      </c>
      <c r="P5136">
        <v>27.77</v>
      </c>
      <c r="Q5136">
        <v>20.89</v>
      </c>
      <c r="R5136">
        <v>7.23</v>
      </c>
    </row>
    <row r="5137">
      <c r="A5137" s="9">
        <v>43668</v>
      </c>
      <c r="B5137" s="2" t="inlineStr">
        <is>
          <t xml:space="preserve">2019-07</t>
        </is>
      </c>
      <c r="C5137" s="2" t="inlineStr">
        <is>
          <t xml:space="preserve">2019/20</t>
        </is>
      </c>
      <c r="D5137">
        <v>1.776</v>
      </c>
      <c r="E5137">
        <v>24.37</v>
      </c>
      <c r="F5137">
        <v>30.88</v>
      </c>
      <c r="G5137">
        <v>18.36</v>
      </c>
      <c r="H5137">
        <v>0.35</v>
      </c>
      <c r="I5137">
        <v>4.03</v>
      </c>
      <c r="J5137">
        <v>23.72</v>
      </c>
      <c r="K5137">
        <v>27.69</v>
      </c>
      <c r="L5137">
        <v>20.4</v>
      </c>
      <c r="M5137">
        <v>1.51</v>
      </c>
      <c r="N5137">
        <v>0.218</v>
      </c>
      <c r="O5137">
        <v>24.34</v>
      </c>
      <c r="P5137">
        <v>30.1</v>
      </c>
      <c r="Q5137">
        <v>21.15</v>
      </c>
      <c r="R5137">
        <v>0.25</v>
      </c>
    </row>
    <row r="5138">
      <c r="A5138" s="9">
        <v>43669</v>
      </c>
      <c r="B5138" s="2" t="inlineStr">
        <is>
          <t xml:space="preserve">2019-07</t>
        </is>
      </c>
      <c r="C5138" s="2" t="inlineStr">
        <is>
          <t xml:space="preserve">2019/20</t>
        </is>
      </c>
      <c r="D5138">
        <v>0.037</v>
      </c>
      <c r="E5138">
        <v>25.23</v>
      </c>
      <c r="F5138">
        <v>31.82</v>
      </c>
      <c r="G5138">
        <v>19.89</v>
      </c>
      <c r="H5138">
        <v>0.22</v>
      </c>
      <c r="I5138">
        <v>0.0</v>
      </c>
      <c r="J5138">
        <v>23.69</v>
      </c>
      <c r="K5138">
        <v>27.93</v>
      </c>
      <c r="L5138">
        <v>19.88</v>
      </c>
      <c r="M5138">
        <v>7.59</v>
      </c>
      <c r="N5138">
        <v>0.0</v>
      </c>
      <c r="O5138">
        <v>24.33</v>
      </c>
      <c r="P5138">
        <v>29.4</v>
      </c>
      <c r="Q5138">
        <v>20.75</v>
      </c>
      <c r="R5138">
        <v>1.16</v>
      </c>
    </row>
    <row r="5139">
      <c r="A5139" s="9">
        <v>43670</v>
      </c>
      <c r="B5139" s="2" t="inlineStr">
        <is>
          <t xml:space="preserve">2019-07</t>
        </is>
      </c>
      <c r="C5139" s="2" t="inlineStr">
        <is>
          <t xml:space="preserve">2019/20</t>
        </is>
      </c>
      <c r="D5139">
        <v>0.163</v>
      </c>
      <c r="E5139">
        <v>24.88</v>
      </c>
      <c r="F5139">
        <v>31.71</v>
      </c>
      <c r="G5139">
        <v>19.35</v>
      </c>
      <c r="H5139">
        <v>2.46</v>
      </c>
      <c r="I5139">
        <v>42.646</v>
      </c>
      <c r="J5139">
        <v>23.36</v>
      </c>
      <c r="K5139">
        <v>27.89</v>
      </c>
      <c r="L5139">
        <v>20.16</v>
      </c>
      <c r="M5139">
        <v>16.25</v>
      </c>
      <c r="N5139">
        <v>2.201</v>
      </c>
      <c r="O5139">
        <v>24.07</v>
      </c>
      <c r="P5139">
        <v>29.31</v>
      </c>
      <c r="Q5139">
        <v>20.67</v>
      </c>
      <c r="R5139">
        <v>2.08</v>
      </c>
    </row>
    <row r="5140">
      <c r="A5140" s="9">
        <v>43671</v>
      </c>
      <c r="B5140" s="2" t="inlineStr">
        <is>
          <t xml:space="preserve">2019-07</t>
        </is>
      </c>
      <c r="C5140" s="2" t="inlineStr">
        <is>
          <t xml:space="preserve">2019/20</t>
        </is>
      </c>
      <c r="D5140">
        <v>9.258</v>
      </c>
      <c r="E5140">
        <v>24.03</v>
      </c>
      <c r="F5140">
        <v>30.91</v>
      </c>
      <c r="G5140">
        <v>19.51</v>
      </c>
      <c r="H5140">
        <v>4.1</v>
      </c>
      <c r="I5140">
        <v>5.332</v>
      </c>
      <c r="J5140">
        <v>23.52</v>
      </c>
      <c r="K5140">
        <v>28.04</v>
      </c>
      <c r="L5140">
        <v>19.45</v>
      </c>
      <c r="M5140">
        <v>10.05</v>
      </c>
      <c r="N5140">
        <v>0.53</v>
      </c>
      <c r="O5140">
        <v>24.19</v>
      </c>
      <c r="P5140">
        <v>29.82</v>
      </c>
      <c r="Q5140">
        <v>20.46</v>
      </c>
      <c r="R5140">
        <v>3.32</v>
      </c>
    </row>
    <row r="5141">
      <c r="A5141" s="9">
        <v>43672</v>
      </c>
      <c r="B5141" s="2" t="inlineStr">
        <is>
          <t xml:space="preserve">2019-07</t>
        </is>
      </c>
      <c r="C5141" s="2" t="inlineStr">
        <is>
          <t xml:space="preserve">2019/20</t>
        </is>
      </c>
      <c r="D5141">
        <v>3.286</v>
      </c>
      <c r="E5141">
        <v>23.43</v>
      </c>
      <c r="F5141">
        <v>30.26</v>
      </c>
      <c r="G5141">
        <v>17.09</v>
      </c>
      <c r="H5141">
        <v>0.21</v>
      </c>
      <c r="I5141">
        <v>12.494</v>
      </c>
      <c r="J5141">
        <v>23.39</v>
      </c>
      <c r="K5141">
        <v>28.7</v>
      </c>
      <c r="L5141">
        <v>19.41</v>
      </c>
      <c r="M5141">
        <v>1.8</v>
      </c>
      <c r="N5141">
        <v>5.467</v>
      </c>
      <c r="O5141">
        <v>24.0</v>
      </c>
      <c r="P5141">
        <v>30.31</v>
      </c>
      <c r="Q5141">
        <v>19.95</v>
      </c>
      <c r="R5141">
        <v>0.66</v>
      </c>
    </row>
    <row r="5142">
      <c r="A5142" s="9">
        <v>43673</v>
      </c>
      <c r="B5142" s="2" t="inlineStr">
        <is>
          <t xml:space="preserve">2019-07</t>
        </is>
      </c>
      <c r="C5142" s="2" t="inlineStr">
        <is>
          <t xml:space="preserve">2019/20</t>
        </is>
      </c>
      <c r="D5142">
        <v>0.0</v>
      </c>
      <c r="E5142">
        <v>22.85</v>
      </c>
      <c r="F5142">
        <v>29.47</v>
      </c>
      <c r="G5142">
        <v>18.44</v>
      </c>
      <c r="H5142">
        <v>0.36</v>
      </c>
      <c r="I5142">
        <v>0.034</v>
      </c>
      <c r="J5142">
        <v>22.84</v>
      </c>
      <c r="K5142">
        <v>28.38</v>
      </c>
      <c r="L5142">
        <v>18.72</v>
      </c>
      <c r="M5142">
        <v>0.09</v>
      </c>
      <c r="N5142">
        <v>0.329</v>
      </c>
      <c r="O5142">
        <v>23.99</v>
      </c>
      <c r="P5142">
        <v>30.2</v>
      </c>
      <c r="Q5142">
        <v>19.84</v>
      </c>
      <c r="R5142">
        <v>0.06</v>
      </c>
    </row>
    <row r="5143">
      <c r="A5143" s="9">
        <v>43674</v>
      </c>
      <c r="B5143" s="2" t="inlineStr">
        <is>
          <t xml:space="preserve">2019-07</t>
        </is>
      </c>
      <c r="C5143" s="2" t="inlineStr">
        <is>
          <t xml:space="preserve">2019/20</t>
        </is>
      </c>
      <c r="D5143">
        <v>0.107</v>
      </c>
      <c r="E5143">
        <v>23.48</v>
      </c>
      <c r="F5143">
        <v>30.79</v>
      </c>
      <c r="G5143">
        <v>18.07</v>
      </c>
      <c r="H5143">
        <v>0.88</v>
      </c>
      <c r="I5143">
        <v>0.0</v>
      </c>
      <c r="J5143">
        <v>23.27</v>
      </c>
      <c r="K5143">
        <v>29.14</v>
      </c>
      <c r="L5143">
        <v>18.64</v>
      </c>
      <c r="M5143">
        <v>2.73</v>
      </c>
      <c r="N5143">
        <v>0.0</v>
      </c>
      <c r="O5143">
        <v>24.29</v>
      </c>
      <c r="P5143">
        <v>30.86</v>
      </c>
      <c r="Q5143">
        <v>19.58</v>
      </c>
      <c r="R5143">
        <v>3.96</v>
      </c>
    </row>
    <row r="5144">
      <c r="A5144" s="9">
        <v>43675</v>
      </c>
      <c r="B5144" s="2" t="inlineStr">
        <is>
          <t xml:space="preserve">2019-07</t>
        </is>
      </c>
      <c r="C5144" s="2" t="inlineStr">
        <is>
          <t xml:space="preserve">2019/20</t>
        </is>
      </c>
      <c r="D5144">
        <v>0.044</v>
      </c>
      <c r="E5144">
        <v>23.35</v>
      </c>
      <c r="F5144">
        <v>31.88</v>
      </c>
      <c r="G5144">
        <v>15.5</v>
      </c>
      <c r="H5144">
        <v>1.65</v>
      </c>
      <c r="I5144">
        <v>7.525</v>
      </c>
      <c r="J5144">
        <v>22.32</v>
      </c>
      <c r="K5144">
        <v>28.05</v>
      </c>
      <c r="L5144">
        <v>18.69</v>
      </c>
      <c r="M5144">
        <v>5.54</v>
      </c>
      <c r="N5144">
        <v>11.826</v>
      </c>
      <c r="O5144">
        <v>22.98</v>
      </c>
      <c r="P5144">
        <v>28.8</v>
      </c>
      <c r="Q5144">
        <v>19.56</v>
      </c>
      <c r="R5144">
        <v>5.61</v>
      </c>
    </row>
    <row r="5145">
      <c r="A5145" s="9">
        <v>43676</v>
      </c>
      <c r="B5145" s="2" t="inlineStr">
        <is>
          <t xml:space="preserve">2019-07</t>
        </is>
      </c>
      <c r="C5145" s="2" t="inlineStr">
        <is>
          <t xml:space="preserve">2019/20</t>
        </is>
      </c>
      <c r="D5145">
        <v>0.467</v>
      </c>
      <c r="E5145">
        <v>24.22</v>
      </c>
      <c r="F5145">
        <v>31.43</v>
      </c>
      <c r="G5145">
        <v>18.46</v>
      </c>
      <c r="H5145">
        <v>0.15</v>
      </c>
      <c r="I5145">
        <v>0.0</v>
      </c>
      <c r="J5145">
        <v>22.44</v>
      </c>
      <c r="K5145">
        <v>27.85</v>
      </c>
      <c r="L5145">
        <v>17.89</v>
      </c>
      <c r="M5145">
        <v>0.09</v>
      </c>
      <c r="N5145">
        <v>0.0</v>
      </c>
      <c r="O5145">
        <v>23.47</v>
      </c>
      <c r="P5145">
        <v>29.07</v>
      </c>
      <c r="Q5145">
        <v>19.08</v>
      </c>
      <c r="R5145">
        <v>0.23</v>
      </c>
    </row>
    <row r="5146">
      <c r="A5146" s="9">
        <v>43677</v>
      </c>
      <c r="B5146" s="2" t="inlineStr">
        <is>
          <t xml:space="preserve">2019-07</t>
        </is>
      </c>
      <c r="C5146" s="2" t="inlineStr">
        <is>
          <t xml:space="preserve">2019/20</t>
        </is>
      </c>
      <c r="D5146">
        <v>0.038</v>
      </c>
      <c r="E5146">
        <v>24.7</v>
      </c>
      <c r="F5146">
        <v>31.63</v>
      </c>
      <c r="G5146">
        <v>19.52</v>
      </c>
      <c r="H5146">
        <v>0.09</v>
      </c>
      <c r="I5146">
        <v>0.122</v>
      </c>
      <c r="J5146">
        <v>22.72</v>
      </c>
      <c r="K5146">
        <v>28.03</v>
      </c>
      <c r="L5146">
        <v>18.39</v>
      </c>
      <c r="M5146">
        <v>0.46</v>
      </c>
      <c r="N5146">
        <v>1.293</v>
      </c>
      <c r="O5146">
        <v>23.88</v>
      </c>
      <c r="P5146">
        <v>29.98</v>
      </c>
      <c r="Q5146">
        <v>19.51</v>
      </c>
      <c r="R5146">
        <v>0.5</v>
      </c>
    </row>
    <row r="5147">
      <c r="A5147" s="9">
        <v>43678</v>
      </c>
      <c r="B5147" s="2" t="inlineStr">
        <is>
          <t xml:space="preserve">2019-08</t>
        </is>
      </c>
      <c r="C5147" s="2" t="inlineStr">
        <is>
          <t xml:space="preserve">2019/20</t>
        </is>
      </c>
      <c r="D5147">
        <v>0.0</v>
      </c>
      <c r="E5147">
        <v>24.8</v>
      </c>
      <c r="F5147">
        <v>31.65</v>
      </c>
      <c r="G5147">
        <v>19.62</v>
      </c>
      <c r="H5147">
        <v>0.4</v>
      </c>
      <c r="I5147">
        <v>0.0</v>
      </c>
      <c r="J5147">
        <v>23.27</v>
      </c>
      <c r="K5147">
        <v>28.69</v>
      </c>
      <c r="L5147">
        <v>19.1</v>
      </c>
      <c r="M5147">
        <v>0.21</v>
      </c>
      <c r="N5147">
        <v>0.0</v>
      </c>
      <c r="O5147">
        <v>24.14</v>
      </c>
      <c r="P5147">
        <v>30.39</v>
      </c>
      <c r="Q5147">
        <v>19.76</v>
      </c>
      <c r="R5147">
        <v>0.1</v>
      </c>
    </row>
    <row r="5148">
      <c r="A5148" s="9">
        <v>43679</v>
      </c>
      <c r="B5148" s="2" t="inlineStr">
        <is>
          <t xml:space="preserve">2019-08</t>
        </is>
      </c>
      <c r="C5148" s="2" t="inlineStr">
        <is>
          <t xml:space="preserve">2019/20</t>
        </is>
      </c>
      <c r="D5148">
        <v>1.611</v>
      </c>
      <c r="E5148">
        <v>24.77</v>
      </c>
      <c r="F5148">
        <v>31.53</v>
      </c>
      <c r="G5148">
        <v>20.2</v>
      </c>
      <c r="H5148">
        <v>6.15</v>
      </c>
      <c r="I5148">
        <v>1.535</v>
      </c>
      <c r="J5148">
        <v>22.86</v>
      </c>
      <c r="K5148">
        <v>28.01</v>
      </c>
      <c r="L5148">
        <v>18.73</v>
      </c>
      <c r="M5148">
        <v>3.47</v>
      </c>
      <c r="N5148">
        <v>0.281</v>
      </c>
      <c r="O5148">
        <v>23.59</v>
      </c>
      <c r="P5148">
        <v>29.03</v>
      </c>
      <c r="Q5148">
        <v>19.88</v>
      </c>
      <c r="R5148">
        <v>2.69</v>
      </c>
    </row>
    <row r="5149">
      <c r="A5149" s="9">
        <v>43680</v>
      </c>
      <c r="B5149" s="2" t="inlineStr">
        <is>
          <t xml:space="preserve">2019-08</t>
        </is>
      </c>
      <c r="C5149" s="2" t="inlineStr">
        <is>
          <t xml:space="preserve">2019/20</t>
        </is>
      </c>
      <c r="D5149">
        <v>11.859</v>
      </c>
      <c r="E5149">
        <v>24.79</v>
      </c>
      <c r="F5149">
        <v>31.36</v>
      </c>
      <c r="G5149">
        <v>20.41</v>
      </c>
      <c r="H5149">
        <v>6.26</v>
      </c>
      <c r="I5149">
        <v>38.951</v>
      </c>
      <c r="J5149">
        <v>23.89</v>
      </c>
      <c r="K5149">
        <v>28.08</v>
      </c>
      <c r="L5149">
        <v>19.96</v>
      </c>
      <c r="M5149">
        <v>29.83</v>
      </c>
      <c r="N5149">
        <v>17.803</v>
      </c>
      <c r="O5149">
        <v>23.96</v>
      </c>
      <c r="P5149">
        <v>28.83</v>
      </c>
      <c r="Q5149">
        <v>20.77</v>
      </c>
      <c r="R5149">
        <v>10.82</v>
      </c>
    </row>
    <row r="5150">
      <c r="A5150" s="9">
        <v>43681</v>
      </c>
      <c r="B5150" s="2" t="inlineStr">
        <is>
          <t xml:space="preserve">2019-08</t>
        </is>
      </c>
      <c r="C5150" s="2" t="inlineStr">
        <is>
          <t xml:space="preserve">2019/20</t>
        </is>
      </c>
      <c r="D5150">
        <v>10.563</v>
      </c>
      <c r="E5150">
        <v>24.97</v>
      </c>
      <c r="F5150">
        <v>32.55</v>
      </c>
      <c r="G5150">
        <v>18.94</v>
      </c>
      <c r="H5150">
        <v>4.83</v>
      </c>
      <c r="I5150">
        <v>2.782</v>
      </c>
      <c r="J5150">
        <v>24.7</v>
      </c>
      <c r="K5150">
        <v>29.79</v>
      </c>
      <c r="L5150">
        <v>20.76</v>
      </c>
      <c r="M5150">
        <v>2.7</v>
      </c>
      <c r="N5150">
        <v>11.006</v>
      </c>
      <c r="O5150">
        <v>25.38</v>
      </c>
      <c r="P5150">
        <v>32.41</v>
      </c>
      <c r="Q5150">
        <v>21.36</v>
      </c>
      <c r="R5150">
        <v>3.46</v>
      </c>
    </row>
    <row r="5151">
      <c r="A5151" s="9">
        <v>43682</v>
      </c>
      <c r="B5151" s="2" t="inlineStr">
        <is>
          <t xml:space="preserve">2019-08</t>
        </is>
      </c>
      <c r="C5151" s="2" t="inlineStr">
        <is>
          <t xml:space="preserve">2019/20</t>
        </is>
      </c>
      <c r="D5151">
        <v>3.605</v>
      </c>
      <c r="E5151">
        <v>24.48</v>
      </c>
      <c r="F5151">
        <v>31.04</v>
      </c>
      <c r="G5151">
        <v>19.09</v>
      </c>
      <c r="H5151">
        <v>3.36</v>
      </c>
      <c r="I5151">
        <v>0.707</v>
      </c>
      <c r="J5151">
        <v>24.51</v>
      </c>
      <c r="K5151">
        <v>29.17</v>
      </c>
      <c r="L5151">
        <v>20.77</v>
      </c>
      <c r="M5151">
        <v>4.41</v>
      </c>
      <c r="N5151">
        <v>4.0</v>
      </c>
      <c r="O5151">
        <v>25.37</v>
      </c>
      <c r="P5151">
        <v>31.52</v>
      </c>
      <c r="Q5151">
        <v>21.81</v>
      </c>
      <c r="R5151">
        <v>3.72</v>
      </c>
    </row>
    <row r="5152">
      <c r="A5152" s="9">
        <v>43683</v>
      </c>
      <c r="B5152" s="2" t="inlineStr">
        <is>
          <t xml:space="preserve">2019-08</t>
        </is>
      </c>
      <c r="C5152" s="2" t="inlineStr">
        <is>
          <t xml:space="preserve">2019/20</t>
        </is>
      </c>
      <c r="D5152">
        <v>2.638</v>
      </c>
      <c r="E5152">
        <v>24.97</v>
      </c>
      <c r="F5152">
        <v>32.24</v>
      </c>
      <c r="G5152">
        <v>19.79</v>
      </c>
      <c r="H5152">
        <v>1.93</v>
      </c>
      <c r="I5152">
        <v>7.167</v>
      </c>
      <c r="J5152">
        <v>24.55</v>
      </c>
      <c r="K5152">
        <v>28.94</v>
      </c>
      <c r="L5152">
        <v>21.05</v>
      </c>
      <c r="M5152">
        <v>7.37</v>
      </c>
      <c r="N5152">
        <v>10.252</v>
      </c>
      <c r="O5152">
        <v>24.88</v>
      </c>
      <c r="P5152">
        <v>29.66</v>
      </c>
      <c r="Q5152">
        <v>21.8</v>
      </c>
      <c r="R5152">
        <v>3.6</v>
      </c>
    </row>
    <row r="5153">
      <c r="A5153" s="9">
        <v>43684</v>
      </c>
      <c r="B5153" s="2" t="inlineStr">
        <is>
          <t xml:space="preserve">2019-08</t>
        </is>
      </c>
      <c r="C5153" s="2" t="inlineStr">
        <is>
          <t xml:space="preserve">2019/20</t>
        </is>
      </c>
      <c r="D5153">
        <v>0.725</v>
      </c>
      <c r="E5153">
        <v>25.25</v>
      </c>
      <c r="F5153">
        <v>32.5</v>
      </c>
      <c r="G5153">
        <v>19.25</v>
      </c>
      <c r="H5153">
        <v>1.48</v>
      </c>
      <c r="I5153">
        <v>9.595</v>
      </c>
      <c r="J5153">
        <v>24.58</v>
      </c>
      <c r="K5153">
        <v>29.24</v>
      </c>
      <c r="L5153">
        <v>20.96</v>
      </c>
      <c r="M5153">
        <v>12.93</v>
      </c>
      <c r="N5153">
        <v>3.191</v>
      </c>
      <c r="O5153">
        <v>25.42</v>
      </c>
      <c r="P5153">
        <v>32.0</v>
      </c>
      <c r="Q5153">
        <v>21.54</v>
      </c>
      <c r="R5153">
        <v>3.21</v>
      </c>
    </row>
    <row r="5154">
      <c r="A5154" s="9">
        <v>43685</v>
      </c>
      <c r="B5154" s="2" t="inlineStr">
        <is>
          <t xml:space="preserve">2019-08</t>
        </is>
      </c>
      <c r="C5154" s="2" t="inlineStr">
        <is>
          <t xml:space="preserve">2019/20</t>
        </is>
      </c>
      <c r="D5154">
        <v>2.38</v>
      </c>
      <c r="E5154">
        <v>24.39</v>
      </c>
      <c r="F5154">
        <v>30.58</v>
      </c>
      <c r="G5154">
        <v>19.84</v>
      </c>
      <c r="H5154">
        <v>2.8</v>
      </c>
      <c r="I5154">
        <v>31.935</v>
      </c>
      <c r="J5154">
        <v>23.65</v>
      </c>
      <c r="K5154">
        <v>26.9</v>
      </c>
      <c r="L5154">
        <v>21.35</v>
      </c>
      <c r="M5154">
        <v>12.19</v>
      </c>
      <c r="N5154">
        <v>7.167</v>
      </c>
      <c r="O5154">
        <v>24.32</v>
      </c>
      <c r="P5154">
        <v>28.78</v>
      </c>
      <c r="Q5154">
        <v>21.44</v>
      </c>
      <c r="R5154">
        <v>7.45</v>
      </c>
    </row>
    <row r="5155">
      <c r="A5155" s="9">
        <v>43686</v>
      </c>
      <c r="B5155" s="2" t="inlineStr">
        <is>
          <t xml:space="preserve">2019-08</t>
        </is>
      </c>
      <c r="C5155" s="2" t="inlineStr">
        <is>
          <t xml:space="preserve">2019/20</t>
        </is>
      </c>
      <c r="D5155">
        <v>0.0</v>
      </c>
      <c r="E5155">
        <v>24.66</v>
      </c>
      <c r="F5155">
        <v>30.79</v>
      </c>
      <c r="G5155">
        <v>20.18</v>
      </c>
      <c r="H5155">
        <v>1.4</v>
      </c>
      <c r="I5155">
        <v>9.938</v>
      </c>
      <c r="J5155">
        <v>23.73</v>
      </c>
      <c r="K5155">
        <v>27.26</v>
      </c>
      <c r="L5155">
        <v>21.0</v>
      </c>
      <c r="M5155">
        <v>7.12</v>
      </c>
      <c r="N5155">
        <v>13.137</v>
      </c>
      <c r="O5155">
        <v>24.05</v>
      </c>
      <c r="P5155">
        <v>28.09</v>
      </c>
      <c r="Q5155">
        <v>21.44</v>
      </c>
      <c r="R5155">
        <v>5.97</v>
      </c>
    </row>
    <row r="5156">
      <c r="A5156" s="9">
        <v>43687</v>
      </c>
      <c r="B5156" s="2" t="inlineStr">
        <is>
          <t xml:space="preserve">2019-08</t>
        </is>
      </c>
      <c r="C5156" s="2" t="inlineStr">
        <is>
          <t xml:space="preserve">2019/20</t>
        </is>
      </c>
      <c r="D5156">
        <v>0.0</v>
      </c>
      <c r="E5156">
        <v>25.39</v>
      </c>
      <c r="F5156">
        <v>32.37</v>
      </c>
      <c r="G5156">
        <v>19.65</v>
      </c>
      <c r="H5156">
        <v>0.55</v>
      </c>
      <c r="I5156">
        <v>0.0</v>
      </c>
      <c r="J5156">
        <v>23.42</v>
      </c>
      <c r="K5156">
        <v>27.64</v>
      </c>
      <c r="L5156">
        <v>20.51</v>
      </c>
      <c r="M5156">
        <v>0.32</v>
      </c>
      <c r="N5156">
        <v>0.0</v>
      </c>
      <c r="O5156">
        <v>24.21</v>
      </c>
      <c r="P5156">
        <v>29.0</v>
      </c>
      <c r="Q5156">
        <v>21.4</v>
      </c>
      <c r="R5156">
        <v>1.13</v>
      </c>
    </row>
    <row r="5157">
      <c r="A5157" s="9">
        <v>43688</v>
      </c>
      <c r="B5157" s="2" t="inlineStr">
        <is>
          <t xml:space="preserve">2019-08</t>
        </is>
      </c>
      <c r="C5157" s="2" t="inlineStr">
        <is>
          <t xml:space="preserve">2019/20</t>
        </is>
      </c>
      <c r="D5157">
        <v>0.0</v>
      </c>
      <c r="E5157">
        <v>25.27</v>
      </c>
      <c r="F5157">
        <v>32.23</v>
      </c>
      <c r="G5157">
        <v>20.05</v>
      </c>
      <c r="H5157">
        <v>0.54</v>
      </c>
      <c r="I5157">
        <v>1.762</v>
      </c>
      <c r="J5157">
        <v>23.66</v>
      </c>
      <c r="K5157">
        <v>28.49</v>
      </c>
      <c r="L5157">
        <v>20.25</v>
      </c>
      <c r="M5157">
        <v>0.75</v>
      </c>
      <c r="N5157">
        <v>0.066</v>
      </c>
      <c r="O5157">
        <v>24.49</v>
      </c>
      <c r="P5157">
        <v>29.68</v>
      </c>
      <c r="Q5157">
        <v>21.75</v>
      </c>
      <c r="R5157">
        <v>0.93</v>
      </c>
    </row>
    <row r="5158">
      <c r="A5158" s="9">
        <v>43689</v>
      </c>
      <c r="B5158" s="2" t="inlineStr">
        <is>
          <t xml:space="preserve">2019-08</t>
        </is>
      </c>
      <c r="C5158" s="2" t="inlineStr">
        <is>
          <t xml:space="preserve">2019/20</t>
        </is>
      </c>
      <c r="D5158">
        <v>0.0</v>
      </c>
      <c r="E5158">
        <v>25.48</v>
      </c>
      <c r="F5158">
        <v>32.99</v>
      </c>
      <c r="G5158">
        <v>18.68</v>
      </c>
      <c r="H5158">
        <v>0.0</v>
      </c>
      <c r="I5158">
        <v>0.707</v>
      </c>
      <c r="J5158">
        <v>24.06</v>
      </c>
      <c r="K5158">
        <v>29.14</v>
      </c>
      <c r="L5158">
        <v>20.14</v>
      </c>
      <c r="M5158">
        <v>0.18</v>
      </c>
      <c r="N5158">
        <v>0.0</v>
      </c>
      <c r="O5158">
        <v>25.33</v>
      </c>
      <c r="P5158">
        <v>31.47</v>
      </c>
      <c r="Q5158">
        <v>21.21</v>
      </c>
      <c r="R5158">
        <v>0.01</v>
      </c>
    </row>
    <row r="5159">
      <c r="A5159" s="9">
        <v>43690</v>
      </c>
      <c r="B5159" s="2" t="inlineStr">
        <is>
          <t xml:space="preserve">2019-08</t>
        </is>
      </c>
      <c r="C5159" s="2" t="inlineStr">
        <is>
          <t xml:space="preserve">2019/20</t>
        </is>
      </c>
      <c r="D5159">
        <v>0.0</v>
      </c>
      <c r="E5159">
        <v>25.46</v>
      </c>
      <c r="F5159">
        <v>33.01</v>
      </c>
      <c r="G5159">
        <v>19.19</v>
      </c>
      <c r="H5159">
        <v>0.17</v>
      </c>
      <c r="I5159">
        <v>0.0</v>
      </c>
      <c r="J5159">
        <v>24.49</v>
      </c>
      <c r="K5159">
        <v>29.77</v>
      </c>
      <c r="L5159">
        <v>20.62</v>
      </c>
      <c r="M5159">
        <v>0.02</v>
      </c>
      <c r="N5159">
        <v>0.0</v>
      </c>
      <c r="O5159">
        <v>25.5</v>
      </c>
      <c r="P5159">
        <v>31.96</v>
      </c>
      <c r="Q5159">
        <v>21.74</v>
      </c>
      <c r="R5159">
        <v>0.25</v>
      </c>
    </row>
    <row r="5160">
      <c r="A5160" s="9">
        <v>43691</v>
      </c>
      <c r="B5160" s="2" t="inlineStr">
        <is>
          <t xml:space="preserve">2019-08</t>
        </is>
      </c>
      <c r="C5160" s="2" t="inlineStr">
        <is>
          <t xml:space="preserve">2019/20</t>
        </is>
      </c>
      <c r="D5160">
        <v>0.741</v>
      </c>
      <c r="E5160">
        <v>25.52</v>
      </c>
      <c r="F5160">
        <v>32.57</v>
      </c>
      <c r="G5160">
        <v>19.39</v>
      </c>
      <c r="H5160">
        <v>0.49</v>
      </c>
      <c r="I5160">
        <v>0.354</v>
      </c>
      <c r="J5160">
        <v>24.13</v>
      </c>
      <c r="K5160">
        <v>29.07</v>
      </c>
      <c r="L5160">
        <v>20.3</v>
      </c>
      <c r="M5160">
        <v>0.97</v>
      </c>
      <c r="N5160">
        <v>0.0</v>
      </c>
      <c r="O5160">
        <v>25.25</v>
      </c>
      <c r="P5160">
        <v>31.74</v>
      </c>
      <c r="Q5160">
        <v>21.25</v>
      </c>
      <c r="R5160">
        <v>1.02</v>
      </c>
    </row>
    <row r="5161">
      <c r="A5161" s="9">
        <v>43692</v>
      </c>
      <c r="B5161" s="2" t="inlineStr">
        <is>
          <t xml:space="preserve">2019-08</t>
        </is>
      </c>
      <c r="C5161" s="2" t="inlineStr">
        <is>
          <t xml:space="preserve">2019/20</t>
        </is>
      </c>
      <c r="D5161">
        <v>0.0</v>
      </c>
      <c r="E5161">
        <v>24.3</v>
      </c>
      <c r="F5161">
        <v>29.65</v>
      </c>
      <c r="G5161">
        <v>19.87</v>
      </c>
      <c r="H5161">
        <v>1.47</v>
      </c>
      <c r="I5161">
        <v>4.01</v>
      </c>
      <c r="J5161">
        <v>23.18</v>
      </c>
      <c r="K5161">
        <v>27.07</v>
      </c>
      <c r="L5161">
        <v>20.86</v>
      </c>
      <c r="M5161">
        <v>5.45</v>
      </c>
      <c r="N5161">
        <v>0.209</v>
      </c>
      <c r="O5161">
        <v>24.16</v>
      </c>
      <c r="P5161">
        <v>29.35</v>
      </c>
      <c r="Q5161">
        <v>21.78</v>
      </c>
      <c r="R5161">
        <v>4.61</v>
      </c>
    </row>
    <row r="5162">
      <c r="A5162" s="9">
        <v>43693</v>
      </c>
      <c r="B5162" s="2" t="inlineStr">
        <is>
          <t xml:space="preserve">2019-08</t>
        </is>
      </c>
      <c r="C5162" s="2" t="inlineStr">
        <is>
          <t xml:space="preserve">2019/20</t>
        </is>
      </c>
      <c r="D5162">
        <v>11.008</v>
      </c>
      <c r="E5162">
        <v>23.12</v>
      </c>
      <c r="F5162">
        <v>29.84</v>
      </c>
      <c r="G5162">
        <v>18.6</v>
      </c>
      <c r="H5162">
        <v>10.77</v>
      </c>
      <c r="I5162">
        <v>5.029</v>
      </c>
      <c r="J5162">
        <v>23.39</v>
      </c>
      <c r="K5162">
        <v>28.45</v>
      </c>
      <c r="L5162">
        <v>20.48</v>
      </c>
      <c r="M5162">
        <v>17.23</v>
      </c>
      <c r="N5162">
        <v>15.367</v>
      </c>
      <c r="O5162">
        <v>24.34</v>
      </c>
      <c r="P5162">
        <v>30.53</v>
      </c>
      <c r="Q5162">
        <v>20.87</v>
      </c>
      <c r="R5162">
        <v>14.87</v>
      </c>
    </row>
    <row r="5163">
      <c r="A5163" s="9">
        <v>43694</v>
      </c>
      <c r="B5163" s="2" t="inlineStr">
        <is>
          <t xml:space="preserve">2019-08</t>
        </is>
      </c>
      <c r="C5163" s="2" t="inlineStr">
        <is>
          <t xml:space="preserve">2019/20</t>
        </is>
      </c>
      <c r="D5163">
        <v>20.284</v>
      </c>
      <c r="E5163">
        <v>23.4</v>
      </c>
      <c r="F5163">
        <v>31.04</v>
      </c>
      <c r="G5163">
        <v>18.08</v>
      </c>
      <c r="H5163">
        <v>18.7</v>
      </c>
      <c r="I5163">
        <v>28.944</v>
      </c>
      <c r="J5163">
        <v>22.88</v>
      </c>
      <c r="K5163">
        <v>27.41</v>
      </c>
      <c r="L5163">
        <v>19.5</v>
      </c>
      <c r="M5163">
        <v>22.44</v>
      </c>
      <c r="N5163">
        <v>29.941</v>
      </c>
      <c r="O5163">
        <v>24.08</v>
      </c>
      <c r="P5163">
        <v>30.02</v>
      </c>
      <c r="Q5163">
        <v>19.75</v>
      </c>
      <c r="R5163">
        <v>23.01</v>
      </c>
    </row>
    <row r="5164">
      <c r="A5164" s="9">
        <v>43695</v>
      </c>
      <c r="B5164" s="2" t="inlineStr">
        <is>
          <t xml:space="preserve">2019-08</t>
        </is>
      </c>
      <c r="C5164" s="2" t="inlineStr">
        <is>
          <t xml:space="preserve">2019/20</t>
        </is>
      </c>
      <c r="D5164">
        <v>16.323</v>
      </c>
      <c r="E5164">
        <v>21.12</v>
      </c>
      <c r="F5164">
        <v>24.06</v>
      </c>
      <c r="G5164">
        <v>18.48</v>
      </c>
      <c r="H5164">
        <v>9.09</v>
      </c>
      <c r="I5164">
        <v>7.894</v>
      </c>
      <c r="J5164">
        <v>22.31</v>
      </c>
      <c r="K5164">
        <v>26.12</v>
      </c>
      <c r="L5164">
        <v>19.25</v>
      </c>
      <c r="M5164">
        <v>15.8</v>
      </c>
      <c r="N5164">
        <v>22.902</v>
      </c>
      <c r="O5164">
        <v>22.5</v>
      </c>
      <c r="P5164">
        <v>24.98</v>
      </c>
      <c r="Q5164">
        <v>20.78</v>
      </c>
      <c r="R5164">
        <v>15.54</v>
      </c>
    </row>
    <row r="5165">
      <c r="A5165" s="9">
        <v>43696</v>
      </c>
      <c r="B5165" s="2" t="inlineStr">
        <is>
          <t xml:space="preserve">2019-08</t>
        </is>
      </c>
      <c r="C5165" s="2" t="inlineStr">
        <is>
          <t xml:space="preserve">2019/20</t>
        </is>
      </c>
      <c r="D5165">
        <v>15.794</v>
      </c>
      <c r="E5165">
        <v>21.85</v>
      </c>
      <c r="F5165">
        <v>27.06</v>
      </c>
      <c r="G5165">
        <v>17.93</v>
      </c>
      <c r="H5165">
        <v>7.26</v>
      </c>
      <c r="I5165">
        <v>8.395</v>
      </c>
      <c r="J5165">
        <v>22.56</v>
      </c>
      <c r="K5165">
        <v>26.45</v>
      </c>
      <c r="L5165">
        <v>19.62</v>
      </c>
      <c r="M5165">
        <v>6.9</v>
      </c>
      <c r="N5165">
        <v>29.091</v>
      </c>
      <c r="O5165">
        <v>22.5</v>
      </c>
      <c r="P5165">
        <v>26.45</v>
      </c>
      <c r="Q5165">
        <v>19.47</v>
      </c>
      <c r="R5165">
        <v>7.11</v>
      </c>
    </row>
    <row r="5166">
      <c r="A5166" s="9">
        <v>43697</v>
      </c>
      <c r="B5166" s="2" t="inlineStr">
        <is>
          <t xml:space="preserve">2019-08</t>
        </is>
      </c>
      <c r="C5166" s="2" t="inlineStr">
        <is>
          <t xml:space="preserve">2019/20</t>
        </is>
      </c>
      <c r="D5166">
        <v>4.07</v>
      </c>
      <c r="E5166">
        <v>22.08</v>
      </c>
      <c r="F5166">
        <v>26.82</v>
      </c>
      <c r="G5166">
        <v>18.3</v>
      </c>
      <c r="H5166">
        <v>3.5</v>
      </c>
      <c r="I5166">
        <v>3.889</v>
      </c>
      <c r="J5166">
        <v>22.82</v>
      </c>
      <c r="K5166">
        <v>27.18</v>
      </c>
      <c r="L5166">
        <v>18.59</v>
      </c>
      <c r="M5166">
        <v>6.09</v>
      </c>
      <c r="N5166">
        <v>14.499</v>
      </c>
      <c r="O5166">
        <v>23.07</v>
      </c>
      <c r="P5166">
        <v>27.91</v>
      </c>
      <c r="Q5166">
        <v>19.55</v>
      </c>
      <c r="R5166">
        <v>6.07</v>
      </c>
    </row>
    <row r="5167">
      <c r="A5167" s="9">
        <v>43698</v>
      </c>
      <c r="B5167" s="2" t="inlineStr">
        <is>
          <t xml:space="preserve">2019-08</t>
        </is>
      </c>
      <c r="C5167" s="2" t="inlineStr">
        <is>
          <t xml:space="preserve">2019/20</t>
        </is>
      </c>
      <c r="D5167">
        <v>10.034</v>
      </c>
      <c r="E5167">
        <v>23.41</v>
      </c>
      <c r="F5167">
        <v>28.86</v>
      </c>
      <c r="G5167">
        <v>19.17</v>
      </c>
      <c r="H5167">
        <v>8.62</v>
      </c>
      <c r="I5167">
        <v>0.213</v>
      </c>
      <c r="J5167">
        <v>23.63</v>
      </c>
      <c r="K5167">
        <v>27.59</v>
      </c>
      <c r="L5167">
        <v>19.59</v>
      </c>
      <c r="M5167">
        <v>3.2</v>
      </c>
      <c r="N5167">
        <v>1.221</v>
      </c>
      <c r="O5167">
        <v>23.84</v>
      </c>
      <c r="P5167">
        <v>28.26</v>
      </c>
      <c r="Q5167">
        <v>20.28</v>
      </c>
      <c r="R5167">
        <v>4.93</v>
      </c>
    </row>
    <row r="5168">
      <c r="A5168" s="9">
        <v>43699</v>
      </c>
      <c r="B5168" s="2" t="inlineStr">
        <is>
          <t xml:space="preserve">2019-08</t>
        </is>
      </c>
      <c r="C5168" s="2" t="inlineStr">
        <is>
          <t xml:space="preserve">2019/20</t>
        </is>
      </c>
      <c r="D5168">
        <v>13.294</v>
      </c>
      <c r="E5168">
        <v>24.32</v>
      </c>
      <c r="F5168">
        <v>30.93</v>
      </c>
      <c r="G5168">
        <v>18.74</v>
      </c>
      <c r="H5168">
        <v>6.83</v>
      </c>
      <c r="I5168">
        <v>8.826</v>
      </c>
      <c r="J5168">
        <v>24.58</v>
      </c>
      <c r="K5168">
        <v>28.64</v>
      </c>
      <c r="L5168">
        <v>20.67</v>
      </c>
      <c r="M5168">
        <v>12.9</v>
      </c>
      <c r="N5168">
        <v>6.746</v>
      </c>
      <c r="O5168">
        <v>24.64</v>
      </c>
      <c r="P5168">
        <v>29.5</v>
      </c>
      <c r="Q5168">
        <v>21.01</v>
      </c>
      <c r="R5168">
        <v>9.65</v>
      </c>
    </row>
    <row r="5169">
      <c r="A5169" s="9">
        <v>43700</v>
      </c>
      <c r="B5169" s="2" t="inlineStr">
        <is>
          <t xml:space="preserve">2019-08</t>
        </is>
      </c>
      <c r="C5169" s="2" t="inlineStr">
        <is>
          <t xml:space="preserve">2019/20</t>
        </is>
      </c>
      <c r="D5169">
        <v>10.622</v>
      </c>
      <c r="E5169">
        <v>24.72</v>
      </c>
      <c r="F5169">
        <v>32.1</v>
      </c>
      <c r="G5169">
        <v>18.19</v>
      </c>
      <c r="H5169">
        <v>2.57</v>
      </c>
      <c r="I5169">
        <v>12.751</v>
      </c>
      <c r="J5169">
        <v>24.6</v>
      </c>
      <c r="K5169">
        <v>28.91</v>
      </c>
      <c r="L5169">
        <v>20.96</v>
      </c>
      <c r="M5169">
        <v>5.34</v>
      </c>
      <c r="N5169">
        <v>23.199</v>
      </c>
      <c r="O5169">
        <v>25.03</v>
      </c>
      <c r="P5169">
        <v>30.97</v>
      </c>
      <c r="Q5169">
        <v>21.14</v>
      </c>
      <c r="R5169">
        <v>3.99</v>
      </c>
    </row>
    <row r="5170">
      <c r="A5170" s="9">
        <v>43701</v>
      </c>
      <c r="B5170" s="2" t="inlineStr">
        <is>
          <t xml:space="preserve">2019-08</t>
        </is>
      </c>
      <c r="C5170" s="2" t="inlineStr">
        <is>
          <t xml:space="preserve">2019/20</t>
        </is>
      </c>
      <c r="D5170">
        <v>0.663</v>
      </c>
      <c r="E5170">
        <v>24.97</v>
      </c>
      <c r="F5170">
        <v>31.33</v>
      </c>
      <c r="G5170">
        <v>19.6</v>
      </c>
      <c r="H5170">
        <v>0.93</v>
      </c>
      <c r="I5170">
        <v>0.0</v>
      </c>
      <c r="J5170">
        <v>24.26</v>
      </c>
      <c r="K5170">
        <v>29.23</v>
      </c>
      <c r="L5170">
        <v>19.33</v>
      </c>
      <c r="M5170">
        <v>3.62</v>
      </c>
      <c r="N5170">
        <v>0.0</v>
      </c>
      <c r="O5170">
        <v>24.7</v>
      </c>
      <c r="P5170">
        <v>30.57</v>
      </c>
      <c r="Q5170">
        <v>20.03</v>
      </c>
      <c r="R5170">
        <v>1.17</v>
      </c>
    </row>
    <row r="5171">
      <c r="A5171" s="9">
        <v>43702</v>
      </c>
      <c r="B5171" s="2" t="inlineStr">
        <is>
          <t xml:space="preserve">2019-08</t>
        </is>
      </c>
      <c r="C5171" s="2" t="inlineStr">
        <is>
          <t xml:space="preserve">2019/20</t>
        </is>
      </c>
      <c r="D5171">
        <v>2.289</v>
      </c>
      <c r="E5171">
        <v>25.01</v>
      </c>
      <c r="F5171">
        <v>32.36</v>
      </c>
      <c r="G5171">
        <v>19.42</v>
      </c>
      <c r="H5171">
        <v>4.29</v>
      </c>
      <c r="I5171">
        <v>10.818</v>
      </c>
      <c r="J5171">
        <v>24.25</v>
      </c>
      <c r="K5171">
        <v>28.95</v>
      </c>
      <c r="L5171">
        <v>19.84</v>
      </c>
      <c r="M5171">
        <v>8.37</v>
      </c>
      <c r="N5171">
        <v>1.319</v>
      </c>
      <c r="O5171">
        <v>24.64</v>
      </c>
      <c r="P5171">
        <v>30.06</v>
      </c>
      <c r="Q5171">
        <v>21.03</v>
      </c>
      <c r="R5171">
        <v>5.73</v>
      </c>
    </row>
    <row r="5172">
      <c r="A5172" s="9">
        <v>43703</v>
      </c>
      <c r="B5172" s="2" t="inlineStr">
        <is>
          <t xml:space="preserve">2019-08</t>
        </is>
      </c>
      <c r="C5172" s="2" t="inlineStr">
        <is>
          <t xml:space="preserve">2019/20</t>
        </is>
      </c>
      <c r="D5172">
        <v>8.038</v>
      </c>
      <c r="E5172">
        <v>24.92</v>
      </c>
      <c r="F5172">
        <v>32.14</v>
      </c>
      <c r="G5172">
        <v>19.0</v>
      </c>
      <c r="H5172">
        <v>1.91</v>
      </c>
      <c r="I5172">
        <v>3.701</v>
      </c>
      <c r="J5172">
        <v>24.16</v>
      </c>
      <c r="K5172">
        <v>29.24</v>
      </c>
      <c r="L5172">
        <v>20.9</v>
      </c>
      <c r="M5172">
        <v>3.12</v>
      </c>
      <c r="N5172">
        <v>12.202</v>
      </c>
      <c r="O5172">
        <v>25.08</v>
      </c>
      <c r="P5172">
        <v>31.14</v>
      </c>
      <c r="Q5172">
        <v>21.72</v>
      </c>
      <c r="R5172">
        <v>3.18</v>
      </c>
    </row>
    <row r="5173">
      <c r="A5173" s="9">
        <v>43704</v>
      </c>
      <c r="B5173" s="2" t="inlineStr">
        <is>
          <t xml:space="preserve">2019-08</t>
        </is>
      </c>
      <c r="C5173" s="2" t="inlineStr">
        <is>
          <t xml:space="preserve">2019/20</t>
        </is>
      </c>
      <c r="D5173">
        <v>5.156</v>
      </c>
      <c r="E5173">
        <v>24.12</v>
      </c>
      <c r="F5173">
        <v>29.5</v>
      </c>
      <c r="G5173">
        <v>19.33</v>
      </c>
      <c r="H5173">
        <v>2.22</v>
      </c>
      <c r="I5173">
        <v>2.447</v>
      </c>
      <c r="J5173">
        <v>23.91</v>
      </c>
      <c r="K5173">
        <v>27.9</v>
      </c>
      <c r="L5173">
        <v>20.78</v>
      </c>
      <c r="M5173">
        <v>1.31</v>
      </c>
      <c r="N5173">
        <v>0.218</v>
      </c>
      <c r="O5173">
        <v>24.56</v>
      </c>
      <c r="P5173">
        <v>30.09</v>
      </c>
      <c r="Q5173">
        <v>21.04</v>
      </c>
      <c r="R5173">
        <v>0.61</v>
      </c>
    </row>
    <row r="5174">
      <c r="A5174" s="9">
        <v>43705</v>
      </c>
      <c r="B5174" s="2" t="inlineStr">
        <is>
          <t xml:space="preserve">2019-08</t>
        </is>
      </c>
      <c r="C5174" s="2" t="inlineStr">
        <is>
          <t xml:space="preserve">2019/20</t>
        </is>
      </c>
      <c r="D5174">
        <v>0.891</v>
      </c>
      <c r="E5174">
        <v>24.01</v>
      </c>
      <c r="F5174">
        <v>30.61</v>
      </c>
      <c r="G5174">
        <v>18.74</v>
      </c>
      <c r="H5174">
        <v>0.15</v>
      </c>
      <c r="I5174">
        <v>0.889</v>
      </c>
      <c r="J5174">
        <v>23.57</v>
      </c>
      <c r="K5174">
        <v>27.88</v>
      </c>
      <c r="L5174">
        <v>20.61</v>
      </c>
      <c r="M5174">
        <v>4.05</v>
      </c>
      <c r="N5174">
        <v>0.06</v>
      </c>
      <c r="O5174">
        <v>24.52</v>
      </c>
      <c r="P5174">
        <v>29.89</v>
      </c>
      <c r="Q5174">
        <v>21.27</v>
      </c>
      <c r="R5174">
        <v>0.39</v>
      </c>
    </row>
    <row r="5175">
      <c r="A5175" s="9">
        <v>43706</v>
      </c>
      <c r="B5175" s="2" t="inlineStr">
        <is>
          <t xml:space="preserve">2019-08</t>
        </is>
      </c>
      <c r="C5175" s="2" t="inlineStr">
        <is>
          <t xml:space="preserve">2019/20</t>
        </is>
      </c>
      <c r="D5175">
        <v>0.0</v>
      </c>
      <c r="E5175">
        <v>24.27</v>
      </c>
      <c r="F5175">
        <v>32.21</v>
      </c>
      <c r="G5175">
        <v>16.62</v>
      </c>
      <c r="H5175">
        <v>0.01</v>
      </c>
      <c r="I5175">
        <v>11.274</v>
      </c>
      <c r="J5175">
        <v>23.07</v>
      </c>
      <c r="K5175">
        <v>28.73</v>
      </c>
      <c r="L5175">
        <v>19.27</v>
      </c>
      <c r="M5175">
        <v>2.85</v>
      </c>
      <c r="N5175">
        <v>0.437</v>
      </c>
      <c r="O5175">
        <v>24.4</v>
      </c>
      <c r="P5175">
        <v>30.5</v>
      </c>
      <c r="Q5175">
        <v>20.5</v>
      </c>
      <c r="R5175">
        <v>0.26</v>
      </c>
    </row>
    <row r="5176">
      <c r="A5176" s="9">
        <v>43707</v>
      </c>
      <c r="B5176" s="2" t="inlineStr">
        <is>
          <t xml:space="preserve">2019-08</t>
        </is>
      </c>
      <c r="C5176" s="2" t="inlineStr">
        <is>
          <t xml:space="preserve">2019/20</t>
        </is>
      </c>
      <c r="D5176">
        <v>0.0</v>
      </c>
      <c r="E5176">
        <v>24.9</v>
      </c>
      <c r="F5176">
        <v>32.31</v>
      </c>
      <c r="G5176">
        <v>18.66</v>
      </c>
      <c r="H5176">
        <v>0.01</v>
      </c>
      <c r="I5176">
        <v>0.887</v>
      </c>
      <c r="J5176">
        <v>22.88</v>
      </c>
      <c r="K5176">
        <v>28.09</v>
      </c>
      <c r="L5176">
        <v>18.21</v>
      </c>
      <c r="M5176">
        <v>0.63</v>
      </c>
      <c r="N5176">
        <v>0.056</v>
      </c>
      <c r="O5176">
        <v>24.21</v>
      </c>
      <c r="P5176">
        <v>30.09</v>
      </c>
      <c r="Q5176">
        <v>20.39</v>
      </c>
      <c r="R5176">
        <v>0.09</v>
      </c>
    </row>
    <row r="5177">
      <c r="A5177" s="9">
        <v>43708</v>
      </c>
      <c r="B5177" s="2" t="inlineStr">
        <is>
          <t xml:space="preserve">2019-08</t>
        </is>
      </c>
      <c r="C5177" s="2" t="inlineStr">
        <is>
          <t xml:space="preserve">2019/20</t>
        </is>
      </c>
      <c r="D5177">
        <v>0.024</v>
      </c>
      <c r="E5177">
        <v>24.55</v>
      </c>
      <c r="F5177">
        <v>30.87</v>
      </c>
      <c r="G5177">
        <v>19.76</v>
      </c>
      <c r="H5177">
        <v>9.32</v>
      </c>
      <c r="I5177">
        <v>0.669</v>
      </c>
      <c r="J5177">
        <v>23.56</v>
      </c>
      <c r="K5177">
        <v>28.43</v>
      </c>
      <c r="L5177">
        <v>18.67</v>
      </c>
      <c r="M5177">
        <v>2.0</v>
      </c>
      <c r="N5177">
        <v>0.0</v>
      </c>
      <c r="O5177">
        <v>24.7</v>
      </c>
      <c r="P5177">
        <v>30.62</v>
      </c>
      <c r="Q5177">
        <v>19.91</v>
      </c>
      <c r="R5177">
        <v>1.94</v>
      </c>
    </row>
    <row r="5178">
      <c r="A5178" s="9">
        <v>43709</v>
      </c>
      <c r="B5178" s="2" t="inlineStr">
        <is>
          <t xml:space="preserve">2019-09</t>
        </is>
      </c>
      <c r="C5178" s="2" t="inlineStr">
        <is>
          <t xml:space="preserve">2019/20</t>
        </is>
      </c>
      <c r="D5178">
        <v>26.665</v>
      </c>
      <c r="E5178">
        <v>24.75</v>
      </c>
      <c r="F5178">
        <v>30.83</v>
      </c>
      <c r="G5178">
        <v>19.67</v>
      </c>
      <c r="H5178">
        <v>4.99</v>
      </c>
      <c r="I5178">
        <v>8.563</v>
      </c>
      <c r="J5178">
        <v>24.17</v>
      </c>
      <c r="K5178">
        <v>29.34</v>
      </c>
      <c r="L5178">
        <v>20.06</v>
      </c>
      <c r="M5178">
        <v>10.42</v>
      </c>
      <c r="N5178">
        <v>16.485</v>
      </c>
      <c r="O5178">
        <v>24.3</v>
      </c>
      <c r="P5178">
        <v>30.95</v>
      </c>
      <c r="Q5178">
        <v>20.19</v>
      </c>
      <c r="R5178">
        <v>10.6</v>
      </c>
    </row>
    <row r="5179">
      <c r="A5179" s="9">
        <v>43710</v>
      </c>
      <c r="B5179" s="2" t="inlineStr">
        <is>
          <t xml:space="preserve">2019-09</t>
        </is>
      </c>
      <c r="C5179" s="2" t="inlineStr">
        <is>
          <t xml:space="preserve">2019/20</t>
        </is>
      </c>
      <c r="D5179">
        <v>0.032</v>
      </c>
      <c r="E5179">
        <v>24.72</v>
      </c>
      <c r="F5179">
        <v>30.6</v>
      </c>
      <c r="G5179">
        <v>20.38</v>
      </c>
      <c r="H5179">
        <v>10.57</v>
      </c>
      <c r="I5179">
        <v>1.533</v>
      </c>
      <c r="J5179">
        <v>23.21</v>
      </c>
      <c r="K5179">
        <v>26.83</v>
      </c>
      <c r="L5179">
        <v>20.31</v>
      </c>
      <c r="M5179">
        <v>6.03</v>
      </c>
      <c r="N5179">
        <v>4.506</v>
      </c>
      <c r="O5179">
        <v>23.42</v>
      </c>
      <c r="P5179">
        <v>27.18</v>
      </c>
      <c r="Q5179">
        <v>21.19</v>
      </c>
      <c r="R5179">
        <v>12.38</v>
      </c>
    </row>
    <row r="5180">
      <c r="A5180" s="9">
        <v>43711</v>
      </c>
      <c r="B5180" s="2" t="inlineStr">
        <is>
          <t xml:space="preserve">2019-09</t>
        </is>
      </c>
      <c r="C5180" s="2" t="inlineStr">
        <is>
          <t xml:space="preserve">2019/20</t>
        </is>
      </c>
      <c r="D5180">
        <v>44.433</v>
      </c>
      <c r="E5180">
        <v>24.9</v>
      </c>
      <c r="F5180">
        <v>31.61</v>
      </c>
      <c r="G5180">
        <v>19.48</v>
      </c>
      <c r="H5180">
        <v>15.19</v>
      </c>
      <c r="I5180">
        <v>6.021</v>
      </c>
      <c r="J5180">
        <v>24.01</v>
      </c>
      <c r="K5180">
        <v>28.48</v>
      </c>
      <c r="L5180">
        <v>20.6</v>
      </c>
      <c r="M5180">
        <v>6.79</v>
      </c>
      <c r="N5180">
        <v>11.794</v>
      </c>
      <c r="O5180">
        <v>24.55</v>
      </c>
      <c r="P5180">
        <v>29.74</v>
      </c>
      <c r="Q5180">
        <v>20.64</v>
      </c>
      <c r="R5180">
        <v>13.68</v>
      </c>
    </row>
    <row r="5181">
      <c r="A5181" s="9">
        <v>43712</v>
      </c>
      <c r="B5181" s="2" t="inlineStr">
        <is>
          <t xml:space="preserve">2019-09</t>
        </is>
      </c>
      <c r="C5181" s="2" t="inlineStr">
        <is>
          <t xml:space="preserve">2019/20</t>
        </is>
      </c>
      <c r="D5181">
        <v>0.118</v>
      </c>
      <c r="E5181">
        <v>24.61</v>
      </c>
      <c r="F5181">
        <v>30.62</v>
      </c>
      <c r="G5181">
        <v>18.99</v>
      </c>
      <c r="H5181">
        <v>0.48</v>
      </c>
      <c r="I5181">
        <v>2.307</v>
      </c>
      <c r="J5181">
        <v>24.21</v>
      </c>
      <c r="K5181">
        <v>28.9</v>
      </c>
      <c r="L5181">
        <v>19.97</v>
      </c>
      <c r="M5181">
        <v>3.92</v>
      </c>
      <c r="N5181">
        <v>8.183</v>
      </c>
      <c r="O5181">
        <v>24.36</v>
      </c>
      <c r="P5181">
        <v>29.35</v>
      </c>
      <c r="Q5181">
        <v>20.58</v>
      </c>
      <c r="R5181">
        <v>2.06</v>
      </c>
    </row>
    <row r="5182">
      <c r="A5182" s="9">
        <v>43713</v>
      </c>
      <c r="B5182" s="2" t="inlineStr">
        <is>
          <t xml:space="preserve">2019-09</t>
        </is>
      </c>
      <c r="C5182" s="2" t="inlineStr">
        <is>
          <t xml:space="preserve">2019/20</t>
        </is>
      </c>
      <c r="D5182">
        <v>3.268</v>
      </c>
      <c r="E5182">
        <v>23.88</v>
      </c>
      <c r="F5182">
        <v>30.49</v>
      </c>
      <c r="G5182">
        <v>18.36</v>
      </c>
      <c r="H5182">
        <v>1.65</v>
      </c>
      <c r="I5182">
        <v>11.395</v>
      </c>
      <c r="J5182">
        <v>23.6</v>
      </c>
      <c r="K5182">
        <v>27.75</v>
      </c>
      <c r="L5182">
        <v>20.81</v>
      </c>
      <c r="M5182">
        <v>6.91</v>
      </c>
      <c r="N5182">
        <v>0.479</v>
      </c>
      <c r="O5182">
        <v>24.23</v>
      </c>
      <c r="P5182">
        <v>28.86</v>
      </c>
      <c r="Q5182">
        <v>21.38</v>
      </c>
      <c r="R5182">
        <v>1.69</v>
      </c>
    </row>
    <row r="5183">
      <c r="A5183" s="9">
        <v>43714</v>
      </c>
      <c r="B5183" s="2" t="inlineStr">
        <is>
          <t xml:space="preserve">2019-09</t>
        </is>
      </c>
      <c r="C5183" s="2" t="inlineStr">
        <is>
          <t xml:space="preserve">2019/20</t>
        </is>
      </c>
      <c r="D5183">
        <v>5.204</v>
      </c>
      <c r="E5183">
        <v>21.93</v>
      </c>
      <c r="F5183">
        <v>28.72</v>
      </c>
      <c r="G5183">
        <v>17.08</v>
      </c>
      <c r="H5183">
        <v>6.01</v>
      </c>
      <c r="I5183">
        <v>13.701</v>
      </c>
      <c r="J5183">
        <v>22.85</v>
      </c>
      <c r="K5183">
        <v>27.58</v>
      </c>
      <c r="L5183">
        <v>19.59</v>
      </c>
      <c r="M5183">
        <v>10.8</v>
      </c>
      <c r="N5183">
        <v>5.005</v>
      </c>
      <c r="O5183">
        <v>23.23</v>
      </c>
      <c r="P5183">
        <v>27.87</v>
      </c>
      <c r="Q5183">
        <v>20.03</v>
      </c>
      <c r="R5183">
        <v>5.86</v>
      </c>
    </row>
    <row r="5184">
      <c r="A5184" s="9">
        <v>43715</v>
      </c>
      <c r="B5184" s="2" t="inlineStr">
        <is>
          <t xml:space="preserve">2019-09</t>
        </is>
      </c>
      <c r="C5184" s="2" t="inlineStr">
        <is>
          <t xml:space="preserve">2019/20</t>
        </is>
      </c>
      <c r="D5184">
        <v>12.573</v>
      </c>
      <c r="E5184">
        <v>23.12</v>
      </c>
      <c r="F5184">
        <v>30.09</v>
      </c>
      <c r="G5184">
        <v>18.11</v>
      </c>
      <c r="H5184">
        <v>3.62</v>
      </c>
      <c r="I5184">
        <v>4.867</v>
      </c>
      <c r="J5184">
        <v>21.82</v>
      </c>
      <c r="K5184">
        <v>25.48</v>
      </c>
      <c r="L5184">
        <v>19.69</v>
      </c>
      <c r="M5184">
        <v>0.72</v>
      </c>
      <c r="N5184">
        <v>1.664</v>
      </c>
      <c r="O5184">
        <v>23.02</v>
      </c>
      <c r="P5184">
        <v>27.82</v>
      </c>
      <c r="Q5184">
        <v>20.19</v>
      </c>
      <c r="R5184">
        <v>1.19</v>
      </c>
    </row>
    <row r="5185">
      <c r="A5185" s="9">
        <v>43716</v>
      </c>
      <c r="B5185" s="2" t="inlineStr">
        <is>
          <t xml:space="preserve">2019-09</t>
        </is>
      </c>
      <c r="C5185" s="2" t="inlineStr">
        <is>
          <t xml:space="preserve">2019/20</t>
        </is>
      </c>
      <c r="D5185">
        <v>0.0</v>
      </c>
      <c r="E5185">
        <v>24.56</v>
      </c>
      <c r="F5185">
        <v>31.46</v>
      </c>
      <c r="G5185">
        <v>19.37</v>
      </c>
      <c r="H5185">
        <v>3.87</v>
      </c>
      <c r="I5185">
        <v>0.134</v>
      </c>
      <c r="J5185">
        <v>22.14</v>
      </c>
      <c r="K5185">
        <v>25.44</v>
      </c>
      <c r="L5185">
        <v>19.5</v>
      </c>
      <c r="M5185">
        <v>0.25</v>
      </c>
      <c r="N5185">
        <v>0.0</v>
      </c>
      <c r="O5185">
        <v>23.57</v>
      </c>
      <c r="P5185">
        <v>27.7</v>
      </c>
      <c r="Q5185">
        <v>21.07</v>
      </c>
      <c r="R5185">
        <v>0.66</v>
      </c>
    </row>
    <row r="5186">
      <c r="A5186" s="9">
        <v>43717</v>
      </c>
      <c r="B5186" s="2" t="inlineStr">
        <is>
          <t xml:space="preserve">2019-09</t>
        </is>
      </c>
      <c r="C5186" s="2" t="inlineStr">
        <is>
          <t xml:space="preserve">2019/20</t>
        </is>
      </c>
      <c r="D5186">
        <v>14.349</v>
      </c>
      <c r="E5186">
        <v>23.63</v>
      </c>
      <c r="F5186">
        <v>28.86</v>
      </c>
      <c r="G5186">
        <v>19.77</v>
      </c>
      <c r="H5186">
        <v>5.23</v>
      </c>
      <c r="I5186">
        <v>0.0</v>
      </c>
      <c r="J5186">
        <v>22.6</v>
      </c>
      <c r="K5186">
        <v>26.32</v>
      </c>
      <c r="L5186">
        <v>19.65</v>
      </c>
      <c r="M5186">
        <v>2.16</v>
      </c>
      <c r="N5186">
        <v>0.203</v>
      </c>
      <c r="O5186">
        <v>23.7</v>
      </c>
      <c r="P5186">
        <v>27.88</v>
      </c>
      <c r="Q5186">
        <v>21.35</v>
      </c>
      <c r="R5186">
        <v>2.53</v>
      </c>
    </row>
    <row r="5187">
      <c r="A5187" s="9">
        <v>43718</v>
      </c>
      <c r="B5187" s="2" t="inlineStr">
        <is>
          <t xml:space="preserve">2019-09</t>
        </is>
      </c>
      <c r="C5187" s="2" t="inlineStr">
        <is>
          <t xml:space="preserve">2019/20</t>
        </is>
      </c>
      <c r="D5187">
        <v>6.684</v>
      </c>
      <c r="E5187">
        <v>23.05</v>
      </c>
      <c r="F5187">
        <v>28.37</v>
      </c>
      <c r="G5187">
        <v>17.89</v>
      </c>
      <c r="H5187">
        <v>3.82</v>
      </c>
      <c r="I5187">
        <v>5.447</v>
      </c>
      <c r="J5187">
        <v>23.78</v>
      </c>
      <c r="K5187">
        <v>28.25</v>
      </c>
      <c r="L5187">
        <v>20.35</v>
      </c>
      <c r="M5187">
        <v>2.54</v>
      </c>
      <c r="N5187">
        <v>3.2</v>
      </c>
      <c r="O5187">
        <v>24.06</v>
      </c>
      <c r="P5187">
        <v>29.25</v>
      </c>
      <c r="Q5187">
        <v>20.58</v>
      </c>
      <c r="R5187">
        <v>2.39</v>
      </c>
    </row>
    <row r="5188">
      <c r="A5188" s="9">
        <v>43719</v>
      </c>
      <c r="B5188" s="2" t="inlineStr">
        <is>
          <t xml:space="preserve">2019-09</t>
        </is>
      </c>
      <c r="C5188" s="2" t="inlineStr">
        <is>
          <t xml:space="preserve">2019/20</t>
        </is>
      </c>
      <c r="D5188">
        <v>5.148</v>
      </c>
      <c r="E5188">
        <v>24.05</v>
      </c>
      <c r="F5188">
        <v>31.36</v>
      </c>
      <c r="G5188">
        <v>18.53</v>
      </c>
      <c r="H5188">
        <v>0.98</v>
      </c>
      <c r="I5188">
        <v>0.071</v>
      </c>
      <c r="J5188">
        <v>23.46</v>
      </c>
      <c r="K5188">
        <v>28.05</v>
      </c>
      <c r="L5188">
        <v>20.0</v>
      </c>
      <c r="M5188">
        <v>0.81</v>
      </c>
      <c r="N5188">
        <v>0.046</v>
      </c>
      <c r="O5188">
        <v>24.24</v>
      </c>
      <c r="P5188">
        <v>29.41</v>
      </c>
      <c r="Q5188">
        <v>20.91</v>
      </c>
      <c r="R5188">
        <v>1.03</v>
      </c>
    </row>
    <row r="5189">
      <c r="A5189" s="9">
        <v>43720</v>
      </c>
      <c r="B5189" s="2" t="inlineStr">
        <is>
          <t xml:space="preserve">2019-09</t>
        </is>
      </c>
      <c r="C5189" s="2" t="inlineStr">
        <is>
          <t xml:space="preserve">2019/20</t>
        </is>
      </c>
      <c r="D5189">
        <v>0.0</v>
      </c>
      <c r="E5189">
        <v>24.51</v>
      </c>
      <c r="F5189">
        <v>30.96</v>
      </c>
      <c r="G5189">
        <v>19.35</v>
      </c>
      <c r="H5189">
        <v>0.73</v>
      </c>
      <c r="I5189">
        <v>5.639</v>
      </c>
      <c r="J5189">
        <v>22.95</v>
      </c>
      <c r="K5189">
        <v>27.4</v>
      </c>
      <c r="L5189">
        <v>19.53</v>
      </c>
      <c r="M5189">
        <v>3.58</v>
      </c>
      <c r="N5189">
        <v>0.35</v>
      </c>
      <c r="O5189">
        <v>23.79</v>
      </c>
      <c r="P5189">
        <v>28.78</v>
      </c>
      <c r="Q5189">
        <v>20.94</v>
      </c>
      <c r="R5189">
        <v>1.48</v>
      </c>
    </row>
    <row r="5190">
      <c r="A5190" s="9">
        <v>43721</v>
      </c>
      <c r="B5190" s="2" t="inlineStr">
        <is>
          <t xml:space="preserve">2019-09</t>
        </is>
      </c>
      <c r="C5190" s="2" t="inlineStr">
        <is>
          <t xml:space="preserve">2019/20</t>
        </is>
      </c>
      <c r="D5190">
        <v>0.371</v>
      </c>
      <c r="E5190">
        <v>24.26</v>
      </c>
      <c r="F5190">
        <v>30.92</v>
      </c>
      <c r="G5190">
        <v>18.9</v>
      </c>
      <c r="H5190">
        <v>0.68</v>
      </c>
      <c r="I5190">
        <v>1.708</v>
      </c>
      <c r="J5190">
        <v>23.01</v>
      </c>
      <c r="K5190">
        <v>27.43</v>
      </c>
      <c r="L5190">
        <v>19.18</v>
      </c>
      <c r="M5190">
        <v>0.95</v>
      </c>
      <c r="N5190">
        <v>0.518</v>
      </c>
      <c r="O5190">
        <v>23.23</v>
      </c>
      <c r="P5190">
        <v>28.18</v>
      </c>
      <c r="Q5190">
        <v>20.1</v>
      </c>
      <c r="R5190">
        <v>2.7</v>
      </c>
    </row>
    <row r="5191">
      <c r="A5191" s="9">
        <v>43722</v>
      </c>
      <c r="B5191" s="2" t="inlineStr">
        <is>
          <t xml:space="preserve">2019-09</t>
        </is>
      </c>
      <c r="C5191" s="2" t="inlineStr">
        <is>
          <t xml:space="preserve">2019/20</t>
        </is>
      </c>
      <c r="D5191">
        <v>0.0</v>
      </c>
      <c r="E5191">
        <v>24.56</v>
      </c>
      <c r="F5191">
        <v>32.23</v>
      </c>
      <c r="G5191">
        <v>18.69</v>
      </c>
      <c r="H5191">
        <v>1.24</v>
      </c>
      <c r="I5191">
        <v>0.0</v>
      </c>
      <c r="J5191">
        <v>23.51</v>
      </c>
      <c r="K5191">
        <v>28.07</v>
      </c>
      <c r="L5191">
        <v>19.42</v>
      </c>
      <c r="M5191">
        <v>1.52</v>
      </c>
      <c r="N5191">
        <v>0.0</v>
      </c>
      <c r="O5191">
        <v>24.48</v>
      </c>
      <c r="P5191">
        <v>29.93</v>
      </c>
      <c r="Q5191">
        <v>20.5</v>
      </c>
      <c r="R5191">
        <v>0.36</v>
      </c>
    </row>
    <row r="5192">
      <c r="A5192" s="9">
        <v>43723</v>
      </c>
      <c r="B5192" s="2" t="inlineStr">
        <is>
          <t xml:space="preserve">2019-09</t>
        </is>
      </c>
      <c r="C5192" s="2" t="inlineStr">
        <is>
          <t xml:space="preserve">2019/20</t>
        </is>
      </c>
      <c r="D5192">
        <v>4.022</v>
      </c>
      <c r="E5192">
        <v>23.59</v>
      </c>
      <c r="F5192">
        <v>30.15</v>
      </c>
      <c r="G5192">
        <v>19.02</v>
      </c>
      <c r="H5192">
        <v>5.6</v>
      </c>
      <c r="I5192">
        <v>4.078</v>
      </c>
      <c r="J5192">
        <v>23.4</v>
      </c>
      <c r="K5192">
        <v>27.93</v>
      </c>
      <c r="L5192">
        <v>19.86</v>
      </c>
      <c r="M5192">
        <v>3.71</v>
      </c>
      <c r="N5192">
        <v>0.565</v>
      </c>
      <c r="O5192">
        <v>24.36</v>
      </c>
      <c r="P5192">
        <v>30.21</v>
      </c>
      <c r="Q5192">
        <v>20.94</v>
      </c>
      <c r="R5192">
        <v>2.62</v>
      </c>
    </row>
    <row r="5193">
      <c r="A5193" s="9">
        <v>43724</v>
      </c>
      <c r="B5193" s="2" t="inlineStr">
        <is>
          <t xml:space="preserve">2019-09</t>
        </is>
      </c>
      <c r="C5193" s="2" t="inlineStr">
        <is>
          <t xml:space="preserve">2019/20</t>
        </is>
      </c>
      <c r="D5193">
        <v>9.486</v>
      </c>
      <c r="E5193">
        <v>22.53</v>
      </c>
      <c r="F5193">
        <v>29.11</v>
      </c>
      <c r="G5193">
        <v>16.74</v>
      </c>
      <c r="H5193">
        <v>3.25</v>
      </c>
      <c r="I5193">
        <v>21.918</v>
      </c>
      <c r="J5193">
        <v>22.93</v>
      </c>
      <c r="K5193">
        <v>27.86</v>
      </c>
      <c r="L5193">
        <v>18.91</v>
      </c>
      <c r="M5193">
        <v>16.09</v>
      </c>
      <c r="N5193">
        <v>9.668</v>
      </c>
      <c r="O5193">
        <v>23.82</v>
      </c>
      <c r="P5193">
        <v>29.82</v>
      </c>
      <c r="Q5193">
        <v>19.92</v>
      </c>
      <c r="R5193">
        <v>6.75</v>
      </c>
    </row>
    <row r="5194">
      <c r="A5194" s="9">
        <v>43725</v>
      </c>
      <c r="B5194" s="2" t="inlineStr">
        <is>
          <t xml:space="preserve">2019-09</t>
        </is>
      </c>
      <c r="C5194" s="2" t="inlineStr">
        <is>
          <t xml:space="preserve">2019/20</t>
        </is>
      </c>
      <c r="D5194">
        <v>3.17</v>
      </c>
      <c r="E5194">
        <v>23.75</v>
      </c>
      <c r="F5194">
        <v>29.96</v>
      </c>
      <c r="G5194">
        <v>18.04</v>
      </c>
      <c r="H5194">
        <v>4.2</v>
      </c>
      <c r="I5194">
        <v>8.399</v>
      </c>
      <c r="J5194">
        <v>23.32</v>
      </c>
      <c r="K5194">
        <v>28.12</v>
      </c>
      <c r="L5194">
        <v>19.36</v>
      </c>
      <c r="M5194">
        <v>9.12</v>
      </c>
      <c r="N5194">
        <v>8.498</v>
      </c>
      <c r="O5194">
        <v>24.08</v>
      </c>
      <c r="P5194">
        <v>29.74</v>
      </c>
      <c r="Q5194">
        <v>20.54</v>
      </c>
      <c r="R5194">
        <v>6.84</v>
      </c>
    </row>
    <row r="5195">
      <c r="A5195" s="9">
        <v>43726</v>
      </c>
      <c r="B5195" s="2" t="inlineStr">
        <is>
          <t xml:space="preserve">2019-09</t>
        </is>
      </c>
      <c r="C5195" s="2" t="inlineStr">
        <is>
          <t xml:space="preserve">2019/20</t>
        </is>
      </c>
      <c r="D5195">
        <v>5.711</v>
      </c>
      <c r="E5195">
        <v>24.03</v>
      </c>
      <c r="F5195">
        <v>30.62</v>
      </c>
      <c r="G5195">
        <v>19.13</v>
      </c>
      <c r="H5195">
        <v>3.69</v>
      </c>
      <c r="I5195">
        <v>4.511</v>
      </c>
      <c r="J5195">
        <v>22.48</v>
      </c>
      <c r="K5195">
        <v>26.57</v>
      </c>
      <c r="L5195">
        <v>19.27</v>
      </c>
      <c r="M5195">
        <v>5.33</v>
      </c>
      <c r="N5195">
        <v>16.963</v>
      </c>
      <c r="O5195">
        <v>23.24</v>
      </c>
      <c r="P5195">
        <v>27.17</v>
      </c>
      <c r="Q5195">
        <v>20.7</v>
      </c>
      <c r="R5195">
        <v>5.23</v>
      </c>
    </row>
    <row r="5196">
      <c r="A5196" s="9">
        <v>43727</v>
      </c>
      <c r="B5196" s="2" t="inlineStr">
        <is>
          <t xml:space="preserve">2019-09</t>
        </is>
      </c>
      <c r="C5196" s="2" t="inlineStr">
        <is>
          <t xml:space="preserve">2019/20</t>
        </is>
      </c>
      <c r="D5196">
        <v>1.545</v>
      </c>
      <c r="E5196">
        <v>23.73</v>
      </c>
      <c r="F5196">
        <v>30.82</v>
      </c>
      <c r="G5196">
        <v>18.83</v>
      </c>
      <c r="H5196">
        <v>1.44</v>
      </c>
      <c r="I5196">
        <v>0.0</v>
      </c>
      <c r="J5196">
        <v>22.27</v>
      </c>
      <c r="K5196">
        <v>27.88</v>
      </c>
      <c r="L5196">
        <v>17.48</v>
      </c>
      <c r="M5196">
        <v>0.04</v>
      </c>
      <c r="N5196">
        <v>0.0</v>
      </c>
      <c r="O5196">
        <v>23.31</v>
      </c>
      <c r="P5196">
        <v>29.23</v>
      </c>
      <c r="Q5196">
        <v>19.26</v>
      </c>
      <c r="R5196">
        <v>0.15</v>
      </c>
    </row>
    <row r="5197">
      <c r="A5197" s="9">
        <v>43728</v>
      </c>
      <c r="B5197" s="2" t="inlineStr">
        <is>
          <t xml:space="preserve">2019-09</t>
        </is>
      </c>
      <c r="C5197" s="2" t="inlineStr">
        <is>
          <t xml:space="preserve">2019/20</t>
        </is>
      </c>
      <c r="D5197">
        <v>10.087</v>
      </c>
      <c r="E5197">
        <v>23.49</v>
      </c>
      <c r="F5197">
        <v>30.68</v>
      </c>
      <c r="G5197">
        <v>18.72</v>
      </c>
      <c r="H5197">
        <v>16.89</v>
      </c>
      <c r="I5197">
        <v>0.103</v>
      </c>
      <c r="J5197">
        <v>22.67</v>
      </c>
      <c r="K5197">
        <v>28.18</v>
      </c>
      <c r="L5197">
        <v>17.86</v>
      </c>
      <c r="M5197">
        <v>0.92</v>
      </c>
      <c r="N5197">
        <v>0.0</v>
      </c>
      <c r="O5197">
        <v>23.63</v>
      </c>
      <c r="P5197">
        <v>29.86</v>
      </c>
      <c r="Q5197">
        <v>18.86</v>
      </c>
      <c r="R5197">
        <v>0.44</v>
      </c>
    </row>
    <row r="5198">
      <c r="A5198" s="9">
        <v>43729</v>
      </c>
      <c r="B5198" s="2" t="inlineStr">
        <is>
          <t xml:space="preserve">2019-09</t>
        </is>
      </c>
      <c r="C5198" s="2" t="inlineStr">
        <is>
          <t xml:space="preserve">2019/20</t>
        </is>
      </c>
      <c r="D5198">
        <v>2.625</v>
      </c>
      <c r="E5198">
        <v>22.9</v>
      </c>
      <c r="F5198">
        <v>27.55</v>
      </c>
      <c r="G5198">
        <v>19.97</v>
      </c>
      <c r="H5198">
        <v>9.15</v>
      </c>
      <c r="I5198">
        <v>7.08</v>
      </c>
      <c r="J5198">
        <v>21.3</v>
      </c>
      <c r="K5198">
        <v>24.18</v>
      </c>
      <c r="L5198">
        <v>18.79</v>
      </c>
      <c r="M5198">
        <v>25.41</v>
      </c>
      <c r="N5198">
        <v>3.969</v>
      </c>
      <c r="O5198">
        <v>22.75</v>
      </c>
      <c r="P5198">
        <v>26.8</v>
      </c>
      <c r="Q5198">
        <v>19.91</v>
      </c>
      <c r="R5198">
        <v>11.46</v>
      </c>
    </row>
    <row r="5199">
      <c r="A5199" s="9">
        <v>43730</v>
      </c>
      <c r="B5199" s="2" t="inlineStr">
        <is>
          <t xml:space="preserve">2019-09</t>
        </is>
      </c>
      <c r="C5199" s="2" t="inlineStr">
        <is>
          <t xml:space="preserve">2019/20</t>
        </is>
      </c>
      <c r="D5199">
        <v>24.701</v>
      </c>
      <c r="E5199">
        <v>23.23</v>
      </c>
      <c r="F5199">
        <v>28.5</v>
      </c>
      <c r="G5199">
        <v>19.26</v>
      </c>
      <c r="H5199">
        <v>13.15</v>
      </c>
      <c r="I5199">
        <v>49.907</v>
      </c>
      <c r="J5199">
        <v>22.49</v>
      </c>
      <c r="K5199">
        <v>26.42</v>
      </c>
      <c r="L5199">
        <v>19.78</v>
      </c>
      <c r="M5199">
        <v>35.19</v>
      </c>
      <c r="N5199">
        <v>24.354</v>
      </c>
      <c r="O5199">
        <v>23.01</v>
      </c>
      <c r="P5199">
        <v>26.63</v>
      </c>
      <c r="Q5199">
        <v>20.7</v>
      </c>
      <c r="R5199">
        <v>21.14</v>
      </c>
    </row>
    <row r="5200">
      <c r="A5200" s="9">
        <v>43731</v>
      </c>
      <c r="B5200" s="2" t="inlineStr">
        <is>
          <t xml:space="preserve">2019-09</t>
        </is>
      </c>
      <c r="C5200" s="2" t="inlineStr">
        <is>
          <t xml:space="preserve">2019/20</t>
        </is>
      </c>
      <c r="D5200">
        <v>10.443</v>
      </c>
      <c r="E5200">
        <v>23.19</v>
      </c>
      <c r="F5200">
        <v>28.25</v>
      </c>
      <c r="G5200">
        <v>19.52</v>
      </c>
      <c r="H5200">
        <v>14.94</v>
      </c>
      <c r="I5200">
        <v>14.126</v>
      </c>
      <c r="J5200">
        <v>22.98</v>
      </c>
      <c r="K5200">
        <v>27.0</v>
      </c>
      <c r="L5200">
        <v>20.26</v>
      </c>
      <c r="M5200">
        <v>6.47</v>
      </c>
      <c r="N5200">
        <v>42.555</v>
      </c>
      <c r="O5200">
        <v>23.5</v>
      </c>
      <c r="P5200">
        <v>26.61</v>
      </c>
      <c r="Q5200">
        <v>20.99</v>
      </c>
      <c r="R5200">
        <v>9.88</v>
      </c>
    </row>
    <row r="5201">
      <c r="A5201" s="9">
        <v>43732</v>
      </c>
      <c r="B5201" s="2" t="inlineStr">
        <is>
          <t xml:space="preserve">2019-09</t>
        </is>
      </c>
      <c r="C5201" s="2" t="inlineStr">
        <is>
          <t xml:space="preserve">2019/20</t>
        </is>
      </c>
      <c r="D5201">
        <v>0.345</v>
      </c>
      <c r="E5201">
        <v>22.75</v>
      </c>
      <c r="F5201">
        <v>26.21</v>
      </c>
      <c r="G5201">
        <v>20.29</v>
      </c>
      <c r="H5201">
        <v>8.71</v>
      </c>
      <c r="I5201">
        <v>0.083</v>
      </c>
      <c r="J5201">
        <v>22.25</v>
      </c>
      <c r="K5201">
        <v>25.96</v>
      </c>
      <c r="L5201">
        <v>19.78</v>
      </c>
      <c r="M5201">
        <v>0.42</v>
      </c>
      <c r="N5201">
        <v>0.869</v>
      </c>
      <c r="O5201">
        <v>23.23</v>
      </c>
      <c r="P5201">
        <v>27.03</v>
      </c>
      <c r="Q5201">
        <v>20.9</v>
      </c>
      <c r="R5201">
        <v>1.58</v>
      </c>
    </row>
    <row r="5202">
      <c r="A5202" s="9">
        <v>43733</v>
      </c>
      <c r="B5202" s="2" t="inlineStr">
        <is>
          <t xml:space="preserve">2019-09</t>
        </is>
      </c>
      <c r="C5202" s="2" t="inlineStr">
        <is>
          <t xml:space="preserve">2019/20</t>
        </is>
      </c>
      <c r="D5202">
        <v>10.346</v>
      </c>
      <c r="E5202">
        <v>22.23</v>
      </c>
      <c r="F5202">
        <v>26.24</v>
      </c>
      <c r="G5202">
        <v>19.5</v>
      </c>
      <c r="H5202">
        <v>14.7</v>
      </c>
      <c r="I5202">
        <v>1.387</v>
      </c>
      <c r="J5202">
        <v>22.58</v>
      </c>
      <c r="K5202">
        <v>26.11</v>
      </c>
      <c r="L5202">
        <v>19.33</v>
      </c>
      <c r="M5202">
        <v>5.7</v>
      </c>
      <c r="N5202">
        <v>2.293</v>
      </c>
      <c r="O5202">
        <v>23.5</v>
      </c>
      <c r="P5202">
        <v>27.99</v>
      </c>
      <c r="Q5202">
        <v>19.53</v>
      </c>
      <c r="R5202">
        <v>6.57</v>
      </c>
    </row>
    <row r="5203">
      <c r="A5203" s="9">
        <v>43734</v>
      </c>
      <c r="B5203" s="2" t="inlineStr">
        <is>
          <t xml:space="preserve">2019-09</t>
        </is>
      </c>
      <c r="C5203" s="2" t="inlineStr">
        <is>
          <t xml:space="preserve">2019/20</t>
        </is>
      </c>
      <c r="D5203">
        <v>13.14</v>
      </c>
      <c r="E5203">
        <v>22.54</v>
      </c>
      <c r="F5203">
        <v>26.47</v>
      </c>
      <c r="G5203">
        <v>19.77</v>
      </c>
      <c r="H5203">
        <v>7.51</v>
      </c>
      <c r="I5203">
        <v>7.289</v>
      </c>
      <c r="J5203">
        <v>22.45</v>
      </c>
      <c r="K5203">
        <v>26.38</v>
      </c>
      <c r="L5203">
        <v>19.32</v>
      </c>
      <c r="M5203">
        <v>17.96</v>
      </c>
      <c r="N5203">
        <v>7.052</v>
      </c>
      <c r="O5203">
        <v>23.26</v>
      </c>
      <c r="P5203">
        <v>28.37</v>
      </c>
      <c r="Q5203">
        <v>19.64</v>
      </c>
      <c r="R5203">
        <v>11.54</v>
      </c>
    </row>
    <row r="5204">
      <c r="A5204" s="9">
        <v>43735</v>
      </c>
      <c r="B5204" s="2" t="inlineStr">
        <is>
          <t xml:space="preserve">2019-09</t>
        </is>
      </c>
      <c r="C5204" s="2" t="inlineStr">
        <is>
          <t xml:space="preserve">2019/20</t>
        </is>
      </c>
      <c r="D5204">
        <v>11.299</v>
      </c>
      <c r="E5204">
        <v>22.0</v>
      </c>
      <c r="F5204">
        <v>25.93</v>
      </c>
      <c r="G5204">
        <v>19.82</v>
      </c>
      <c r="H5204">
        <v>13.8</v>
      </c>
      <c r="I5204">
        <v>14.603</v>
      </c>
      <c r="J5204">
        <v>22.0</v>
      </c>
      <c r="K5204">
        <v>24.65</v>
      </c>
      <c r="L5204">
        <v>20.27</v>
      </c>
      <c r="M5204">
        <v>17.77</v>
      </c>
      <c r="N5204">
        <v>43.219</v>
      </c>
      <c r="O5204">
        <v>23.2</v>
      </c>
      <c r="P5204">
        <v>26.84</v>
      </c>
      <c r="Q5204">
        <v>20.63</v>
      </c>
      <c r="R5204">
        <v>26.15</v>
      </c>
    </row>
    <row r="5205">
      <c r="A5205" s="9">
        <v>43736</v>
      </c>
      <c r="B5205" s="2" t="inlineStr">
        <is>
          <t xml:space="preserve">2019-09</t>
        </is>
      </c>
      <c r="C5205" s="2" t="inlineStr">
        <is>
          <t xml:space="preserve">2019/20</t>
        </is>
      </c>
      <c r="D5205">
        <v>8.662</v>
      </c>
      <c r="E5205">
        <v>21.4</v>
      </c>
      <c r="F5205">
        <v>24.96</v>
      </c>
      <c r="G5205">
        <v>18.86</v>
      </c>
      <c r="H5205">
        <v>6.66</v>
      </c>
      <c r="I5205">
        <v>31.402</v>
      </c>
      <c r="J5205">
        <v>21.46</v>
      </c>
      <c r="K5205">
        <v>24.67</v>
      </c>
      <c r="L5205">
        <v>19.22</v>
      </c>
      <c r="M5205">
        <v>14.98</v>
      </c>
      <c r="N5205">
        <v>13.011</v>
      </c>
      <c r="O5205">
        <v>22.75</v>
      </c>
      <c r="P5205">
        <v>26.85</v>
      </c>
      <c r="Q5205">
        <v>20.22</v>
      </c>
      <c r="R5205">
        <v>6.36</v>
      </c>
    </row>
    <row r="5206">
      <c r="A5206" s="9">
        <v>43737</v>
      </c>
      <c r="B5206" s="2" t="inlineStr">
        <is>
          <t xml:space="preserve">2019-09</t>
        </is>
      </c>
      <c r="C5206" s="2" t="inlineStr">
        <is>
          <t xml:space="preserve">2019/20</t>
        </is>
      </c>
      <c r="D5206">
        <v>3.61</v>
      </c>
      <c r="E5206">
        <v>22.61</v>
      </c>
      <c r="F5206">
        <v>27.16</v>
      </c>
      <c r="G5206">
        <v>18.45</v>
      </c>
      <c r="H5206">
        <v>1.88</v>
      </c>
      <c r="I5206">
        <v>1.093</v>
      </c>
      <c r="J5206">
        <v>22.98</v>
      </c>
      <c r="K5206">
        <v>28.26</v>
      </c>
      <c r="L5206">
        <v>18.81</v>
      </c>
      <c r="M5206">
        <v>0.9</v>
      </c>
      <c r="N5206">
        <v>0.037</v>
      </c>
      <c r="O5206">
        <v>22.87</v>
      </c>
      <c r="P5206">
        <v>27.61</v>
      </c>
      <c r="Q5206">
        <v>19.2</v>
      </c>
      <c r="R5206">
        <v>1.85</v>
      </c>
    </row>
    <row r="5207">
      <c r="A5207" s="9">
        <v>43738</v>
      </c>
      <c r="B5207" s="2" t="inlineStr">
        <is>
          <t xml:space="preserve">2019-09</t>
        </is>
      </c>
      <c r="C5207" s="2" t="inlineStr">
        <is>
          <t xml:space="preserve">2019/20</t>
        </is>
      </c>
      <c r="D5207">
        <v>0.197</v>
      </c>
      <c r="E5207">
        <v>22.11</v>
      </c>
      <c r="F5207">
        <v>26.48</v>
      </c>
      <c r="G5207">
        <v>18.97</v>
      </c>
      <c r="H5207">
        <v>5.21</v>
      </c>
      <c r="I5207">
        <v>1.376</v>
      </c>
      <c r="J5207">
        <v>22.67</v>
      </c>
      <c r="K5207">
        <v>26.73</v>
      </c>
      <c r="L5207">
        <v>19.57</v>
      </c>
      <c r="M5207">
        <v>5.61</v>
      </c>
      <c r="N5207">
        <v>4.254</v>
      </c>
      <c r="O5207">
        <v>22.62</v>
      </c>
      <c r="P5207">
        <v>26.5</v>
      </c>
      <c r="Q5207">
        <v>20.6</v>
      </c>
      <c r="R5207">
        <v>9.7</v>
      </c>
    </row>
    <row r="5208">
      <c r="A5208" s="9">
        <v>43739</v>
      </c>
      <c r="B5208" s="2" t="inlineStr">
        <is>
          <t xml:space="preserve">2019-10</t>
        </is>
      </c>
      <c r="C5208" s="2" t="inlineStr">
        <is>
          <t xml:space="preserve">2019/20</t>
        </is>
      </c>
      <c r="D5208">
        <v>13.449</v>
      </c>
      <c r="E5208">
        <v>21.7</v>
      </c>
      <c r="F5208">
        <v>25.85</v>
      </c>
      <c r="G5208">
        <v>19.23</v>
      </c>
      <c r="H5208">
        <v>7.14</v>
      </c>
      <c r="I5208">
        <v>8.689</v>
      </c>
      <c r="J5208">
        <v>22.05</v>
      </c>
      <c r="K5208">
        <v>25.87</v>
      </c>
      <c r="L5208">
        <v>19.14</v>
      </c>
      <c r="M5208">
        <v>3.21</v>
      </c>
      <c r="N5208">
        <v>0.967</v>
      </c>
      <c r="O5208">
        <v>22.72</v>
      </c>
      <c r="P5208">
        <v>27.13</v>
      </c>
      <c r="Q5208">
        <v>19.99</v>
      </c>
      <c r="R5208">
        <v>2.28</v>
      </c>
    </row>
    <row r="5209">
      <c r="A5209" s="9">
        <v>43740</v>
      </c>
      <c r="B5209" s="2" t="inlineStr">
        <is>
          <t xml:space="preserve">2019-10</t>
        </is>
      </c>
      <c r="C5209" s="2" t="inlineStr">
        <is>
          <t xml:space="preserve">2019/20</t>
        </is>
      </c>
      <c r="D5209">
        <v>1.671</v>
      </c>
      <c r="E5209">
        <v>21.48</v>
      </c>
      <c r="F5209">
        <v>25.92</v>
      </c>
      <c r="G5209">
        <v>18.83</v>
      </c>
      <c r="H5209">
        <v>8.93</v>
      </c>
      <c r="I5209">
        <v>0.373</v>
      </c>
      <c r="J5209">
        <v>22.26</v>
      </c>
      <c r="K5209">
        <v>26.33</v>
      </c>
      <c r="L5209">
        <v>18.93</v>
      </c>
      <c r="M5209">
        <v>22.93</v>
      </c>
      <c r="N5209">
        <v>2.653</v>
      </c>
      <c r="O5209">
        <v>22.93</v>
      </c>
      <c r="P5209">
        <v>28.25</v>
      </c>
      <c r="Q5209">
        <v>19.64</v>
      </c>
      <c r="R5209">
        <v>17.51</v>
      </c>
    </row>
    <row r="5210">
      <c r="A5210" s="9">
        <v>43741</v>
      </c>
      <c r="B5210" s="2" t="inlineStr">
        <is>
          <t xml:space="preserve">2019-10</t>
        </is>
      </c>
      <c r="C5210" s="2" t="inlineStr">
        <is>
          <t xml:space="preserve">2019/20</t>
        </is>
      </c>
      <c r="D5210">
        <v>12.057</v>
      </c>
      <c r="E5210">
        <v>21.79</v>
      </c>
      <c r="F5210">
        <v>26.26</v>
      </c>
      <c r="G5210">
        <v>19.11</v>
      </c>
      <c r="H5210">
        <v>6.05</v>
      </c>
      <c r="I5210">
        <v>20.119</v>
      </c>
      <c r="J5210">
        <v>22.47</v>
      </c>
      <c r="K5210">
        <v>26.74</v>
      </c>
      <c r="L5210">
        <v>19.53</v>
      </c>
      <c r="M5210">
        <v>8.22</v>
      </c>
      <c r="N5210">
        <v>53.448</v>
      </c>
      <c r="O5210">
        <v>23.09</v>
      </c>
      <c r="P5210">
        <v>29.1</v>
      </c>
      <c r="Q5210">
        <v>19.02</v>
      </c>
      <c r="R5210">
        <v>8.94</v>
      </c>
    </row>
    <row r="5211">
      <c r="A5211" s="9">
        <v>43742</v>
      </c>
      <c r="B5211" s="2" t="inlineStr">
        <is>
          <t xml:space="preserve">2019-10</t>
        </is>
      </c>
      <c r="C5211" s="2" t="inlineStr">
        <is>
          <t xml:space="preserve">2019/20</t>
        </is>
      </c>
      <c r="D5211">
        <v>1.887</v>
      </c>
      <c r="E5211">
        <v>22.96</v>
      </c>
      <c r="F5211">
        <v>27.56</v>
      </c>
      <c r="G5211">
        <v>18.97</v>
      </c>
      <c r="H5211">
        <v>4.69</v>
      </c>
      <c r="I5211">
        <v>3.029</v>
      </c>
      <c r="J5211">
        <v>23.28</v>
      </c>
      <c r="K5211">
        <v>27.93</v>
      </c>
      <c r="L5211">
        <v>19.68</v>
      </c>
      <c r="M5211">
        <v>8.58</v>
      </c>
      <c r="N5211">
        <v>9.37</v>
      </c>
      <c r="O5211">
        <v>24.18</v>
      </c>
      <c r="P5211">
        <v>29.6</v>
      </c>
      <c r="Q5211">
        <v>20.38</v>
      </c>
      <c r="R5211">
        <v>5.86</v>
      </c>
    </row>
    <row r="5212">
      <c r="A5212" s="9">
        <v>43743</v>
      </c>
      <c r="B5212" s="2" t="inlineStr">
        <is>
          <t xml:space="preserve">2019-10</t>
        </is>
      </c>
      <c r="C5212" s="2" t="inlineStr">
        <is>
          <t xml:space="preserve">2019/20</t>
        </is>
      </c>
      <c r="D5212">
        <v>13.787</v>
      </c>
      <c r="E5212">
        <v>22.29</v>
      </c>
      <c r="F5212">
        <v>26.26</v>
      </c>
      <c r="G5212">
        <v>19.3</v>
      </c>
      <c r="H5212">
        <v>9.22</v>
      </c>
      <c r="I5212">
        <v>20.033</v>
      </c>
      <c r="J5212">
        <v>23.25</v>
      </c>
      <c r="K5212">
        <v>27.63</v>
      </c>
      <c r="L5212">
        <v>20.3</v>
      </c>
      <c r="M5212">
        <v>12.98</v>
      </c>
      <c r="N5212">
        <v>2.576</v>
      </c>
      <c r="O5212">
        <v>23.55</v>
      </c>
      <c r="P5212">
        <v>27.91</v>
      </c>
      <c r="Q5212">
        <v>20.91</v>
      </c>
      <c r="R5212">
        <v>11.55</v>
      </c>
    </row>
    <row r="5213">
      <c r="A5213" s="9">
        <v>43744</v>
      </c>
      <c r="B5213" s="2" t="inlineStr">
        <is>
          <t xml:space="preserve">2019-10</t>
        </is>
      </c>
      <c r="C5213" s="2" t="inlineStr">
        <is>
          <t xml:space="preserve">2019/20</t>
        </is>
      </c>
      <c r="D5213">
        <v>11.653</v>
      </c>
      <c r="E5213">
        <v>21.66</v>
      </c>
      <c r="F5213">
        <v>24.85</v>
      </c>
      <c r="G5213">
        <v>19.42</v>
      </c>
      <c r="H5213">
        <v>13.37</v>
      </c>
      <c r="I5213">
        <v>13.572</v>
      </c>
      <c r="J5213">
        <v>23.08</v>
      </c>
      <c r="K5213">
        <v>27.77</v>
      </c>
      <c r="L5213">
        <v>20.23</v>
      </c>
      <c r="M5213">
        <v>21.95</v>
      </c>
      <c r="N5213">
        <v>44.759</v>
      </c>
      <c r="O5213">
        <v>21.88</v>
      </c>
      <c r="P5213">
        <v>24.85</v>
      </c>
      <c r="Q5213">
        <v>19.79</v>
      </c>
      <c r="R5213">
        <v>20.49</v>
      </c>
    </row>
    <row r="5214">
      <c r="A5214" s="9">
        <v>43745</v>
      </c>
      <c r="B5214" s="2" t="inlineStr">
        <is>
          <t xml:space="preserve">2019-10</t>
        </is>
      </c>
      <c r="C5214" s="2" t="inlineStr">
        <is>
          <t xml:space="preserve">2019/20</t>
        </is>
      </c>
      <c r="D5214">
        <v>11.097</v>
      </c>
      <c r="E5214">
        <v>22.16</v>
      </c>
      <c r="F5214">
        <v>26.71</v>
      </c>
      <c r="G5214">
        <v>19.22</v>
      </c>
      <c r="H5214">
        <v>9.17</v>
      </c>
      <c r="I5214">
        <v>13.509</v>
      </c>
      <c r="J5214">
        <v>21.84</v>
      </c>
      <c r="K5214">
        <v>25.62</v>
      </c>
      <c r="L5214">
        <v>19.84</v>
      </c>
      <c r="M5214">
        <v>14.96</v>
      </c>
      <c r="N5214">
        <v>32.963</v>
      </c>
      <c r="O5214">
        <v>22.18</v>
      </c>
      <c r="P5214">
        <v>27.04</v>
      </c>
      <c r="Q5214">
        <v>19.1</v>
      </c>
      <c r="R5214">
        <v>12.97</v>
      </c>
    </row>
    <row r="5215">
      <c r="A5215" s="9">
        <v>43746</v>
      </c>
      <c r="B5215" s="2" t="inlineStr">
        <is>
          <t xml:space="preserve">2019-10</t>
        </is>
      </c>
      <c r="C5215" s="2" t="inlineStr">
        <is>
          <t xml:space="preserve">2019/20</t>
        </is>
      </c>
      <c r="D5215">
        <v>5.243</v>
      </c>
      <c r="E5215">
        <v>22.1</v>
      </c>
      <c r="F5215">
        <v>26.09</v>
      </c>
      <c r="G5215">
        <v>19.06</v>
      </c>
      <c r="H5215">
        <v>2.91</v>
      </c>
      <c r="I5215">
        <v>0.583</v>
      </c>
      <c r="J5215">
        <v>22.75</v>
      </c>
      <c r="K5215">
        <v>26.8</v>
      </c>
      <c r="L5215">
        <v>19.29</v>
      </c>
      <c r="M5215">
        <v>1.21</v>
      </c>
      <c r="N5215">
        <v>3.094</v>
      </c>
      <c r="O5215">
        <v>23.11</v>
      </c>
      <c r="P5215">
        <v>26.81</v>
      </c>
      <c r="Q5215">
        <v>20.67</v>
      </c>
      <c r="R5215">
        <v>1.65</v>
      </c>
    </row>
    <row r="5216">
      <c r="A5216" s="9">
        <v>43747</v>
      </c>
      <c r="B5216" s="2" t="inlineStr">
        <is>
          <t xml:space="preserve">2019-10</t>
        </is>
      </c>
      <c r="C5216" s="2" t="inlineStr">
        <is>
          <t xml:space="preserve">2019/20</t>
        </is>
      </c>
      <c r="D5216">
        <v>7.302</v>
      </c>
      <c r="E5216">
        <v>22.0</v>
      </c>
      <c r="F5216">
        <v>26.38</v>
      </c>
      <c r="G5216">
        <v>18.43</v>
      </c>
      <c r="H5216">
        <v>6.84</v>
      </c>
      <c r="I5216">
        <v>0.04</v>
      </c>
      <c r="J5216">
        <v>22.83</v>
      </c>
      <c r="K5216">
        <v>26.99</v>
      </c>
      <c r="L5216">
        <v>19.95</v>
      </c>
      <c r="M5216">
        <v>7.82</v>
      </c>
      <c r="N5216">
        <v>0.451</v>
      </c>
      <c r="O5216">
        <v>23.43</v>
      </c>
      <c r="P5216">
        <v>27.25</v>
      </c>
      <c r="Q5216">
        <v>20.98</v>
      </c>
      <c r="R5216">
        <v>8.44</v>
      </c>
    </row>
    <row r="5217">
      <c r="A5217" s="9">
        <v>43748</v>
      </c>
      <c r="B5217" s="2" t="inlineStr">
        <is>
          <t xml:space="preserve">2019-10</t>
        </is>
      </c>
      <c r="C5217" s="2" t="inlineStr">
        <is>
          <t xml:space="preserve">2019/20</t>
        </is>
      </c>
      <c r="D5217">
        <v>3.472</v>
      </c>
      <c r="E5217">
        <v>21.71</v>
      </c>
      <c r="F5217">
        <v>26.18</v>
      </c>
      <c r="G5217">
        <v>18.13</v>
      </c>
      <c r="H5217">
        <v>1.63</v>
      </c>
      <c r="I5217">
        <v>11.89</v>
      </c>
      <c r="J5217">
        <v>23.33</v>
      </c>
      <c r="K5217">
        <v>28.21</v>
      </c>
      <c r="L5217">
        <v>20.05</v>
      </c>
      <c r="M5217">
        <v>14.11</v>
      </c>
      <c r="N5217">
        <v>39.686</v>
      </c>
      <c r="O5217">
        <v>23.35</v>
      </c>
      <c r="P5217">
        <v>27.37</v>
      </c>
      <c r="Q5217">
        <v>21.09</v>
      </c>
      <c r="R5217">
        <v>10.52</v>
      </c>
    </row>
    <row r="5218">
      <c r="A5218" s="9">
        <v>43749</v>
      </c>
      <c r="B5218" s="2" t="inlineStr">
        <is>
          <t xml:space="preserve">2019-10</t>
        </is>
      </c>
      <c r="C5218" s="2" t="inlineStr">
        <is>
          <t xml:space="preserve">2019/20</t>
        </is>
      </c>
      <c r="D5218">
        <v>5.462</v>
      </c>
      <c r="E5218">
        <v>20.85</v>
      </c>
      <c r="F5218">
        <v>26.27</v>
      </c>
      <c r="G5218">
        <v>16.58</v>
      </c>
      <c r="H5218">
        <v>8.36</v>
      </c>
      <c r="I5218">
        <v>2.814</v>
      </c>
      <c r="J5218">
        <v>22.32</v>
      </c>
      <c r="K5218">
        <v>26.63</v>
      </c>
      <c r="L5218">
        <v>19.16</v>
      </c>
      <c r="M5218">
        <v>4.03</v>
      </c>
      <c r="N5218">
        <v>6.467</v>
      </c>
      <c r="O5218">
        <v>22.63</v>
      </c>
      <c r="P5218">
        <v>26.85</v>
      </c>
      <c r="Q5218">
        <v>19.94</v>
      </c>
      <c r="R5218">
        <v>5.13</v>
      </c>
    </row>
    <row r="5219">
      <c r="A5219" s="9">
        <v>43750</v>
      </c>
      <c r="B5219" s="2" t="inlineStr">
        <is>
          <t xml:space="preserve">2019-10</t>
        </is>
      </c>
      <c r="C5219" s="2" t="inlineStr">
        <is>
          <t xml:space="preserve">2019/20</t>
        </is>
      </c>
      <c r="D5219">
        <v>4.897</v>
      </c>
      <c r="E5219">
        <v>20.6</v>
      </c>
      <c r="F5219">
        <v>25.52</v>
      </c>
      <c r="G5219">
        <v>15.96</v>
      </c>
      <c r="H5219">
        <v>3.27</v>
      </c>
      <c r="I5219">
        <v>3.483</v>
      </c>
      <c r="J5219">
        <v>21.58</v>
      </c>
      <c r="K5219">
        <v>26.42</v>
      </c>
      <c r="L5219">
        <v>17.3</v>
      </c>
      <c r="M5219">
        <v>2.95</v>
      </c>
      <c r="N5219">
        <v>1.89</v>
      </c>
      <c r="O5219">
        <v>22.18</v>
      </c>
      <c r="P5219">
        <v>26.34</v>
      </c>
      <c r="Q5219">
        <v>19.17</v>
      </c>
      <c r="R5219">
        <v>4.98</v>
      </c>
    </row>
    <row r="5220">
      <c r="A5220" s="9">
        <v>43751</v>
      </c>
      <c r="B5220" s="2" t="inlineStr">
        <is>
          <t xml:space="preserve">2019-10</t>
        </is>
      </c>
      <c r="C5220" s="2" t="inlineStr">
        <is>
          <t xml:space="preserve">2019/20</t>
        </is>
      </c>
      <c r="D5220">
        <v>3.152</v>
      </c>
      <c r="E5220">
        <v>20.72</v>
      </c>
      <c r="F5220">
        <v>25.46</v>
      </c>
      <c r="G5220">
        <v>17.13</v>
      </c>
      <c r="H5220">
        <v>8.74</v>
      </c>
      <c r="I5220">
        <v>8.255</v>
      </c>
      <c r="J5220">
        <v>21.42</v>
      </c>
      <c r="K5220">
        <v>25.6</v>
      </c>
      <c r="L5220">
        <v>18.57</v>
      </c>
      <c r="M5220">
        <v>15.05</v>
      </c>
      <c r="N5220">
        <v>6.103</v>
      </c>
      <c r="O5220">
        <v>21.82</v>
      </c>
      <c r="P5220">
        <v>25.82</v>
      </c>
      <c r="Q5220">
        <v>19.63</v>
      </c>
      <c r="R5220">
        <v>12.79</v>
      </c>
    </row>
    <row r="5221">
      <c r="A5221" s="9">
        <v>43752</v>
      </c>
      <c r="B5221" s="2" t="inlineStr">
        <is>
          <t xml:space="preserve">2019-10</t>
        </is>
      </c>
      <c r="C5221" s="2" t="inlineStr">
        <is>
          <t xml:space="preserve">2019/20</t>
        </is>
      </c>
      <c r="D5221">
        <v>12.033</v>
      </c>
      <c r="E5221">
        <v>20.0</v>
      </c>
      <c r="F5221">
        <v>24.94</v>
      </c>
      <c r="G5221">
        <v>16.39</v>
      </c>
      <c r="H5221">
        <v>11.73</v>
      </c>
      <c r="I5221">
        <v>15.313</v>
      </c>
      <c r="J5221">
        <v>21.0</v>
      </c>
      <c r="K5221">
        <v>24.69</v>
      </c>
      <c r="L5221">
        <v>18.02</v>
      </c>
      <c r="M5221">
        <v>14.04</v>
      </c>
      <c r="N5221">
        <v>28.764</v>
      </c>
      <c r="O5221">
        <v>21.37</v>
      </c>
      <c r="P5221">
        <v>25.3</v>
      </c>
      <c r="Q5221">
        <v>18.73</v>
      </c>
      <c r="R5221">
        <v>15.75</v>
      </c>
    </row>
    <row r="5222">
      <c r="A5222" s="9">
        <v>43753</v>
      </c>
      <c r="B5222" s="2" t="inlineStr">
        <is>
          <t xml:space="preserve">2019-10</t>
        </is>
      </c>
      <c r="C5222" s="2" t="inlineStr">
        <is>
          <t xml:space="preserve">2019/20</t>
        </is>
      </c>
      <c r="D5222">
        <v>4.971</v>
      </c>
      <c r="E5222">
        <v>20.77</v>
      </c>
      <c r="F5222">
        <v>24.24</v>
      </c>
      <c r="G5222">
        <v>18.49</v>
      </c>
      <c r="H5222">
        <v>1.97</v>
      </c>
      <c r="I5222">
        <v>22.0</v>
      </c>
      <c r="J5222">
        <v>21.26</v>
      </c>
      <c r="K5222">
        <v>24.87</v>
      </c>
      <c r="L5222">
        <v>19.17</v>
      </c>
      <c r="M5222">
        <v>16.9</v>
      </c>
      <c r="N5222">
        <v>11.146</v>
      </c>
      <c r="O5222">
        <v>22.27</v>
      </c>
      <c r="P5222">
        <v>26.21</v>
      </c>
      <c r="Q5222">
        <v>19.42</v>
      </c>
      <c r="R5222">
        <v>6.07</v>
      </c>
    </row>
    <row r="5223">
      <c r="A5223" s="9">
        <v>43754</v>
      </c>
      <c r="B5223" s="2" t="inlineStr">
        <is>
          <t xml:space="preserve">2019-10</t>
        </is>
      </c>
      <c r="C5223" s="2" t="inlineStr">
        <is>
          <t xml:space="preserve">2019/20</t>
        </is>
      </c>
      <c r="D5223">
        <v>0.228</v>
      </c>
      <c r="E5223">
        <v>22.11</v>
      </c>
      <c r="F5223">
        <v>27.66</v>
      </c>
      <c r="G5223">
        <v>17.83</v>
      </c>
      <c r="H5223">
        <v>1.57</v>
      </c>
      <c r="I5223">
        <v>5.913</v>
      </c>
      <c r="J5223">
        <v>22.03</v>
      </c>
      <c r="K5223">
        <v>26.43</v>
      </c>
      <c r="L5223">
        <v>19.2</v>
      </c>
      <c r="M5223">
        <v>7.41</v>
      </c>
      <c r="N5223">
        <v>22.879</v>
      </c>
      <c r="O5223">
        <v>23.13</v>
      </c>
      <c r="P5223">
        <v>28.95</v>
      </c>
      <c r="Q5223">
        <v>18.51</v>
      </c>
      <c r="R5223">
        <v>7.62</v>
      </c>
    </row>
    <row r="5224">
      <c r="A5224" s="9">
        <v>43755</v>
      </c>
      <c r="B5224" s="2" t="inlineStr">
        <is>
          <t xml:space="preserve">2019-10</t>
        </is>
      </c>
      <c r="C5224" s="2" t="inlineStr">
        <is>
          <t xml:space="preserve">2019/20</t>
        </is>
      </c>
      <c r="D5224">
        <v>0.0</v>
      </c>
      <c r="E5224">
        <v>22.88</v>
      </c>
      <c r="F5224">
        <v>28.4</v>
      </c>
      <c r="G5224">
        <v>17.96</v>
      </c>
      <c r="H5224">
        <v>0.77</v>
      </c>
      <c r="I5224">
        <v>0.0</v>
      </c>
      <c r="J5224">
        <v>22.86</v>
      </c>
      <c r="K5224">
        <v>27.49</v>
      </c>
      <c r="L5224">
        <v>19.19</v>
      </c>
      <c r="M5224">
        <v>4.12</v>
      </c>
      <c r="N5224">
        <v>0.0</v>
      </c>
      <c r="O5224">
        <v>24.39</v>
      </c>
      <c r="P5224">
        <v>29.48</v>
      </c>
      <c r="Q5224">
        <v>20.37</v>
      </c>
      <c r="R5224">
        <v>4.29</v>
      </c>
    </row>
    <row r="5225">
      <c r="A5225" s="9">
        <v>43756</v>
      </c>
      <c r="B5225" s="2" t="inlineStr">
        <is>
          <t xml:space="preserve">2019-10</t>
        </is>
      </c>
      <c r="C5225" s="2" t="inlineStr">
        <is>
          <t xml:space="preserve">2019/20</t>
        </is>
      </c>
      <c r="D5225">
        <v>0.202</v>
      </c>
      <c r="E5225">
        <v>22.88</v>
      </c>
      <c r="F5225">
        <v>27.56</v>
      </c>
      <c r="G5225">
        <v>19.18</v>
      </c>
      <c r="H5225">
        <v>0.85</v>
      </c>
      <c r="I5225">
        <v>5.885</v>
      </c>
      <c r="J5225">
        <v>22.83</v>
      </c>
      <c r="K5225">
        <v>27.23</v>
      </c>
      <c r="L5225">
        <v>19.46</v>
      </c>
      <c r="M5225">
        <v>6.6</v>
      </c>
      <c r="N5225">
        <v>22.738</v>
      </c>
      <c r="O5225">
        <v>24.27</v>
      </c>
      <c r="P5225">
        <v>28.83</v>
      </c>
      <c r="Q5225">
        <v>20.78</v>
      </c>
      <c r="R5225">
        <v>5.06</v>
      </c>
    </row>
    <row r="5226">
      <c r="A5226" s="9">
        <v>43757</v>
      </c>
      <c r="B5226" s="2" t="inlineStr">
        <is>
          <t xml:space="preserve">2019-10</t>
        </is>
      </c>
      <c r="C5226" s="2" t="inlineStr">
        <is>
          <t xml:space="preserve">2019/20</t>
        </is>
      </c>
      <c r="D5226">
        <v>1.076</v>
      </c>
      <c r="E5226">
        <v>22.79</v>
      </c>
      <c r="F5226">
        <v>27.73</v>
      </c>
      <c r="G5226">
        <v>18.25</v>
      </c>
      <c r="H5226">
        <v>0.6</v>
      </c>
      <c r="I5226">
        <v>0.283</v>
      </c>
      <c r="J5226">
        <v>23.54</v>
      </c>
      <c r="K5226">
        <v>27.89</v>
      </c>
      <c r="L5226">
        <v>20.14</v>
      </c>
      <c r="M5226">
        <v>1.71</v>
      </c>
      <c r="N5226">
        <v>1.432</v>
      </c>
      <c r="O5226">
        <v>24.32</v>
      </c>
      <c r="P5226">
        <v>29.69</v>
      </c>
      <c r="Q5226">
        <v>19.91</v>
      </c>
      <c r="R5226">
        <v>1.63</v>
      </c>
    </row>
    <row r="5227">
      <c r="A5227" s="9">
        <v>43758</v>
      </c>
      <c r="B5227" s="2" t="inlineStr">
        <is>
          <t xml:space="preserve">2019-10</t>
        </is>
      </c>
      <c r="C5227" s="2" t="inlineStr">
        <is>
          <t xml:space="preserve">2019/20</t>
        </is>
      </c>
      <c r="D5227">
        <v>0.086</v>
      </c>
      <c r="E5227">
        <v>23.09</v>
      </c>
      <c r="F5227">
        <v>28.25</v>
      </c>
      <c r="G5227">
        <v>18.77</v>
      </c>
      <c r="H5227">
        <v>1.18</v>
      </c>
      <c r="I5227">
        <v>0.992</v>
      </c>
      <c r="J5227">
        <v>23.41</v>
      </c>
      <c r="K5227">
        <v>27.27</v>
      </c>
      <c r="L5227">
        <v>20.59</v>
      </c>
      <c r="M5227">
        <v>1.44</v>
      </c>
      <c r="N5227">
        <v>3.6</v>
      </c>
      <c r="O5227">
        <v>24.25</v>
      </c>
      <c r="P5227">
        <v>29.33</v>
      </c>
      <c r="Q5227">
        <v>20.49</v>
      </c>
      <c r="R5227">
        <v>1.53</v>
      </c>
    </row>
    <row r="5228">
      <c r="A5228" s="9">
        <v>43759</v>
      </c>
      <c r="B5228" s="2" t="inlineStr">
        <is>
          <t xml:space="preserve">2019-10</t>
        </is>
      </c>
      <c r="C5228" s="2" t="inlineStr">
        <is>
          <t xml:space="preserve">2019/20</t>
        </is>
      </c>
      <c r="D5228">
        <v>4.863</v>
      </c>
      <c r="E5228">
        <v>22.28</v>
      </c>
      <c r="F5228">
        <v>26.7</v>
      </c>
      <c r="G5228">
        <v>19.12</v>
      </c>
      <c r="H5228">
        <v>7.32</v>
      </c>
      <c r="I5228">
        <v>1.409</v>
      </c>
      <c r="J5228">
        <v>22.84</v>
      </c>
      <c r="K5228">
        <v>27.14</v>
      </c>
      <c r="L5228">
        <v>19.46</v>
      </c>
      <c r="M5228">
        <v>6.54</v>
      </c>
      <c r="N5228">
        <v>7.015</v>
      </c>
      <c r="O5228">
        <v>23.79</v>
      </c>
      <c r="P5228">
        <v>28.15</v>
      </c>
      <c r="Q5228">
        <v>20.39</v>
      </c>
      <c r="R5228">
        <v>7.67</v>
      </c>
    </row>
    <row r="5229">
      <c r="A5229" s="9">
        <v>43760</v>
      </c>
      <c r="B5229" s="2" t="inlineStr">
        <is>
          <t xml:space="preserve">2019-10</t>
        </is>
      </c>
      <c r="C5229" s="2" t="inlineStr">
        <is>
          <t xml:space="preserve">2019/20</t>
        </is>
      </c>
      <c r="D5229">
        <v>31.959</v>
      </c>
      <c r="E5229">
        <v>21.49</v>
      </c>
      <c r="F5229">
        <v>26.03</v>
      </c>
      <c r="G5229">
        <v>18.27</v>
      </c>
      <c r="H5229">
        <v>20.47</v>
      </c>
      <c r="I5229">
        <v>9.232</v>
      </c>
      <c r="J5229">
        <v>22.11</v>
      </c>
      <c r="K5229">
        <v>25.73</v>
      </c>
      <c r="L5229">
        <v>19.09</v>
      </c>
      <c r="M5229">
        <v>14.92</v>
      </c>
      <c r="N5229">
        <v>32.792</v>
      </c>
      <c r="O5229">
        <v>22.69</v>
      </c>
      <c r="P5229">
        <v>27.27</v>
      </c>
      <c r="Q5229">
        <v>19.13</v>
      </c>
      <c r="R5229">
        <v>16.23</v>
      </c>
    </row>
    <row r="5230">
      <c r="A5230" s="9">
        <v>43761</v>
      </c>
      <c r="B5230" s="2" t="inlineStr">
        <is>
          <t xml:space="preserve">2019-10</t>
        </is>
      </c>
      <c r="C5230" s="2" t="inlineStr">
        <is>
          <t xml:space="preserve">2019/20</t>
        </is>
      </c>
      <c r="D5230">
        <v>6.785</v>
      </c>
      <c r="E5230">
        <v>21.9</v>
      </c>
      <c r="F5230">
        <v>26.72</v>
      </c>
      <c r="G5230">
        <v>18.42</v>
      </c>
      <c r="H5230">
        <v>4.31</v>
      </c>
      <c r="I5230">
        <v>6.635</v>
      </c>
      <c r="J5230">
        <v>22.38</v>
      </c>
      <c r="K5230">
        <v>26.89</v>
      </c>
      <c r="L5230">
        <v>19.44</v>
      </c>
      <c r="M5230">
        <v>7.55</v>
      </c>
      <c r="N5230">
        <v>7.332</v>
      </c>
      <c r="O5230">
        <v>22.54</v>
      </c>
      <c r="P5230">
        <v>26.15</v>
      </c>
      <c r="Q5230">
        <v>20.24</v>
      </c>
      <c r="R5230">
        <v>6.95</v>
      </c>
    </row>
    <row r="5231">
      <c r="A5231" s="9">
        <v>43762</v>
      </c>
      <c r="B5231" s="2" t="inlineStr">
        <is>
          <t xml:space="preserve">2019-10</t>
        </is>
      </c>
      <c r="C5231" s="2" t="inlineStr">
        <is>
          <t xml:space="preserve">2019/20</t>
        </is>
      </c>
      <c r="D5231">
        <v>1.683</v>
      </c>
      <c r="E5231">
        <v>21.34</v>
      </c>
      <c r="F5231">
        <v>26.16</v>
      </c>
      <c r="G5231">
        <v>17.71</v>
      </c>
      <c r="H5231">
        <v>1.81</v>
      </c>
      <c r="I5231">
        <v>6.192</v>
      </c>
      <c r="J5231">
        <v>22.51</v>
      </c>
      <c r="K5231">
        <v>26.46</v>
      </c>
      <c r="L5231">
        <v>20.11</v>
      </c>
      <c r="M5231">
        <v>8.52</v>
      </c>
      <c r="N5231">
        <v>23.993</v>
      </c>
      <c r="O5231">
        <v>22.55</v>
      </c>
      <c r="P5231">
        <v>26.66</v>
      </c>
      <c r="Q5231">
        <v>20.28</v>
      </c>
      <c r="R5231">
        <v>6.36</v>
      </c>
    </row>
    <row r="5232">
      <c r="A5232" s="9">
        <v>43763</v>
      </c>
      <c r="B5232" s="2" t="inlineStr">
        <is>
          <t xml:space="preserve">2019-10</t>
        </is>
      </c>
      <c r="C5232" s="2" t="inlineStr">
        <is>
          <t xml:space="preserve">2019/20</t>
        </is>
      </c>
      <c r="D5232">
        <v>2.452</v>
      </c>
      <c r="E5232">
        <v>21.71</v>
      </c>
      <c r="F5232">
        <v>26.7</v>
      </c>
      <c r="G5232">
        <v>18.15</v>
      </c>
      <c r="H5232">
        <v>5.55</v>
      </c>
      <c r="I5232">
        <v>0.0</v>
      </c>
      <c r="J5232">
        <v>22.21</v>
      </c>
      <c r="K5232">
        <v>26.34</v>
      </c>
      <c r="L5232">
        <v>19.46</v>
      </c>
      <c r="M5232">
        <v>7.37</v>
      </c>
      <c r="N5232">
        <v>0.702</v>
      </c>
      <c r="O5232">
        <v>22.97</v>
      </c>
      <c r="P5232">
        <v>27.93</v>
      </c>
      <c r="Q5232">
        <v>19.46</v>
      </c>
      <c r="R5232">
        <v>9.41</v>
      </c>
    </row>
    <row r="5233">
      <c r="A5233" s="9">
        <v>43764</v>
      </c>
      <c r="B5233" s="2" t="inlineStr">
        <is>
          <t xml:space="preserve">2019-10</t>
        </is>
      </c>
      <c r="C5233" s="2" t="inlineStr">
        <is>
          <t xml:space="preserve">2019/20</t>
        </is>
      </c>
      <c r="D5233">
        <v>5.655</v>
      </c>
      <c r="E5233">
        <v>21.76</v>
      </c>
      <c r="F5233">
        <v>26.34</v>
      </c>
      <c r="G5233">
        <v>17.75</v>
      </c>
      <c r="H5233">
        <v>0.99</v>
      </c>
      <c r="I5233">
        <v>7.467</v>
      </c>
      <c r="J5233">
        <v>21.69</v>
      </c>
      <c r="K5233">
        <v>25.77</v>
      </c>
      <c r="L5233">
        <v>18.57</v>
      </c>
      <c r="M5233">
        <v>7.93</v>
      </c>
      <c r="N5233">
        <v>27.347</v>
      </c>
      <c r="O5233">
        <v>22.63</v>
      </c>
      <c r="P5233">
        <v>26.8</v>
      </c>
      <c r="Q5233">
        <v>20.12</v>
      </c>
      <c r="R5233">
        <v>3.94</v>
      </c>
    </row>
    <row r="5234">
      <c r="A5234" s="9">
        <v>43765</v>
      </c>
      <c r="B5234" s="2" t="inlineStr">
        <is>
          <t xml:space="preserve">2019-10</t>
        </is>
      </c>
      <c r="C5234" s="2" t="inlineStr">
        <is>
          <t xml:space="preserve">2019/20</t>
        </is>
      </c>
      <c r="D5234">
        <v>3.445</v>
      </c>
      <c r="E5234">
        <v>21.16</v>
      </c>
      <c r="F5234">
        <v>24.92</v>
      </c>
      <c r="G5234">
        <v>18.23</v>
      </c>
      <c r="H5234">
        <v>4.61</v>
      </c>
      <c r="I5234">
        <v>5.439</v>
      </c>
      <c r="J5234">
        <v>21.59</v>
      </c>
      <c r="K5234">
        <v>25.02</v>
      </c>
      <c r="L5234">
        <v>19.09</v>
      </c>
      <c r="M5234">
        <v>4.6</v>
      </c>
      <c r="N5234">
        <v>1.866</v>
      </c>
      <c r="O5234">
        <v>21.76</v>
      </c>
      <c r="P5234">
        <v>24.82</v>
      </c>
      <c r="Q5234">
        <v>19.84</v>
      </c>
      <c r="R5234">
        <v>1.67</v>
      </c>
    </row>
    <row r="5235">
      <c r="A5235" s="9">
        <v>43766</v>
      </c>
      <c r="B5235" s="2" t="inlineStr">
        <is>
          <t xml:space="preserve">2019-10</t>
        </is>
      </c>
      <c r="C5235" s="2" t="inlineStr">
        <is>
          <t xml:space="preserve">2019/20</t>
        </is>
      </c>
      <c r="D5235">
        <v>20.814</v>
      </c>
      <c r="E5235">
        <v>20.84</v>
      </c>
      <c r="F5235">
        <v>25.32</v>
      </c>
      <c r="G5235">
        <v>17.67</v>
      </c>
      <c r="H5235">
        <v>12.07</v>
      </c>
      <c r="I5235">
        <v>20.517</v>
      </c>
      <c r="J5235">
        <v>21.86</v>
      </c>
      <c r="K5235">
        <v>25.79</v>
      </c>
      <c r="L5235">
        <v>19.2</v>
      </c>
      <c r="M5235">
        <v>15.37</v>
      </c>
      <c r="N5235">
        <v>1.568</v>
      </c>
      <c r="O5235">
        <v>22.43</v>
      </c>
      <c r="P5235">
        <v>26.23</v>
      </c>
      <c r="Q5235">
        <v>19.99</v>
      </c>
      <c r="R5235">
        <v>10.65</v>
      </c>
    </row>
    <row r="5236">
      <c r="A5236" s="9">
        <v>43767</v>
      </c>
      <c r="B5236" s="2" t="inlineStr">
        <is>
          <t xml:space="preserve">2019-10</t>
        </is>
      </c>
      <c r="C5236" s="2" t="inlineStr">
        <is>
          <t xml:space="preserve">2019/20</t>
        </is>
      </c>
      <c r="D5236">
        <v>6.903</v>
      </c>
      <c r="E5236">
        <v>21.39</v>
      </c>
      <c r="F5236">
        <v>26.4</v>
      </c>
      <c r="G5236">
        <v>17.51</v>
      </c>
      <c r="H5236">
        <v>4.36</v>
      </c>
      <c r="I5236">
        <v>5.341</v>
      </c>
      <c r="J5236">
        <v>22.79</v>
      </c>
      <c r="K5236">
        <v>27.41</v>
      </c>
      <c r="L5236">
        <v>19.79</v>
      </c>
      <c r="M5236">
        <v>1.94</v>
      </c>
      <c r="N5236">
        <v>10.175</v>
      </c>
      <c r="O5236">
        <v>22.79</v>
      </c>
      <c r="P5236">
        <v>27.34</v>
      </c>
      <c r="Q5236">
        <v>19.87</v>
      </c>
      <c r="R5236">
        <v>1.83</v>
      </c>
    </row>
    <row r="5237">
      <c r="A5237" s="9">
        <v>43768</v>
      </c>
      <c r="B5237" s="2" t="inlineStr">
        <is>
          <t xml:space="preserve">2019-10</t>
        </is>
      </c>
      <c r="C5237" s="2" t="inlineStr">
        <is>
          <t xml:space="preserve">2019/20</t>
        </is>
      </c>
      <c r="D5237">
        <v>1.893</v>
      </c>
      <c r="E5237">
        <v>21.35</v>
      </c>
      <c r="F5237">
        <v>26.98</v>
      </c>
      <c r="G5237">
        <v>16.42</v>
      </c>
      <c r="H5237">
        <v>0.63</v>
      </c>
      <c r="I5237">
        <v>6.816</v>
      </c>
      <c r="J5237">
        <v>22.49</v>
      </c>
      <c r="K5237">
        <v>26.72</v>
      </c>
      <c r="L5237">
        <v>20.01</v>
      </c>
      <c r="M5237">
        <v>2.59</v>
      </c>
      <c r="N5237">
        <v>0.294</v>
      </c>
      <c r="O5237">
        <v>22.85</v>
      </c>
      <c r="P5237">
        <v>27.54</v>
      </c>
      <c r="Q5237">
        <v>20.46</v>
      </c>
      <c r="R5237">
        <v>0.4</v>
      </c>
    </row>
    <row r="5238">
      <c r="A5238" s="9">
        <v>43769</v>
      </c>
      <c r="B5238" s="2" t="inlineStr">
        <is>
          <t xml:space="preserve">2019-10</t>
        </is>
      </c>
      <c r="C5238" s="2" t="inlineStr">
        <is>
          <t xml:space="preserve">2019/20</t>
        </is>
      </c>
      <c r="D5238">
        <v>19.696</v>
      </c>
      <c r="E5238">
        <v>21.32</v>
      </c>
      <c r="F5238">
        <v>26.07</v>
      </c>
      <c r="G5238">
        <v>17.54</v>
      </c>
      <c r="H5238">
        <v>10.79</v>
      </c>
      <c r="I5238">
        <v>0.0</v>
      </c>
      <c r="J5238">
        <v>22.09</v>
      </c>
      <c r="K5238">
        <v>26.63</v>
      </c>
      <c r="L5238">
        <v>18.37</v>
      </c>
      <c r="M5238">
        <v>3.44</v>
      </c>
      <c r="N5238">
        <v>1.148</v>
      </c>
      <c r="O5238">
        <v>22.17</v>
      </c>
      <c r="P5238">
        <v>25.81</v>
      </c>
      <c r="Q5238">
        <v>19.78</v>
      </c>
      <c r="R5238">
        <v>4.96</v>
      </c>
    </row>
    <row r="5239">
      <c r="A5239" s="9">
        <v>43770</v>
      </c>
      <c r="B5239" s="2" t="inlineStr">
        <is>
          <t xml:space="preserve">2019-11</t>
        </is>
      </c>
      <c r="C5239" s="2" t="inlineStr">
        <is>
          <t xml:space="preserve">2019/20</t>
        </is>
      </c>
      <c r="D5239">
        <v>4.422</v>
      </c>
      <c r="E5239">
        <v>20.87</v>
      </c>
      <c r="F5239">
        <v>25.27</v>
      </c>
      <c r="G5239">
        <v>18.1</v>
      </c>
      <c r="H5239">
        <v>3.95</v>
      </c>
      <c r="I5239">
        <v>7.663</v>
      </c>
      <c r="J5239">
        <v>21.34</v>
      </c>
      <c r="K5239">
        <v>25.51</v>
      </c>
      <c r="L5239">
        <v>18.68</v>
      </c>
      <c r="M5239">
        <v>5.72</v>
      </c>
      <c r="N5239">
        <v>6.34</v>
      </c>
      <c r="O5239">
        <v>21.25</v>
      </c>
      <c r="P5239">
        <v>24.29</v>
      </c>
      <c r="Q5239">
        <v>19.53</v>
      </c>
      <c r="R5239">
        <v>6.17</v>
      </c>
    </row>
    <row r="5240">
      <c r="A5240" s="9">
        <v>43771</v>
      </c>
      <c r="B5240" s="2" t="inlineStr">
        <is>
          <t xml:space="preserve">2019-11</t>
        </is>
      </c>
      <c r="C5240" s="2" t="inlineStr">
        <is>
          <t xml:space="preserve">2019/20</t>
        </is>
      </c>
      <c r="D5240">
        <v>0.109</v>
      </c>
      <c r="E5240">
        <v>20.7</v>
      </c>
      <c r="F5240">
        <v>25.19</v>
      </c>
      <c r="G5240">
        <v>17.73</v>
      </c>
      <c r="H5240">
        <v>3.98</v>
      </c>
      <c r="I5240">
        <v>0.0</v>
      </c>
      <c r="J5240">
        <v>21.04</v>
      </c>
      <c r="K5240">
        <v>24.96</v>
      </c>
      <c r="L5240">
        <v>18.64</v>
      </c>
      <c r="M5240">
        <v>6.33</v>
      </c>
      <c r="N5240">
        <v>5.468</v>
      </c>
      <c r="O5240">
        <v>21.44</v>
      </c>
      <c r="P5240">
        <v>25.11</v>
      </c>
      <c r="Q5240">
        <v>19.62</v>
      </c>
      <c r="R5240">
        <v>10.43</v>
      </c>
    </row>
    <row r="5241">
      <c r="A5241" s="9">
        <v>43772</v>
      </c>
      <c r="B5241" s="2" t="inlineStr">
        <is>
          <t xml:space="preserve">2019-11</t>
        </is>
      </c>
      <c r="C5241" s="2" t="inlineStr">
        <is>
          <t xml:space="preserve">2019/20</t>
        </is>
      </c>
      <c r="D5241">
        <v>1.011</v>
      </c>
      <c r="E5241">
        <v>20.46</v>
      </c>
      <c r="F5241">
        <v>25.34</v>
      </c>
      <c r="G5241">
        <v>17.35</v>
      </c>
      <c r="H5241">
        <v>3.49</v>
      </c>
      <c r="I5241">
        <v>6.74</v>
      </c>
      <c r="J5241">
        <v>20.71</v>
      </c>
      <c r="K5241">
        <v>24.56</v>
      </c>
      <c r="L5241">
        <v>17.73</v>
      </c>
      <c r="M5241">
        <v>7.72</v>
      </c>
      <c r="N5241">
        <v>24.963</v>
      </c>
      <c r="O5241">
        <v>20.94</v>
      </c>
      <c r="P5241">
        <v>24.56</v>
      </c>
      <c r="Q5241">
        <v>18.63</v>
      </c>
      <c r="R5241">
        <v>7.59</v>
      </c>
    </row>
    <row r="5242">
      <c r="A5242" s="9">
        <v>43773</v>
      </c>
      <c r="B5242" s="2" t="inlineStr">
        <is>
          <t xml:space="preserve">2019-11</t>
        </is>
      </c>
      <c r="C5242" s="2" t="inlineStr">
        <is>
          <t xml:space="preserve">2019/20</t>
        </is>
      </c>
      <c r="D5242">
        <v>0.689</v>
      </c>
      <c r="E5242">
        <v>20.93</v>
      </c>
      <c r="F5242">
        <v>26.11</v>
      </c>
      <c r="G5242">
        <v>17.44</v>
      </c>
      <c r="H5242">
        <v>0.57</v>
      </c>
      <c r="I5242">
        <v>0.0</v>
      </c>
      <c r="J5242">
        <v>21.28</v>
      </c>
      <c r="K5242">
        <v>26.39</v>
      </c>
      <c r="L5242">
        <v>17.32</v>
      </c>
      <c r="M5242">
        <v>0.02</v>
      </c>
      <c r="N5242">
        <v>0.0</v>
      </c>
      <c r="O5242">
        <v>21.67</v>
      </c>
      <c r="P5242">
        <v>26.65</v>
      </c>
      <c r="Q5242">
        <v>17.87</v>
      </c>
      <c r="R5242">
        <v>0.22</v>
      </c>
    </row>
    <row r="5243">
      <c r="A5243" s="9">
        <v>43774</v>
      </c>
      <c r="B5243" s="2" t="inlineStr">
        <is>
          <t xml:space="preserve">2019-11</t>
        </is>
      </c>
      <c r="C5243" s="2" t="inlineStr">
        <is>
          <t xml:space="preserve">2019/20</t>
        </is>
      </c>
      <c r="D5243">
        <v>0.0</v>
      </c>
      <c r="E5243">
        <v>20.54</v>
      </c>
      <c r="F5243">
        <v>25.51</v>
      </c>
      <c r="G5243">
        <v>16.65</v>
      </c>
      <c r="H5243">
        <v>0.35</v>
      </c>
      <c r="I5243">
        <v>0.0</v>
      </c>
      <c r="J5243">
        <v>21.0</v>
      </c>
      <c r="K5243">
        <v>25.63</v>
      </c>
      <c r="L5243">
        <v>17.78</v>
      </c>
      <c r="M5243">
        <v>0.07</v>
      </c>
      <c r="N5243">
        <v>0.05</v>
      </c>
      <c r="O5243">
        <v>21.53</v>
      </c>
      <c r="P5243">
        <v>25.52</v>
      </c>
      <c r="Q5243">
        <v>18.83</v>
      </c>
      <c r="R5243">
        <v>0.68</v>
      </c>
    </row>
    <row r="5244">
      <c r="A5244" s="9">
        <v>43775</v>
      </c>
      <c r="B5244" s="2" t="inlineStr">
        <is>
          <t xml:space="preserve">2019-11</t>
        </is>
      </c>
      <c r="C5244" s="2" t="inlineStr">
        <is>
          <t xml:space="preserve">2019/20</t>
        </is>
      </c>
      <c r="D5244">
        <v>0.0</v>
      </c>
      <c r="E5244">
        <v>20.64</v>
      </c>
      <c r="F5244">
        <v>25.84</v>
      </c>
      <c r="G5244">
        <v>16.88</v>
      </c>
      <c r="H5244">
        <v>0.08</v>
      </c>
      <c r="I5244">
        <v>0.0</v>
      </c>
      <c r="J5244">
        <v>20.82</v>
      </c>
      <c r="K5244">
        <v>25.71</v>
      </c>
      <c r="L5244">
        <v>16.97</v>
      </c>
      <c r="M5244">
        <v>0.11</v>
      </c>
      <c r="N5244">
        <v>0.058</v>
      </c>
      <c r="O5244">
        <v>21.23</v>
      </c>
      <c r="P5244">
        <v>25.72</v>
      </c>
      <c r="Q5244">
        <v>17.46</v>
      </c>
      <c r="R5244">
        <v>0.43</v>
      </c>
    </row>
    <row r="5245">
      <c r="A5245" s="9">
        <v>43776</v>
      </c>
      <c r="B5245" s="2" t="inlineStr">
        <is>
          <t xml:space="preserve">2019-11</t>
        </is>
      </c>
      <c r="C5245" s="2" t="inlineStr">
        <is>
          <t xml:space="preserve">2019/20</t>
        </is>
      </c>
      <c r="D5245">
        <v>0.0</v>
      </c>
      <c r="E5245">
        <v>21.11</v>
      </c>
      <c r="F5245">
        <v>26.06</v>
      </c>
      <c r="G5245">
        <v>17.11</v>
      </c>
      <c r="H5245">
        <v>0.49</v>
      </c>
      <c r="I5245">
        <v>0.0</v>
      </c>
      <c r="J5245">
        <v>21.62</v>
      </c>
      <c r="K5245">
        <v>26.52</v>
      </c>
      <c r="L5245">
        <v>17.83</v>
      </c>
      <c r="M5245">
        <v>0.86</v>
      </c>
      <c r="N5245">
        <v>0.098</v>
      </c>
      <c r="O5245">
        <v>21.87</v>
      </c>
      <c r="P5245">
        <v>26.48</v>
      </c>
      <c r="Q5245">
        <v>18.48</v>
      </c>
      <c r="R5245">
        <v>2.04</v>
      </c>
    </row>
    <row r="5246">
      <c r="A5246" s="9">
        <v>43777</v>
      </c>
      <c r="B5246" s="2" t="inlineStr">
        <is>
          <t xml:space="preserve">2019-11</t>
        </is>
      </c>
      <c r="C5246" s="2" t="inlineStr">
        <is>
          <t xml:space="preserve">2019/20</t>
        </is>
      </c>
      <c r="D5246">
        <v>0.0</v>
      </c>
      <c r="E5246">
        <v>21.39</v>
      </c>
      <c r="F5246">
        <v>26.07</v>
      </c>
      <c r="G5246">
        <v>18.38</v>
      </c>
      <c r="H5246">
        <v>1.21</v>
      </c>
      <c r="I5246">
        <v>0.0</v>
      </c>
      <c r="J5246">
        <v>21.48</v>
      </c>
      <c r="K5246">
        <v>25.86</v>
      </c>
      <c r="L5246">
        <v>18.73</v>
      </c>
      <c r="M5246">
        <v>2.7</v>
      </c>
      <c r="N5246">
        <v>4.545</v>
      </c>
      <c r="O5246">
        <v>21.73</v>
      </c>
      <c r="P5246">
        <v>25.65</v>
      </c>
      <c r="Q5246">
        <v>19.1</v>
      </c>
      <c r="R5246">
        <v>4.79</v>
      </c>
    </row>
    <row r="5247">
      <c r="A5247" s="9">
        <v>43778</v>
      </c>
      <c r="B5247" s="2" t="inlineStr">
        <is>
          <t xml:space="preserve">2019-11</t>
        </is>
      </c>
      <c r="C5247" s="2" t="inlineStr">
        <is>
          <t xml:space="preserve">2019/20</t>
        </is>
      </c>
      <c r="D5247">
        <v>0.198</v>
      </c>
      <c r="E5247">
        <v>20.85</v>
      </c>
      <c r="F5247">
        <v>25.78</v>
      </c>
      <c r="G5247">
        <v>17.83</v>
      </c>
      <c r="H5247">
        <v>3.16</v>
      </c>
      <c r="I5247">
        <v>1.202</v>
      </c>
      <c r="J5247">
        <v>20.55</v>
      </c>
      <c r="K5247">
        <v>24.44</v>
      </c>
      <c r="L5247">
        <v>18.24</v>
      </c>
      <c r="M5247">
        <v>1.68</v>
      </c>
      <c r="N5247">
        <v>4.365</v>
      </c>
      <c r="O5247">
        <v>20.67</v>
      </c>
      <c r="P5247">
        <v>24.33</v>
      </c>
      <c r="Q5247">
        <v>18.53</v>
      </c>
      <c r="R5247">
        <v>3.19</v>
      </c>
    </row>
    <row r="5248">
      <c r="A5248" s="9">
        <v>43779</v>
      </c>
      <c r="B5248" s="2" t="inlineStr">
        <is>
          <t xml:space="preserve">2019-11</t>
        </is>
      </c>
      <c r="C5248" s="2" t="inlineStr">
        <is>
          <t xml:space="preserve">2019/20</t>
        </is>
      </c>
      <c r="D5248">
        <v>3.163</v>
      </c>
      <c r="E5248">
        <v>20.69</v>
      </c>
      <c r="F5248">
        <v>25.36</v>
      </c>
      <c r="G5248">
        <v>17.73</v>
      </c>
      <c r="H5248">
        <v>7.14</v>
      </c>
      <c r="I5248">
        <v>0.159</v>
      </c>
      <c r="J5248">
        <v>20.68</v>
      </c>
      <c r="K5248">
        <v>25.24</v>
      </c>
      <c r="L5248">
        <v>17.98</v>
      </c>
      <c r="M5248">
        <v>1.39</v>
      </c>
      <c r="N5248">
        <v>1.352</v>
      </c>
      <c r="O5248">
        <v>20.85</v>
      </c>
      <c r="P5248">
        <v>25.02</v>
      </c>
      <c r="Q5248">
        <v>17.89</v>
      </c>
      <c r="R5248">
        <v>6.32</v>
      </c>
    </row>
    <row r="5249">
      <c r="A5249" s="9">
        <v>43780</v>
      </c>
      <c r="B5249" s="2" t="inlineStr">
        <is>
          <t xml:space="preserve">2019-11</t>
        </is>
      </c>
      <c r="C5249" s="2" t="inlineStr">
        <is>
          <t xml:space="preserve">2019/20</t>
        </is>
      </c>
      <c r="D5249">
        <v>2.995</v>
      </c>
      <c r="E5249">
        <v>21.07</v>
      </c>
      <c r="F5249">
        <v>26.45</v>
      </c>
      <c r="G5249">
        <v>17.25</v>
      </c>
      <c r="H5249">
        <v>1.56</v>
      </c>
      <c r="I5249">
        <v>2.128</v>
      </c>
      <c r="J5249">
        <v>21.25</v>
      </c>
      <c r="K5249">
        <v>26.17</v>
      </c>
      <c r="L5249">
        <v>18.21</v>
      </c>
      <c r="M5249">
        <v>4.86</v>
      </c>
      <c r="N5249">
        <v>6.875</v>
      </c>
      <c r="O5249">
        <v>21.28</v>
      </c>
      <c r="P5249">
        <v>25.53</v>
      </c>
      <c r="Q5249">
        <v>18.95</v>
      </c>
      <c r="R5249">
        <v>4.93</v>
      </c>
    </row>
    <row r="5250">
      <c r="A5250" s="9">
        <v>43781</v>
      </c>
      <c r="B5250" s="2" t="inlineStr">
        <is>
          <t xml:space="preserve">2019-11</t>
        </is>
      </c>
      <c r="C5250" s="2" t="inlineStr">
        <is>
          <t xml:space="preserve">2019/20</t>
        </is>
      </c>
      <c r="D5250">
        <v>0.0</v>
      </c>
      <c r="E5250">
        <v>21.1</v>
      </c>
      <c r="F5250">
        <v>26.16</v>
      </c>
      <c r="G5250">
        <v>17.51</v>
      </c>
      <c r="H5250">
        <v>0.43</v>
      </c>
      <c r="I5250">
        <v>2.499</v>
      </c>
      <c r="J5250">
        <v>20.79</v>
      </c>
      <c r="K5250">
        <v>25.78</v>
      </c>
      <c r="L5250">
        <v>16.9</v>
      </c>
      <c r="M5250">
        <v>2.23</v>
      </c>
      <c r="N5250">
        <v>0.517</v>
      </c>
      <c r="O5250">
        <v>21.25</v>
      </c>
      <c r="P5250">
        <v>25.87</v>
      </c>
      <c r="Q5250">
        <v>18.0</v>
      </c>
      <c r="R5250">
        <v>1.29</v>
      </c>
    </row>
    <row r="5251">
      <c r="A5251" s="9">
        <v>43782</v>
      </c>
      <c r="B5251" s="2" t="inlineStr">
        <is>
          <t xml:space="preserve">2019-11</t>
        </is>
      </c>
      <c r="C5251" s="2" t="inlineStr">
        <is>
          <t xml:space="preserve">2019/20</t>
        </is>
      </c>
      <c r="D5251">
        <v>0.124</v>
      </c>
      <c r="E5251">
        <v>20.57</v>
      </c>
      <c r="F5251">
        <v>25.63</v>
      </c>
      <c r="G5251">
        <v>16.33</v>
      </c>
      <c r="H5251">
        <v>1.39</v>
      </c>
      <c r="I5251">
        <v>1.849</v>
      </c>
      <c r="J5251">
        <v>20.66</v>
      </c>
      <c r="K5251">
        <v>25.29</v>
      </c>
      <c r="L5251">
        <v>17.4</v>
      </c>
      <c r="M5251">
        <v>2.71</v>
      </c>
      <c r="N5251">
        <v>7.227</v>
      </c>
      <c r="O5251">
        <v>21.31</v>
      </c>
      <c r="P5251">
        <v>25.41</v>
      </c>
      <c r="Q5251">
        <v>18.35</v>
      </c>
      <c r="R5251">
        <v>2.68</v>
      </c>
    </row>
    <row r="5252">
      <c r="A5252" s="9">
        <v>43783</v>
      </c>
      <c r="B5252" s="2" t="inlineStr">
        <is>
          <t xml:space="preserve">2019-11</t>
        </is>
      </c>
      <c r="C5252" s="2" t="inlineStr">
        <is>
          <t xml:space="preserve">2019/20</t>
        </is>
      </c>
      <c r="D5252">
        <v>0.0</v>
      </c>
      <c r="E5252">
        <v>21.15</v>
      </c>
      <c r="F5252">
        <v>26.5</v>
      </c>
      <c r="G5252">
        <v>17.55</v>
      </c>
      <c r="H5252">
        <v>2.01</v>
      </c>
      <c r="I5252">
        <v>0.0</v>
      </c>
      <c r="J5252">
        <v>21.83</v>
      </c>
      <c r="K5252">
        <v>27.36</v>
      </c>
      <c r="L5252">
        <v>17.32</v>
      </c>
      <c r="M5252">
        <v>1.08</v>
      </c>
      <c r="N5252">
        <v>0.0</v>
      </c>
      <c r="O5252">
        <v>21.82</v>
      </c>
      <c r="P5252">
        <v>27.18</v>
      </c>
      <c r="Q5252">
        <v>18.02</v>
      </c>
      <c r="R5252">
        <v>2.03</v>
      </c>
    </row>
    <row r="5253">
      <c r="A5253" s="9">
        <v>43784</v>
      </c>
      <c r="B5253" s="2" t="inlineStr">
        <is>
          <t xml:space="preserve">2019-11</t>
        </is>
      </c>
      <c r="C5253" s="2" t="inlineStr">
        <is>
          <t xml:space="preserve">2019/20</t>
        </is>
      </c>
      <c r="D5253">
        <v>2.717</v>
      </c>
      <c r="E5253">
        <v>20.94</v>
      </c>
      <c r="F5253">
        <v>25.54</v>
      </c>
      <c r="G5253">
        <v>17.62</v>
      </c>
      <c r="H5253">
        <v>3.2</v>
      </c>
      <c r="I5253">
        <v>0.527</v>
      </c>
      <c r="J5253">
        <v>21.24</v>
      </c>
      <c r="K5253">
        <v>25.05</v>
      </c>
      <c r="L5253">
        <v>18.93</v>
      </c>
      <c r="M5253">
        <v>1.05</v>
      </c>
      <c r="N5253">
        <v>1.716</v>
      </c>
      <c r="O5253">
        <v>21.55</v>
      </c>
      <c r="P5253">
        <v>25.55</v>
      </c>
      <c r="Q5253">
        <v>18.87</v>
      </c>
      <c r="R5253">
        <v>3.28</v>
      </c>
    </row>
    <row r="5254">
      <c r="A5254" s="9">
        <v>43785</v>
      </c>
      <c r="B5254" s="2" t="inlineStr">
        <is>
          <t xml:space="preserve">2019-11</t>
        </is>
      </c>
      <c r="C5254" s="2" t="inlineStr">
        <is>
          <t xml:space="preserve">2019/20</t>
        </is>
      </c>
      <c r="D5254">
        <v>0.638</v>
      </c>
      <c r="E5254">
        <v>20.35</v>
      </c>
      <c r="F5254">
        <v>25.13</v>
      </c>
      <c r="G5254">
        <v>17.28</v>
      </c>
      <c r="H5254">
        <v>3.88</v>
      </c>
      <c r="I5254">
        <v>0.238</v>
      </c>
      <c r="J5254">
        <v>20.04</v>
      </c>
      <c r="K5254">
        <v>23.43</v>
      </c>
      <c r="L5254">
        <v>17.86</v>
      </c>
      <c r="M5254">
        <v>2.71</v>
      </c>
      <c r="N5254">
        <v>2.75</v>
      </c>
      <c r="O5254">
        <v>19.89</v>
      </c>
      <c r="P5254">
        <v>22.1</v>
      </c>
      <c r="Q5254">
        <v>18.08</v>
      </c>
      <c r="R5254">
        <v>8.99</v>
      </c>
    </row>
    <row r="5255">
      <c r="A5255" s="9">
        <v>43786</v>
      </c>
      <c r="B5255" s="2" t="inlineStr">
        <is>
          <t xml:space="preserve">2019-11</t>
        </is>
      </c>
      <c r="C5255" s="2" t="inlineStr">
        <is>
          <t xml:space="preserve">2019/20</t>
        </is>
      </c>
      <c r="D5255">
        <v>0.098</v>
      </c>
      <c r="E5255">
        <v>19.5</v>
      </c>
      <c r="F5255">
        <v>24.8</v>
      </c>
      <c r="G5255">
        <v>16.05</v>
      </c>
      <c r="H5255">
        <v>0.47</v>
      </c>
      <c r="I5255">
        <v>1.297</v>
      </c>
      <c r="J5255">
        <v>19.23</v>
      </c>
      <c r="K5255">
        <v>23.69</v>
      </c>
      <c r="L5255">
        <v>16.53</v>
      </c>
      <c r="M5255">
        <v>1.36</v>
      </c>
      <c r="N5255">
        <v>5.096</v>
      </c>
      <c r="O5255">
        <v>19.4</v>
      </c>
      <c r="P5255">
        <v>23.68</v>
      </c>
      <c r="Q5255">
        <v>16.66</v>
      </c>
      <c r="R5255">
        <v>1.3</v>
      </c>
    </row>
    <row r="5256">
      <c r="A5256" s="9">
        <v>43787</v>
      </c>
      <c r="B5256" s="2" t="inlineStr">
        <is>
          <t xml:space="preserve">2019-11</t>
        </is>
      </c>
      <c r="C5256" s="2" t="inlineStr">
        <is>
          <t xml:space="preserve">2019/20</t>
        </is>
      </c>
      <c r="D5256">
        <v>0.0</v>
      </c>
      <c r="E5256">
        <v>18.67</v>
      </c>
      <c r="F5256">
        <v>24.84</v>
      </c>
      <c r="G5256">
        <v>13.86</v>
      </c>
      <c r="H5256">
        <v>0.03</v>
      </c>
      <c r="I5256">
        <v>0.0</v>
      </c>
      <c r="J5256">
        <v>18.83</v>
      </c>
      <c r="K5256">
        <v>24.11</v>
      </c>
      <c r="L5256">
        <v>15.86</v>
      </c>
      <c r="M5256">
        <v>0.0</v>
      </c>
      <c r="N5256">
        <v>0.0</v>
      </c>
      <c r="O5256">
        <v>18.68</v>
      </c>
      <c r="P5256">
        <v>23.61</v>
      </c>
      <c r="Q5256">
        <v>15.38</v>
      </c>
      <c r="R5256">
        <v>0.0</v>
      </c>
    </row>
    <row r="5257">
      <c r="A5257" s="9">
        <v>43788</v>
      </c>
      <c r="B5257" s="2" t="inlineStr">
        <is>
          <t xml:space="preserve">2019-11</t>
        </is>
      </c>
      <c r="C5257" s="2" t="inlineStr">
        <is>
          <t xml:space="preserve">2019/20</t>
        </is>
      </c>
      <c r="D5257">
        <v>0.0</v>
      </c>
      <c r="E5257">
        <v>18.3</v>
      </c>
      <c r="F5257">
        <v>23.02</v>
      </c>
      <c r="G5257">
        <v>14.75</v>
      </c>
      <c r="H5257">
        <v>0.0</v>
      </c>
      <c r="I5257">
        <v>0.0</v>
      </c>
      <c r="J5257">
        <v>18.56</v>
      </c>
      <c r="K5257">
        <v>24.22</v>
      </c>
      <c r="L5257">
        <v>15.07</v>
      </c>
      <c r="M5257">
        <v>0.0</v>
      </c>
      <c r="N5257">
        <v>0.0</v>
      </c>
      <c r="O5257">
        <v>18.63</v>
      </c>
      <c r="P5257">
        <v>23.78</v>
      </c>
      <c r="Q5257">
        <v>15.4</v>
      </c>
      <c r="R5257">
        <v>0.0</v>
      </c>
    </row>
    <row r="5258">
      <c r="A5258" s="9">
        <v>43789</v>
      </c>
      <c r="B5258" s="2" t="inlineStr">
        <is>
          <t xml:space="preserve">2019-11</t>
        </is>
      </c>
      <c r="C5258" s="2" t="inlineStr">
        <is>
          <t xml:space="preserve">2019/20</t>
        </is>
      </c>
      <c r="D5258">
        <v>0.0</v>
      </c>
      <c r="E5258">
        <v>19.42</v>
      </c>
      <c r="F5258">
        <v>25.41</v>
      </c>
      <c r="G5258">
        <v>15.12</v>
      </c>
      <c r="H5258">
        <v>0.0</v>
      </c>
      <c r="I5258">
        <v>0.0</v>
      </c>
      <c r="J5258">
        <v>18.78</v>
      </c>
      <c r="K5258">
        <v>24.63</v>
      </c>
      <c r="L5258">
        <v>14.08</v>
      </c>
      <c r="M5258">
        <v>0.0</v>
      </c>
      <c r="N5258">
        <v>0.0</v>
      </c>
      <c r="O5258">
        <v>18.77</v>
      </c>
      <c r="P5258">
        <v>24.16</v>
      </c>
      <c r="Q5258">
        <v>14.52</v>
      </c>
      <c r="R5258">
        <v>0.0</v>
      </c>
    </row>
    <row r="5259">
      <c r="A5259" s="9">
        <v>43790</v>
      </c>
      <c r="B5259" s="2" t="inlineStr">
        <is>
          <t xml:space="preserve">2019-11</t>
        </is>
      </c>
      <c r="C5259" s="2" t="inlineStr">
        <is>
          <t xml:space="preserve">2019/20</t>
        </is>
      </c>
      <c r="D5259">
        <v>0.0</v>
      </c>
      <c r="E5259">
        <v>20.47</v>
      </c>
      <c r="F5259">
        <v>26.41</v>
      </c>
      <c r="G5259">
        <v>15.67</v>
      </c>
      <c r="H5259">
        <v>0.0</v>
      </c>
      <c r="I5259">
        <v>0.0</v>
      </c>
      <c r="J5259">
        <v>20.24</v>
      </c>
      <c r="K5259">
        <v>25.96</v>
      </c>
      <c r="L5259">
        <v>15.5</v>
      </c>
      <c r="M5259">
        <v>0.0</v>
      </c>
      <c r="N5259">
        <v>0.0</v>
      </c>
      <c r="O5259">
        <v>20.29</v>
      </c>
      <c r="P5259">
        <v>25.6</v>
      </c>
      <c r="Q5259">
        <v>16.1</v>
      </c>
      <c r="R5259">
        <v>0.02</v>
      </c>
    </row>
    <row r="5260">
      <c r="A5260" s="9">
        <v>43791</v>
      </c>
      <c r="B5260" s="2" t="inlineStr">
        <is>
          <t xml:space="preserve">2019-11</t>
        </is>
      </c>
      <c r="C5260" s="2" t="inlineStr">
        <is>
          <t xml:space="preserve">2019/20</t>
        </is>
      </c>
      <c r="D5260">
        <v>0.0</v>
      </c>
      <c r="E5260">
        <v>21.42</v>
      </c>
      <c r="F5260">
        <v>27.36</v>
      </c>
      <c r="G5260">
        <v>17.22</v>
      </c>
      <c r="H5260">
        <v>0.0</v>
      </c>
      <c r="I5260">
        <v>0.0</v>
      </c>
      <c r="J5260">
        <v>21.84</v>
      </c>
      <c r="K5260">
        <v>27.18</v>
      </c>
      <c r="L5260">
        <v>17.24</v>
      </c>
      <c r="M5260">
        <v>0.01</v>
      </c>
      <c r="N5260">
        <v>0.0</v>
      </c>
      <c r="O5260">
        <v>21.55</v>
      </c>
      <c r="P5260">
        <v>26.85</v>
      </c>
      <c r="Q5260">
        <v>17.88</v>
      </c>
      <c r="R5260">
        <v>0.0</v>
      </c>
    </row>
    <row r="5261">
      <c r="A5261" s="9">
        <v>43792</v>
      </c>
      <c r="B5261" s="2" t="inlineStr">
        <is>
          <t xml:space="preserve">2019-11</t>
        </is>
      </c>
      <c r="C5261" s="2" t="inlineStr">
        <is>
          <t xml:space="preserve">2019/20</t>
        </is>
      </c>
      <c r="D5261">
        <v>0.0</v>
      </c>
      <c r="E5261">
        <v>21.38</v>
      </c>
      <c r="F5261">
        <v>26.88</v>
      </c>
      <c r="G5261">
        <v>17.46</v>
      </c>
      <c r="H5261">
        <v>0.0</v>
      </c>
      <c r="I5261">
        <v>0.022</v>
      </c>
      <c r="J5261">
        <v>21.83</v>
      </c>
      <c r="K5261">
        <v>26.87</v>
      </c>
      <c r="L5261">
        <v>18.23</v>
      </c>
      <c r="M5261">
        <v>0.01</v>
      </c>
      <c r="N5261">
        <v>0.0</v>
      </c>
      <c r="O5261">
        <v>21.81</v>
      </c>
      <c r="P5261">
        <v>26.84</v>
      </c>
      <c r="Q5261">
        <v>18.27</v>
      </c>
      <c r="R5261">
        <v>0.0</v>
      </c>
    </row>
    <row r="5262">
      <c r="A5262" s="9">
        <v>43793</v>
      </c>
      <c r="B5262" s="2" t="inlineStr">
        <is>
          <t xml:space="preserve">2019-11</t>
        </is>
      </c>
      <c r="C5262" s="2" t="inlineStr">
        <is>
          <t xml:space="preserve">2019/20</t>
        </is>
      </c>
      <c r="D5262">
        <v>0.0</v>
      </c>
      <c r="E5262">
        <v>21.72</v>
      </c>
      <c r="F5262">
        <v>27.37</v>
      </c>
      <c r="G5262">
        <v>18.17</v>
      </c>
      <c r="H5262">
        <v>0.19</v>
      </c>
      <c r="I5262">
        <v>0.0</v>
      </c>
      <c r="J5262">
        <v>20.9</v>
      </c>
      <c r="K5262">
        <v>25.61</v>
      </c>
      <c r="L5262">
        <v>17.39</v>
      </c>
      <c r="M5262">
        <v>0.01</v>
      </c>
      <c r="N5262">
        <v>0.0</v>
      </c>
      <c r="O5262">
        <v>21.17</v>
      </c>
      <c r="P5262">
        <v>25.71</v>
      </c>
      <c r="Q5262">
        <v>18.07</v>
      </c>
      <c r="R5262">
        <v>0.04</v>
      </c>
    </row>
    <row r="5263">
      <c r="A5263" s="9">
        <v>43794</v>
      </c>
      <c r="B5263" s="2" t="inlineStr">
        <is>
          <t xml:space="preserve">2019-11</t>
        </is>
      </c>
      <c r="C5263" s="2" t="inlineStr">
        <is>
          <t xml:space="preserve">2019/20</t>
        </is>
      </c>
      <c r="D5263">
        <v>0.0</v>
      </c>
      <c r="E5263">
        <v>20.73</v>
      </c>
      <c r="F5263">
        <v>26.97</v>
      </c>
      <c r="G5263">
        <v>16.35</v>
      </c>
      <c r="H5263">
        <v>0.19</v>
      </c>
      <c r="I5263">
        <v>0.0</v>
      </c>
      <c r="J5263">
        <v>20.15</v>
      </c>
      <c r="K5263">
        <v>25.87</v>
      </c>
      <c r="L5263">
        <v>15.84</v>
      </c>
      <c r="M5263">
        <v>0.0</v>
      </c>
      <c r="N5263">
        <v>0.0</v>
      </c>
      <c r="O5263">
        <v>20.6</v>
      </c>
      <c r="P5263">
        <v>25.66</v>
      </c>
      <c r="Q5263">
        <v>17.02</v>
      </c>
      <c r="R5263">
        <v>0.08</v>
      </c>
    </row>
    <row r="5264">
      <c r="A5264" s="9">
        <v>43795</v>
      </c>
      <c r="B5264" s="2" t="inlineStr">
        <is>
          <t xml:space="preserve">2019-11</t>
        </is>
      </c>
      <c r="C5264" s="2" t="inlineStr">
        <is>
          <t xml:space="preserve">2019/20</t>
        </is>
      </c>
      <c r="D5264">
        <v>0.0</v>
      </c>
      <c r="E5264">
        <v>21.51</v>
      </c>
      <c r="F5264">
        <v>27.88</v>
      </c>
      <c r="G5264">
        <v>16.09</v>
      </c>
      <c r="H5264">
        <v>0.01</v>
      </c>
      <c r="I5264">
        <v>0.0</v>
      </c>
      <c r="J5264">
        <v>21.44</v>
      </c>
      <c r="K5264">
        <v>27.08</v>
      </c>
      <c r="L5264">
        <v>16.94</v>
      </c>
      <c r="M5264">
        <v>0.0</v>
      </c>
      <c r="N5264">
        <v>0.0</v>
      </c>
      <c r="O5264">
        <v>21.34</v>
      </c>
      <c r="P5264">
        <v>26.83</v>
      </c>
      <c r="Q5264">
        <v>17.67</v>
      </c>
      <c r="R5264">
        <v>0.0</v>
      </c>
    </row>
    <row r="5265">
      <c r="A5265" s="9">
        <v>43796</v>
      </c>
      <c r="B5265" s="2" t="inlineStr">
        <is>
          <t xml:space="preserve">2019-11</t>
        </is>
      </c>
      <c r="C5265" s="2" t="inlineStr">
        <is>
          <t xml:space="preserve">2019/20</t>
        </is>
      </c>
      <c r="D5265">
        <v>0.0</v>
      </c>
      <c r="E5265">
        <v>22.31</v>
      </c>
      <c r="F5265">
        <v>28.59</v>
      </c>
      <c r="G5265">
        <v>16.97</v>
      </c>
      <c r="H5265">
        <v>0.13</v>
      </c>
      <c r="I5265">
        <v>0.0</v>
      </c>
      <c r="J5265">
        <v>22.15</v>
      </c>
      <c r="K5265">
        <v>27.38</v>
      </c>
      <c r="L5265">
        <v>18.01</v>
      </c>
      <c r="M5265">
        <v>0.04</v>
      </c>
      <c r="N5265">
        <v>0.0</v>
      </c>
      <c r="O5265">
        <v>22.47</v>
      </c>
      <c r="P5265">
        <v>27.37</v>
      </c>
      <c r="Q5265">
        <v>19.02</v>
      </c>
      <c r="R5265">
        <v>0.04</v>
      </c>
    </row>
    <row r="5266">
      <c r="A5266" s="9">
        <v>43797</v>
      </c>
      <c r="B5266" s="2" t="inlineStr">
        <is>
          <t xml:space="preserve">2019-11</t>
        </is>
      </c>
      <c r="C5266" s="2" t="inlineStr">
        <is>
          <t xml:space="preserve">2019/20</t>
        </is>
      </c>
      <c r="D5266">
        <v>0.0</v>
      </c>
      <c r="E5266">
        <v>22.41</v>
      </c>
      <c r="F5266">
        <v>28.26</v>
      </c>
      <c r="G5266">
        <v>18.81</v>
      </c>
      <c r="H5266">
        <v>0.1</v>
      </c>
      <c r="I5266">
        <v>0.031</v>
      </c>
      <c r="J5266">
        <v>22.12</v>
      </c>
      <c r="K5266">
        <v>26.71</v>
      </c>
      <c r="L5266">
        <v>19.26</v>
      </c>
      <c r="M5266">
        <v>0.12</v>
      </c>
      <c r="N5266">
        <v>0.335</v>
      </c>
      <c r="O5266">
        <v>22.66</v>
      </c>
      <c r="P5266">
        <v>26.62</v>
      </c>
      <c r="Q5266">
        <v>20.14</v>
      </c>
      <c r="R5266">
        <v>0.12</v>
      </c>
    </row>
    <row r="5267">
      <c r="A5267" s="9">
        <v>43798</v>
      </c>
      <c r="B5267" s="2" t="inlineStr">
        <is>
          <t xml:space="preserve">2019-11</t>
        </is>
      </c>
      <c r="C5267" s="2" t="inlineStr">
        <is>
          <t xml:space="preserve">2019/20</t>
        </is>
      </c>
      <c r="D5267">
        <v>0.0</v>
      </c>
      <c r="E5267">
        <v>20.85</v>
      </c>
      <c r="F5267">
        <v>26.57</v>
      </c>
      <c r="G5267">
        <v>17.33</v>
      </c>
      <c r="H5267">
        <v>0.23</v>
      </c>
      <c r="I5267">
        <v>0.0</v>
      </c>
      <c r="J5267">
        <v>20.97</v>
      </c>
      <c r="K5267">
        <v>25.71</v>
      </c>
      <c r="L5267">
        <v>17.9</v>
      </c>
      <c r="M5267">
        <v>0.13</v>
      </c>
      <c r="N5267">
        <v>0.175</v>
      </c>
      <c r="O5267">
        <v>21.23</v>
      </c>
      <c r="P5267">
        <v>25.43</v>
      </c>
      <c r="Q5267">
        <v>18.11</v>
      </c>
      <c r="R5267">
        <v>0.44</v>
      </c>
    </row>
    <row r="5268">
      <c r="A5268" s="9">
        <v>43799</v>
      </c>
      <c r="B5268" s="2" t="inlineStr">
        <is>
          <t xml:space="preserve">2019-11</t>
        </is>
      </c>
      <c r="C5268" s="2" t="inlineStr">
        <is>
          <t xml:space="preserve">2019/20</t>
        </is>
      </c>
      <c r="D5268">
        <v>0.0</v>
      </c>
      <c r="E5268">
        <v>20.17</v>
      </c>
      <c r="F5268">
        <v>27.34</v>
      </c>
      <c r="G5268">
        <v>15.55</v>
      </c>
      <c r="H5268">
        <v>0.0</v>
      </c>
      <c r="I5268">
        <v>0.0</v>
      </c>
      <c r="J5268">
        <v>19.86</v>
      </c>
      <c r="K5268">
        <v>25.24</v>
      </c>
      <c r="L5268">
        <v>16.41</v>
      </c>
      <c r="M5268">
        <v>0.0</v>
      </c>
      <c r="N5268">
        <v>0.0</v>
      </c>
      <c r="O5268">
        <v>20.13</v>
      </c>
      <c r="P5268">
        <v>25.31</v>
      </c>
      <c r="Q5268">
        <v>16.82</v>
      </c>
      <c r="R5268">
        <v>0.01</v>
      </c>
    </row>
    <row r="5269">
      <c r="A5269" s="9">
        <v>43800</v>
      </c>
      <c r="B5269" s="2" t="inlineStr">
        <is>
          <t xml:space="preserve">2019-12</t>
        </is>
      </c>
      <c r="C5269" s="2" t="inlineStr">
        <is>
          <t xml:space="preserve">2019/20</t>
        </is>
      </c>
      <c r="D5269">
        <v>0.0</v>
      </c>
      <c r="E5269">
        <v>20.73</v>
      </c>
      <c r="F5269">
        <v>28.0</v>
      </c>
      <c r="G5269">
        <v>15.66</v>
      </c>
      <c r="H5269">
        <v>0.09</v>
      </c>
      <c r="I5269">
        <v>0.0</v>
      </c>
      <c r="J5269">
        <v>20.27</v>
      </c>
      <c r="K5269">
        <v>26.5</v>
      </c>
      <c r="L5269">
        <v>15.77</v>
      </c>
      <c r="M5269">
        <v>0.11</v>
      </c>
      <c r="N5269">
        <v>0.0</v>
      </c>
      <c r="O5269">
        <v>20.73</v>
      </c>
      <c r="P5269">
        <v>26.38</v>
      </c>
      <c r="Q5269">
        <v>17.25</v>
      </c>
      <c r="R5269">
        <v>0.35</v>
      </c>
    </row>
    <row r="5270">
      <c r="A5270" s="9">
        <v>43801</v>
      </c>
      <c r="B5270" s="2" t="inlineStr">
        <is>
          <t xml:space="preserve">2019-12</t>
        </is>
      </c>
      <c r="C5270" s="2" t="inlineStr">
        <is>
          <t xml:space="preserve">2019/20</t>
        </is>
      </c>
      <c r="D5270">
        <v>0.0</v>
      </c>
      <c r="E5270">
        <v>20.35</v>
      </c>
      <c r="F5270">
        <v>25.96</v>
      </c>
      <c r="G5270">
        <v>16.83</v>
      </c>
      <c r="H5270">
        <v>1.18</v>
      </c>
      <c r="I5270">
        <v>0.459</v>
      </c>
      <c r="J5270">
        <v>20.2</v>
      </c>
      <c r="K5270">
        <v>24.95</v>
      </c>
      <c r="L5270">
        <v>17.22</v>
      </c>
      <c r="M5270">
        <v>2.79</v>
      </c>
      <c r="N5270">
        <v>1.915</v>
      </c>
      <c r="O5270">
        <v>20.56</v>
      </c>
      <c r="P5270">
        <v>24.88</v>
      </c>
      <c r="Q5270">
        <v>18.08</v>
      </c>
      <c r="R5270">
        <v>4.35</v>
      </c>
    </row>
    <row r="5271">
      <c r="A5271" s="9">
        <v>43802</v>
      </c>
      <c r="B5271" s="2" t="inlineStr">
        <is>
          <t xml:space="preserve">2019-12</t>
        </is>
      </c>
      <c r="C5271" s="2" t="inlineStr">
        <is>
          <t xml:space="preserve">2019/20</t>
        </is>
      </c>
      <c r="D5271">
        <v>0.0</v>
      </c>
      <c r="E5271">
        <v>19.84</v>
      </c>
      <c r="F5271">
        <v>26.32</v>
      </c>
      <c r="G5271">
        <v>15.49</v>
      </c>
      <c r="H5271">
        <v>0.41</v>
      </c>
      <c r="I5271">
        <v>2.296</v>
      </c>
      <c r="J5271">
        <v>19.29</v>
      </c>
      <c r="K5271">
        <v>24.19</v>
      </c>
      <c r="L5271">
        <v>16.25</v>
      </c>
      <c r="M5271">
        <v>2.32</v>
      </c>
      <c r="N5271">
        <v>8.949</v>
      </c>
      <c r="O5271">
        <v>19.41</v>
      </c>
      <c r="P5271">
        <v>24.16</v>
      </c>
      <c r="Q5271">
        <v>16.62</v>
      </c>
      <c r="R5271">
        <v>2.33</v>
      </c>
    </row>
    <row r="5272">
      <c r="A5272" s="9">
        <v>43803</v>
      </c>
      <c r="B5272" s="2" t="inlineStr">
        <is>
          <t xml:space="preserve">2019-12</t>
        </is>
      </c>
      <c r="C5272" s="2" t="inlineStr">
        <is>
          <t xml:space="preserve">2019/20</t>
        </is>
      </c>
      <c r="D5272">
        <v>0.0</v>
      </c>
      <c r="E5272">
        <v>20.51</v>
      </c>
      <c r="F5272">
        <v>27.23</v>
      </c>
      <c r="G5272">
        <v>15.14</v>
      </c>
      <c r="H5272">
        <v>0.0</v>
      </c>
      <c r="I5272">
        <v>0.0</v>
      </c>
      <c r="J5272">
        <v>19.66</v>
      </c>
      <c r="K5272">
        <v>25.57</v>
      </c>
      <c r="L5272">
        <v>15.24</v>
      </c>
      <c r="M5272">
        <v>0.0</v>
      </c>
      <c r="N5272">
        <v>0.0</v>
      </c>
      <c r="O5272">
        <v>19.93</v>
      </c>
      <c r="P5272">
        <v>25.43</v>
      </c>
      <c r="Q5272">
        <v>16.06</v>
      </c>
      <c r="R5272">
        <v>0.01</v>
      </c>
    </row>
    <row r="5273">
      <c r="A5273" s="9">
        <v>43804</v>
      </c>
      <c r="B5273" s="2" t="inlineStr">
        <is>
          <t xml:space="preserve">2019-12</t>
        </is>
      </c>
      <c r="C5273" s="2" t="inlineStr">
        <is>
          <t xml:space="preserve">2019/20</t>
        </is>
      </c>
      <c r="D5273">
        <v>0.0</v>
      </c>
      <c r="E5273">
        <v>20.75</v>
      </c>
      <c r="F5273">
        <v>26.93</v>
      </c>
      <c r="G5273">
        <v>16.38</v>
      </c>
      <c r="H5273">
        <v>0.0</v>
      </c>
      <c r="I5273">
        <v>0.0</v>
      </c>
      <c r="J5273">
        <v>19.91</v>
      </c>
      <c r="K5273">
        <v>24.98</v>
      </c>
      <c r="L5273">
        <v>16.15</v>
      </c>
      <c r="M5273">
        <v>0.0</v>
      </c>
      <c r="N5273">
        <v>0.0</v>
      </c>
      <c r="O5273">
        <v>20.14</v>
      </c>
      <c r="P5273">
        <v>25.12</v>
      </c>
      <c r="Q5273">
        <v>16.59</v>
      </c>
      <c r="R5273">
        <v>0.0</v>
      </c>
    </row>
    <row r="5274">
      <c r="A5274" s="9">
        <v>43805</v>
      </c>
      <c r="B5274" s="2" t="inlineStr">
        <is>
          <t xml:space="preserve">2019-12</t>
        </is>
      </c>
      <c r="C5274" s="2" t="inlineStr">
        <is>
          <t xml:space="preserve">2019/20</t>
        </is>
      </c>
      <c r="D5274">
        <v>0.0</v>
      </c>
      <c r="E5274">
        <v>20.81</v>
      </c>
      <c r="F5274">
        <v>28.24</v>
      </c>
      <c r="G5274">
        <v>15.27</v>
      </c>
      <c r="H5274">
        <v>0.0</v>
      </c>
      <c r="I5274">
        <v>0.0</v>
      </c>
      <c r="J5274">
        <v>20.11</v>
      </c>
      <c r="K5274">
        <v>25.34</v>
      </c>
      <c r="L5274">
        <v>16.66</v>
      </c>
      <c r="M5274">
        <v>0.0</v>
      </c>
      <c r="N5274">
        <v>0.0</v>
      </c>
      <c r="O5274">
        <v>20.2</v>
      </c>
      <c r="P5274">
        <v>25.29</v>
      </c>
      <c r="Q5274">
        <v>16.76</v>
      </c>
      <c r="R5274">
        <v>0.0</v>
      </c>
    </row>
    <row r="5275">
      <c r="A5275" s="9">
        <v>43806</v>
      </c>
      <c r="B5275" s="2" t="inlineStr">
        <is>
          <t xml:space="preserve">2019-12</t>
        </is>
      </c>
      <c r="C5275" s="2" t="inlineStr">
        <is>
          <t xml:space="preserve">2019/20</t>
        </is>
      </c>
      <c r="D5275">
        <v>0.0</v>
      </c>
      <c r="E5275">
        <v>20.68</v>
      </c>
      <c r="F5275">
        <v>26.43</v>
      </c>
      <c r="G5275">
        <v>16.75</v>
      </c>
      <c r="H5275">
        <v>0.08</v>
      </c>
      <c r="I5275">
        <v>0.0</v>
      </c>
      <c r="J5275">
        <v>19.78</v>
      </c>
      <c r="K5275">
        <v>24.55</v>
      </c>
      <c r="L5275">
        <v>16.64</v>
      </c>
      <c r="M5275">
        <v>0.29</v>
      </c>
      <c r="N5275">
        <v>0.0</v>
      </c>
      <c r="O5275">
        <v>20.16</v>
      </c>
      <c r="P5275">
        <v>25.01</v>
      </c>
      <c r="Q5275">
        <v>16.85</v>
      </c>
      <c r="R5275">
        <v>0.29</v>
      </c>
    </row>
    <row r="5276">
      <c r="A5276" s="9">
        <v>43807</v>
      </c>
      <c r="B5276" s="2" t="inlineStr">
        <is>
          <t xml:space="preserve">2019-12</t>
        </is>
      </c>
      <c r="C5276" s="2" t="inlineStr">
        <is>
          <t xml:space="preserve">2019/20</t>
        </is>
      </c>
      <c r="D5276">
        <v>0.057</v>
      </c>
      <c r="E5276">
        <v>20.37</v>
      </c>
      <c r="F5276">
        <v>26.47</v>
      </c>
      <c r="G5276">
        <v>16.31</v>
      </c>
      <c r="H5276">
        <v>0.43</v>
      </c>
      <c r="I5276">
        <v>0.915</v>
      </c>
      <c r="J5276">
        <v>19.17</v>
      </c>
      <c r="K5276">
        <v>23.97</v>
      </c>
      <c r="L5276">
        <v>16.17</v>
      </c>
      <c r="M5276">
        <v>1.41</v>
      </c>
      <c r="N5276">
        <v>3.647</v>
      </c>
      <c r="O5276">
        <v>19.34</v>
      </c>
      <c r="P5276">
        <v>24.1</v>
      </c>
      <c r="Q5276">
        <v>16.43</v>
      </c>
      <c r="R5276">
        <v>1.69</v>
      </c>
    </row>
    <row r="5277">
      <c r="A5277" s="9">
        <v>43808</v>
      </c>
      <c r="B5277" s="2" t="inlineStr">
        <is>
          <t xml:space="preserve">2019-12</t>
        </is>
      </c>
      <c r="C5277" s="2" t="inlineStr">
        <is>
          <t xml:space="preserve">2019/20</t>
        </is>
      </c>
      <c r="D5277">
        <v>0.0</v>
      </c>
      <c r="E5277">
        <v>21.11</v>
      </c>
      <c r="F5277">
        <v>28.09</v>
      </c>
      <c r="G5277">
        <v>16.17</v>
      </c>
      <c r="H5277">
        <v>0.0</v>
      </c>
      <c r="I5277">
        <v>0.0</v>
      </c>
      <c r="J5277">
        <v>20.09</v>
      </c>
      <c r="K5277">
        <v>25.87</v>
      </c>
      <c r="L5277">
        <v>15.75</v>
      </c>
      <c r="M5277">
        <v>0.02</v>
      </c>
      <c r="N5277">
        <v>0.084</v>
      </c>
      <c r="O5277">
        <v>20.16</v>
      </c>
      <c r="P5277">
        <v>25.69</v>
      </c>
      <c r="Q5277">
        <v>16.34</v>
      </c>
      <c r="R5277">
        <v>0.03</v>
      </c>
    </row>
    <row r="5278">
      <c r="A5278" s="9">
        <v>43809</v>
      </c>
      <c r="B5278" s="2" t="inlineStr">
        <is>
          <t xml:space="preserve">2019-12</t>
        </is>
      </c>
      <c r="C5278" s="2" t="inlineStr">
        <is>
          <t xml:space="preserve">2019/20</t>
        </is>
      </c>
      <c r="D5278">
        <v>0.0</v>
      </c>
      <c r="E5278">
        <v>21.86</v>
      </c>
      <c r="F5278">
        <v>28.65</v>
      </c>
      <c r="G5278">
        <v>16.56</v>
      </c>
      <c r="H5278">
        <v>0.08</v>
      </c>
      <c r="I5278">
        <v>0.0</v>
      </c>
      <c r="J5278">
        <v>21.45</v>
      </c>
      <c r="K5278">
        <v>27.58</v>
      </c>
      <c r="L5278">
        <v>16.72</v>
      </c>
      <c r="M5278">
        <v>0.31</v>
      </c>
      <c r="N5278">
        <v>0.0</v>
      </c>
      <c r="O5278">
        <v>21.61</v>
      </c>
      <c r="P5278">
        <v>27.54</v>
      </c>
      <c r="Q5278">
        <v>17.36</v>
      </c>
      <c r="R5278">
        <v>0.35</v>
      </c>
    </row>
    <row r="5279">
      <c r="A5279" s="9">
        <v>43810</v>
      </c>
      <c r="B5279" s="2" t="inlineStr">
        <is>
          <t xml:space="preserve">2019-12</t>
        </is>
      </c>
      <c r="C5279" s="2" t="inlineStr">
        <is>
          <t xml:space="preserve">2019/20</t>
        </is>
      </c>
      <c r="D5279">
        <v>0.0</v>
      </c>
      <c r="E5279">
        <v>21.48</v>
      </c>
      <c r="F5279">
        <v>27.77</v>
      </c>
      <c r="G5279">
        <v>16.69</v>
      </c>
      <c r="H5279">
        <v>0.47</v>
      </c>
      <c r="I5279">
        <v>1.386</v>
      </c>
      <c r="J5279">
        <v>21.26</v>
      </c>
      <c r="K5279">
        <v>26.12</v>
      </c>
      <c r="L5279">
        <v>18.12</v>
      </c>
      <c r="M5279">
        <v>2.53</v>
      </c>
      <c r="N5279">
        <v>5.399</v>
      </c>
      <c r="O5279">
        <v>21.76</v>
      </c>
      <c r="P5279">
        <v>26.15</v>
      </c>
      <c r="Q5279">
        <v>19.24</v>
      </c>
      <c r="R5279">
        <v>2.19</v>
      </c>
    </row>
    <row r="5280">
      <c r="A5280" s="9">
        <v>43811</v>
      </c>
      <c r="B5280" s="2" t="inlineStr">
        <is>
          <t xml:space="preserve">2019-12</t>
        </is>
      </c>
      <c r="C5280" s="2" t="inlineStr">
        <is>
          <t xml:space="preserve">2019/20</t>
        </is>
      </c>
      <c r="D5280">
        <v>0.043</v>
      </c>
      <c r="E5280">
        <v>21.4</v>
      </c>
      <c r="F5280">
        <v>27.43</v>
      </c>
      <c r="G5280">
        <v>17.82</v>
      </c>
      <c r="H5280">
        <v>0.07</v>
      </c>
      <c r="I5280">
        <v>0.449</v>
      </c>
      <c r="J5280">
        <v>20.75</v>
      </c>
      <c r="K5280">
        <v>25.1</v>
      </c>
      <c r="L5280">
        <v>17.46</v>
      </c>
      <c r="M5280">
        <v>0.52</v>
      </c>
      <c r="N5280">
        <v>1.716</v>
      </c>
      <c r="O5280">
        <v>21.31</v>
      </c>
      <c r="P5280">
        <v>25.44</v>
      </c>
      <c r="Q5280">
        <v>18.0</v>
      </c>
      <c r="R5280">
        <v>0.42</v>
      </c>
    </row>
    <row r="5281">
      <c r="A5281" s="9">
        <v>43812</v>
      </c>
      <c r="B5281" s="2" t="inlineStr">
        <is>
          <t xml:space="preserve">2019-12</t>
        </is>
      </c>
      <c r="C5281" s="2" t="inlineStr">
        <is>
          <t xml:space="preserve">2019/20</t>
        </is>
      </c>
      <c r="D5281">
        <v>0.0</v>
      </c>
      <c r="E5281">
        <v>21.24</v>
      </c>
      <c r="F5281">
        <v>27.66</v>
      </c>
      <c r="G5281">
        <v>16.54</v>
      </c>
      <c r="H5281">
        <v>0.0</v>
      </c>
      <c r="I5281">
        <v>0.0</v>
      </c>
      <c r="J5281">
        <v>20.05</v>
      </c>
      <c r="K5281">
        <v>25.52</v>
      </c>
      <c r="L5281">
        <v>16.2</v>
      </c>
      <c r="M5281">
        <v>0.03</v>
      </c>
      <c r="N5281">
        <v>0.0</v>
      </c>
      <c r="O5281">
        <v>20.47</v>
      </c>
      <c r="P5281">
        <v>25.7</v>
      </c>
      <c r="Q5281">
        <v>16.73</v>
      </c>
      <c r="R5281">
        <v>0.01</v>
      </c>
    </row>
    <row r="5282">
      <c r="A5282" s="9">
        <v>43813</v>
      </c>
      <c r="B5282" s="2" t="inlineStr">
        <is>
          <t xml:space="preserve">2019-12</t>
        </is>
      </c>
      <c r="C5282" s="2" t="inlineStr">
        <is>
          <t xml:space="preserve">2019/20</t>
        </is>
      </c>
      <c r="D5282">
        <v>0.0</v>
      </c>
      <c r="E5282">
        <v>21.55</v>
      </c>
      <c r="F5282">
        <v>28.22</v>
      </c>
      <c r="G5282">
        <v>17.11</v>
      </c>
      <c r="H5282">
        <v>0.0</v>
      </c>
      <c r="I5282">
        <v>0.0</v>
      </c>
      <c r="J5282">
        <v>20.58</v>
      </c>
      <c r="K5282">
        <v>25.82</v>
      </c>
      <c r="L5282">
        <v>16.54</v>
      </c>
      <c r="M5282">
        <v>0.0</v>
      </c>
      <c r="N5282">
        <v>0.0</v>
      </c>
      <c r="O5282">
        <v>21.05</v>
      </c>
      <c r="P5282">
        <v>26.26</v>
      </c>
      <c r="Q5282">
        <v>17.73</v>
      </c>
      <c r="R5282">
        <v>0.0</v>
      </c>
    </row>
    <row r="5283">
      <c r="A5283" s="9">
        <v>43814</v>
      </c>
      <c r="B5283" s="2" t="inlineStr">
        <is>
          <t xml:space="preserve">2019-12</t>
        </is>
      </c>
      <c r="C5283" s="2" t="inlineStr">
        <is>
          <t xml:space="preserve">2019/20</t>
        </is>
      </c>
      <c r="D5283">
        <v>0.0</v>
      </c>
      <c r="E5283">
        <v>21.8</v>
      </c>
      <c r="F5283">
        <v>29.47</v>
      </c>
      <c r="G5283">
        <v>15.75</v>
      </c>
      <c r="H5283">
        <v>0.02</v>
      </c>
      <c r="I5283">
        <v>0.0</v>
      </c>
      <c r="J5283">
        <v>20.87</v>
      </c>
      <c r="K5283">
        <v>26.84</v>
      </c>
      <c r="L5283">
        <v>16.46</v>
      </c>
      <c r="M5283">
        <v>0.0</v>
      </c>
      <c r="N5283">
        <v>0.0</v>
      </c>
      <c r="O5283">
        <v>21.07</v>
      </c>
      <c r="P5283">
        <v>26.9</v>
      </c>
      <c r="Q5283">
        <v>17.79</v>
      </c>
      <c r="R5283">
        <v>0.0</v>
      </c>
    </row>
    <row r="5284">
      <c r="A5284" s="9">
        <v>43815</v>
      </c>
      <c r="B5284" s="2" t="inlineStr">
        <is>
          <t xml:space="preserve">2019-12</t>
        </is>
      </c>
      <c r="C5284" s="2" t="inlineStr">
        <is>
          <t xml:space="preserve">2019/20</t>
        </is>
      </c>
      <c r="D5284">
        <v>0.0</v>
      </c>
      <c r="E5284">
        <v>22.52</v>
      </c>
      <c r="F5284">
        <v>29.39</v>
      </c>
      <c r="G5284">
        <v>16.82</v>
      </c>
      <c r="H5284">
        <v>0.11</v>
      </c>
      <c r="I5284">
        <v>0.0</v>
      </c>
      <c r="J5284">
        <v>21.77</v>
      </c>
      <c r="K5284">
        <v>27.18</v>
      </c>
      <c r="L5284">
        <v>16.55</v>
      </c>
      <c r="M5284">
        <v>0.06</v>
      </c>
      <c r="N5284">
        <v>0.0</v>
      </c>
      <c r="O5284">
        <v>22.16</v>
      </c>
      <c r="P5284">
        <v>27.75</v>
      </c>
      <c r="Q5284">
        <v>18.25</v>
      </c>
      <c r="R5284">
        <v>0.01</v>
      </c>
    </row>
    <row r="5285">
      <c r="A5285" s="9">
        <v>43816</v>
      </c>
      <c r="B5285" s="2" t="inlineStr">
        <is>
          <t xml:space="preserve">2019-12</t>
        </is>
      </c>
      <c r="C5285" s="2" t="inlineStr">
        <is>
          <t xml:space="preserve">2019/20</t>
        </is>
      </c>
      <c r="D5285">
        <v>0.09</v>
      </c>
      <c r="E5285">
        <v>23.09</v>
      </c>
      <c r="F5285">
        <v>30.08</v>
      </c>
      <c r="G5285">
        <v>17.9</v>
      </c>
      <c r="H5285">
        <v>0.16</v>
      </c>
      <c r="I5285">
        <v>0.906</v>
      </c>
      <c r="J5285">
        <v>21.72</v>
      </c>
      <c r="K5285">
        <v>25.87</v>
      </c>
      <c r="L5285">
        <v>18.19</v>
      </c>
      <c r="M5285">
        <v>1.23</v>
      </c>
      <c r="N5285">
        <v>0.033</v>
      </c>
      <c r="O5285">
        <v>21.84</v>
      </c>
      <c r="P5285">
        <v>25.53</v>
      </c>
      <c r="Q5285">
        <v>18.86</v>
      </c>
      <c r="R5285">
        <v>0.6</v>
      </c>
    </row>
    <row r="5286">
      <c r="A5286" s="9">
        <v>43817</v>
      </c>
      <c r="B5286" s="2" t="inlineStr">
        <is>
          <t xml:space="preserve">2019-12</t>
        </is>
      </c>
      <c r="C5286" s="2" t="inlineStr">
        <is>
          <t xml:space="preserve">2019/20</t>
        </is>
      </c>
      <c r="D5286">
        <v>0.0</v>
      </c>
      <c r="E5286">
        <v>21.61</v>
      </c>
      <c r="F5286">
        <v>28.37</v>
      </c>
      <c r="G5286">
        <v>17.4</v>
      </c>
      <c r="H5286">
        <v>1.91</v>
      </c>
      <c r="I5286">
        <v>2.893</v>
      </c>
      <c r="J5286">
        <v>19.93</v>
      </c>
      <c r="K5286">
        <v>23.42</v>
      </c>
      <c r="L5286">
        <v>16.07</v>
      </c>
      <c r="M5286">
        <v>4.1</v>
      </c>
      <c r="N5286">
        <v>4.335</v>
      </c>
      <c r="O5286">
        <v>20.71</v>
      </c>
      <c r="P5286">
        <v>24.4</v>
      </c>
      <c r="Q5286">
        <v>17.17</v>
      </c>
      <c r="R5286">
        <v>6.0</v>
      </c>
    </row>
    <row r="5287">
      <c r="A5287" s="9">
        <v>43818</v>
      </c>
      <c r="B5287" s="2" t="inlineStr">
        <is>
          <t xml:space="preserve">2019-12</t>
        </is>
      </c>
      <c r="C5287" s="2" t="inlineStr">
        <is>
          <t xml:space="preserve">2019/20</t>
        </is>
      </c>
      <c r="D5287">
        <v>0.787</v>
      </c>
      <c r="E5287">
        <v>17.76</v>
      </c>
      <c r="F5287">
        <v>21.78</v>
      </c>
      <c r="G5287">
        <v>15.11</v>
      </c>
      <c r="H5287">
        <v>3.01</v>
      </c>
      <c r="I5287">
        <v>2.325</v>
      </c>
      <c r="J5287">
        <v>16.53</v>
      </c>
      <c r="K5287">
        <v>20.18</v>
      </c>
      <c r="L5287">
        <v>13.81</v>
      </c>
      <c r="M5287">
        <v>3.39</v>
      </c>
      <c r="N5287">
        <v>8.859</v>
      </c>
      <c r="O5287">
        <v>16.71</v>
      </c>
      <c r="P5287">
        <v>19.53</v>
      </c>
      <c r="Q5287">
        <v>14.36</v>
      </c>
      <c r="R5287">
        <v>8.0</v>
      </c>
    </row>
    <row r="5288">
      <c r="A5288" s="9">
        <v>43819</v>
      </c>
      <c r="B5288" s="2" t="inlineStr">
        <is>
          <t xml:space="preserve">2019-12</t>
        </is>
      </c>
      <c r="C5288" s="2" t="inlineStr">
        <is>
          <t xml:space="preserve">2019/20</t>
        </is>
      </c>
      <c r="D5288">
        <v>0.0</v>
      </c>
      <c r="E5288">
        <v>18.07</v>
      </c>
      <c r="F5288">
        <v>23.5</v>
      </c>
      <c r="G5288">
        <v>14.86</v>
      </c>
      <c r="H5288">
        <v>0.35</v>
      </c>
      <c r="I5288">
        <v>1.083</v>
      </c>
      <c r="J5288">
        <v>17.3</v>
      </c>
      <c r="K5288">
        <v>21.6</v>
      </c>
      <c r="L5288">
        <v>14.38</v>
      </c>
      <c r="M5288">
        <v>1.92</v>
      </c>
      <c r="N5288">
        <v>4.229</v>
      </c>
      <c r="O5288">
        <v>17.18</v>
      </c>
      <c r="P5288">
        <v>20.96</v>
      </c>
      <c r="Q5288">
        <v>14.86</v>
      </c>
      <c r="R5288">
        <v>1.99</v>
      </c>
    </row>
    <row r="5289">
      <c r="A5289" s="9">
        <v>43820</v>
      </c>
      <c r="B5289" s="2" t="inlineStr">
        <is>
          <t xml:space="preserve">2019-12</t>
        </is>
      </c>
      <c r="C5289" s="2" t="inlineStr">
        <is>
          <t xml:space="preserve">2019/20</t>
        </is>
      </c>
      <c r="D5289">
        <v>0.041</v>
      </c>
      <c r="E5289">
        <v>19.42</v>
      </c>
      <c r="F5289">
        <v>25.88</v>
      </c>
      <c r="G5289">
        <v>15.0</v>
      </c>
      <c r="H5289">
        <v>0.27</v>
      </c>
      <c r="I5289">
        <v>0.829</v>
      </c>
      <c r="J5289">
        <v>18.36</v>
      </c>
      <c r="K5289">
        <v>22.94</v>
      </c>
      <c r="L5289">
        <v>15.18</v>
      </c>
      <c r="M5289">
        <v>1.04</v>
      </c>
      <c r="N5289">
        <v>3.287</v>
      </c>
      <c r="O5289">
        <v>18.3</v>
      </c>
      <c r="P5289">
        <v>22.64</v>
      </c>
      <c r="Q5289">
        <v>15.64</v>
      </c>
      <c r="R5289">
        <v>1.07</v>
      </c>
    </row>
    <row r="5290">
      <c r="A5290" s="9">
        <v>43821</v>
      </c>
      <c r="B5290" s="2" t="inlineStr">
        <is>
          <t xml:space="preserve">2019-12</t>
        </is>
      </c>
      <c r="C5290" s="2" t="inlineStr">
        <is>
          <t xml:space="preserve">2019/20</t>
        </is>
      </c>
      <c r="D5290">
        <v>0.0</v>
      </c>
      <c r="E5290">
        <v>20.65</v>
      </c>
      <c r="F5290">
        <v>27.38</v>
      </c>
      <c r="G5290">
        <v>15.76</v>
      </c>
      <c r="H5290">
        <v>0.76</v>
      </c>
      <c r="I5290">
        <v>0.249</v>
      </c>
      <c r="J5290">
        <v>19.76</v>
      </c>
      <c r="K5290">
        <v>25.18</v>
      </c>
      <c r="L5290">
        <v>15.99</v>
      </c>
      <c r="M5290">
        <v>0.72</v>
      </c>
      <c r="N5290">
        <v>0.984</v>
      </c>
      <c r="O5290">
        <v>19.9</v>
      </c>
      <c r="P5290">
        <v>24.93</v>
      </c>
      <c r="Q5290">
        <v>16.56</v>
      </c>
      <c r="R5290">
        <v>0.91</v>
      </c>
    </row>
    <row r="5291">
      <c r="A5291" s="9">
        <v>43822</v>
      </c>
      <c r="B5291" s="2" t="inlineStr">
        <is>
          <t xml:space="preserve">2019-12</t>
        </is>
      </c>
      <c r="C5291" s="2" t="inlineStr">
        <is>
          <t xml:space="preserve">2019/20</t>
        </is>
      </c>
      <c r="D5291">
        <v>0.0</v>
      </c>
      <c r="E5291">
        <v>19.5</v>
      </c>
      <c r="F5291">
        <v>24.5</v>
      </c>
      <c r="G5291">
        <v>16.71</v>
      </c>
      <c r="H5291">
        <v>1.32</v>
      </c>
      <c r="I5291">
        <v>1.127</v>
      </c>
      <c r="J5291">
        <v>19.63</v>
      </c>
      <c r="K5291">
        <v>23.71</v>
      </c>
      <c r="L5291">
        <v>17.22</v>
      </c>
      <c r="M5291">
        <v>1.79</v>
      </c>
      <c r="N5291">
        <v>4.401</v>
      </c>
      <c r="O5291">
        <v>19.52</v>
      </c>
      <c r="P5291">
        <v>22.98</v>
      </c>
      <c r="Q5291">
        <v>17.72</v>
      </c>
      <c r="R5291">
        <v>3.03</v>
      </c>
    </row>
    <row r="5292">
      <c r="A5292" s="9">
        <v>43823</v>
      </c>
      <c r="B5292" s="2" t="inlineStr">
        <is>
          <t xml:space="preserve">2019-12</t>
        </is>
      </c>
      <c r="C5292" s="2" t="inlineStr">
        <is>
          <t xml:space="preserve">2019/20</t>
        </is>
      </c>
      <c r="D5292">
        <v>0.0</v>
      </c>
      <c r="E5292">
        <v>19.66</v>
      </c>
      <c r="F5292">
        <v>26.44</v>
      </c>
      <c r="G5292">
        <v>15.86</v>
      </c>
      <c r="H5292">
        <v>0.15</v>
      </c>
      <c r="I5292">
        <v>0.024</v>
      </c>
      <c r="J5292">
        <v>18.35</v>
      </c>
      <c r="K5292">
        <v>23.77</v>
      </c>
      <c r="L5292">
        <v>15.12</v>
      </c>
      <c r="M5292">
        <v>0.12</v>
      </c>
      <c r="N5292">
        <v>0.279</v>
      </c>
      <c r="O5292">
        <v>18.52</v>
      </c>
      <c r="P5292">
        <v>23.2</v>
      </c>
      <c r="Q5292">
        <v>15.75</v>
      </c>
      <c r="R5292">
        <v>0.63</v>
      </c>
    </row>
    <row r="5293">
      <c r="A5293" s="9">
        <v>43824</v>
      </c>
      <c r="B5293" s="2" t="inlineStr">
        <is>
          <t xml:space="preserve">2019-12</t>
        </is>
      </c>
      <c r="C5293" s="2" t="inlineStr">
        <is>
          <t xml:space="preserve">2019/20</t>
        </is>
      </c>
      <c r="D5293">
        <v>0.0</v>
      </c>
      <c r="E5293">
        <v>20.47</v>
      </c>
      <c r="F5293">
        <v>28.93</v>
      </c>
      <c r="G5293">
        <v>14.33</v>
      </c>
      <c r="H5293">
        <v>0.0</v>
      </c>
      <c r="I5293">
        <v>0.0</v>
      </c>
      <c r="J5293">
        <v>18.7</v>
      </c>
      <c r="K5293">
        <v>26.2</v>
      </c>
      <c r="L5293">
        <v>13.77</v>
      </c>
      <c r="M5293">
        <v>0.02</v>
      </c>
      <c r="N5293">
        <v>0.084</v>
      </c>
      <c r="O5293">
        <v>18.58</v>
      </c>
      <c r="P5293">
        <v>25.24</v>
      </c>
      <c r="Q5293">
        <v>14.38</v>
      </c>
      <c r="R5293">
        <v>0.01</v>
      </c>
    </row>
    <row r="5294">
      <c r="A5294" s="9">
        <v>43825</v>
      </c>
      <c r="B5294" s="2" t="inlineStr">
        <is>
          <t xml:space="preserve">2019-12</t>
        </is>
      </c>
      <c r="C5294" s="2" t="inlineStr">
        <is>
          <t xml:space="preserve">2019/20</t>
        </is>
      </c>
      <c r="D5294">
        <v>0.0</v>
      </c>
      <c r="E5294">
        <v>20.6</v>
      </c>
      <c r="F5294">
        <v>29.42</v>
      </c>
      <c r="G5294">
        <v>15.12</v>
      </c>
      <c r="H5294">
        <v>0.0</v>
      </c>
      <c r="I5294">
        <v>0.0</v>
      </c>
      <c r="J5294">
        <v>18.97</v>
      </c>
      <c r="K5294">
        <v>26.78</v>
      </c>
      <c r="L5294">
        <v>14.2</v>
      </c>
      <c r="M5294">
        <v>0.0</v>
      </c>
      <c r="N5294">
        <v>0.0</v>
      </c>
      <c r="O5294">
        <v>19.0</v>
      </c>
      <c r="P5294">
        <v>25.64</v>
      </c>
      <c r="Q5294">
        <v>14.73</v>
      </c>
      <c r="R5294">
        <v>0.0</v>
      </c>
    </row>
    <row r="5295">
      <c r="A5295" s="9">
        <v>43826</v>
      </c>
      <c r="B5295" s="2" t="inlineStr">
        <is>
          <t xml:space="preserve">2019-12</t>
        </is>
      </c>
      <c r="C5295" s="2" t="inlineStr">
        <is>
          <t xml:space="preserve">2019/20</t>
        </is>
      </c>
      <c r="D5295">
        <v>0.0</v>
      </c>
      <c r="E5295">
        <v>19.84</v>
      </c>
      <c r="F5295">
        <v>27.89</v>
      </c>
      <c r="G5295">
        <v>14.72</v>
      </c>
      <c r="H5295">
        <v>0.0</v>
      </c>
      <c r="I5295">
        <v>0.0</v>
      </c>
      <c r="J5295">
        <v>18.72</v>
      </c>
      <c r="K5295">
        <v>25.49</v>
      </c>
      <c r="L5295">
        <v>14.57</v>
      </c>
      <c r="M5295">
        <v>0.01</v>
      </c>
      <c r="N5295">
        <v>0.0</v>
      </c>
      <c r="O5295">
        <v>18.95</v>
      </c>
      <c r="P5295">
        <v>24.87</v>
      </c>
      <c r="Q5295">
        <v>15.34</v>
      </c>
      <c r="R5295">
        <v>0.0</v>
      </c>
    </row>
    <row r="5296">
      <c r="A5296" s="9">
        <v>43827</v>
      </c>
      <c r="B5296" s="2" t="inlineStr">
        <is>
          <t xml:space="preserve">2019-12</t>
        </is>
      </c>
      <c r="C5296" s="2" t="inlineStr">
        <is>
          <t xml:space="preserve">2019/20</t>
        </is>
      </c>
      <c r="D5296">
        <v>0.0</v>
      </c>
      <c r="E5296">
        <v>21.76</v>
      </c>
      <c r="F5296">
        <v>30.6</v>
      </c>
      <c r="G5296">
        <v>14.74</v>
      </c>
      <c r="H5296">
        <v>0.17</v>
      </c>
      <c r="I5296">
        <v>0.0</v>
      </c>
      <c r="J5296">
        <v>20.62</v>
      </c>
      <c r="K5296">
        <v>28.43</v>
      </c>
      <c r="L5296">
        <v>14.75</v>
      </c>
      <c r="M5296">
        <v>0.12</v>
      </c>
      <c r="N5296">
        <v>0.0</v>
      </c>
      <c r="O5296">
        <v>20.38</v>
      </c>
      <c r="P5296">
        <v>27.44</v>
      </c>
      <c r="Q5296">
        <v>15.4</v>
      </c>
      <c r="R5296">
        <v>0.18</v>
      </c>
    </row>
    <row r="5297">
      <c r="A5297" s="9">
        <v>43828</v>
      </c>
      <c r="B5297" s="2" t="inlineStr">
        <is>
          <t xml:space="preserve">2019-12</t>
        </is>
      </c>
      <c r="C5297" s="2" t="inlineStr">
        <is>
          <t xml:space="preserve">2019/20</t>
        </is>
      </c>
      <c r="D5297">
        <v>0.918</v>
      </c>
      <c r="E5297">
        <v>23.1</v>
      </c>
      <c r="F5297">
        <v>31.38</v>
      </c>
      <c r="G5297">
        <v>16.52</v>
      </c>
      <c r="H5297">
        <v>0.29</v>
      </c>
      <c r="I5297">
        <v>0.17</v>
      </c>
      <c r="J5297">
        <v>22.05</v>
      </c>
      <c r="K5297">
        <v>28.97</v>
      </c>
      <c r="L5297">
        <v>16.05</v>
      </c>
      <c r="M5297">
        <v>0.13</v>
      </c>
      <c r="N5297">
        <v>0.18</v>
      </c>
      <c r="O5297">
        <v>22.1</v>
      </c>
      <c r="P5297">
        <v>29.35</v>
      </c>
      <c r="Q5297">
        <v>16.47</v>
      </c>
      <c r="R5297">
        <v>0.18</v>
      </c>
    </row>
    <row r="5298">
      <c r="A5298" s="9">
        <v>43829</v>
      </c>
      <c r="B5298" s="2" t="inlineStr">
        <is>
          <t xml:space="preserve">2019-12</t>
        </is>
      </c>
      <c r="C5298" s="2" t="inlineStr">
        <is>
          <t xml:space="preserve">2019/20</t>
        </is>
      </c>
      <c r="D5298">
        <v>0.0</v>
      </c>
      <c r="E5298">
        <v>23.5</v>
      </c>
      <c r="F5298">
        <v>30.86</v>
      </c>
      <c r="G5298">
        <v>17.57</v>
      </c>
      <c r="H5298">
        <v>0.05</v>
      </c>
      <c r="I5298">
        <v>0.0</v>
      </c>
      <c r="J5298">
        <v>22.28</v>
      </c>
      <c r="K5298">
        <v>28.93</v>
      </c>
      <c r="L5298">
        <v>17.06</v>
      </c>
      <c r="M5298">
        <v>0.07</v>
      </c>
      <c r="N5298">
        <v>0.0</v>
      </c>
      <c r="O5298">
        <v>22.65</v>
      </c>
      <c r="P5298">
        <v>28.77</v>
      </c>
      <c r="Q5298">
        <v>18.36</v>
      </c>
      <c r="R5298">
        <v>0.16</v>
      </c>
    </row>
    <row r="5299">
      <c r="A5299" s="9">
        <v>43830</v>
      </c>
      <c r="B5299" s="2" t="inlineStr">
        <is>
          <t xml:space="preserve">2019-12</t>
        </is>
      </c>
      <c r="C5299" s="2" t="inlineStr">
        <is>
          <t xml:space="preserve">2019/20</t>
        </is>
      </c>
      <c r="D5299">
        <v>0.042</v>
      </c>
      <c r="E5299">
        <v>21.87</v>
      </c>
      <c r="F5299">
        <v>28.58</v>
      </c>
      <c r="G5299">
        <v>16.83</v>
      </c>
      <c r="H5299">
        <v>0.06</v>
      </c>
      <c r="I5299">
        <v>0.233</v>
      </c>
      <c r="J5299">
        <v>20.97</v>
      </c>
      <c r="K5299">
        <v>25.43</v>
      </c>
      <c r="L5299">
        <v>17.71</v>
      </c>
      <c r="M5299">
        <v>0.37</v>
      </c>
      <c r="N5299">
        <v>0.881</v>
      </c>
      <c r="O5299">
        <v>21.39</v>
      </c>
      <c r="P5299">
        <v>25.81</v>
      </c>
      <c r="Q5299">
        <v>18.57</v>
      </c>
      <c r="R5299">
        <v>0.36</v>
      </c>
    </row>
    <row r="5300">
      <c r="A5300" s="9">
        <v>43831</v>
      </c>
      <c r="B5300" s="2" t="inlineStr">
        <is>
          <t xml:space="preserve">2020-01</t>
        </is>
      </c>
      <c r="C5300" s="2" t="inlineStr">
        <is>
          <t xml:space="preserve">2019/20</t>
        </is>
      </c>
      <c r="D5300">
        <v>0.0</v>
      </c>
      <c r="E5300">
        <v>21.28</v>
      </c>
      <c r="F5300">
        <v>28.6</v>
      </c>
      <c r="G5300">
        <v>16.03</v>
      </c>
      <c r="H5300">
        <v>0.04</v>
      </c>
      <c r="I5300">
        <v>0.0</v>
      </c>
      <c r="J5300">
        <v>20.67</v>
      </c>
      <c r="K5300">
        <v>26.73</v>
      </c>
      <c r="L5300">
        <v>16.55</v>
      </c>
      <c r="M5300">
        <v>0.0</v>
      </c>
      <c r="N5300">
        <v>0.0</v>
      </c>
      <c r="O5300">
        <v>20.72</v>
      </c>
      <c r="P5300">
        <v>26.62</v>
      </c>
      <c r="Q5300">
        <v>17.1</v>
      </c>
      <c r="R5300">
        <v>0.0</v>
      </c>
    </row>
    <row r="5301">
      <c r="A5301" s="9">
        <v>43832</v>
      </c>
      <c r="B5301" s="2" t="inlineStr">
        <is>
          <t xml:space="preserve">2020-01</t>
        </is>
      </c>
      <c r="C5301" s="2" t="inlineStr">
        <is>
          <t xml:space="preserve">2019/20</t>
        </is>
      </c>
      <c r="D5301">
        <v>0.0</v>
      </c>
      <c r="E5301">
        <v>21.97</v>
      </c>
      <c r="F5301">
        <v>30.1</v>
      </c>
      <c r="G5301">
        <v>16.29</v>
      </c>
      <c r="H5301">
        <v>0.01</v>
      </c>
      <c r="I5301">
        <v>0.0</v>
      </c>
      <c r="J5301">
        <v>21.47</v>
      </c>
      <c r="K5301">
        <v>27.46</v>
      </c>
      <c r="L5301">
        <v>16.93</v>
      </c>
      <c r="M5301">
        <v>0.0</v>
      </c>
      <c r="N5301">
        <v>0.0</v>
      </c>
      <c r="O5301">
        <v>22.27</v>
      </c>
      <c r="P5301">
        <v>28.46</v>
      </c>
      <c r="Q5301">
        <v>16.65</v>
      </c>
      <c r="R5301">
        <v>0.0</v>
      </c>
    </row>
    <row r="5302">
      <c r="A5302" s="9">
        <v>43833</v>
      </c>
      <c r="B5302" s="2" t="inlineStr">
        <is>
          <t xml:space="preserve">2020-01</t>
        </is>
      </c>
      <c r="C5302" s="2" t="inlineStr">
        <is>
          <t xml:space="preserve">2019/20</t>
        </is>
      </c>
      <c r="D5302">
        <v>0.0</v>
      </c>
      <c r="E5302">
        <v>23.15</v>
      </c>
      <c r="F5302">
        <v>31.75</v>
      </c>
      <c r="G5302">
        <v>16.53</v>
      </c>
      <c r="H5302">
        <v>0.0</v>
      </c>
      <c r="I5302">
        <v>0.0</v>
      </c>
      <c r="J5302">
        <v>21.8</v>
      </c>
      <c r="K5302">
        <v>27.62</v>
      </c>
      <c r="L5302">
        <v>17.72</v>
      </c>
      <c r="M5302">
        <v>0.0</v>
      </c>
      <c r="N5302">
        <v>0.0</v>
      </c>
      <c r="O5302">
        <v>23.43</v>
      </c>
      <c r="P5302">
        <v>30.55</v>
      </c>
      <c r="Q5302">
        <v>17.18</v>
      </c>
      <c r="R5302">
        <v>0.0</v>
      </c>
    </row>
    <row r="5303">
      <c r="A5303" s="9">
        <v>43834</v>
      </c>
      <c r="B5303" s="2" t="inlineStr">
        <is>
          <t xml:space="preserve">2020-01</t>
        </is>
      </c>
      <c r="C5303" s="2" t="inlineStr">
        <is>
          <t xml:space="preserve">2019/20</t>
        </is>
      </c>
      <c r="D5303">
        <v>0.0</v>
      </c>
      <c r="E5303">
        <v>21.73</v>
      </c>
      <c r="F5303">
        <v>27.92</v>
      </c>
      <c r="G5303">
        <v>17.75</v>
      </c>
      <c r="H5303">
        <v>1.68</v>
      </c>
      <c r="I5303">
        <v>0.0</v>
      </c>
      <c r="J5303">
        <v>21.2</v>
      </c>
      <c r="K5303">
        <v>26.22</v>
      </c>
      <c r="L5303">
        <v>16.09</v>
      </c>
      <c r="M5303">
        <v>0.58</v>
      </c>
      <c r="N5303">
        <v>0.0</v>
      </c>
      <c r="O5303">
        <v>21.88</v>
      </c>
      <c r="P5303">
        <v>26.6</v>
      </c>
      <c r="Q5303">
        <v>17.78</v>
      </c>
      <c r="R5303">
        <v>3.45</v>
      </c>
    </row>
    <row r="5304">
      <c r="A5304" s="9">
        <v>43835</v>
      </c>
      <c r="B5304" s="2" t="inlineStr">
        <is>
          <t xml:space="preserve">2020-01</t>
        </is>
      </c>
      <c r="C5304" s="2" t="inlineStr">
        <is>
          <t xml:space="preserve">2019/20</t>
        </is>
      </c>
      <c r="D5304">
        <v>0.326</v>
      </c>
      <c r="E5304">
        <v>19.76</v>
      </c>
      <c r="F5304">
        <v>25.31</v>
      </c>
      <c r="G5304">
        <v>15.78</v>
      </c>
      <c r="H5304">
        <v>6.49</v>
      </c>
      <c r="I5304">
        <v>0.429</v>
      </c>
      <c r="J5304">
        <v>17.32</v>
      </c>
      <c r="K5304">
        <v>21.8</v>
      </c>
      <c r="L5304">
        <v>14.4</v>
      </c>
      <c r="M5304">
        <v>1.06</v>
      </c>
      <c r="N5304">
        <v>1.868</v>
      </c>
      <c r="O5304">
        <v>17.39</v>
      </c>
      <c r="P5304">
        <v>21.19</v>
      </c>
      <c r="Q5304">
        <v>15.04</v>
      </c>
      <c r="R5304">
        <v>7.42</v>
      </c>
    </row>
    <row r="5305">
      <c r="A5305" s="9">
        <v>43836</v>
      </c>
      <c r="B5305" s="2" t="inlineStr">
        <is>
          <t xml:space="preserve">2020-01</t>
        </is>
      </c>
      <c r="C5305" s="2" t="inlineStr">
        <is>
          <t xml:space="preserve">2019/20</t>
        </is>
      </c>
      <c r="D5305">
        <v>0.0</v>
      </c>
      <c r="E5305">
        <v>18.96</v>
      </c>
      <c r="F5305">
        <v>24.89</v>
      </c>
      <c r="G5305">
        <v>15.25</v>
      </c>
      <c r="H5305">
        <v>1.34</v>
      </c>
      <c r="I5305">
        <v>0.478</v>
      </c>
      <c r="J5305">
        <v>17.76</v>
      </c>
      <c r="K5305">
        <v>22.55</v>
      </c>
      <c r="L5305">
        <v>14.2</v>
      </c>
      <c r="M5305">
        <v>1.08</v>
      </c>
      <c r="N5305">
        <v>1.879</v>
      </c>
      <c r="O5305">
        <v>17.63</v>
      </c>
      <c r="P5305">
        <v>21.53</v>
      </c>
      <c r="Q5305">
        <v>14.71</v>
      </c>
      <c r="R5305">
        <v>3.17</v>
      </c>
    </row>
    <row r="5306">
      <c r="A5306" s="9">
        <v>43837</v>
      </c>
      <c r="B5306" s="2" t="inlineStr">
        <is>
          <t xml:space="preserve">2020-01</t>
        </is>
      </c>
      <c r="C5306" s="2" t="inlineStr">
        <is>
          <t xml:space="preserve">2019/20</t>
        </is>
      </c>
      <c r="D5306">
        <v>0.12</v>
      </c>
      <c r="E5306">
        <v>19.68</v>
      </c>
      <c r="F5306">
        <v>26.33</v>
      </c>
      <c r="G5306">
        <v>15.79</v>
      </c>
      <c r="H5306">
        <v>2.09</v>
      </c>
      <c r="I5306">
        <v>0.651</v>
      </c>
      <c r="J5306">
        <v>19.16</v>
      </c>
      <c r="K5306">
        <v>24.28</v>
      </c>
      <c r="L5306">
        <v>15.61</v>
      </c>
      <c r="M5306">
        <v>3.06</v>
      </c>
      <c r="N5306">
        <v>2.708</v>
      </c>
      <c r="O5306">
        <v>19.04</v>
      </c>
      <c r="P5306">
        <v>23.71</v>
      </c>
      <c r="Q5306">
        <v>16.01</v>
      </c>
      <c r="R5306">
        <v>5.63</v>
      </c>
    </row>
    <row r="5307">
      <c r="A5307" s="9">
        <v>43838</v>
      </c>
      <c r="B5307" s="2" t="inlineStr">
        <is>
          <t xml:space="preserve">2020-01</t>
        </is>
      </c>
      <c r="C5307" s="2" t="inlineStr">
        <is>
          <t xml:space="preserve">2019/20</t>
        </is>
      </c>
      <c r="D5307">
        <v>0.083</v>
      </c>
      <c r="E5307">
        <v>18.98</v>
      </c>
      <c r="F5307">
        <v>25.1</v>
      </c>
      <c r="G5307">
        <v>15.5</v>
      </c>
      <c r="H5307">
        <v>2.42</v>
      </c>
      <c r="I5307">
        <v>4.669</v>
      </c>
      <c r="J5307">
        <v>19.57</v>
      </c>
      <c r="K5307">
        <v>24.77</v>
      </c>
      <c r="L5307">
        <v>16.37</v>
      </c>
      <c r="M5307">
        <v>7.29</v>
      </c>
      <c r="N5307">
        <v>18.411</v>
      </c>
      <c r="O5307">
        <v>19.51</v>
      </c>
      <c r="P5307">
        <v>23.96</v>
      </c>
      <c r="Q5307">
        <v>16.67</v>
      </c>
      <c r="R5307">
        <v>10.88</v>
      </c>
    </row>
    <row r="5308">
      <c r="A5308" s="9">
        <v>43839</v>
      </c>
      <c r="B5308" s="2" t="inlineStr">
        <is>
          <t xml:space="preserve">2020-01</t>
        </is>
      </c>
      <c r="C5308" s="2" t="inlineStr">
        <is>
          <t xml:space="preserve">2019/20</t>
        </is>
      </c>
      <c r="D5308">
        <v>0.0</v>
      </c>
      <c r="E5308">
        <v>20.51</v>
      </c>
      <c r="F5308">
        <v>27.72</v>
      </c>
      <c r="G5308">
        <v>14.8</v>
      </c>
      <c r="H5308">
        <v>0.22</v>
      </c>
      <c r="I5308">
        <v>0.217</v>
      </c>
      <c r="J5308">
        <v>20.0</v>
      </c>
      <c r="K5308">
        <v>25.89</v>
      </c>
      <c r="L5308">
        <v>15.64</v>
      </c>
      <c r="M5308">
        <v>0.28</v>
      </c>
      <c r="N5308">
        <v>0.849</v>
      </c>
      <c r="O5308">
        <v>19.81</v>
      </c>
      <c r="P5308">
        <v>25.13</v>
      </c>
      <c r="Q5308">
        <v>15.92</v>
      </c>
      <c r="R5308">
        <v>0.67</v>
      </c>
    </row>
    <row r="5309">
      <c r="A5309" s="9">
        <v>43840</v>
      </c>
      <c r="B5309" s="2" t="inlineStr">
        <is>
          <t xml:space="preserve">2020-01</t>
        </is>
      </c>
      <c r="C5309" s="2" t="inlineStr">
        <is>
          <t xml:space="preserve">2019/20</t>
        </is>
      </c>
      <c r="D5309">
        <v>0.0</v>
      </c>
      <c r="E5309">
        <v>21.38</v>
      </c>
      <c r="F5309">
        <v>28.33</v>
      </c>
      <c r="G5309">
        <v>16.19</v>
      </c>
      <c r="H5309">
        <v>0.18</v>
      </c>
      <c r="I5309">
        <v>0.0</v>
      </c>
      <c r="J5309">
        <v>21.51</v>
      </c>
      <c r="K5309">
        <v>27.82</v>
      </c>
      <c r="L5309">
        <v>16.89</v>
      </c>
      <c r="M5309">
        <v>0.0</v>
      </c>
      <c r="N5309">
        <v>0.0</v>
      </c>
      <c r="O5309">
        <v>21.32</v>
      </c>
      <c r="P5309">
        <v>26.9</v>
      </c>
      <c r="Q5309">
        <v>17.39</v>
      </c>
      <c r="R5309">
        <v>0.1</v>
      </c>
    </row>
    <row r="5310">
      <c r="A5310" s="9">
        <v>43841</v>
      </c>
      <c r="B5310" s="2" t="inlineStr">
        <is>
          <t xml:space="preserve">2020-01</t>
        </is>
      </c>
      <c r="C5310" s="2" t="inlineStr">
        <is>
          <t xml:space="preserve">2019/20</t>
        </is>
      </c>
      <c r="D5310">
        <v>0.041</v>
      </c>
      <c r="E5310">
        <v>21.73</v>
      </c>
      <c r="F5310">
        <v>28.66</v>
      </c>
      <c r="G5310">
        <v>16.78</v>
      </c>
      <c r="H5310">
        <v>0.17</v>
      </c>
      <c r="I5310">
        <v>0.0</v>
      </c>
      <c r="J5310">
        <v>22.12</v>
      </c>
      <c r="K5310">
        <v>28.48</v>
      </c>
      <c r="L5310">
        <v>17.45</v>
      </c>
      <c r="M5310">
        <v>0.01</v>
      </c>
      <c r="N5310">
        <v>0.0</v>
      </c>
      <c r="O5310">
        <v>21.99</v>
      </c>
      <c r="P5310">
        <v>27.57</v>
      </c>
      <c r="Q5310">
        <v>18.46</v>
      </c>
      <c r="R5310">
        <v>0.01</v>
      </c>
    </row>
    <row r="5311">
      <c r="A5311" s="9">
        <v>43842</v>
      </c>
      <c r="B5311" s="2" t="inlineStr">
        <is>
          <t xml:space="preserve">2020-01</t>
        </is>
      </c>
      <c r="C5311" s="2" t="inlineStr">
        <is>
          <t xml:space="preserve">2019/20</t>
        </is>
      </c>
      <c r="D5311">
        <v>0.037</v>
      </c>
      <c r="E5311">
        <v>21.7</v>
      </c>
      <c r="F5311">
        <v>28.68</v>
      </c>
      <c r="G5311">
        <v>16.28</v>
      </c>
      <c r="H5311">
        <v>0.05</v>
      </c>
      <c r="I5311">
        <v>0.0</v>
      </c>
      <c r="J5311">
        <v>21.8</v>
      </c>
      <c r="K5311">
        <v>27.61</v>
      </c>
      <c r="L5311">
        <v>18.01</v>
      </c>
      <c r="M5311">
        <v>0.05</v>
      </c>
      <c r="N5311">
        <v>0.0</v>
      </c>
      <c r="O5311">
        <v>21.8</v>
      </c>
      <c r="P5311">
        <v>27.03</v>
      </c>
      <c r="Q5311">
        <v>18.01</v>
      </c>
      <c r="R5311">
        <v>0.01</v>
      </c>
    </row>
    <row r="5312">
      <c r="A5312" s="9">
        <v>43843</v>
      </c>
      <c r="B5312" s="2" t="inlineStr">
        <is>
          <t xml:space="preserve">2020-01</t>
        </is>
      </c>
      <c r="C5312" s="2" t="inlineStr">
        <is>
          <t xml:space="preserve">2019/20</t>
        </is>
      </c>
      <c r="D5312">
        <v>0.0</v>
      </c>
      <c r="E5312">
        <v>21.29</v>
      </c>
      <c r="F5312">
        <v>28.25</v>
      </c>
      <c r="G5312">
        <v>15.86</v>
      </c>
      <c r="H5312">
        <v>0.1</v>
      </c>
      <c r="I5312">
        <v>0.0</v>
      </c>
      <c r="J5312">
        <v>21.81</v>
      </c>
      <c r="K5312">
        <v>27.66</v>
      </c>
      <c r="L5312">
        <v>17.54</v>
      </c>
      <c r="M5312">
        <v>0.16</v>
      </c>
      <c r="N5312">
        <v>0.0</v>
      </c>
      <c r="O5312">
        <v>21.88</v>
      </c>
      <c r="P5312">
        <v>27.35</v>
      </c>
      <c r="Q5312">
        <v>17.64</v>
      </c>
      <c r="R5312">
        <v>0.11</v>
      </c>
    </row>
    <row r="5313">
      <c r="A5313" s="9">
        <v>43844</v>
      </c>
      <c r="B5313" s="2" t="inlineStr">
        <is>
          <t xml:space="preserve">2020-01</t>
        </is>
      </c>
      <c r="C5313" s="2" t="inlineStr">
        <is>
          <t xml:space="preserve">2019/20</t>
        </is>
      </c>
      <c r="D5313">
        <v>0.0</v>
      </c>
      <c r="E5313">
        <v>21.37</v>
      </c>
      <c r="F5313">
        <v>27.98</v>
      </c>
      <c r="G5313">
        <v>16.89</v>
      </c>
      <c r="H5313">
        <v>0.46</v>
      </c>
      <c r="I5313">
        <v>0.063</v>
      </c>
      <c r="J5313">
        <v>21.75</v>
      </c>
      <c r="K5313">
        <v>27.64</v>
      </c>
      <c r="L5313">
        <v>17.86</v>
      </c>
      <c r="M5313">
        <v>0.31</v>
      </c>
      <c r="N5313">
        <v>0.674</v>
      </c>
      <c r="O5313">
        <v>22.04</v>
      </c>
      <c r="P5313">
        <v>27.21</v>
      </c>
      <c r="Q5313">
        <v>18.72</v>
      </c>
      <c r="R5313">
        <v>0.99</v>
      </c>
    </row>
    <row r="5314">
      <c r="A5314" s="9">
        <v>43845</v>
      </c>
      <c r="B5314" s="2" t="inlineStr">
        <is>
          <t xml:space="preserve">2020-01</t>
        </is>
      </c>
      <c r="C5314" s="2" t="inlineStr">
        <is>
          <t xml:space="preserve">2019/20</t>
        </is>
      </c>
      <c r="D5314">
        <v>0.038</v>
      </c>
      <c r="E5314">
        <v>20.95</v>
      </c>
      <c r="F5314">
        <v>28.53</v>
      </c>
      <c r="G5314">
        <v>15.61</v>
      </c>
      <c r="H5314">
        <v>0.24</v>
      </c>
      <c r="I5314">
        <v>0.0</v>
      </c>
      <c r="J5314">
        <v>21.28</v>
      </c>
      <c r="K5314">
        <v>27.47</v>
      </c>
      <c r="L5314">
        <v>17.55</v>
      </c>
      <c r="M5314">
        <v>0.12</v>
      </c>
      <c r="N5314">
        <v>0.115</v>
      </c>
      <c r="O5314">
        <v>21.24</v>
      </c>
      <c r="P5314">
        <v>26.85</v>
      </c>
      <c r="Q5314">
        <v>18.06</v>
      </c>
      <c r="R5314">
        <v>0.75</v>
      </c>
    </row>
    <row r="5315">
      <c r="A5315" s="9">
        <v>43846</v>
      </c>
      <c r="B5315" s="2" t="inlineStr">
        <is>
          <t xml:space="preserve">2020-01</t>
        </is>
      </c>
      <c r="C5315" s="2" t="inlineStr">
        <is>
          <t xml:space="preserve">2019/20</t>
        </is>
      </c>
      <c r="D5315">
        <v>0.113</v>
      </c>
      <c r="E5315">
        <v>20.93</v>
      </c>
      <c r="F5315">
        <v>27.54</v>
      </c>
      <c r="G5315">
        <v>16.02</v>
      </c>
      <c r="H5315">
        <v>0.56</v>
      </c>
      <c r="I5315">
        <v>0.0</v>
      </c>
      <c r="J5315">
        <v>20.82</v>
      </c>
      <c r="K5315">
        <v>26.2</v>
      </c>
      <c r="L5315">
        <v>17.15</v>
      </c>
      <c r="M5315">
        <v>0.13</v>
      </c>
      <c r="N5315">
        <v>0.0</v>
      </c>
      <c r="O5315">
        <v>21.12</v>
      </c>
      <c r="P5315">
        <v>26.46</v>
      </c>
      <c r="Q5315">
        <v>17.39</v>
      </c>
      <c r="R5315">
        <v>0.24</v>
      </c>
    </row>
    <row r="5316">
      <c r="A5316" s="9">
        <v>43847</v>
      </c>
      <c r="B5316" s="2" t="inlineStr">
        <is>
          <t xml:space="preserve">2020-01</t>
        </is>
      </c>
      <c r="C5316" s="2" t="inlineStr">
        <is>
          <t xml:space="preserve">2019/20</t>
        </is>
      </c>
      <c r="D5316">
        <v>0.069</v>
      </c>
      <c r="E5316">
        <v>21.68</v>
      </c>
      <c r="F5316">
        <v>28.78</v>
      </c>
      <c r="G5316">
        <v>16.85</v>
      </c>
      <c r="H5316">
        <v>0.72</v>
      </c>
      <c r="I5316">
        <v>0.26</v>
      </c>
      <c r="J5316">
        <v>21.71</v>
      </c>
      <c r="K5316">
        <v>27.81</v>
      </c>
      <c r="L5316">
        <v>17.52</v>
      </c>
      <c r="M5316">
        <v>0.41</v>
      </c>
      <c r="N5316">
        <v>1.026</v>
      </c>
      <c r="O5316">
        <v>22.02</v>
      </c>
      <c r="P5316">
        <v>27.38</v>
      </c>
      <c r="Q5316">
        <v>18.41</v>
      </c>
      <c r="R5316">
        <v>0.63</v>
      </c>
    </row>
    <row r="5317">
      <c r="A5317" s="9">
        <v>43848</v>
      </c>
      <c r="B5317" s="2" t="inlineStr">
        <is>
          <t xml:space="preserve">2020-01</t>
        </is>
      </c>
      <c r="C5317" s="2" t="inlineStr">
        <is>
          <t xml:space="preserve">2019/20</t>
        </is>
      </c>
      <c r="D5317">
        <v>0.41</v>
      </c>
      <c r="E5317">
        <v>21.6</v>
      </c>
      <c r="F5317">
        <v>28.58</v>
      </c>
      <c r="G5317">
        <v>17.16</v>
      </c>
      <c r="H5317">
        <v>0.22</v>
      </c>
      <c r="I5317">
        <v>0.022</v>
      </c>
      <c r="J5317">
        <v>21.79</v>
      </c>
      <c r="K5317">
        <v>27.44</v>
      </c>
      <c r="L5317">
        <v>18.41</v>
      </c>
      <c r="M5317">
        <v>0.06</v>
      </c>
      <c r="N5317">
        <v>0.247</v>
      </c>
      <c r="O5317">
        <v>21.92</v>
      </c>
      <c r="P5317">
        <v>27.21</v>
      </c>
      <c r="Q5317">
        <v>18.4</v>
      </c>
      <c r="R5317">
        <v>0.1</v>
      </c>
    </row>
    <row r="5318">
      <c r="A5318" s="9">
        <v>43849</v>
      </c>
      <c r="B5318" s="2" t="inlineStr">
        <is>
          <t xml:space="preserve">2020-01</t>
        </is>
      </c>
      <c r="C5318" s="2" t="inlineStr">
        <is>
          <t xml:space="preserve">2019/20</t>
        </is>
      </c>
      <c r="D5318">
        <v>0.0</v>
      </c>
      <c r="E5318">
        <v>21.23</v>
      </c>
      <c r="F5318">
        <v>29.01</v>
      </c>
      <c r="G5318">
        <v>15.57</v>
      </c>
      <c r="H5318">
        <v>0.37</v>
      </c>
      <c r="I5318">
        <v>0.0</v>
      </c>
      <c r="J5318">
        <v>21.17</v>
      </c>
      <c r="K5318">
        <v>26.56</v>
      </c>
      <c r="L5318">
        <v>17.78</v>
      </c>
      <c r="M5318">
        <v>0.97</v>
      </c>
      <c r="N5318">
        <v>0.0</v>
      </c>
      <c r="O5318">
        <v>21.36</v>
      </c>
      <c r="P5318">
        <v>26.82</v>
      </c>
      <c r="Q5318">
        <v>17.98</v>
      </c>
      <c r="R5318">
        <v>1.0</v>
      </c>
    </row>
    <row r="5319">
      <c r="A5319" s="9">
        <v>43850</v>
      </c>
      <c r="B5319" s="2" t="inlineStr">
        <is>
          <t xml:space="preserve">2020-01</t>
        </is>
      </c>
      <c r="C5319" s="2" t="inlineStr">
        <is>
          <t xml:space="preserve">2019/20</t>
        </is>
      </c>
      <c r="D5319">
        <v>0.027</v>
      </c>
      <c r="E5319">
        <v>20.5</v>
      </c>
      <c r="F5319">
        <v>27.15</v>
      </c>
      <c r="G5319">
        <v>16.79</v>
      </c>
      <c r="H5319">
        <v>2.56</v>
      </c>
      <c r="I5319">
        <v>3.948</v>
      </c>
      <c r="J5319">
        <v>19.68</v>
      </c>
      <c r="K5319">
        <v>24.41</v>
      </c>
      <c r="L5319">
        <v>16.75</v>
      </c>
      <c r="M5319">
        <v>7.28</v>
      </c>
      <c r="N5319">
        <v>15.435</v>
      </c>
      <c r="O5319">
        <v>19.58</v>
      </c>
      <c r="P5319">
        <v>24.42</v>
      </c>
      <c r="Q5319">
        <v>16.93</v>
      </c>
      <c r="R5319">
        <v>8.26</v>
      </c>
    </row>
    <row r="5320">
      <c r="A5320" s="9">
        <v>43851</v>
      </c>
      <c r="B5320" s="2" t="inlineStr">
        <is>
          <t xml:space="preserve">2020-01</t>
        </is>
      </c>
      <c r="C5320" s="2" t="inlineStr">
        <is>
          <t xml:space="preserve">2019/20</t>
        </is>
      </c>
      <c r="D5320">
        <v>0.323</v>
      </c>
      <c r="E5320">
        <v>18.32</v>
      </c>
      <c r="F5320">
        <v>24.64</v>
      </c>
      <c r="G5320">
        <v>14.95</v>
      </c>
      <c r="H5320">
        <v>3.45</v>
      </c>
      <c r="I5320">
        <v>2.135</v>
      </c>
      <c r="J5320">
        <v>18.59</v>
      </c>
      <c r="K5320">
        <v>22.46</v>
      </c>
      <c r="L5320">
        <v>15.27</v>
      </c>
      <c r="M5320">
        <v>3.21</v>
      </c>
      <c r="N5320">
        <v>8.29</v>
      </c>
      <c r="O5320">
        <v>17.95</v>
      </c>
      <c r="P5320">
        <v>20.97</v>
      </c>
      <c r="Q5320">
        <v>15.52</v>
      </c>
      <c r="R5320">
        <v>7.33</v>
      </c>
    </row>
    <row r="5321">
      <c r="A5321" s="9">
        <v>43852</v>
      </c>
      <c r="B5321" s="2" t="inlineStr">
        <is>
          <t xml:space="preserve">2020-01</t>
        </is>
      </c>
      <c r="C5321" s="2" t="inlineStr">
        <is>
          <t xml:space="preserve">2019/20</t>
        </is>
      </c>
      <c r="D5321">
        <v>0.0</v>
      </c>
      <c r="E5321">
        <v>18.49</v>
      </c>
      <c r="F5321">
        <v>25.49</v>
      </c>
      <c r="G5321">
        <v>14.08</v>
      </c>
      <c r="H5321">
        <v>0.01</v>
      </c>
      <c r="I5321">
        <v>0.0</v>
      </c>
      <c r="J5321">
        <v>17.37</v>
      </c>
      <c r="K5321">
        <v>23.57</v>
      </c>
      <c r="L5321">
        <v>13.5</v>
      </c>
      <c r="M5321">
        <v>0.04</v>
      </c>
      <c r="N5321">
        <v>0.167</v>
      </c>
      <c r="O5321">
        <v>17.51</v>
      </c>
      <c r="P5321">
        <v>23.17</v>
      </c>
      <c r="Q5321">
        <v>13.94</v>
      </c>
      <c r="R5321">
        <v>0.04</v>
      </c>
    </row>
    <row r="5322">
      <c r="A5322" s="9">
        <v>43853</v>
      </c>
      <c r="B5322" s="2" t="inlineStr">
        <is>
          <t xml:space="preserve">2020-01</t>
        </is>
      </c>
      <c r="C5322" s="2" t="inlineStr">
        <is>
          <t xml:space="preserve">2019/20</t>
        </is>
      </c>
      <c r="D5322">
        <v>0.0</v>
      </c>
      <c r="E5322">
        <v>21.5</v>
      </c>
      <c r="F5322">
        <v>30.42</v>
      </c>
      <c r="G5322">
        <v>13.76</v>
      </c>
      <c r="H5322">
        <v>0.0</v>
      </c>
      <c r="I5322">
        <v>0.0</v>
      </c>
      <c r="J5322">
        <v>20.17</v>
      </c>
      <c r="K5322">
        <v>28.26</v>
      </c>
      <c r="L5322">
        <v>13.3</v>
      </c>
      <c r="M5322">
        <v>0.0</v>
      </c>
      <c r="N5322">
        <v>0.0</v>
      </c>
      <c r="O5322">
        <v>20.45</v>
      </c>
      <c r="P5322">
        <v>28.43</v>
      </c>
      <c r="Q5322">
        <v>13.99</v>
      </c>
      <c r="R5322">
        <v>0.01</v>
      </c>
    </row>
    <row r="5323">
      <c r="A5323" s="9">
        <v>43854</v>
      </c>
      <c r="B5323" s="2" t="inlineStr">
        <is>
          <t xml:space="preserve">2020-01</t>
        </is>
      </c>
      <c r="C5323" s="2" t="inlineStr">
        <is>
          <t xml:space="preserve">2019/20</t>
        </is>
      </c>
      <c r="D5323">
        <v>0.0</v>
      </c>
      <c r="E5323">
        <v>21.7</v>
      </c>
      <c r="F5323">
        <v>29.7</v>
      </c>
      <c r="G5323">
        <v>16.18</v>
      </c>
      <c r="H5323">
        <v>0.0</v>
      </c>
      <c r="I5323">
        <v>0.0</v>
      </c>
      <c r="J5323">
        <v>20.59</v>
      </c>
      <c r="K5323">
        <v>27.82</v>
      </c>
      <c r="L5323">
        <v>14.72</v>
      </c>
      <c r="M5323">
        <v>0.0</v>
      </c>
      <c r="N5323">
        <v>0.0</v>
      </c>
      <c r="O5323">
        <v>20.77</v>
      </c>
      <c r="P5323">
        <v>27.07</v>
      </c>
      <c r="Q5323">
        <v>16.49</v>
      </c>
      <c r="R5323">
        <v>0.0</v>
      </c>
    </row>
    <row r="5324">
      <c r="A5324" s="9">
        <v>43855</v>
      </c>
      <c r="B5324" s="2" t="inlineStr">
        <is>
          <t xml:space="preserve">2020-01</t>
        </is>
      </c>
      <c r="C5324" s="2" t="inlineStr">
        <is>
          <t xml:space="preserve">2019/20</t>
        </is>
      </c>
      <c r="D5324">
        <v>0.0</v>
      </c>
      <c r="E5324">
        <v>20.28</v>
      </c>
      <c r="F5324">
        <v>28.34</v>
      </c>
      <c r="G5324">
        <v>14.85</v>
      </c>
      <c r="H5324">
        <v>0.0</v>
      </c>
      <c r="I5324">
        <v>0.0</v>
      </c>
      <c r="J5324">
        <v>20.03</v>
      </c>
      <c r="K5324">
        <v>26.9</v>
      </c>
      <c r="L5324">
        <v>14.77</v>
      </c>
      <c r="M5324">
        <v>0.0</v>
      </c>
      <c r="N5324">
        <v>0.0</v>
      </c>
      <c r="O5324">
        <v>19.83</v>
      </c>
      <c r="P5324">
        <v>25.9</v>
      </c>
      <c r="Q5324">
        <v>15.42</v>
      </c>
      <c r="R5324">
        <v>0.01</v>
      </c>
    </row>
    <row r="5325">
      <c r="A5325" s="9">
        <v>43856</v>
      </c>
      <c r="B5325" s="2" t="inlineStr">
        <is>
          <t xml:space="preserve">2020-01</t>
        </is>
      </c>
      <c r="C5325" s="2" t="inlineStr">
        <is>
          <t xml:space="preserve">2019/20</t>
        </is>
      </c>
      <c r="D5325">
        <v>0.0</v>
      </c>
      <c r="E5325">
        <v>21.28</v>
      </c>
      <c r="F5325">
        <v>30.39</v>
      </c>
      <c r="G5325">
        <v>14.05</v>
      </c>
      <c r="H5325">
        <v>0.0</v>
      </c>
      <c r="I5325">
        <v>0.0</v>
      </c>
      <c r="J5325">
        <v>21.22</v>
      </c>
      <c r="K5325">
        <v>29.07</v>
      </c>
      <c r="L5325">
        <v>14.66</v>
      </c>
      <c r="M5325">
        <v>0.0</v>
      </c>
      <c r="N5325">
        <v>0.0</v>
      </c>
      <c r="O5325">
        <v>20.98</v>
      </c>
      <c r="P5325">
        <v>28.47</v>
      </c>
      <c r="Q5325">
        <v>15.22</v>
      </c>
      <c r="R5325">
        <v>0.0</v>
      </c>
    </row>
    <row r="5326">
      <c r="A5326" s="9">
        <v>43857</v>
      </c>
      <c r="B5326" s="2" t="inlineStr">
        <is>
          <t xml:space="preserve">2020-01</t>
        </is>
      </c>
      <c r="C5326" s="2" t="inlineStr">
        <is>
          <t xml:space="preserve">2019/20</t>
        </is>
      </c>
      <c r="D5326">
        <v>0.0</v>
      </c>
      <c r="E5326">
        <v>22.95</v>
      </c>
      <c r="F5326">
        <v>30.82</v>
      </c>
      <c r="G5326">
        <v>16.52</v>
      </c>
      <c r="H5326">
        <v>0.0</v>
      </c>
      <c r="I5326">
        <v>0.0</v>
      </c>
      <c r="J5326">
        <v>22.36</v>
      </c>
      <c r="K5326">
        <v>28.52</v>
      </c>
      <c r="L5326">
        <v>17.8</v>
      </c>
      <c r="M5326">
        <v>0.0</v>
      </c>
      <c r="N5326">
        <v>0.0</v>
      </c>
      <c r="O5326">
        <v>22.13</v>
      </c>
      <c r="P5326">
        <v>28.81</v>
      </c>
      <c r="Q5326">
        <v>16.45</v>
      </c>
      <c r="R5326">
        <v>0.0</v>
      </c>
    </row>
    <row r="5327">
      <c r="A5327" s="9">
        <v>43858</v>
      </c>
      <c r="B5327" s="2" t="inlineStr">
        <is>
          <t xml:space="preserve">2020-01</t>
        </is>
      </c>
      <c r="C5327" s="2" t="inlineStr">
        <is>
          <t xml:space="preserve">2019/20</t>
        </is>
      </c>
      <c r="D5327">
        <v>0.0</v>
      </c>
      <c r="E5327">
        <v>24.23</v>
      </c>
      <c r="F5327">
        <v>32.41</v>
      </c>
      <c r="G5327">
        <v>17.24</v>
      </c>
      <c r="H5327">
        <v>0.0</v>
      </c>
      <c r="I5327">
        <v>0.0</v>
      </c>
      <c r="J5327">
        <v>22.5</v>
      </c>
      <c r="K5327">
        <v>29.74</v>
      </c>
      <c r="L5327">
        <v>16.81</v>
      </c>
      <c r="M5327">
        <v>0.0</v>
      </c>
      <c r="N5327">
        <v>0.0</v>
      </c>
      <c r="O5327">
        <v>23.6</v>
      </c>
      <c r="P5327">
        <v>31.49</v>
      </c>
      <c r="Q5327">
        <v>16.39</v>
      </c>
      <c r="R5327">
        <v>0.0</v>
      </c>
    </row>
    <row r="5328">
      <c r="A5328" s="9">
        <v>43859</v>
      </c>
      <c r="B5328" s="2" t="inlineStr">
        <is>
          <t xml:space="preserve">2020-01</t>
        </is>
      </c>
      <c r="C5328" s="2" t="inlineStr">
        <is>
          <t xml:space="preserve">2019/20</t>
        </is>
      </c>
      <c r="D5328">
        <v>0.0</v>
      </c>
      <c r="E5328">
        <v>24.33</v>
      </c>
      <c r="F5328">
        <v>32.5</v>
      </c>
      <c r="G5328">
        <v>17.64</v>
      </c>
      <c r="H5328">
        <v>0.0</v>
      </c>
      <c r="I5328">
        <v>0.0</v>
      </c>
      <c r="J5328">
        <v>22.6</v>
      </c>
      <c r="K5328">
        <v>30.23</v>
      </c>
      <c r="L5328">
        <v>16.72</v>
      </c>
      <c r="M5328">
        <v>0.0</v>
      </c>
      <c r="N5328">
        <v>0.0</v>
      </c>
      <c r="O5328">
        <v>23.43</v>
      </c>
      <c r="P5328">
        <v>31.32</v>
      </c>
      <c r="Q5328">
        <v>16.97</v>
      </c>
      <c r="R5328">
        <v>0.0</v>
      </c>
    </row>
    <row r="5329">
      <c r="A5329" s="9">
        <v>43860</v>
      </c>
      <c r="B5329" s="2" t="inlineStr">
        <is>
          <t xml:space="preserve">2020-01</t>
        </is>
      </c>
      <c r="C5329" s="2" t="inlineStr">
        <is>
          <t xml:space="preserve">2019/20</t>
        </is>
      </c>
      <c r="D5329">
        <v>0.0</v>
      </c>
      <c r="E5329">
        <v>23.98</v>
      </c>
      <c r="F5329">
        <v>31.0</v>
      </c>
      <c r="G5329">
        <v>18.34</v>
      </c>
      <c r="H5329">
        <v>0.0</v>
      </c>
      <c r="I5329">
        <v>0.0</v>
      </c>
      <c r="J5329">
        <v>22.79</v>
      </c>
      <c r="K5329">
        <v>29.32</v>
      </c>
      <c r="L5329">
        <v>16.85</v>
      </c>
      <c r="M5329">
        <v>0.0</v>
      </c>
      <c r="N5329">
        <v>0.0</v>
      </c>
      <c r="O5329">
        <v>23.42</v>
      </c>
      <c r="P5329">
        <v>29.46</v>
      </c>
      <c r="Q5329">
        <v>18.83</v>
      </c>
      <c r="R5329">
        <v>0.0</v>
      </c>
    </row>
    <row r="5330">
      <c r="A5330" s="9">
        <v>43861</v>
      </c>
      <c r="B5330" s="2" t="inlineStr">
        <is>
          <t xml:space="preserve">2020-01</t>
        </is>
      </c>
      <c r="C5330" s="2" t="inlineStr">
        <is>
          <t xml:space="preserve">2019/20</t>
        </is>
      </c>
      <c r="D5330">
        <v>0.0</v>
      </c>
      <c r="E5330">
        <v>24.18</v>
      </c>
      <c r="F5330">
        <v>32.92</v>
      </c>
      <c r="G5330">
        <v>17.63</v>
      </c>
      <c r="H5330">
        <v>0.0</v>
      </c>
      <c r="I5330">
        <v>0.0</v>
      </c>
      <c r="J5330">
        <v>24.36</v>
      </c>
      <c r="K5330">
        <v>31.44</v>
      </c>
      <c r="L5330">
        <v>19.09</v>
      </c>
      <c r="M5330">
        <v>0.0</v>
      </c>
      <c r="N5330">
        <v>0.0</v>
      </c>
      <c r="O5330">
        <v>24.96</v>
      </c>
      <c r="P5330">
        <v>32.87</v>
      </c>
      <c r="Q5330">
        <v>19.13</v>
      </c>
      <c r="R5330">
        <v>0.0</v>
      </c>
    </row>
    <row r="5331">
      <c r="A5331" s="9">
        <v>43862</v>
      </c>
      <c r="B5331" s="2" t="inlineStr">
        <is>
          <t xml:space="preserve">2020-02</t>
        </is>
      </c>
      <c r="C5331" s="2" t="inlineStr">
        <is>
          <t xml:space="preserve">2019/20</t>
        </is>
      </c>
      <c r="D5331">
        <v>0.0</v>
      </c>
      <c r="E5331">
        <v>23.19</v>
      </c>
      <c r="F5331">
        <v>30.98</v>
      </c>
      <c r="G5331">
        <v>18.14</v>
      </c>
      <c r="H5331">
        <v>0.31</v>
      </c>
      <c r="I5331">
        <v>0.0</v>
      </c>
      <c r="J5331">
        <v>23.14</v>
      </c>
      <c r="K5331">
        <v>29.05</v>
      </c>
      <c r="L5331">
        <v>18.9</v>
      </c>
      <c r="M5331">
        <v>0.52</v>
      </c>
      <c r="N5331">
        <v>0.0</v>
      </c>
      <c r="O5331">
        <v>22.66</v>
      </c>
      <c r="P5331">
        <v>28.15</v>
      </c>
      <c r="Q5331">
        <v>18.44</v>
      </c>
      <c r="R5331">
        <v>0.64</v>
      </c>
    </row>
    <row r="5332">
      <c r="A5332" s="9">
        <v>43863</v>
      </c>
      <c r="B5332" s="2" t="inlineStr">
        <is>
          <t xml:space="preserve">2020-02</t>
        </is>
      </c>
      <c r="C5332" s="2" t="inlineStr">
        <is>
          <t xml:space="preserve">2019/20</t>
        </is>
      </c>
      <c r="D5332">
        <v>0.19</v>
      </c>
      <c r="E5332">
        <v>20.77</v>
      </c>
      <c r="F5332">
        <v>27.5</v>
      </c>
      <c r="G5332">
        <v>17.2</v>
      </c>
      <c r="H5332">
        <v>4.47</v>
      </c>
      <c r="I5332">
        <v>2.202</v>
      </c>
      <c r="J5332">
        <v>19.82</v>
      </c>
      <c r="K5332">
        <v>24.24</v>
      </c>
      <c r="L5332">
        <v>16.27</v>
      </c>
      <c r="M5332">
        <v>3.87</v>
      </c>
      <c r="N5332">
        <v>8.812</v>
      </c>
      <c r="O5332">
        <v>19.57</v>
      </c>
      <c r="P5332">
        <v>22.95</v>
      </c>
      <c r="Q5332">
        <v>16.38</v>
      </c>
      <c r="R5332">
        <v>7.56</v>
      </c>
    </row>
    <row r="5333">
      <c r="A5333" s="9">
        <v>43864</v>
      </c>
      <c r="B5333" s="2" t="inlineStr">
        <is>
          <t xml:space="preserve">2020-02</t>
        </is>
      </c>
      <c r="C5333" s="2" t="inlineStr">
        <is>
          <t xml:space="preserve">2019/20</t>
        </is>
      </c>
      <c r="D5333">
        <v>0.0</v>
      </c>
      <c r="E5333">
        <v>21.6</v>
      </c>
      <c r="F5333">
        <v>29.38</v>
      </c>
      <c r="G5333">
        <v>16.07</v>
      </c>
      <c r="H5333">
        <v>0.64</v>
      </c>
      <c r="I5333">
        <v>0.261</v>
      </c>
      <c r="J5333">
        <v>20.81</v>
      </c>
      <c r="K5333">
        <v>28.32</v>
      </c>
      <c r="L5333">
        <v>14.94</v>
      </c>
      <c r="M5333">
        <v>0.37</v>
      </c>
      <c r="N5333">
        <v>1.053</v>
      </c>
      <c r="O5333">
        <v>20.26</v>
      </c>
      <c r="P5333">
        <v>27.29</v>
      </c>
      <c r="Q5333">
        <v>15.82</v>
      </c>
      <c r="R5333">
        <v>1.16</v>
      </c>
    </row>
    <row r="5334">
      <c r="A5334" s="9">
        <v>43865</v>
      </c>
      <c r="B5334" s="2" t="inlineStr">
        <is>
          <t xml:space="preserve">2020-02</t>
        </is>
      </c>
      <c r="C5334" s="2" t="inlineStr">
        <is>
          <t xml:space="preserve">2019/20</t>
        </is>
      </c>
      <c r="D5334">
        <v>0.0</v>
      </c>
      <c r="E5334">
        <v>22.92</v>
      </c>
      <c r="F5334">
        <v>31.45</v>
      </c>
      <c r="G5334">
        <v>16.61</v>
      </c>
      <c r="H5334">
        <v>0.0</v>
      </c>
      <c r="I5334">
        <v>0.0</v>
      </c>
      <c r="J5334">
        <v>23.21</v>
      </c>
      <c r="K5334">
        <v>30.99</v>
      </c>
      <c r="L5334">
        <v>16.55</v>
      </c>
      <c r="M5334">
        <v>0.0</v>
      </c>
      <c r="N5334">
        <v>0.0</v>
      </c>
      <c r="O5334">
        <v>22.79</v>
      </c>
      <c r="P5334">
        <v>30.49</v>
      </c>
      <c r="Q5334">
        <v>17.84</v>
      </c>
      <c r="R5334">
        <v>0.01</v>
      </c>
    </row>
    <row r="5335">
      <c r="A5335" s="9">
        <v>43866</v>
      </c>
      <c r="B5335" s="2" t="inlineStr">
        <is>
          <t xml:space="preserve">2020-02</t>
        </is>
      </c>
      <c r="C5335" s="2" t="inlineStr">
        <is>
          <t xml:space="preserve">2019/20</t>
        </is>
      </c>
      <c r="D5335">
        <v>0.0</v>
      </c>
      <c r="E5335">
        <v>23.79</v>
      </c>
      <c r="F5335">
        <v>33.58</v>
      </c>
      <c r="G5335">
        <v>16.11</v>
      </c>
      <c r="H5335">
        <v>0.0</v>
      </c>
      <c r="I5335">
        <v>0.0</v>
      </c>
      <c r="J5335">
        <v>23.78</v>
      </c>
      <c r="K5335">
        <v>31.75</v>
      </c>
      <c r="L5335">
        <v>18.06</v>
      </c>
      <c r="M5335">
        <v>0.0</v>
      </c>
      <c r="N5335">
        <v>0.0</v>
      </c>
      <c r="O5335">
        <v>24.51</v>
      </c>
      <c r="P5335">
        <v>33.46</v>
      </c>
      <c r="Q5335">
        <v>16.74</v>
      </c>
      <c r="R5335">
        <v>0.0</v>
      </c>
    </row>
    <row r="5336">
      <c r="A5336" s="9">
        <v>43867</v>
      </c>
      <c r="B5336" s="2" t="inlineStr">
        <is>
          <t xml:space="preserve">2020-02</t>
        </is>
      </c>
      <c r="C5336" s="2" t="inlineStr">
        <is>
          <t xml:space="preserve">2019/20</t>
        </is>
      </c>
      <c r="D5336">
        <v>0.0</v>
      </c>
      <c r="E5336">
        <v>23.7</v>
      </c>
      <c r="F5336">
        <v>33.55</v>
      </c>
      <c r="G5336">
        <v>16.35</v>
      </c>
      <c r="H5336">
        <v>0.0</v>
      </c>
      <c r="I5336">
        <v>0.0</v>
      </c>
      <c r="J5336">
        <v>23.07</v>
      </c>
      <c r="K5336">
        <v>31.98</v>
      </c>
      <c r="L5336">
        <v>17.17</v>
      </c>
      <c r="M5336">
        <v>0.0</v>
      </c>
      <c r="N5336">
        <v>0.0</v>
      </c>
      <c r="O5336">
        <v>24.54</v>
      </c>
      <c r="P5336">
        <v>33.58</v>
      </c>
      <c r="Q5336">
        <v>17.83</v>
      </c>
      <c r="R5336">
        <v>0.0</v>
      </c>
    </row>
    <row r="5337">
      <c r="A5337" s="9">
        <v>43868</v>
      </c>
      <c r="B5337" s="2" t="inlineStr">
        <is>
          <t xml:space="preserve">2020-02</t>
        </is>
      </c>
      <c r="C5337" s="2" t="inlineStr">
        <is>
          <t xml:space="preserve">2019/20</t>
        </is>
      </c>
      <c r="D5337">
        <v>0.0</v>
      </c>
      <c r="E5337">
        <v>23.88</v>
      </c>
      <c r="F5337">
        <v>32.66</v>
      </c>
      <c r="G5337">
        <v>16.62</v>
      </c>
      <c r="H5337">
        <v>0.01</v>
      </c>
      <c r="I5337">
        <v>0.0</v>
      </c>
      <c r="J5337">
        <v>23.07</v>
      </c>
      <c r="K5337">
        <v>30.65</v>
      </c>
      <c r="L5337">
        <v>16.06</v>
      </c>
      <c r="M5337">
        <v>0.0</v>
      </c>
      <c r="N5337">
        <v>0.0</v>
      </c>
      <c r="O5337">
        <v>22.79</v>
      </c>
      <c r="P5337">
        <v>29.76</v>
      </c>
      <c r="Q5337">
        <v>17.55</v>
      </c>
      <c r="R5337">
        <v>0.04</v>
      </c>
    </row>
    <row r="5338">
      <c r="A5338" s="9">
        <v>43869</v>
      </c>
      <c r="B5338" s="2" t="inlineStr">
        <is>
          <t xml:space="preserve">2020-02</t>
        </is>
      </c>
      <c r="C5338" s="2" t="inlineStr">
        <is>
          <t xml:space="preserve">2019/20</t>
        </is>
      </c>
      <c r="D5338">
        <v>0.0</v>
      </c>
      <c r="E5338">
        <v>23.76</v>
      </c>
      <c r="F5338">
        <v>32.03</v>
      </c>
      <c r="G5338">
        <v>18.25</v>
      </c>
      <c r="H5338">
        <v>0.0</v>
      </c>
      <c r="I5338">
        <v>0.0</v>
      </c>
      <c r="J5338">
        <v>24.09</v>
      </c>
      <c r="K5338">
        <v>31.17</v>
      </c>
      <c r="L5338">
        <v>19.06</v>
      </c>
      <c r="M5338">
        <v>0.01</v>
      </c>
      <c r="N5338">
        <v>0.0</v>
      </c>
      <c r="O5338">
        <v>23.33</v>
      </c>
      <c r="P5338">
        <v>30.19</v>
      </c>
      <c r="Q5338">
        <v>18.97</v>
      </c>
      <c r="R5338">
        <v>0.0</v>
      </c>
    </row>
    <row r="5339">
      <c r="A5339" s="9">
        <v>43870</v>
      </c>
      <c r="B5339" s="2" t="inlineStr">
        <is>
          <t xml:space="preserve">2020-02</t>
        </is>
      </c>
      <c r="C5339" s="2" t="inlineStr">
        <is>
          <t xml:space="preserve">2019/20</t>
        </is>
      </c>
      <c r="D5339">
        <v>0.0</v>
      </c>
      <c r="E5339">
        <v>22.13</v>
      </c>
      <c r="F5339">
        <v>29.77</v>
      </c>
      <c r="G5339">
        <v>16.56</v>
      </c>
      <c r="H5339">
        <v>0.11</v>
      </c>
      <c r="I5339">
        <v>0.0</v>
      </c>
      <c r="J5339">
        <v>22.39</v>
      </c>
      <c r="K5339">
        <v>29.36</v>
      </c>
      <c r="L5339">
        <v>17.94</v>
      </c>
      <c r="M5339">
        <v>0.02</v>
      </c>
      <c r="N5339">
        <v>0.0</v>
      </c>
      <c r="O5339">
        <v>22.32</v>
      </c>
      <c r="P5339">
        <v>28.8</v>
      </c>
      <c r="Q5339">
        <v>18.44</v>
      </c>
      <c r="R5339">
        <v>0.0</v>
      </c>
    </row>
    <row r="5340">
      <c r="A5340" s="9">
        <v>43871</v>
      </c>
      <c r="B5340" s="2" t="inlineStr">
        <is>
          <t xml:space="preserve">2020-02</t>
        </is>
      </c>
      <c r="C5340" s="2" t="inlineStr">
        <is>
          <t xml:space="preserve">2019/20</t>
        </is>
      </c>
      <c r="D5340">
        <v>0.0</v>
      </c>
      <c r="E5340">
        <v>21.87</v>
      </c>
      <c r="F5340">
        <v>30.13</v>
      </c>
      <c r="G5340">
        <v>15.85</v>
      </c>
      <c r="H5340">
        <v>0.06</v>
      </c>
      <c r="I5340">
        <v>0.0</v>
      </c>
      <c r="J5340">
        <v>23.14</v>
      </c>
      <c r="K5340">
        <v>31.56</v>
      </c>
      <c r="L5340">
        <v>16.74</v>
      </c>
      <c r="M5340">
        <v>0.0</v>
      </c>
      <c r="N5340">
        <v>0.0</v>
      </c>
      <c r="O5340">
        <v>23.0</v>
      </c>
      <c r="P5340">
        <v>31.07</v>
      </c>
      <c r="Q5340">
        <v>17.73</v>
      </c>
      <c r="R5340">
        <v>0.0</v>
      </c>
    </row>
    <row r="5341">
      <c r="A5341" s="9">
        <v>43872</v>
      </c>
      <c r="B5341" s="2" t="inlineStr">
        <is>
          <t xml:space="preserve">2020-02</t>
        </is>
      </c>
      <c r="C5341" s="2" t="inlineStr">
        <is>
          <t xml:space="preserve">2019/20</t>
        </is>
      </c>
      <c r="D5341">
        <v>0.0</v>
      </c>
      <c r="E5341">
        <v>22.72</v>
      </c>
      <c r="F5341">
        <v>31.46</v>
      </c>
      <c r="G5341">
        <v>15.6</v>
      </c>
      <c r="H5341">
        <v>0.02</v>
      </c>
      <c r="I5341">
        <v>0.0</v>
      </c>
      <c r="J5341">
        <v>23.62</v>
      </c>
      <c r="K5341">
        <v>30.92</v>
      </c>
      <c r="L5341">
        <v>17.49</v>
      </c>
      <c r="M5341">
        <v>0.0</v>
      </c>
      <c r="N5341">
        <v>0.0</v>
      </c>
      <c r="O5341">
        <v>23.29</v>
      </c>
      <c r="P5341">
        <v>30.47</v>
      </c>
      <c r="Q5341">
        <v>18.39</v>
      </c>
      <c r="R5341">
        <v>0.0</v>
      </c>
    </row>
    <row r="5342">
      <c r="A5342" s="9">
        <v>43873</v>
      </c>
      <c r="B5342" s="2" t="inlineStr">
        <is>
          <t xml:space="preserve">2020-02</t>
        </is>
      </c>
      <c r="C5342" s="2" t="inlineStr">
        <is>
          <t xml:space="preserve">2019/20</t>
        </is>
      </c>
      <c r="D5342">
        <v>0.0</v>
      </c>
      <c r="E5342">
        <v>22.73</v>
      </c>
      <c r="F5342">
        <v>31.71</v>
      </c>
      <c r="G5342">
        <v>14.52</v>
      </c>
      <c r="H5342">
        <v>0.03</v>
      </c>
      <c r="I5342">
        <v>0.0</v>
      </c>
      <c r="J5342">
        <v>24.14</v>
      </c>
      <c r="K5342">
        <v>32.08</v>
      </c>
      <c r="L5342">
        <v>18.77</v>
      </c>
      <c r="M5342">
        <v>0.0</v>
      </c>
      <c r="N5342">
        <v>0.0</v>
      </c>
      <c r="O5342">
        <v>23.99</v>
      </c>
      <c r="P5342">
        <v>32.26</v>
      </c>
      <c r="Q5342">
        <v>18.28</v>
      </c>
      <c r="R5342">
        <v>0.0</v>
      </c>
    </row>
    <row r="5343">
      <c r="A5343" s="9">
        <v>43874</v>
      </c>
      <c r="B5343" s="2" t="inlineStr">
        <is>
          <t xml:space="preserve">2020-02</t>
        </is>
      </c>
      <c r="C5343" s="2" t="inlineStr">
        <is>
          <t xml:space="preserve">2019/20</t>
        </is>
      </c>
      <c r="D5343">
        <v>0.0</v>
      </c>
      <c r="E5343">
        <v>22.89</v>
      </c>
      <c r="F5343">
        <v>32.79</v>
      </c>
      <c r="G5343">
        <v>14.79</v>
      </c>
      <c r="H5343">
        <v>0.0</v>
      </c>
      <c r="I5343">
        <v>0.0</v>
      </c>
      <c r="J5343">
        <v>24.34</v>
      </c>
      <c r="K5343">
        <v>32.77</v>
      </c>
      <c r="L5343">
        <v>18.34</v>
      </c>
      <c r="M5343">
        <v>0.0</v>
      </c>
      <c r="N5343">
        <v>0.0</v>
      </c>
      <c r="O5343">
        <v>24.05</v>
      </c>
      <c r="P5343">
        <v>32.52</v>
      </c>
      <c r="Q5343">
        <v>17.57</v>
      </c>
      <c r="R5343">
        <v>0.0</v>
      </c>
    </row>
    <row r="5344">
      <c r="A5344" s="9">
        <v>43875</v>
      </c>
      <c r="B5344" s="2" t="inlineStr">
        <is>
          <t xml:space="preserve">2020-02</t>
        </is>
      </c>
      <c r="C5344" s="2" t="inlineStr">
        <is>
          <t xml:space="preserve">2019/20</t>
        </is>
      </c>
      <c r="D5344">
        <v>0.0</v>
      </c>
      <c r="E5344">
        <v>22.58</v>
      </c>
      <c r="F5344">
        <v>30.92</v>
      </c>
      <c r="G5344">
        <v>15.57</v>
      </c>
      <c r="H5344">
        <v>0.3</v>
      </c>
      <c r="I5344">
        <v>0.0</v>
      </c>
      <c r="J5344">
        <v>22.2</v>
      </c>
      <c r="K5344">
        <v>29.26</v>
      </c>
      <c r="L5344">
        <v>17.07</v>
      </c>
      <c r="M5344">
        <v>0.07</v>
      </c>
      <c r="N5344">
        <v>0.0</v>
      </c>
      <c r="O5344">
        <v>22.23</v>
      </c>
      <c r="P5344">
        <v>28.69</v>
      </c>
      <c r="Q5344">
        <v>17.95</v>
      </c>
      <c r="R5344">
        <v>0.71</v>
      </c>
    </row>
    <row r="5345">
      <c r="A5345" s="9">
        <v>43876</v>
      </c>
      <c r="B5345" s="2" t="inlineStr">
        <is>
          <t xml:space="preserve">2020-02</t>
        </is>
      </c>
      <c r="C5345" s="2" t="inlineStr">
        <is>
          <t xml:space="preserve">2019/20</t>
        </is>
      </c>
      <c r="D5345">
        <v>0.619</v>
      </c>
      <c r="E5345">
        <v>21.88</v>
      </c>
      <c r="F5345">
        <v>28.96</v>
      </c>
      <c r="G5345">
        <v>17.18</v>
      </c>
      <c r="H5345">
        <v>2.27</v>
      </c>
      <c r="I5345">
        <v>0.0</v>
      </c>
      <c r="J5345">
        <v>21.65</v>
      </c>
      <c r="K5345">
        <v>27.96</v>
      </c>
      <c r="L5345">
        <v>17.25</v>
      </c>
      <c r="M5345">
        <v>0.4</v>
      </c>
      <c r="N5345">
        <v>0.303</v>
      </c>
      <c r="O5345">
        <v>21.63</v>
      </c>
      <c r="P5345">
        <v>27.04</v>
      </c>
      <c r="Q5345">
        <v>18.55</v>
      </c>
      <c r="R5345">
        <v>2.99</v>
      </c>
    </row>
    <row r="5346">
      <c r="A5346" s="9">
        <v>43877</v>
      </c>
      <c r="B5346" s="2" t="inlineStr">
        <is>
          <t xml:space="preserve">2020-02</t>
        </is>
      </c>
      <c r="C5346" s="2" t="inlineStr">
        <is>
          <t xml:space="preserve">2019/20</t>
        </is>
      </c>
      <c r="D5346">
        <v>0.0</v>
      </c>
      <c r="E5346">
        <v>21.88</v>
      </c>
      <c r="F5346">
        <v>30.43</v>
      </c>
      <c r="G5346">
        <v>15.81</v>
      </c>
      <c r="H5346">
        <v>0.0</v>
      </c>
      <c r="I5346">
        <v>0.0</v>
      </c>
      <c r="J5346">
        <v>22.03</v>
      </c>
      <c r="K5346">
        <v>29.69</v>
      </c>
      <c r="L5346">
        <v>16.64</v>
      </c>
      <c r="M5346">
        <v>0.0</v>
      </c>
      <c r="N5346">
        <v>0.0</v>
      </c>
      <c r="O5346">
        <v>22.03</v>
      </c>
      <c r="P5346">
        <v>28.95</v>
      </c>
      <c r="Q5346">
        <v>17.18</v>
      </c>
      <c r="R5346">
        <v>0.0</v>
      </c>
    </row>
    <row r="5347">
      <c r="A5347" s="9">
        <v>43878</v>
      </c>
      <c r="B5347" s="2" t="inlineStr">
        <is>
          <t xml:space="preserve">2020-02</t>
        </is>
      </c>
      <c r="C5347" s="2" t="inlineStr">
        <is>
          <t xml:space="preserve">2019/20</t>
        </is>
      </c>
      <c r="D5347">
        <v>0.0</v>
      </c>
      <c r="E5347">
        <v>22.43</v>
      </c>
      <c r="F5347">
        <v>30.79</v>
      </c>
      <c r="G5347">
        <v>15.74</v>
      </c>
      <c r="H5347">
        <v>0.0</v>
      </c>
      <c r="I5347">
        <v>0.0</v>
      </c>
      <c r="J5347">
        <v>22.44</v>
      </c>
      <c r="K5347">
        <v>29.86</v>
      </c>
      <c r="L5347">
        <v>16.78</v>
      </c>
      <c r="M5347">
        <v>0.0</v>
      </c>
      <c r="N5347">
        <v>0.0</v>
      </c>
      <c r="O5347">
        <v>22.25</v>
      </c>
      <c r="P5347">
        <v>29.5</v>
      </c>
      <c r="Q5347">
        <v>17.04</v>
      </c>
      <c r="R5347">
        <v>0.0</v>
      </c>
    </row>
    <row r="5348">
      <c r="A5348" s="9">
        <v>43879</v>
      </c>
      <c r="B5348" s="2" t="inlineStr">
        <is>
          <t xml:space="preserve">2020-02</t>
        </is>
      </c>
      <c r="C5348" s="2" t="inlineStr">
        <is>
          <t xml:space="preserve">2019/20</t>
        </is>
      </c>
      <c r="D5348">
        <v>0.0</v>
      </c>
      <c r="E5348">
        <v>23.59</v>
      </c>
      <c r="F5348">
        <v>32.63</v>
      </c>
      <c r="G5348">
        <v>16.13</v>
      </c>
      <c r="H5348">
        <v>0.0</v>
      </c>
      <c r="I5348">
        <v>0.0</v>
      </c>
      <c r="J5348">
        <v>23.79</v>
      </c>
      <c r="K5348">
        <v>32.07</v>
      </c>
      <c r="L5348">
        <v>17.52</v>
      </c>
      <c r="M5348">
        <v>0.0</v>
      </c>
      <c r="N5348">
        <v>0.0</v>
      </c>
      <c r="O5348">
        <v>23.5</v>
      </c>
      <c r="P5348">
        <v>31.08</v>
      </c>
      <c r="Q5348">
        <v>18.1</v>
      </c>
      <c r="R5348">
        <v>0.0</v>
      </c>
    </row>
    <row r="5349">
      <c r="A5349" s="9">
        <v>43880</v>
      </c>
      <c r="B5349" s="2" t="inlineStr">
        <is>
          <t xml:space="preserve">2020-02</t>
        </is>
      </c>
      <c r="C5349" s="2" t="inlineStr">
        <is>
          <t xml:space="preserve">2019/20</t>
        </is>
      </c>
      <c r="D5349">
        <v>0.0</v>
      </c>
      <c r="E5349">
        <v>24.34</v>
      </c>
      <c r="F5349">
        <v>33.29</v>
      </c>
      <c r="G5349">
        <v>17.59</v>
      </c>
      <c r="H5349">
        <v>0.0</v>
      </c>
      <c r="I5349">
        <v>0.0</v>
      </c>
      <c r="J5349">
        <v>24.26</v>
      </c>
      <c r="K5349">
        <v>32.21</v>
      </c>
      <c r="L5349">
        <v>18.88</v>
      </c>
      <c r="M5349">
        <v>0.01</v>
      </c>
      <c r="N5349">
        <v>0.0</v>
      </c>
      <c r="O5349">
        <v>23.96</v>
      </c>
      <c r="P5349">
        <v>31.11</v>
      </c>
      <c r="Q5349">
        <v>19.46</v>
      </c>
      <c r="R5349">
        <v>0.0</v>
      </c>
    </row>
    <row r="5350">
      <c r="A5350" s="9">
        <v>43881</v>
      </c>
      <c r="B5350" s="2" t="inlineStr">
        <is>
          <t xml:space="preserve">2020-02</t>
        </is>
      </c>
      <c r="C5350" s="2" t="inlineStr">
        <is>
          <t xml:space="preserve">2019/20</t>
        </is>
      </c>
      <c r="D5350">
        <v>0.0</v>
      </c>
      <c r="E5350">
        <v>23.71</v>
      </c>
      <c r="F5350">
        <v>32.17</v>
      </c>
      <c r="G5350">
        <v>17.0</v>
      </c>
      <c r="H5350">
        <v>0.11</v>
      </c>
      <c r="I5350">
        <v>0.0</v>
      </c>
      <c r="J5350">
        <v>23.66</v>
      </c>
      <c r="K5350">
        <v>31.11</v>
      </c>
      <c r="L5350">
        <v>18.68</v>
      </c>
      <c r="M5350">
        <v>0.12</v>
      </c>
      <c r="N5350">
        <v>0.0</v>
      </c>
      <c r="O5350">
        <v>23.32</v>
      </c>
      <c r="P5350">
        <v>30.39</v>
      </c>
      <c r="Q5350">
        <v>18.68</v>
      </c>
      <c r="R5350">
        <v>0.41</v>
      </c>
    </row>
    <row r="5351">
      <c r="A5351" s="9">
        <v>43882</v>
      </c>
      <c r="B5351" s="2" t="inlineStr">
        <is>
          <t xml:space="preserve">2020-02</t>
        </is>
      </c>
      <c r="C5351" s="2" t="inlineStr">
        <is>
          <t xml:space="preserve">2019/20</t>
        </is>
      </c>
      <c r="D5351">
        <v>0.0</v>
      </c>
      <c r="E5351">
        <v>21.98</v>
      </c>
      <c r="F5351">
        <v>29.12</v>
      </c>
      <c r="G5351">
        <v>16.85</v>
      </c>
      <c r="H5351">
        <v>0.7</v>
      </c>
      <c r="I5351">
        <v>0.041</v>
      </c>
      <c r="J5351">
        <v>21.57</v>
      </c>
      <c r="K5351">
        <v>27.65</v>
      </c>
      <c r="L5351">
        <v>17.21</v>
      </c>
      <c r="M5351">
        <v>0.39</v>
      </c>
      <c r="N5351">
        <v>0.542</v>
      </c>
      <c r="O5351">
        <v>21.2</v>
      </c>
      <c r="P5351">
        <v>26.73</v>
      </c>
      <c r="Q5351">
        <v>17.35</v>
      </c>
      <c r="R5351">
        <v>1.74</v>
      </c>
    </row>
    <row r="5352">
      <c r="A5352" s="9">
        <v>43883</v>
      </c>
      <c r="B5352" s="2" t="inlineStr">
        <is>
          <t xml:space="preserve">2020-02</t>
        </is>
      </c>
      <c r="C5352" s="2" t="inlineStr">
        <is>
          <t xml:space="preserve">2019/20</t>
        </is>
      </c>
      <c r="D5352">
        <v>0.227</v>
      </c>
      <c r="E5352">
        <v>20.79</v>
      </c>
      <c r="F5352">
        <v>28.46</v>
      </c>
      <c r="G5352">
        <v>15.99</v>
      </c>
      <c r="H5352">
        <v>3.97</v>
      </c>
      <c r="I5352">
        <v>1.498</v>
      </c>
      <c r="J5352">
        <v>20.98</v>
      </c>
      <c r="K5352">
        <v>28.24</v>
      </c>
      <c r="L5352">
        <v>16.13</v>
      </c>
      <c r="M5352">
        <v>4.55</v>
      </c>
      <c r="N5352">
        <v>6.232</v>
      </c>
      <c r="O5352">
        <v>20.61</v>
      </c>
      <c r="P5352">
        <v>26.93</v>
      </c>
      <c r="Q5352">
        <v>16.9</v>
      </c>
      <c r="R5352">
        <v>9.22</v>
      </c>
    </row>
    <row r="5353">
      <c r="A5353" s="9">
        <v>43884</v>
      </c>
      <c r="B5353" s="2" t="inlineStr">
        <is>
          <t xml:space="preserve">2020-02</t>
        </is>
      </c>
      <c r="C5353" s="2" t="inlineStr">
        <is>
          <t xml:space="preserve">2019/20</t>
        </is>
      </c>
      <c r="D5353">
        <v>1.276</v>
      </c>
      <c r="E5353">
        <v>19.89</v>
      </c>
      <c r="F5353">
        <v>27.25</v>
      </c>
      <c r="G5353">
        <v>14.6</v>
      </c>
      <c r="H5353">
        <v>2.63</v>
      </c>
      <c r="I5353">
        <v>1.965</v>
      </c>
      <c r="J5353">
        <v>20.76</v>
      </c>
      <c r="K5353">
        <v>27.84</v>
      </c>
      <c r="L5353">
        <v>15.79</v>
      </c>
      <c r="M5353">
        <v>2.62</v>
      </c>
      <c r="N5353">
        <v>7.627</v>
      </c>
      <c r="O5353">
        <v>19.8</v>
      </c>
      <c r="P5353">
        <v>25.86</v>
      </c>
      <c r="Q5353">
        <v>15.07</v>
      </c>
      <c r="R5353">
        <v>4.55</v>
      </c>
    </row>
    <row r="5354">
      <c r="A5354" s="9">
        <v>43885</v>
      </c>
      <c r="B5354" s="2" t="inlineStr">
        <is>
          <t xml:space="preserve">2020-02</t>
        </is>
      </c>
      <c r="C5354" s="2" t="inlineStr">
        <is>
          <t xml:space="preserve">2019/20</t>
        </is>
      </c>
      <c r="D5354">
        <v>0.0</v>
      </c>
      <c r="E5354">
        <v>22.26</v>
      </c>
      <c r="F5354">
        <v>33.01</v>
      </c>
      <c r="G5354">
        <v>13.21</v>
      </c>
      <c r="H5354">
        <v>0.0</v>
      </c>
      <c r="I5354">
        <v>0.0</v>
      </c>
      <c r="J5354">
        <v>22.04</v>
      </c>
      <c r="K5354">
        <v>31.84</v>
      </c>
      <c r="L5354">
        <v>14.22</v>
      </c>
      <c r="M5354">
        <v>0.0</v>
      </c>
      <c r="N5354">
        <v>0.0</v>
      </c>
      <c r="O5354">
        <v>22.36</v>
      </c>
      <c r="P5354">
        <v>32.79</v>
      </c>
      <c r="Q5354">
        <v>13.5</v>
      </c>
      <c r="R5354">
        <v>0.0</v>
      </c>
    </row>
    <row r="5355">
      <c r="A5355" s="9">
        <v>43886</v>
      </c>
      <c r="B5355" s="2" t="inlineStr">
        <is>
          <t xml:space="preserve">2020-02</t>
        </is>
      </c>
      <c r="C5355" s="2" t="inlineStr">
        <is>
          <t xml:space="preserve">2019/20</t>
        </is>
      </c>
      <c r="D5355">
        <v>0.0</v>
      </c>
      <c r="E5355">
        <v>23.8</v>
      </c>
      <c r="F5355">
        <v>32.56</v>
      </c>
      <c r="G5355">
        <v>16.53</v>
      </c>
      <c r="H5355">
        <v>0.0</v>
      </c>
      <c r="I5355">
        <v>0.0</v>
      </c>
      <c r="J5355">
        <v>23.1</v>
      </c>
      <c r="K5355">
        <v>31.4</v>
      </c>
      <c r="L5355">
        <v>17.52</v>
      </c>
      <c r="M5355">
        <v>0.0</v>
      </c>
      <c r="N5355">
        <v>0.0</v>
      </c>
      <c r="O5355">
        <v>24.76</v>
      </c>
      <c r="P5355">
        <v>33.15</v>
      </c>
      <c r="Q5355">
        <v>17.88</v>
      </c>
      <c r="R5355">
        <v>0.0</v>
      </c>
    </row>
    <row r="5356">
      <c r="A5356" s="9">
        <v>43887</v>
      </c>
      <c r="B5356" s="2" t="inlineStr">
        <is>
          <t xml:space="preserve">2020-02</t>
        </is>
      </c>
      <c r="C5356" s="2" t="inlineStr">
        <is>
          <t xml:space="preserve">2019/20</t>
        </is>
      </c>
      <c r="D5356">
        <v>0.0</v>
      </c>
      <c r="E5356">
        <v>25.21</v>
      </c>
      <c r="F5356">
        <v>33.9</v>
      </c>
      <c r="G5356">
        <v>17.18</v>
      </c>
      <c r="H5356">
        <v>0.02</v>
      </c>
      <c r="I5356">
        <v>0.0</v>
      </c>
      <c r="J5356">
        <v>23.92</v>
      </c>
      <c r="K5356">
        <v>32.93</v>
      </c>
      <c r="L5356">
        <v>16.3</v>
      </c>
      <c r="M5356">
        <v>0.05</v>
      </c>
      <c r="N5356">
        <v>0.0</v>
      </c>
      <c r="O5356">
        <v>25.19</v>
      </c>
      <c r="P5356">
        <v>33.92</v>
      </c>
      <c r="Q5356">
        <v>17.66</v>
      </c>
      <c r="R5356">
        <v>0.01</v>
      </c>
    </row>
    <row r="5357">
      <c r="A5357" s="9">
        <v>43888</v>
      </c>
      <c r="B5357" s="2" t="inlineStr">
        <is>
          <t xml:space="preserve">2020-02</t>
        </is>
      </c>
      <c r="C5357" s="2" t="inlineStr">
        <is>
          <t xml:space="preserve">2019/20</t>
        </is>
      </c>
      <c r="D5357">
        <v>0.133</v>
      </c>
      <c r="E5357">
        <v>20.93</v>
      </c>
      <c r="F5357">
        <v>26.12</v>
      </c>
      <c r="G5357">
        <v>16.43</v>
      </c>
      <c r="H5357">
        <v>6.13</v>
      </c>
      <c r="I5357">
        <v>1.239</v>
      </c>
      <c r="J5357">
        <v>20.32</v>
      </c>
      <c r="K5357">
        <v>24.1</v>
      </c>
      <c r="L5357">
        <v>16.68</v>
      </c>
      <c r="M5357">
        <v>3.61</v>
      </c>
      <c r="N5357">
        <v>5.418</v>
      </c>
      <c r="O5357">
        <v>19.54</v>
      </c>
      <c r="P5357">
        <v>22.82</v>
      </c>
      <c r="Q5357">
        <v>16.75</v>
      </c>
      <c r="R5357">
        <v>13.78</v>
      </c>
    </row>
    <row r="5358">
      <c r="A5358" s="9">
        <v>43889</v>
      </c>
      <c r="B5358" s="2" t="inlineStr">
        <is>
          <t xml:space="preserve">2020-02</t>
        </is>
      </c>
      <c r="C5358" s="2" t="inlineStr">
        <is>
          <t xml:space="preserve">2019/20</t>
        </is>
      </c>
      <c r="D5358">
        <v>0.0</v>
      </c>
      <c r="E5358">
        <v>18.83</v>
      </c>
      <c r="F5358">
        <v>24.67</v>
      </c>
      <c r="G5358">
        <v>15.87</v>
      </c>
      <c r="H5358">
        <v>5.84</v>
      </c>
      <c r="I5358">
        <v>0.369</v>
      </c>
      <c r="J5358">
        <v>17.97</v>
      </c>
      <c r="K5358">
        <v>23.87</v>
      </c>
      <c r="L5358">
        <v>14.07</v>
      </c>
      <c r="M5358">
        <v>1.07</v>
      </c>
      <c r="N5358">
        <v>1.479</v>
      </c>
      <c r="O5358">
        <v>17.07</v>
      </c>
      <c r="P5358">
        <v>21.35</v>
      </c>
      <c r="Q5358">
        <v>14.65</v>
      </c>
      <c r="R5358">
        <v>6.95</v>
      </c>
    </row>
    <row r="5359">
      <c r="A5359" s="9">
        <v>43890</v>
      </c>
      <c r="B5359" s="2" t="inlineStr">
        <is>
          <t xml:space="preserve">2020-02</t>
        </is>
      </c>
      <c r="C5359" s="2" t="inlineStr">
        <is>
          <t xml:space="preserve">2019/20</t>
        </is>
      </c>
      <c r="D5359">
        <v>0.214</v>
      </c>
      <c r="E5359">
        <v>18.9</v>
      </c>
      <c r="F5359">
        <v>25.03</v>
      </c>
      <c r="G5359">
        <v>15.85</v>
      </c>
      <c r="H5359">
        <v>10.89</v>
      </c>
      <c r="I5359">
        <v>0.725</v>
      </c>
      <c r="J5359">
        <v>18.22</v>
      </c>
      <c r="K5359">
        <v>24.52</v>
      </c>
      <c r="L5359">
        <v>14.59</v>
      </c>
      <c r="M5359">
        <v>2.15</v>
      </c>
      <c r="N5359">
        <v>3.073</v>
      </c>
      <c r="O5359">
        <v>17.45</v>
      </c>
      <c r="P5359">
        <v>21.97</v>
      </c>
      <c r="Q5359">
        <v>14.95</v>
      </c>
      <c r="R5359">
        <v>12.69</v>
      </c>
    </row>
    <row r="5360">
      <c r="A5360" s="9">
        <v>43891</v>
      </c>
      <c r="B5360" s="2" t="inlineStr">
        <is>
          <t xml:space="preserve">2020-03</t>
        </is>
      </c>
      <c r="C5360" s="2" t="inlineStr">
        <is>
          <t xml:space="preserve">2019/20</t>
        </is>
      </c>
      <c r="D5360">
        <v>0.134</v>
      </c>
      <c r="E5360">
        <v>20.72</v>
      </c>
      <c r="F5360">
        <v>29.2</v>
      </c>
      <c r="G5360">
        <v>14.8</v>
      </c>
      <c r="H5360">
        <v>1.5</v>
      </c>
      <c r="I5360">
        <v>0.661</v>
      </c>
      <c r="J5360">
        <v>20.9</v>
      </c>
      <c r="K5360">
        <v>29.5</v>
      </c>
      <c r="L5360">
        <v>14.51</v>
      </c>
      <c r="M5360">
        <v>0.94</v>
      </c>
      <c r="N5360">
        <v>2.772</v>
      </c>
      <c r="O5360">
        <v>19.5</v>
      </c>
      <c r="P5360">
        <v>26.33</v>
      </c>
      <c r="Q5360">
        <v>15.12</v>
      </c>
      <c r="R5360">
        <v>2.7</v>
      </c>
    </row>
    <row r="5361">
      <c r="A5361" s="9">
        <v>43892</v>
      </c>
      <c r="B5361" s="2" t="inlineStr">
        <is>
          <t xml:space="preserve">2020-03</t>
        </is>
      </c>
      <c r="C5361" s="2" t="inlineStr">
        <is>
          <t xml:space="preserve">2019/20</t>
        </is>
      </c>
      <c r="D5361">
        <v>0.0</v>
      </c>
      <c r="E5361">
        <v>23.22</v>
      </c>
      <c r="F5361">
        <v>32.07</v>
      </c>
      <c r="G5361">
        <v>15.51</v>
      </c>
      <c r="H5361">
        <v>0.05</v>
      </c>
      <c r="I5361">
        <v>0.0</v>
      </c>
      <c r="J5361">
        <v>24.04</v>
      </c>
      <c r="K5361">
        <v>33.87</v>
      </c>
      <c r="L5361">
        <v>15.89</v>
      </c>
      <c r="M5361">
        <v>0.0</v>
      </c>
      <c r="N5361">
        <v>0.0</v>
      </c>
      <c r="O5361">
        <v>22.82</v>
      </c>
      <c r="P5361">
        <v>31.3</v>
      </c>
      <c r="Q5361">
        <v>15.55</v>
      </c>
      <c r="R5361">
        <v>0.0</v>
      </c>
    </row>
    <row r="5362">
      <c r="A5362" s="9">
        <v>43893</v>
      </c>
      <c r="B5362" s="2" t="inlineStr">
        <is>
          <t xml:space="preserve">2020-03</t>
        </is>
      </c>
      <c r="C5362" s="2" t="inlineStr">
        <is>
          <t xml:space="preserve">2019/20</t>
        </is>
      </c>
      <c r="D5362">
        <v>0.0</v>
      </c>
      <c r="E5362">
        <v>24.16</v>
      </c>
      <c r="F5362">
        <v>32.92</v>
      </c>
      <c r="G5362">
        <v>18.2</v>
      </c>
      <c r="H5362">
        <v>0.02</v>
      </c>
      <c r="I5362">
        <v>0.0</v>
      </c>
      <c r="J5362">
        <v>25.3</v>
      </c>
      <c r="K5362">
        <v>33.69</v>
      </c>
      <c r="L5362">
        <v>18.99</v>
      </c>
      <c r="M5362">
        <v>0.0</v>
      </c>
      <c r="N5362">
        <v>0.0</v>
      </c>
      <c r="O5362">
        <v>24.92</v>
      </c>
      <c r="P5362">
        <v>33.57</v>
      </c>
      <c r="Q5362">
        <v>17.98</v>
      </c>
      <c r="R5362">
        <v>0.0</v>
      </c>
    </row>
    <row r="5363">
      <c r="A5363" s="9">
        <v>43894</v>
      </c>
      <c r="B5363" s="2" t="inlineStr">
        <is>
          <t xml:space="preserve">2020-03</t>
        </is>
      </c>
      <c r="C5363" s="2" t="inlineStr">
        <is>
          <t xml:space="preserve">2019/20</t>
        </is>
      </c>
      <c r="D5363">
        <v>0.0</v>
      </c>
      <c r="E5363">
        <v>24.29</v>
      </c>
      <c r="F5363">
        <v>34.17</v>
      </c>
      <c r="G5363">
        <v>15.88</v>
      </c>
      <c r="H5363">
        <v>0.0</v>
      </c>
      <c r="I5363">
        <v>0.0</v>
      </c>
      <c r="J5363">
        <v>24.42</v>
      </c>
      <c r="K5363">
        <v>33.08</v>
      </c>
      <c r="L5363">
        <v>17.85</v>
      </c>
      <c r="M5363">
        <v>0.0</v>
      </c>
      <c r="N5363">
        <v>0.0</v>
      </c>
      <c r="O5363">
        <v>24.92</v>
      </c>
      <c r="P5363">
        <v>34.22</v>
      </c>
      <c r="Q5363">
        <v>16.55</v>
      </c>
      <c r="R5363">
        <v>0.0</v>
      </c>
    </row>
    <row r="5364">
      <c r="A5364" s="9">
        <v>43895</v>
      </c>
      <c r="B5364" s="2" t="inlineStr">
        <is>
          <t xml:space="preserve">2020-03</t>
        </is>
      </c>
      <c r="C5364" s="2" t="inlineStr">
        <is>
          <t xml:space="preserve">2019/20</t>
        </is>
      </c>
      <c r="D5364">
        <v>0.0</v>
      </c>
      <c r="E5364">
        <v>24.95</v>
      </c>
      <c r="F5364">
        <v>34.7</v>
      </c>
      <c r="G5364">
        <v>16.33</v>
      </c>
      <c r="H5364">
        <v>0.0</v>
      </c>
      <c r="I5364">
        <v>0.0</v>
      </c>
      <c r="J5364">
        <v>25.36</v>
      </c>
      <c r="K5364">
        <v>34.66</v>
      </c>
      <c r="L5364">
        <v>16.53</v>
      </c>
      <c r="M5364">
        <v>0.01</v>
      </c>
      <c r="N5364">
        <v>0.0</v>
      </c>
      <c r="O5364">
        <v>24.66</v>
      </c>
      <c r="P5364">
        <v>32.76</v>
      </c>
      <c r="Q5364">
        <v>17.62</v>
      </c>
      <c r="R5364">
        <v>0.01</v>
      </c>
    </row>
    <row r="5365">
      <c r="A5365" s="9">
        <v>43896</v>
      </c>
      <c r="B5365" s="2" t="inlineStr">
        <is>
          <t xml:space="preserve">2020-03</t>
        </is>
      </c>
      <c r="C5365" s="2" t="inlineStr">
        <is>
          <t xml:space="preserve">2019/20</t>
        </is>
      </c>
      <c r="D5365">
        <v>0.0</v>
      </c>
      <c r="E5365">
        <v>22.68</v>
      </c>
      <c r="F5365">
        <v>29.71</v>
      </c>
      <c r="G5365">
        <v>17.86</v>
      </c>
      <c r="H5365">
        <v>1.03</v>
      </c>
      <c r="I5365">
        <v>0.045</v>
      </c>
      <c r="J5365">
        <v>22.93</v>
      </c>
      <c r="K5365">
        <v>29.17</v>
      </c>
      <c r="L5365">
        <v>18.44</v>
      </c>
      <c r="M5365">
        <v>0.62</v>
      </c>
      <c r="N5365">
        <v>0.501</v>
      </c>
      <c r="O5365">
        <v>22.3</v>
      </c>
      <c r="P5365">
        <v>27.78</v>
      </c>
      <c r="Q5365">
        <v>18.05</v>
      </c>
      <c r="R5365">
        <v>1.22</v>
      </c>
    </row>
    <row r="5366">
      <c r="A5366" s="9">
        <v>43897</v>
      </c>
      <c r="B5366" s="2" t="inlineStr">
        <is>
          <t xml:space="preserve">2020-03</t>
        </is>
      </c>
      <c r="C5366" s="2" t="inlineStr">
        <is>
          <t xml:space="preserve">2019/20</t>
        </is>
      </c>
      <c r="D5366">
        <v>0.257</v>
      </c>
      <c r="E5366">
        <v>20.38</v>
      </c>
      <c r="F5366">
        <v>27.01</v>
      </c>
      <c r="G5366">
        <v>16.04</v>
      </c>
      <c r="H5366">
        <v>2.72</v>
      </c>
      <c r="I5366">
        <v>1.046</v>
      </c>
      <c r="J5366">
        <v>20.09</v>
      </c>
      <c r="K5366">
        <v>26.31</v>
      </c>
      <c r="L5366">
        <v>15.44</v>
      </c>
      <c r="M5366">
        <v>2.36</v>
      </c>
      <c r="N5366">
        <v>4.255</v>
      </c>
      <c r="O5366">
        <v>19.48</v>
      </c>
      <c r="P5366">
        <v>24.29</v>
      </c>
      <c r="Q5366">
        <v>15.99</v>
      </c>
      <c r="R5366">
        <v>6.74</v>
      </c>
    </row>
    <row r="5367">
      <c r="A5367" s="9">
        <v>43898</v>
      </c>
      <c r="B5367" s="2" t="inlineStr">
        <is>
          <t xml:space="preserve">2020-03</t>
        </is>
      </c>
      <c r="C5367" s="2" t="inlineStr">
        <is>
          <t xml:space="preserve">2019/20</t>
        </is>
      </c>
      <c r="D5367">
        <v>0.097</v>
      </c>
      <c r="E5367">
        <v>20.96</v>
      </c>
      <c r="F5367">
        <v>28.92</v>
      </c>
      <c r="G5367">
        <v>14.75</v>
      </c>
      <c r="H5367">
        <v>2.42</v>
      </c>
      <c r="I5367">
        <v>0.825</v>
      </c>
      <c r="J5367">
        <v>20.89</v>
      </c>
      <c r="K5367">
        <v>27.23</v>
      </c>
      <c r="L5367">
        <v>16.3</v>
      </c>
      <c r="M5367">
        <v>1.88</v>
      </c>
      <c r="N5367">
        <v>3.385</v>
      </c>
      <c r="O5367">
        <v>20.31</v>
      </c>
      <c r="P5367">
        <v>25.05</v>
      </c>
      <c r="Q5367">
        <v>16.86</v>
      </c>
      <c r="R5367">
        <v>4.51</v>
      </c>
    </row>
    <row r="5368">
      <c r="A5368" s="9">
        <v>43899</v>
      </c>
      <c r="B5368" s="2" t="inlineStr">
        <is>
          <t xml:space="preserve">2020-03</t>
        </is>
      </c>
      <c r="C5368" s="2" t="inlineStr">
        <is>
          <t xml:space="preserve">2019/20</t>
        </is>
      </c>
      <c r="D5368">
        <v>0.564</v>
      </c>
      <c r="E5368">
        <v>21.53</v>
      </c>
      <c r="F5368">
        <v>28.7</v>
      </c>
      <c r="G5368">
        <v>16.71</v>
      </c>
      <c r="H5368">
        <v>2.5</v>
      </c>
      <c r="I5368">
        <v>1.045</v>
      </c>
      <c r="J5368">
        <v>21.86</v>
      </c>
      <c r="K5368">
        <v>28.56</v>
      </c>
      <c r="L5368">
        <v>17.77</v>
      </c>
      <c r="M5368">
        <v>2.29</v>
      </c>
      <c r="N5368">
        <v>4.065</v>
      </c>
      <c r="O5368">
        <v>21.23</v>
      </c>
      <c r="P5368">
        <v>26.97</v>
      </c>
      <c r="Q5368">
        <v>18.33</v>
      </c>
      <c r="R5368">
        <v>6.52</v>
      </c>
    </row>
    <row r="5369">
      <c r="A5369" s="9">
        <v>43900</v>
      </c>
      <c r="B5369" s="2" t="inlineStr">
        <is>
          <t xml:space="preserve">2020-03</t>
        </is>
      </c>
      <c r="C5369" s="2" t="inlineStr">
        <is>
          <t xml:space="preserve">2019/20</t>
        </is>
      </c>
      <c r="D5369">
        <v>0.0</v>
      </c>
      <c r="E5369">
        <v>21.91</v>
      </c>
      <c r="F5369">
        <v>29.25</v>
      </c>
      <c r="G5369">
        <v>16.93</v>
      </c>
      <c r="H5369">
        <v>1.74</v>
      </c>
      <c r="I5369">
        <v>1.794</v>
      </c>
      <c r="J5369">
        <v>22.09</v>
      </c>
      <c r="K5369">
        <v>29.37</v>
      </c>
      <c r="L5369">
        <v>17.68</v>
      </c>
      <c r="M5369">
        <v>4.36</v>
      </c>
      <c r="N5369">
        <v>7.268</v>
      </c>
      <c r="O5369">
        <v>21.54</v>
      </c>
      <c r="P5369">
        <v>27.29</v>
      </c>
      <c r="Q5369">
        <v>18.32</v>
      </c>
      <c r="R5369">
        <v>6.43</v>
      </c>
    </row>
    <row r="5370">
      <c r="A5370" s="9">
        <v>43901</v>
      </c>
      <c r="B5370" s="2" t="inlineStr">
        <is>
          <t xml:space="preserve">2020-03</t>
        </is>
      </c>
      <c r="C5370" s="2" t="inlineStr">
        <is>
          <t xml:space="preserve">2019/20</t>
        </is>
      </c>
      <c r="D5370">
        <v>0.335</v>
      </c>
      <c r="E5370">
        <v>21.34</v>
      </c>
      <c r="F5370">
        <v>28.6</v>
      </c>
      <c r="G5370">
        <v>16.43</v>
      </c>
      <c r="H5370">
        <v>1.86</v>
      </c>
      <c r="I5370">
        <v>1.604</v>
      </c>
      <c r="J5370">
        <v>21.07</v>
      </c>
      <c r="K5370">
        <v>27.99</v>
      </c>
      <c r="L5370">
        <v>16.42</v>
      </c>
      <c r="M5370">
        <v>2.35</v>
      </c>
      <c r="N5370">
        <v>6.745</v>
      </c>
      <c r="O5370">
        <v>20.37</v>
      </c>
      <c r="P5370">
        <v>26.08</v>
      </c>
      <c r="Q5370">
        <v>16.89</v>
      </c>
      <c r="R5370">
        <v>6.52</v>
      </c>
    </row>
    <row r="5371">
      <c r="A5371" s="9">
        <v>43902</v>
      </c>
      <c r="B5371" s="2" t="inlineStr">
        <is>
          <t xml:space="preserve">2020-03</t>
        </is>
      </c>
      <c r="C5371" s="2" t="inlineStr">
        <is>
          <t xml:space="preserve">2019/20</t>
        </is>
      </c>
      <c r="D5371">
        <v>0.0</v>
      </c>
      <c r="E5371">
        <v>22.09</v>
      </c>
      <c r="F5371">
        <v>29.95</v>
      </c>
      <c r="G5371">
        <v>15.88</v>
      </c>
      <c r="H5371">
        <v>0.0</v>
      </c>
      <c r="I5371">
        <v>0.0</v>
      </c>
      <c r="J5371">
        <v>22.22</v>
      </c>
      <c r="K5371">
        <v>30.29</v>
      </c>
      <c r="L5371">
        <v>16.05</v>
      </c>
      <c r="M5371">
        <v>0.0</v>
      </c>
      <c r="N5371">
        <v>0.0</v>
      </c>
      <c r="O5371">
        <v>20.91</v>
      </c>
      <c r="P5371">
        <v>27.6</v>
      </c>
      <c r="Q5371">
        <v>15.93</v>
      </c>
      <c r="R5371">
        <v>0.0</v>
      </c>
    </row>
    <row r="5372">
      <c r="A5372" s="9">
        <v>43903</v>
      </c>
      <c r="B5372" s="2" t="inlineStr">
        <is>
          <t xml:space="preserve">2020-03</t>
        </is>
      </c>
      <c r="C5372" s="2" t="inlineStr">
        <is>
          <t xml:space="preserve">2019/20</t>
        </is>
      </c>
      <c r="D5372">
        <v>0.0</v>
      </c>
      <c r="E5372">
        <v>23.37</v>
      </c>
      <c r="F5372">
        <v>32.1</v>
      </c>
      <c r="G5372">
        <v>16.85</v>
      </c>
      <c r="H5372">
        <v>0.0</v>
      </c>
      <c r="I5372">
        <v>0.0</v>
      </c>
      <c r="J5372">
        <v>23.99</v>
      </c>
      <c r="K5372">
        <v>32.21</v>
      </c>
      <c r="L5372">
        <v>16.9</v>
      </c>
      <c r="M5372">
        <v>0.01</v>
      </c>
      <c r="N5372">
        <v>0.0</v>
      </c>
      <c r="O5372">
        <v>22.32</v>
      </c>
      <c r="P5372">
        <v>29.7</v>
      </c>
      <c r="Q5372">
        <v>17.19</v>
      </c>
      <c r="R5372">
        <v>0.0</v>
      </c>
    </row>
    <row r="5373">
      <c r="A5373" s="9">
        <v>43904</v>
      </c>
      <c r="B5373" s="2" t="inlineStr">
        <is>
          <t xml:space="preserve">2020-03</t>
        </is>
      </c>
      <c r="C5373" s="2" t="inlineStr">
        <is>
          <t xml:space="preserve">2019/20</t>
        </is>
      </c>
      <c r="D5373">
        <v>0.0</v>
      </c>
      <c r="E5373">
        <v>23.68</v>
      </c>
      <c r="F5373">
        <v>32.39</v>
      </c>
      <c r="G5373">
        <v>16.55</v>
      </c>
      <c r="H5373">
        <v>0.0</v>
      </c>
      <c r="I5373">
        <v>0.106</v>
      </c>
      <c r="J5373">
        <v>23.95</v>
      </c>
      <c r="K5373">
        <v>31.76</v>
      </c>
      <c r="L5373">
        <v>17.8</v>
      </c>
      <c r="M5373">
        <v>0.04</v>
      </c>
      <c r="N5373">
        <v>0.0</v>
      </c>
      <c r="O5373">
        <v>22.59</v>
      </c>
      <c r="P5373">
        <v>29.64</v>
      </c>
      <c r="Q5373">
        <v>17.4</v>
      </c>
      <c r="R5373">
        <v>0.0</v>
      </c>
    </row>
    <row r="5374">
      <c r="A5374" s="9">
        <v>43905</v>
      </c>
      <c r="B5374" s="2" t="inlineStr">
        <is>
          <t xml:space="preserve">2020-03</t>
        </is>
      </c>
      <c r="C5374" s="2" t="inlineStr">
        <is>
          <t xml:space="preserve">2019/20</t>
        </is>
      </c>
      <c r="D5374">
        <v>0.0</v>
      </c>
      <c r="E5374">
        <v>23.94</v>
      </c>
      <c r="F5374">
        <v>32.16</v>
      </c>
      <c r="G5374">
        <v>17.73</v>
      </c>
      <c r="H5374">
        <v>0.0</v>
      </c>
      <c r="I5374">
        <v>0.0</v>
      </c>
      <c r="J5374">
        <v>24.0</v>
      </c>
      <c r="K5374">
        <v>32.24</v>
      </c>
      <c r="L5374">
        <v>17.95</v>
      </c>
      <c r="M5374">
        <v>0.0</v>
      </c>
      <c r="N5374">
        <v>0.0</v>
      </c>
      <c r="O5374">
        <v>22.93</v>
      </c>
      <c r="P5374">
        <v>29.82</v>
      </c>
      <c r="Q5374">
        <v>18.23</v>
      </c>
      <c r="R5374">
        <v>0.0</v>
      </c>
    </row>
    <row r="5375">
      <c r="A5375" s="9">
        <v>43906</v>
      </c>
      <c r="B5375" s="2" t="inlineStr">
        <is>
          <t xml:space="preserve">2020-03</t>
        </is>
      </c>
      <c r="C5375" s="2" t="inlineStr">
        <is>
          <t xml:space="preserve">2019/20</t>
        </is>
      </c>
      <c r="D5375">
        <v>0.0</v>
      </c>
      <c r="E5375">
        <v>23.26</v>
      </c>
      <c r="F5375">
        <v>31.61</v>
      </c>
      <c r="G5375">
        <v>17.35</v>
      </c>
      <c r="H5375">
        <v>0.0</v>
      </c>
      <c r="I5375">
        <v>0.0</v>
      </c>
      <c r="J5375">
        <v>23.12</v>
      </c>
      <c r="K5375">
        <v>30.67</v>
      </c>
      <c r="L5375">
        <v>17.95</v>
      </c>
      <c r="M5375">
        <v>0.0</v>
      </c>
      <c r="N5375">
        <v>0.0</v>
      </c>
      <c r="O5375">
        <v>22.33</v>
      </c>
      <c r="P5375">
        <v>28.92</v>
      </c>
      <c r="Q5375">
        <v>17.79</v>
      </c>
      <c r="R5375">
        <v>0.0</v>
      </c>
    </row>
    <row r="5376">
      <c r="A5376" s="9">
        <v>43907</v>
      </c>
      <c r="B5376" s="2" t="inlineStr">
        <is>
          <t xml:space="preserve">2020-03</t>
        </is>
      </c>
      <c r="C5376" s="2" t="inlineStr">
        <is>
          <t xml:space="preserve">2019/20</t>
        </is>
      </c>
      <c r="D5376">
        <v>0.0</v>
      </c>
      <c r="E5376">
        <v>23.31</v>
      </c>
      <c r="F5376">
        <v>31.44</v>
      </c>
      <c r="G5376">
        <v>17.25</v>
      </c>
      <c r="H5376">
        <v>0.0</v>
      </c>
      <c r="I5376">
        <v>0.0</v>
      </c>
      <c r="J5376">
        <v>23.33</v>
      </c>
      <c r="K5376">
        <v>30.75</v>
      </c>
      <c r="L5376">
        <v>17.6</v>
      </c>
      <c r="M5376">
        <v>0.0</v>
      </c>
      <c r="N5376">
        <v>0.0</v>
      </c>
      <c r="O5376">
        <v>22.26</v>
      </c>
      <c r="P5376">
        <v>28.75</v>
      </c>
      <c r="Q5376">
        <v>17.22</v>
      </c>
      <c r="R5376">
        <v>0.0</v>
      </c>
    </row>
    <row r="5377">
      <c r="A5377" s="9">
        <v>43908</v>
      </c>
      <c r="B5377" s="2" t="inlineStr">
        <is>
          <t xml:space="preserve">2020-03</t>
        </is>
      </c>
      <c r="C5377" s="2" t="inlineStr">
        <is>
          <t xml:space="preserve">2019/20</t>
        </is>
      </c>
      <c r="D5377">
        <v>0.0</v>
      </c>
      <c r="E5377">
        <v>24.19</v>
      </c>
      <c r="F5377">
        <v>32.39</v>
      </c>
      <c r="G5377">
        <v>17.93</v>
      </c>
      <c r="H5377">
        <v>0.0</v>
      </c>
      <c r="I5377">
        <v>0.0</v>
      </c>
      <c r="J5377">
        <v>24.08</v>
      </c>
      <c r="K5377">
        <v>32.42</v>
      </c>
      <c r="L5377">
        <v>17.52</v>
      </c>
      <c r="M5377">
        <v>0.0</v>
      </c>
      <c r="N5377">
        <v>0.0</v>
      </c>
      <c r="O5377">
        <v>23.04</v>
      </c>
      <c r="P5377">
        <v>30.47</v>
      </c>
      <c r="Q5377">
        <v>17.97</v>
      </c>
      <c r="R5377">
        <v>0.0</v>
      </c>
    </row>
    <row r="5378">
      <c r="A5378" s="9">
        <v>43909</v>
      </c>
      <c r="B5378" s="2" t="inlineStr">
        <is>
          <t xml:space="preserve">2020-03</t>
        </is>
      </c>
      <c r="C5378" s="2" t="inlineStr">
        <is>
          <t xml:space="preserve">2019/20</t>
        </is>
      </c>
      <c r="D5378">
        <v>0.0</v>
      </c>
      <c r="E5378">
        <v>23.92</v>
      </c>
      <c r="F5378">
        <v>32.45</v>
      </c>
      <c r="G5378">
        <v>17.07</v>
      </c>
      <c r="H5378">
        <v>0.0</v>
      </c>
      <c r="I5378">
        <v>0.0</v>
      </c>
      <c r="J5378">
        <v>25.06</v>
      </c>
      <c r="K5378">
        <v>33.49</v>
      </c>
      <c r="L5378">
        <v>17.86</v>
      </c>
      <c r="M5378">
        <v>0.0</v>
      </c>
      <c r="N5378">
        <v>0.0</v>
      </c>
      <c r="O5378">
        <v>23.72</v>
      </c>
      <c r="P5378">
        <v>31.66</v>
      </c>
      <c r="Q5378">
        <v>18.38</v>
      </c>
      <c r="R5378">
        <v>0.0</v>
      </c>
    </row>
    <row r="5379">
      <c r="A5379" s="9">
        <v>43910</v>
      </c>
      <c r="B5379" s="2" t="inlineStr">
        <is>
          <t xml:space="preserve">2020-03</t>
        </is>
      </c>
      <c r="C5379" s="2" t="inlineStr">
        <is>
          <t xml:space="preserve">2019/20</t>
        </is>
      </c>
      <c r="D5379">
        <v>0.0</v>
      </c>
      <c r="E5379">
        <v>24.34</v>
      </c>
      <c r="F5379">
        <v>32.8</v>
      </c>
      <c r="G5379">
        <v>17.13</v>
      </c>
      <c r="H5379">
        <v>0.0</v>
      </c>
      <c r="I5379">
        <v>0.0</v>
      </c>
      <c r="J5379">
        <v>25.48</v>
      </c>
      <c r="K5379">
        <v>33.08</v>
      </c>
      <c r="L5379">
        <v>18.7</v>
      </c>
      <c r="M5379">
        <v>0.0</v>
      </c>
      <c r="N5379">
        <v>0.0</v>
      </c>
      <c r="O5379">
        <v>24.25</v>
      </c>
      <c r="P5379">
        <v>32.2</v>
      </c>
      <c r="Q5379">
        <v>18.77</v>
      </c>
      <c r="R5379">
        <v>0.0</v>
      </c>
    </row>
    <row r="5380">
      <c r="A5380" s="9">
        <v>43911</v>
      </c>
      <c r="B5380" s="2" t="inlineStr">
        <is>
          <t xml:space="preserve">2020-03</t>
        </is>
      </c>
      <c r="C5380" s="2" t="inlineStr">
        <is>
          <t xml:space="preserve">2019/20</t>
        </is>
      </c>
      <c r="D5380">
        <v>0.0</v>
      </c>
      <c r="E5380">
        <v>24.13</v>
      </c>
      <c r="F5380">
        <v>32.36</v>
      </c>
      <c r="G5380">
        <v>17.67</v>
      </c>
      <c r="H5380">
        <v>0.0</v>
      </c>
      <c r="I5380">
        <v>0.0</v>
      </c>
      <c r="J5380">
        <v>24.64</v>
      </c>
      <c r="K5380">
        <v>32.22</v>
      </c>
      <c r="L5380">
        <v>19.02</v>
      </c>
      <c r="M5380">
        <v>0.0</v>
      </c>
      <c r="N5380">
        <v>0.0</v>
      </c>
      <c r="O5380">
        <v>23.52</v>
      </c>
      <c r="P5380">
        <v>30.25</v>
      </c>
      <c r="Q5380">
        <v>19.03</v>
      </c>
      <c r="R5380">
        <v>0.0</v>
      </c>
    </row>
    <row r="5381">
      <c r="A5381" s="9">
        <v>43912</v>
      </c>
      <c r="B5381" s="2" t="inlineStr">
        <is>
          <t xml:space="preserve">2020-03</t>
        </is>
      </c>
      <c r="C5381" s="2" t="inlineStr">
        <is>
          <t xml:space="preserve">2019/20</t>
        </is>
      </c>
      <c r="D5381">
        <v>0.0</v>
      </c>
      <c r="E5381">
        <v>23.64</v>
      </c>
      <c r="F5381">
        <v>31.44</v>
      </c>
      <c r="G5381">
        <v>17.59</v>
      </c>
      <c r="H5381">
        <v>0.15</v>
      </c>
      <c r="I5381">
        <v>0.0</v>
      </c>
      <c r="J5381">
        <v>24.19</v>
      </c>
      <c r="K5381">
        <v>32.14</v>
      </c>
      <c r="L5381">
        <v>18.45</v>
      </c>
      <c r="M5381">
        <v>0.0</v>
      </c>
      <c r="N5381">
        <v>0.0</v>
      </c>
      <c r="O5381">
        <v>23.15</v>
      </c>
      <c r="P5381">
        <v>29.67</v>
      </c>
      <c r="Q5381">
        <v>18.26</v>
      </c>
      <c r="R5381">
        <v>0.0</v>
      </c>
    </row>
    <row r="5382">
      <c r="A5382" s="9">
        <v>43913</v>
      </c>
      <c r="B5382" s="2" t="inlineStr">
        <is>
          <t xml:space="preserve">2020-03</t>
        </is>
      </c>
      <c r="C5382" s="2" t="inlineStr">
        <is>
          <t xml:space="preserve">2019/20</t>
        </is>
      </c>
      <c r="D5382">
        <v>0.0</v>
      </c>
      <c r="E5382">
        <v>23.75</v>
      </c>
      <c r="F5382">
        <v>32.05</v>
      </c>
      <c r="G5382">
        <v>17.26</v>
      </c>
      <c r="H5382">
        <v>0.11</v>
      </c>
      <c r="I5382">
        <v>0.0</v>
      </c>
      <c r="J5382">
        <v>24.61</v>
      </c>
      <c r="K5382">
        <v>32.46</v>
      </c>
      <c r="L5382">
        <v>18.58</v>
      </c>
      <c r="M5382">
        <v>0.0</v>
      </c>
      <c r="N5382">
        <v>0.0</v>
      </c>
      <c r="O5382">
        <v>23.51</v>
      </c>
      <c r="P5382">
        <v>30.97</v>
      </c>
      <c r="Q5382">
        <v>18.29</v>
      </c>
      <c r="R5382">
        <v>0.0</v>
      </c>
    </row>
    <row r="5383">
      <c r="A5383" s="9">
        <v>43914</v>
      </c>
      <c r="B5383" s="2" t="inlineStr">
        <is>
          <t xml:space="preserve">2020-03</t>
        </is>
      </c>
      <c r="C5383" s="2" t="inlineStr">
        <is>
          <t xml:space="preserve">2019/20</t>
        </is>
      </c>
      <c r="D5383">
        <v>0.0</v>
      </c>
      <c r="E5383">
        <v>24.01</v>
      </c>
      <c r="F5383">
        <v>32.62</v>
      </c>
      <c r="G5383">
        <v>17.26</v>
      </c>
      <c r="H5383">
        <v>0.0</v>
      </c>
      <c r="I5383">
        <v>0.0</v>
      </c>
      <c r="J5383">
        <v>25.34</v>
      </c>
      <c r="K5383">
        <v>33.04</v>
      </c>
      <c r="L5383">
        <v>18.14</v>
      </c>
      <c r="M5383">
        <v>0.0</v>
      </c>
      <c r="N5383">
        <v>0.0</v>
      </c>
      <c r="O5383">
        <v>24.23</v>
      </c>
      <c r="P5383">
        <v>32.22</v>
      </c>
      <c r="Q5383">
        <v>18.36</v>
      </c>
      <c r="R5383">
        <v>0.0</v>
      </c>
    </row>
    <row r="5384">
      <c r="A5384" s="9">
        <v>43915</v>
      </c>
      <c r="B5384" s="2" t="inlineStr">
        <is>
          <t xml:space="preserve">2020-03</t>
        </is>
      </c>
      <c r="C5384" s="2" t="inlineStr">
        <is>
          <t xml:space="preserve">2019/20</t>
        </is>
      </c>
      <c r="D5384">
        <v>0.0</v>
      </c>
      <c r="E5384">
        <v>24.72</v>
      </c>
      <c r="F5384">
        <v>34.17</v>
      </c>
      <c r="G5384">
        <v>16.35</v>
      </c>
      <c r="H5384">
        <v>0.03</v>
      </c>
      <c r="I5384">
        <v>0.0</v>
      </c>
      <c r="J5384">
        <v>26.15</v>
      </c>
      <c r="K5384">
        <v>35.32</v>
      </c>
      <c r="L5384">
        <v>18.73</v>
      </c>
      <c r="M5384">
        <v>0.26</v>
      </c>
      <c r="N5384">
        <v>0.0</v>
      </c>
      <c r="O5384">
        <v>25.02</v>
      </c>
      <c r="P5384">
        <v>34.08</v>
      </c>
      <c r="Q5384">
        <v>19.1</v>
      </c>
      <c r="R5384">
        <v>0.44</v>
      </c>
    </row>
    <row r="5385">
      <c r="A5385" s="9">
        <v>43916</v>
      </c>
      <c r="B5385" s="2" t="inlineStr">
        <is>
          <t xml:space="preserve">2020-03</t>
        </is>
      </c>
      <c r="C5385" s="2" t="inlineStr">
        <is>
          <t xml:space="preserve">2019/20</t>
        </is>
      </c>
      <c r="D5385">
        <v>0.0</v>
      </c>
      <c r="E5385">
        <v>25.58</v>
      </c>
      <c r="F5385">
        <v>34.6</v>
      </c>
      <c r="G5385">
        <v>18.71</v>
      </c>
      <c r="H5385">
        <v>0.22</v>
      </c>
      <c r="I5385">
        <v>0.0</v>
      </c>
      <c r="J5385">
        <v>26.14</v>
      </c>
      <c r="K5385">
        <v>34.76</v>
      </c>
      <c r="L5385">
        <v>18.75</v>
      </c>
      <c r="M5385">
        <v>0.89</v>
      </c>
      <c r="N5385">
        <v>0.566</v>
      </c>
      <c r="O5385">
        <v>24.6</v>
      </c>
      <c r="P5385">
        <v>32.68</v>
      </c>
      <c r="Q5385">
        <v>19.42</v>
      </c>
      <c r="R5385">
        <v>2.28</v>
      </c>
    </row>
    <row r="5386">
      <c r="A5386" s="9">
        <v>43917</v>
      </c>
      <c r="B5386" s="2" t="inlineStr">
        <is>
          <t xml:space="preserve">2020-03</t>
        </is>
      </c>
      <c r="C5386" s="2" t="inlineStr">
        <is>
          <t xml:space="preserve">2019/20</t>
        </is>
      </c>
      <c r="D5386">
        <v>0.0</v>
      </c>
      <c r="E5386">
        <v>25.63</v>
      </c>
      <c r="F5386">
        <v>35.22</v>
      </c>
      <c r="G5386">
        <v>17.57</v>
      </c>
      <c r="H5386">
        <v>0.0</v>
      </c>
      <c r="I5386">
        <v>0.0</v>
      </c>
      <c r="J5386">
        <v>26.78</v>
      </c>
      <c r="K5386">
        <v>35.77</v>
      </c>
      <c r="L5386">
        <v>18.82</v>
      </c>
      <c r="M5386">
        <v>0.0</v>
      </c>
      <c r="N5386">
        <v>0.0</v>
      </c>
      <c r="O5386">
        <v>25.56</v>
      </c>
      <c r="P5386">
        <v>34.71</v>
      </c>
      <c r="Q5386">
        <v>19.31</v>
      </c>
      <c r="R5386">
        <v>0.0</v>
      </c>
    </row>
    <row r="5387">
      <c r="A5387" s="9">
        <v>43918</v>
      </c>
      <c r="B5387" s="2" t="inlineStr">
        <is>
          <t xml:space="preserve">2020-03</t>
        </is>
      </c>
      <c r="C5387" s="2" t="inlineStr">
        <is>
          <t xml:space="preserve">2019/20</t>
        </is>
      </c>
      <c r="D5387">
        <v>0.0</v>
      </c>
      <c r="E5387">
        <v>25.89</v>
      </c>
      <c r="F5387">
        <v>35.24</v>
      </c>
      <c r="G5387">
        <v>18.36</v>
      </c>
      <c r="H5387">
        <v>0.0</v>
      </c>
      <c r="I5387">
        <v>0.0</v>
      </c>
      <c r="J5387">
        <v>27.03</v>
      </c>
      <c r="K5387">
        <v>35.41</v>
      </c>
      <c r="L5387">
        <v>20.13</v>
      </c>
      <c r="M5387">
        <v>0.0</v>
      </c>
      <c r="N5387">
        <v>0.0</v>
      </c>
      <c r="O5387">
        <v>25.93</v>
      </c>
      <c r="P5387">
        <v>34.55</v>
      </c>
      <c r="Q5387">
        <v>19.85</v>
      </c>
      <c r="R5387">
        <v>0.0</v>
      </c>
    </row>
    <row r="5388">
      <c r="A5388" s="9">
        <v>43919</v>
      </c>
      <c r="B5388" s="2" t="inlineStr">
        <is>
          <t xml:space="preserve">2020-03</t>
        </is>
      </c>
      <c r="C5388" s="2" t="inlineStr">
        <is>
          <t xml:space="preserve">2019/20</t>
        </is>
      </c>
      <c r="D5388">
        <v>0.0</v>
      </c>
      <c r="E5388">
        <v>25.0</v>
      </c>
      <c r="F5388">
        <v>33.81</v>
      </c>
      <c r="G5388">
        <v>17.44</v>
      </c>
      <c r="H5388">
        <v>0.05</v>
      </c>
      <c r="I5388">
        <v>0.0</v>
      </c>
      <c r="J5388">
        <v>26.26</v>
      </c>
      <c r="K5388">
        <v>33.63</v>
      </c>
      <c r="L5388">
        <v>20.69</v>
      </c>
      <c r="M5388">
        <v>0.01</v>
      </c>
      <c r="N5388">
        <v>0.0</v>
      </c>
      <c r="O5388">
        <v>24.65</v>
      </c>
      <c r="P5388">
        <v>32.88</v>
      </c>
      <c r="Q5388">
        <v>19.34</v>
      </c>
      <c r="R5388">
        <v>0.0</v>
      </c>
    </row>
    <row r="5389">
      <c r="A5389" s="9">
        <v>43920</v>
      </c>
      <c r="B5389" s="2" t="inlineStr">
        <is>
          <t xml:space="preserve">2020-03</t>
        </is>
      </c>
      <c r="C5389" s="2" t="inlineStr">
        <is>
          <t xml:space="preserve">2019/20</t>
        </is>
      </c>
      <c r="D5389">
        <v>0.0</v>
      </c>
      <c r="E5389">
        <v>25.35</v>
      </c>
      <c r="F5389">
        <v>33.93</v>
      </c>
      <c r="G5389">
        <v>18.63</v>
      </c>
      <c r="H5389">
        <v>0.03</v>
      </c>
      <c r="I5389">
        <v>0.0</v>
      </c>
      <c r="J5389">
        <v>25.67</v>
      </c>
      <c r="K5389">
        <v>33.26</v>
      </c>
      <c r="L5389">
        <v>19.3</v>
      </c>
      <c r="M5389">
        <v>0.06</v>
      </c>
      <c r="N5389">
        <v>0.0</v>
      </c>
      <c r="O5389">
        <v>24.37</v>
      </c>
      <c r="P5389">
        <v>31.22</v>
      </c>
      <c r="Q5389">
        <v>19.21</v>
      </c>
      <c r="R5389">
        <v>0.01</v>
      </c>
    </row>
    <row r="5390">
      <c r="A5390" s="9">
        <v>43921</v>
      </c>
      <c r="B5390" s="2" t="inlineStr">
        <is>
          <t xml:space="preserve">2020-03</t>
        </is>
      </c>
      <c r="C5390" s="2" t="inlineStr">
        <is>
          <t xml:space="preserve">2019/20</t>
        </is>
      </c>
      <c r="D5390">
        <v>0.0</v>
      </c>
      <c r="E5390">
        <v>26.15</v>
      </c>
      <c r="F5390">
        <v>34.88</v>
      </c>
      <c r="G5390">
        <v>17.98</v>
      </c>
      <c r="H5390">
        <v>0.0</v>
      </c>
      <c r="I5390">
        <v>0.0</v>
      </c>
      <c r="J5390">
        <v>26.8</v>
      </c>
      <c r="K5390">
        <v>35.24</v>
      </c>
      <c r="L5390">
        <v>19.24</v>
      </c>
      <c r="M5390">
        <v>0.0</v>
      </c>
      <c r="N5390">
        <v>0.0</v>
      </c>
      <c r="O5390">
        <v>25.78</v>
      </c>
      <c r="P5390">
        <v>34.02</v>
      </c>
      <c r="Q5390">
        <v>19.59</v>
      </c>
      <c r="R5390">
        <v>0.0</v>
      </c>
    </row>
    <row r="5391">
      <c r="A5391" s="9">
        <v>43922</v>
      </c>
      <c r="B5391" s="2" t="inlineStr">
        <is>
          <t xml:space="preserve">2020-04</t>
        </is>
      </c>
      <c r="C5391" s="2" t="inlineStr">
        <is>
          <t xml:space="preserve">2019/20</t>
        </is>
      </c>
      <c r="D5391">
        <v>0.023</v>
      </c>
      <c r="E5391">
        <v>26.5</v>
      </c>
      <c r="F5391">
        <v>34.33</v>
      </c>
      <c r="G5391">
        <v>19.45</v>
      </c>
      <c r="H5391">
        <v>0.05</v>
      </c>
      <c r="I5391">
        <v>0.0</v>
      </c>
      <c r="J5391">
        <v>26.89</v>
      </c>
      <c r="K5391">
        <v>34.38</v>
      </c>
      <c r="L5391">
        <v>20.49</v>
      </c>
      <c r="M5391">
        <v>0.06</v>
      </c>
      <c r="N5391">
        <v>0.0</v>
      </c>
      <c r="O5391">
        <v>25.63</v>
      </c>
      <c r="P5391">
        <v>33.06</v>
      </c>
      <c r="Q5391">
        <v>19.83</v>
      </c>
      <c r="R5391">
        <v>0.02</v>
      </c>
    </row>
    <row r="5392">
      <c r="A5392" s="9">
        <v>43923</v>
      </c>
      <c r="B5392" s="2" t="inlineStr">
        <is>
          <t xml:space="preserve">2020-04</t>
        </is>
      </c>
      <c r="C5392" s="2" t="inlineStr">
        <is>
          <t xml:space="preserve">2019/20</t>
        </is>
      </c>
      <c r="D5392">
        <v>0.02</v>
      </c>
      <c r="E5392">
        <v>26.46</v>
      </c>
      <c r="F5392">
        <v>33.36</v>
      </c>
      <c r="G5392">
        <v>20.87</v>
      </c>
      <c r="H5392">
        <v>0.25</v>
      </c>
      <c r="I5392">
        <v>0.385</v>
      </c>
      <c r="J5392">
        <v>25.8</v>
      </c>
      <c r="K5392">
        <v>31.67</v>
      </c>
      <c r="L5392">
        <v>21.66</v>
      </c>
      <c r="M5392">
        <v>0.59</v>
      </c>
      <c r="N5392">
        <v>0.0</v>
      </c>
      <c r="O5392">
        <v>25.06</v>
      </c>
      <c r="P5392">
        <v>31.8</v>
      </c>
      <c r="Q5392">
        <v>20.31</v>
      </c>
      <c r="R5392">
        <v>0.39</v>
      </c>
    </row>
    <row r="5393">
      <c r="A5393" s="9">
        <v>43924</v>
      </c>
      <c r="B5393" s="2" t="inlineStr">
        <is>
          <t xml:space="preserve">2020-04</t>
        </is>
      </c>
      <c r="C5393" s="2" t="inlineStr">
        <is>
          <t xml:space="preserve">2019/20</t>
        </is>
      </c>
      <c r="D5393">
        <v>2.202</v>
      </c>
      <c r="E5393">
        <v>26.55</v>
      </c>
      <c r="F5393">
        <v>35.03</v>
      </c>
      <c r="G5393">
        <v>18.98</v>
      </c>
      <c r="H5393">
        <v>1.12</v>
      </c>
      <c r="I5393">
        <v>0.34</v>
      </c>
      <c r="J5393">
        <v>26.5</v>
      </c>
      <c r="K5393">
        <v>35.3</v>
      </c>
      <c r="L5393">
        <v>19.54</v>
      </c>
      <c r="M5393">
        <v>0.84</v>
      </c>
      <c r="N5393">
        <v>0.817</v>
      </c>
      <c r="O5393">
        <v>25.66</v>
      </c>
      <c r="P5393">
        <v>34.73</v>
      </c>
      <c r="Q5393">
        <v>19.08</v>
      </c>
      <c r="R5393">
        <v>0.99</v>
      </c>
    </row>
    <row r="5394">
      <c r="A5394" s="9">
        <v>43925</v>
      </c>
      <c r="B5394" s="2" t="inlineStr">
        <is>
          <t xml:space="preserve">2020-04</t>
        </is>
      </c>
      <c r="C5394" s="2" t="inlineStr">
        <is>
          <t xml:space="preserve">2019/20</t>
        </is>
      </c>
      <c r="D5394">
        <v>0.0</v>
      </c>
      <c r="E5394">
        <v>27.38</v>
      </c>
      <c r="F5394">
        <v>36.15</v>
      </c>
      <c r="G5394">
        <v>19.18</v>
      </c>
      <c r="H5394">
        <v>0.0</v>
      </c>
      <c r="I5394">
        <v>0.0</v>
      </c>
      <c r="J5394">
        <v>27.72</v>
      </c>
      <c r="K5394">
        <v>35.96</v>
      </c>
      <c r="L5394">
        <v>20.44</v>
      </c>
      <c r="M5394">
        <v>0.0</v>
      </c>
      <c r="N5394">
        <v>0.0</v>
      </c>
      <c r="O5394">
        <v>26.2</v>
      </c>
      <c r="P5394">
        <v>34.48</v>
      </c>
      <c r="Q5394">
        <v>19.53</v>
      </c>
      <c r="R5394">
        <v>0.0</v>
      </c>
    </row>
    <row r="5395">
      <c r="A5395" s="9">
        <v>43926</v>
      </c>
      <c r="B5395" s="2" t="inlineStr">
        <is>
          <t xml:space="preserve">2020-04</t>
        </is>
      </c>
      <c r="C5395" s="2" t="inlineStr">
        <is>
          <t xml:space="preserve">2019/20</t>
        </is>
      </c>
      <c r="D5395">
        <v>0.0</v>
      </c>
      <c r="E5395">
        <v>27.55</v>
      </c>
      <c r="F5395">
        <v>36.01</v>
      </c>
      <c r="G5395">
        <v>19.77</v>
      </c>
      <c r="H5395">
        <v>0.0</v>
      </c>
      <c r="I5395">
        <v>0.0</v>
      </c>
      <c r="J5395">
        <v>27.54</v>
      </c>
      <c r="K5395">
        <v>34.73</v>
      </c>
      <c r="L5395">
        <v>21.19</v>
      </c>
      <c r="M5395">
        <v>0.0</v>
      </c>
      <c r="N5395">
        <v>0.0</v>
      </c>
      <c r="O5395">
        <v>26.12</v>
      </c>
      <c r="P5395">
        <v>33.68</v>
      </c>
      <c r="Q5395">
        <v>20.34</v>
      </c>
      <c r="R5395">
        <v>0.0</v>
      </c>
    </row>
    <row r="5396">
      <c r="A5396" s="9">
        <v>43927</v>
      </c>
      <c r="B5396" s="2" t="inlineStr">
        <is>
          <t xml:space="preserve">2020-04</t>
        </is>
      </c>
      <c r="C5396" s="2" t="inlineStr">
        <is>
          <t xml:space="preserve">2019/20</t>
        </is>
      </c>
      <c r="D5396">
        <v>0.0</v>
      </c>
      <c r="E5396">
        <v>27.25</v>
      </c>
      <c r="F5396">
        <v>36.19</v>
      </c>
      <c r="G5396">
        <v>19.4</v>
      </c>
      <c r="H5396">
        <v>0.0</v>
      </c>
      <c r="I5396">
        <v>0.0</v>
      </c>
      <c r="J5396">
        <v>27.76</v>
      </c>
      <c r="K5396">
        <v>35.2</v>
      </c>
      <c r="L5396">
        <v>21.41</v>
      </c>
      <c r="M5396">
        <v>0.0</v>
      </c>
      <c r="N5396">
        <v>0.0</v>
      </c>
      <c r="O5396">
        <v>26.0</v>
      </c>
      <c r="P5396">
        <v>33.36</v>
      </c>
      <c r="Q5396">
        <v>20.68</v>
      </c>
      <c r="R5396">
        <v>0.0</v>
      </c>
    </row>
    <row r="5397">
      <c r="A5397" s="9">
        <v>43928</v>
      </c>
      <c r="B5397" s="2" t="inlineStr">
        <is>
          <t xml:space="preserve">2020-04</t>
        </is>
      </c>
      <c r="C5397" s="2" t="inlineStr">
        <is>
          <t xml:space="preserve">2019/20</t>
        </is>
      </c>
      <c r="D5397">
        <v>0.0</v>
      </c>
      <c r="E5397">
        <v>26.99</v>
      </c>
      <c r="F5397">
        <v>35.48</v>
      </c>
      <c r="G5397">
        <v>19.01</v>
      </c>
      <c r="H5397">
        <v>0.0</v>
      </c>
      <c r="I5397">
        <v>0.0</v>
      </c>
      <c r="J5397">
        <v>28.02</v>
      </c>
      <c r="K5397">
        <v>36.54</v>
      </c>
      <c r="L5397">
        <v>20.79</v>
      </c>
      <c r="M5397">
        <v>0.0</v>
      </c>
      <c r="N5397">
        <v>0.0</v>
      </c>
      <c r="O5397">
        <v>25.93</v>
      </c>
      <c r="P5397">
        <v>34.18</v>
      </c>
      <c r="Q5397">
        <v>19.78</v>
      </c>
      <c r="R5397">
        <v>0.0</v>
      </c>
    </row>
    <row r="5398">
      <c r="A5398" s="9">
        <v>43929</v>
      </c>
      <c r="B5398" s="2" t="inlineStr">
        <is>
          <t xml:space="preserve">2020-04</t>
        </is>
      </c>
      <c r="C5398" s="2" t="inlineStr">
        <is>
          <t xml:space="preserve">2019/20</t>
        </is>
      </c>
      <c r="D5398">
        <v>0.0</v>
      </c>
      <c r="E5398">
        <v>27.38</v>
      </c>
      <c r="F5398">
        <v>36.71</v>
      </c>
      <c r="G5398">
        <v>18.81</v>
      </c>
      <c r="H5398">
        <v>0.0</v>
      </c>
      <c r="I5398">
        <v>0.0</v>
      </c>
      <c r="J5398">
        <v>28.38</v>
      </c>
      <c r="K5398">
        <v>37.6</v>
      </c>
      <c r="L5398">
        <v>21.28</v>
      </c>
      <c r="M5398">
        <v>0.0</v>
      </c>
      <c r="N5398">
        <v>0.0</v>
      </c>
      <c r="O5398">
        <v>26.51</v>
      </c>
      <c r="P5398">
        <v>35.02</v>
      </c>
      <c r="Q5398">
        <v>20.59</v>
      </c>
      <c r="R5398">
        <v>0.0</v>
      </c>
    </row>
    <row r="5399">
      <c r="A5399" s="9">
        <v>43930</v>
      </c>
      <c r="B5399" s="2" t="inlineStr">
        <is>
          <t xml:space="preserve">2020-04</t>
        </is>
      </c>
      <c r="C5399" s="2" t="inlineStr">
        <is>
          <t xml:space="preserve">2019/20</t>
        </is>
      </c>
      <c r="D5399">
        <v>0.0</v>
      </c>
      <c r="E5399">
        <v>27.48</v>
      </c>
      <c r="F5399">
        <v>36.5</v>
      </c>
      <c r="G5399">
        <v>19.15</v>
      </c>
      <c r="H5399">
        <v>0.0</v>
      </c>
      <c r="I5399">
        <v>0.0</v>
      </c>
      <c r="J5399">
        <v>29.1</v>
      </c>
      <c r="K5399">
        <v>38.14</v>
      </c>
      <c r="L5399">
        <v>20.52</v>
      </c>
      <c r="M5399">
        <v>0.0</v>
      </c>
      <c r="N5399">
        <v>0.0</v>
      </c>
      <c r="O5399">
        <v>27.16</v>
      </c>
      <c r="P5399">
        <v>36.76</v>
      </c>
      <c r="Q5399">
        <v>19.44</v>
      </c>
      <c r="R5399">
        <v>0.0</v>
      </c>
    </row>
    <row r="5400">
      <c r="A5400" s="9">
        <v>43931</v>
      </c>
      <c r="B5400" s="2" t="inlineStr">
        <is>
          <t xml:space="preserve">2020-04</t>
        </is>
      </c>
      <c r="C5400" s="2" t="inlineStr">
        <is>
          <t xml:space="preserve">2019/20</t>
        </is>
      </c>
      <c r="D5400">
        <v>0.0</v>
      </c>
      <c r="E5400">
        <v>28.21</v>
      </c>
      <c r="F5400">
        <v>37.34</v>
      </c>
      <c r="G5400">
        <v>20.49</v>
      </c>
      <c r="H5400">
        <v>0.0</v>
      </c>
      <c r="I5400">
        <v>0.0</v>
      </c>
      <c r="J5400">
        <v>28.74</v>
      </c>
      <c r="K5400">
        <v>36.3</v>
      </c>
      <c r="L5400">
        <v>22.21</v>
      </c>
      <c r="M5400">
        <v>0.0</v>
      </c>
      <c r="N5400">
        <v>0.0</v>
      </c>
      <c r="O5400">
        <v>27.89</v>
      </c>
      <c r="P5400">
        <v>37.32</v>
      </c>
      <c r="Q5400">
        <v>20.7</v>
      </c>
      <c r="R5400">
        <v>0.0</v>
      </c>
    </row>
    <row r="5401">
      <c r="A5401" s="9">
        <v>43932</v>
      </c>
      <c r="B5401" s="2" t="inlineStr">
        <is>
          <t xml:space="preserve">2020-04</t>
        </is>
      </c>
      <c r="C5401" s="2" t="inlineStr">
        <is>
          <t xml:space="preserve">2019/20</t>
        </is>
      </c>
      <c r="D5401">
        <v>0.0</v>
      </c>
      <c r="E5401">
        <v>27.47</v>
      </c>
      <c r="F5401">
        <v>34.88</v>
      </c>
      <c r="G5401">
        <v>21.23</v>
      </c>
      <c r="H5401">
        <v>0.0</v>
      </c>
      <c r="I5401">
        <v>0.0</v>
      </c>
      <c r="J5401">
        <v>27.63</v>
      </c>
      <c r="K5401">
        <v>33.1</v>
      </c>
      <c r="L5401">
        <v>22.61</v>
      </c>
      <c r="M5401">
        <v>0.0</v>
      </c>
      <c r="N5401">
        <v>0.0</v>
      </c>
      <c r="O5401">
        <v>27.58</v>
      </c>
      <c r="P5401">
        <v>34.7</v>
      </c>
      <c r="Q5401">
        <v>22.09</v>
      </c>
      <c r="R5401">
        <v>0.0</v>
      </c>
    </row>
    <row r="5402">
      <c r="A5402" s="9">
        <v>43933</v>
      </c>
      <c r="B5402" s="2" t="inlineStr">
        <is>
          <t xml:space="preserve">2020-04</t>
        </is>
      </c>
      <c r="C5402" s="2" t="inlineStr">
        <is>
          <t xml:space="preserve">2019/20</t>
        </is>
      </c>
      <c r="D5402">
        <v>0.0</v>
      </c>
      <c r="E5402">
        <v>27.75</v>
      </c>
      <c r="F5402">
        <v>36.43</v>
      </c>
      <c r="G5402">
        <v>20.97</v>
      </c>
      <c r="H5402">
        <v>0.0</v>
      </c>
      <c r="I5402">
        <v>0.0</v>
      </c>
      <c r="J5402">
        <v>27.52</v>
      </c>
      <c r="K5402">
        <v>34.55</v>
      </c>
      <c r="L5402">
        <v>22.27</v>
      </c>
      <c r="M5402">
        <v>0.0</v>
      </c>
      <c r="N5402">
        <v>0.0</v>
      </c>
      <c r="O5402">
        <v>29.19</v>
      </c>
      <c r="P5402">
        <v>37.82</v>
      </c>
      <c r="Q5402">
        <v>21.54</v>
      </c>
      <c r="R5402">
        <v>0.0</v>
      </c>
    </row>
    <row r="5403">
      <c r="A5403" s="9">
        <v>43934</v>
      </c>
      <c r="B5403" s="2" t="inlineStr">
        <is>
          <t xml:space="preserve">2020-04</t>
        </is>
      </c>
      <c r="C5403" s="2" t="inlineStr">
        <is>
          <t xml:space="preserve">2019/20</t>
        </is>
      </c>
      <c r="D5403">
        <v>0.0</v>
      </c>
      <c r="E5403">
        <v>28.22</v>
      </c>
      <c r="F5403">
        <v>36.57</v>
      </c>
      <c r="G5403">
        <v>20.45</v>
      </c>
      <c r="H5403">
        <v>0.0</v>
      </c>
      <c r="I5403">
        <v>0.0</v>
      </c>
      <c r="J5403">
        <v>28.26</v>
      </c>
      <c r="K5403">
        <v>36.71</v>
      </c>
      <c r="L5403">
        <v>21.41</v>
      </c>
      <c r="M5403">
        <v>0.0</v>
      </c>
      <c r="N5403">
        <v>0.0</v>
      </c>
      <c r="O5403">
        <v>29.67</v>
      </c>
      <c r="P5403">
        <v>38.14</v>
      </c>
      <c r="Q5403">
        <v>22.88</v>
      </c>
      <c r="R5403">
        <v>0.0</v>
      </c>
    </row>
    <row r="5404">
      <c r="A5404" s="9">
        <v>43935</v>
      </c>
      <c r="B5404" s="2" t="inlineStr">
        <is>
          <t xml:space="preserve">2020-04</t>
        </is>
      </c>
      <c r="C5404" s="2" t="inlineStr">
        <is>
          <t xml:space="preserve">2019/20</t>
        </is>
      </c>
      <c r="D5404">
        <v>0.0</v>
      </c>
      <c r="E5404">
        <v>28.12</v>
      </c>
      <c r="F5404">
        <v>36.07</v>
      </c>
      <c r="G5404">
        <v>21.76</v>
      </c>
      <c r="H5404">
        <v>0.0</v>
      </c>
      <c r="I5404">
        <v>0.0</v>
      </c>
      <c r="J5404">
        <v>27.58</v>
      </c>
      <c r="K5404">
        <v>34.43</v>
      </c>
      <c r="L5404">
        <v>21.93</v>
      </c>
      <c r="M5404">
        <v>0.0</v>
      </c>
      <c r="N5404">
        <v>0.0</v>
      </c>
      <c r="O5404">
        <v>28.17</v>
      </c>
      <c r="P5404">
        <v>35.04</v>
      </c>
      <c r="Q5404">
        <v>22.83</v>
      </c>
      <c r="R5404">
        <v>0.0</v>
      </c>
    </row>
    <row r="5405">
      <c r="A5405" s="9">
        <v>43936</v>
      </c>
      <c r="B5405" s="2" t="inlineStr">
        <is>
          <t xml:space="preserve">2020-04</t>
        </is>
      </c>
      <c r="C5405" s="2" t="inlineStr">
        <is>
          <t xml:space="preserve">2019/20</t>
        </is>
      </c>
      <c r="D5405">
        <v>0.0</v>
      </c>
      <c r="E5405">
        <v>28.01</v>
      </c>
      <c r="F5405">
        <v>36.55</v>
      </c>
      <c r="G5405">
        <v>20.31</v>
      </c>
      <c r="H5405">
        <v>0.0</v>
      </c>
      <c r="I5405">
        <v>0.0</v>
      </c>
      <c r="J5405">
        <v>27.61</v>
      </c>
      <c r="K5405">
        <v>33.86</v>
      </c>
      <c r="L5405">
        <v>23.03</v>
      </c>
      <c r="M5405">
        <v>0.0</v>
      </c>
      <c r="N5405">
        <v>0.0</v>
      </c>
      <c r="O5405">
        <v>27.27</v>
      </c>
      <c r="P5405">
        <v>34.49</v>
      </c>
      <c r="Q5405">
        <v>22.0</v>
      </c>
      <c r="R5405">
        <v>0.0</v>
      </c>
    </row>
    <row r="5406">
      <c r="A5406" s="9">
        <v>43937</v>
      </c>
      <c r="B5406" s="2" t="inlineStr">
        <is>
          <t xml:space="preserve">2020-04</t>
        </is>
      </c>
      <c r="C5406" s="2" t="inlineStr">
        <is>
          <t xml:space="preserve">2019/20</t>
        </is>
      </c>
      <c r="D5406">
        <v>0.0</v>
      </c>
      <c r="E5406">
        <v>27.04</v>
      </c>
      <c r="F5406">
        <v>35.25</v>
      </c>
      <c r="G5406">
        <v>20.19</v>
      </c>
      <c r="H5406">
        <v>0.0</v>
      </c>
      <c r="I5406">
        <v>0.0</v>
      </c>
      <c r="J5406">
        <v>27.44</v>
      </c>
      <c r="K5406">
        <v>36.33</v>
      </c>
      <c r="L5406">
        <v>19.52</v>
      </c>
      <c r="M5406">
        <v>0.4</v>
      </c>
      <c r="N5406">
        <v>0.0</v>
      </c>
      <c r="O5406">
        <v>26.17</v>
      </c>
      <c r="P5406">
        <v>34.28</v>
      </c>
      <c r="Q5406">
        <v>19.75</v>
      </c>
      <c r="R5406">
        <v>0.0</v>
      </c>
    </row>
    <row r="5407">
      <c r="A5407" s="9">
        <v>43938</v>
      </c>
      <c r="B5407" s="2" t="inlineStr">
        <is>
          <t xml:space="preserve">2020-04</t>
        </is>
      </c>
      <c r="C5407" s="2" t="inlineStr">
        <is>
          <t xml:space="preserve">2019/20</t>
        </is>
      </c>
      <c r="D5407">
        <v>0.0</v>
      </c>
      <c r="E5407">
        <v>26.12</v>
      </c>
      <c r="F5407">
        <v>34.64</v>
      </c>
      <c r="G5407">
        <v>18.34</v>
      </c>
      <c r="H5407">
        <v>0.0</v>
      </c>
      <c r="I5407">
        <v>0.728</v>
      </c>
      <c r="J5407">
        <v>27.69</v>
      </c>
      <c r="K5407">
        <v>35.52</v>
      </c>
      <c r="L5407">
        <v>22.05</v>
      </c>
      <c r="M5407">
        <v>0.61</v>
      </c>
      <c r="N5407">
        <v>0.0</v>
      </c>
      <c r="O5407">
        <v>26.18</v>
      </c>
      <c r="P5407">
        <v>34.33</v>
      </c>
      <c r="Q5407">
        <v>20.36</v>
      </c>
      <c r="R5407">
        <v>0.01</v>
      </c>
    </row>
    <row r="5408">
      <c r="A5408" s="9">
        <v>43939</v>
      </c>
      <c r="B5408" s="2" t="inlineStr">
        <is>
          <t xml:space="preserve">2020-04</t>
        </is>
      </c>
      <c r="C5408" s="2" t="inlineStr">
        <is>
          <t xml:space="preserve">2019/20</t>
        </is>
      </c>
      <c r="D5408">
        <v>0.0</v>
      </c>
      <c r="E5408">
        <v>26.44</v>
      </c>
      <c r="F5408">
        <v>35.36</v>
      </c>
      <c r="G5408">
        <v>18.14</v>
      </c>
      <c r="H5408">
        <v>0.0</v>
      </c>
      <c r="I5408">
        <v>0.0</v>
      </c>
      <c r="J5408">
        <v>27.59</v>
      </c>
      <c r="K5408">
        <v>36.26</v>
      </c>
      <c r="L5408">
        <v>20.35</v>
      </c>
      <c r="M5408">
        <v>0.0</v>
      </c>
      <c r="N5408">
        <v>0.0</v>
      </c>
      <c r="O5408">
        <v>26.51</v>
      </c>
      <c r="P5408">
        <v>35.44</v>
      </c>
      <c r="Q5408">
        <v>19.51</v>
      </c>
      <c r="R5408">
        <v>0.0</v>
      </c>
    </row>
    <row r="5409">
      <c r="A5409" s="9">
        <v>43940</v>
      </c>
      <c r="B5409" s="2" t="inlineStr">
        <is>
          <t xml:space="preserve">2020-04</t>
        </is>
      </c>
      <c r="C5409" s="2" t="inlineStr">
        <is>
          <t xml:space="preserve">2019/20</t>
        </is>
      </c>
      <c r="D5409">
        <v>0.0</v>
      </c>
      <c r="E5409">
        <v>26.52</v>
      </c>
      <c r="F5409">
        <v>35.21</v>
      </c>
      <c r="G5409">
        <v>18.71</v>
      </c>
      <c r="H5409">
        <v>0.0</v>
      </c>
      <c r="I5409">
        <v>0.0</v>
      </c>
      <c r="J5409">
        <v>26.83</v>
      </c>
      <c r="K5409">
        <v>35.07</v>
      </c>
      <c r="L5409">
        <v>20.5</v>
      </c>
      <c r="M5409">
        <v>0.02</v>
      </c>
      <c r="N5409">
        <v>0.0</v>
      </c>
      <c r="O5409">
        <v>27.72</v>
      </c>
      <c r="P5409">
        <v>36.62</v>
      </c>
      <c r="Q5409">
        <v>19.69</v>
      </c>
      <c r="R5409">
        <v>0.0</v>
      </c>
    </row>
    <row r="5410">
      <c r="A5410" s="9">
        <v>43941</v>
      </c>
      <c r="B5410" s="2" t="inlineStr">
        <is>
          <t xml:space="preserve">2020-04</t>
        </is>
      </c>
      <c r="C5410" s="2" t="inlineStr">
        <is>
          <t xml:space="preserve">2019/20</t>
        </is>
      </c>
      <c r="D5410">
        <v>0.0</v>
      </c>
      <c r="E5410">
        <v>27.17</v>
      </c>
      <c r="F5410">
        <v>35.56</v>
      </c>
      <c r="G5410">
        <v>19.7</v>
      </c>
      <c r="H5410">
        <v>0.0</v>
      </c>
      <c r="I5410">
        <v>0.045</v>
      </c>
      <c r="J5410">
        <v>26.4</v>
      </c>
      <c r="K5410">
        <v>34.33</v>
      </c>
      <c r="L5410">
        <v>19.52</v>
      </c>
      <c r="M5410">
        <v>0.04</v>
      </c>
      <c r="N5410">
        <v>0.0</v>
      </c>
      <c r="O5410">
        <v>28.32</v>
      </c>
      <c r="P5410">
        <v>36.42</v>
      </c>
      <c r="Q5410">
        <v>20.97</v>
      </c>
      <c r="R5410">
        <v>0.0</v>
      </c>
    </row>
    <row r="5411">
      <c r="A5411" s="9">
        <v>43942</v>
      </c>
      <c r="B5411" s="2" t="inlineStr">
        <is>
          <t xml:space="preserve">2020-04</t>
        </is>
      </c>
      <c r="C5411" s="2" t="inlineStr">
        <is>
          <t xml:space="preserve">2019/20</t>
        </is>
      </c>
      <c r="D5411">
        <v>0.0</v>
      </c>
      <c r="E5411">
        <v>27.35</v>
      </c>
      <c r="F5411">
        <v>34.19</v>
      </c>
      <c r="G5411">
        <v>21.02</v>
      </c>
      <c r="H5411">
        <v>0.0</v>
      </c>
      <c r="I5411">
        <v>0.0</v>
      </c>
      <c r="J5411">
        <v>27.4</v>
      </c>
      <c r="K5411">
        <v>35.82</v>
      </c>
      <c r="L5411">
        <v>19.49</v>
      </c>
      <c r="M5411">
        <v>0.0</v>
      </c>
      <c r="N5411">
        <v>0.0</v>
      </c>
      <c r="O5411">
        <v>27.68</v>
      </c>
      <c r="P5411">
        <v>35.1</v>
      </c>
      <c r="Q5411">
        <v>20.7</v>
      </c>
      <c r="R5411">
        <v>0.0</v>
      </c>
    </row>
    <row r="5412">
      <c r="A5412" s="9">
        <v>43943</v>
      </c>
      <c r="B5412" s="2" t="inlineStr">
        <is>
          <t xml:space="preserve">2020-04</t>
        </is>
      </c>
      <c r="C5412" s="2" t="inlineStr">
        <is>
          <t xml:space="preserve">2019/20</t>
        </is>
      </c>
      <c r="D5412">
        <v>0.0</v>
      </c>
      <c r="E5412">
        <v>27.99</v>
      </c>
      <c r="F5412">
        <v>35.74</v>
      </c>
      <c r="G5412">
        <v>21.55</v>
      </c>
      <c r="H5412">
        <v>0.0</v>
      </c>
      <c r="I5412">
        <v>0.0</v>
      </c>
      <c r="J5412">
        <v>27.81</v>
      </c>
      <c r="K5412">
        <v>35.15</v>
      </c>
      <c r="L5412">
        <v>22.71</v>
      </c>
      <c r="M5412">
        <v>0.0</v>
      </c>
      <c r="N5412">
        <v>0.0</v>
      </c>
      <c r="O5412">
        <v>28.07</v>
      </c>
      <c r="P5412">
        <v>34.85</v>
      </c>
      <c r="Q5412">
        <v>22.84</v>
      </c>
      <c r="R5412">
        <v>0.0</v>
      </c>
    </row>
    <row r="5413">
      <c r="A5413" s="9">
        <v>43944</v>
      </c>
      <c r="B5413" s="2" t="inlineStr">
        <is>
          <t xml:space="preserve">2020-04</t>
        </is>
      </c>
      <c r="C5413" s="2" t="inlineStr">
        <is>
          <t xml:space="preserve">2019/20</t>
        </is>
      </c>
      <c r="D5413">
        <v>0.0</v>
      </c>
      <c r="E5413">
        <v>27.75</v>
      </c>
      <c r="F5413">
        <v>35.44</v>
      </c>
      <c r="G5413">
        <v>21.19</v>
      </c>
      <c r="H5413">
        <v>0.0</v>
      </c>
      <c r="I5413">
        <v>0.0</v>
      </c>
      <c r="J5413">
        <v>27.73</v>
      </c>
      <c r="K5413">
        <v>36.19</v>
      </c>
      <c r="L5413">
        <v>21.51</v>
      </c>
      <c r="M5413">
        <v>0.0</v>
      </c>
      <c r="N5413">
        <v>0.0</v>
      </c>
      <c r="O5413">
        <v>29.28</v>
      </c>
      <c r="P5413">
        <v>37.55</v>
      </c>
      <c r="Q5413">
        <v>21.76</v>
      </c>
      <c r="R5413">
        <v>0.0</v>
      </c>
    </row>
    <row r="5414">
      <c r="A5414" s="9">
        <v>43945</v>
      </c>
      <c r="B5414" s="2" t="inlineStr">
        <is>
          <t xml:space="preserve">2020-04</t>
        </is>
      </c>
      <c r="C5414" s="2" t="inlineStr">
        <is>
          <t xml:space="preserve">2019/20</t>
        </is>
      </c>
      <c r="D5414">
        <v>0.0</v>
      </c>
      <c r="E5414">
        <v>27.23</v>
      </c>
      <c r="F5414">
        <v>33.56</v>
      </c>
      <c r="G5414">
        <v>21.66</v>
      </c>
      <c r="H5414">
        <v>0.23</v>
      </c>
      <c r="I5414">
        <v>0.0</v>
      </c>
      <c r="J5414">
        <v>26.92</v>
      </c>
      <c r="K5414">
        <v>34.75</v>
      </c>
      <c r="L5414">
        <v>22.07</v>
      </c>
      <c r="M5414">
        <v>0.46</v>
      </c>
      <c r="N5414">
        <v>0.0</v>
      </c>
      <c r="O5414">
        <v>28.04</v>
      </c>
      <c r="P5414">
        <v>34.33</v>
      </c>
      <c r="Q5414">
        <v>23.8</v>
      </c>
      <c r="R5414">
        <v>0.62</v>
      </c>
    </row>
    <row r="5415">
      <c r="A5415" s="9">
        <v>43946</v>
      </c>
      <c r="B5415" s="2" t="inlineStr">
        <is>
          <t xml:space="preserve">2020-04</t>
        </is>
      </c>
      <c r="C5415" s="2" t="inlineStr">
        <is>
          <t xml:space="preserve">2019/20</t>
        </is>
      </c>
      <c r="D5415">
        <v>0.266</v>
      </c>
      <c r="E5415">
        <v>27.66</v>
      </c>
      <c r="F5415">
        <v>34.9</v>
      </c>
      <c r="G5415">
        <v>21.37</v>
      </c>
      <c r="H5415">
        <v>0.38</v>
      </c>
      <c r="I5415">
        <v>2.056</v>
      </c>
      <c r="J5415">
        <v>26.48</v>
      </c>
      <c r="K5415">
        <v>33.2</v>
      </c>
      <c r="L5415">
        <v>21.02</v>
      </c>
      <c r="M5415">
        <v>3.21</v>
      </c>
      <c r="N5415">
        <v>8.088</v>
      </c>
      <c r="O5415">
        <v>27.34</v>
      </c>
      <c r="P5415">
        <v>34.39</v>
      </c>
      <c r="Q5415">
        <v>21.86</v>
      </c>
      <c r="R5415">
        <v>2.63</v>
      </c>
    </row>
    <row r="5416">
      <c r="A5416" s="9">
        <v>43947</v>
      </c>
      <c r="B5416" s="2" t="inlineStr">
        <is>
          <t xml:space="preserve">2020-04</t>
        </is>
      </c>
      <c r="C5416" s="2" t="inlineStr">
        <is>
          <t xml:space="preserve">2019/20</t>
        </is>
      </c>
      <c r="D5416">
        <v>0.118</v>
      </c>
      <c r="E5416">
        <v>26.43</v>
      </c>
      <c r="F5416">
        <v>33.14</v>
      </c>
      <c r="G5416">
        <v>21.05</v>
      </c>
      <c r="H5416">
        <v>0.02</v>
      </c>
      <c r="I5416">
        <v>0.0</v>
      </c>
      <c r="J5416">
        <v>26.1</v>
      </c>
      <c r="K5416">
        <v>31.49</v>
      </c>
      <c r="L5416">
        <v>22.61</v>
      </c>
      <c r="M5416">
        <v>0.1</v>
      </c>
      <c r="N5416">
        <v>0.0</v>
      </c>
      <c r="O5416">
        <v>25.88</v>
      </c>
      <c r="P5416">
        <v>30.96</v>
      </c>
      <c r="Q5416">
        <v>22.34</v>
      </c>
      <c r="R5416">
        <v>0.02</v>
      </c>
    </row>
    <row r="5417">
      <c r="A5417" s="9">
        <v>43948</v>
      </c>
      <c r="B5417" s="2" t="inlineStr">
        <is>
          <t xml:space="preserve">2020-04</t>
        </is>
      </c>
      <c r="C5417" s="2" t="inlineStr">
        <is>
          <t xml:space="preserve">2019/20</t>
        </is>
      </c>
      <c r="D5417">
        <v>0.0</v>
      </c>
      <c r="E5417">
        <v>25.96</v>
      </c>
      <c r="F5417">
        <v>34.01</v>
      </c>
      <c r="G5417">
        <v>19.71</v>
      </c>
      <c r="H5417">
        <v>0.0</v>
      </c>
      <c r="I5417">
        <v>0.0</v>
      </c>
      <c r="J5417">
        <v>26.54</v>
      </c>
      <c r="K5417">
        <v>33.7</v>
      </c>
      <c r="L5417">
        <v>20.92</v>
      </c>
      <c r="M5417">
        <v>0.04</v>
      </c>
      <c r="N5417">
        <v>0.0</v>
      </c>
      <c r="O5417">
        <v>25.78</v>
      </c>
      <c r="P5417">
        <v>32.92</v>
      </c>
      <c r="Q5417">
        <v>21.52</v>
      </c>
      <c r="R5417">
        <v>0.0</v>
      </c>
    </row>
    <row r="5418">
      <c r="A5418" s="9">
        <v>43949</v>
      </c>
      <c r="B5418" s="2" t="inlineStr">
        <is>
          <t xml:space="preserve">2020-04</t>
        </is>
      </c>
      <c r="C5418" s="2" t="inlineStr">
        <is>
          <t xml:space="preserve">2019/20</t>
        </is>
      </c>
      <c r="D5418">
        <v>0.0</v>
      </c>
      <c r="E5418">
        <v>26.52</v>
      </c>
      <c r="F5418">
        <v>34.21</v>
      </c>
      <c r="G5418">
        <v>20.28</v>
      </c>
      <c r="H5418">
        <v>0.52</v>
      </c>
      <c r="I5418">
        <v>0.0</v>
      </c>
      <c r="J5418">
        <v>25.99</v>
      </c>
      <c r="K5418">
        <v>32.29</v>
      </c>
      <c r="L5418">
        <v>20.7</v>
      </c>
      <c r="M5418">
        <v>0.99</v>
      </c>
      <c r="N5418">
        <v>0.0</v>
      </c>
      <c r="O5418">
        <v>25.5</v>
      </c>
      <c r="P5418">
        <v>32.16</v>
      </c>
      <c r="Q5418">
        <v>20.99</v>
      </c>
      <c r="R5418">
        <v>1.32</v>
      </c>
    </row>
    <row r="5419">
      <c r="A5419" s="9">
        <v>43950</v>
      </c>
      <c r="B5419" s="2" t="inlineStr">
        <is>
          <t xml:space="preserve">2020-04</t>
        </is>
      </c>
      <c r="C5419" s="2" t="inlineStr">
        <is>
          <t xml:space="preserve">2019/20</t>
        </is>
      </c>
      <c r="D5419">
        <v>2.897</v>
      </c>
      <c r="E5419">
        <v>25.71</v>
      </c>
      <c r="F5419">
        <v>30.99</v>
      </c>
      <c r="G5419">
        <v>21.45</v>
      </c>
      <c r="H5419">
        <v>1.8</v>
      </c>
      <c r="I5419">
        <v>2.242</v>
      </c>
      <c r="J5419">
        <v>24.78</v>
      </c>
      <c r="K5419">
        <v>30.44</v>
      </c>
      <c r="L5419">
        <v>21.29</v>
      </c>
      <c r="M5419">
        <v>3.52</v>
      </c>
      <c r="N5419">
        <v>7.953</v>
      </c>
      <c r="O5419">
        <v>24.83</v>
      </c>
      <c r="P5419">
        <v>30.95</v>
      </c>
      <c r="Q5419">
        <v>20.98</v>
      </c>
      <c r="R5419">
        <v>4.12</v>
      </c>
    </row>
    <row r="5420">
      <c r="A5420" s="9">
        <v>43951</v>
      </c>
      <c r="B5420" s="2" t="inlineStr">
        <is>
          <t xml:space="preserve">2020-04</t>
        </is>
      </c>
      <c r="C5420" s="2" t="inlineStr">
        <is>
          <t xml:space="preserve">2019/20</t>
        </is>
      </c>
      <c r="D5420">
        <v>0.058</v>
      </c>
      <c r="E5420">
        <v>25.84</v>
      </c>
      <c r="F5420">
        <v>32.35</v>
      </c>
      <c r="G5420">
        <v>21.35</v>
      </c>
      <c r="H5420">
        <v>4.66</v>
      </c>
      <c r="I5420">
        <v>1.339</v>
      </c>
      <c r="J5420">
        <v>24.35</v>
      </c>
      <c r="K5420">
        <v>29.09</v>
      </c>
      <c r="L5420">
        <v>21.77</v>
      </c>
      <c r="M5420">
        <v>0.43</v>
      </c>
      <c r="N5420">
        <v>0.07</v>
      </c>
      <c r="O5420">
        <v>24.71</v>
      </c>
      <c r="P5420">
        <v>29.35</v>
      </c>
      <c r="Q5420">
        <v>21.6</v>
      </c>
      <c r="R5420">
        <v>0.1</v>
      </c>
    </row>
    <row r="5421">
      <c r="A5421" s="9">
        <v>43952</v>
      </c>
      <c r="B5421" s="2" t="inlineStr">
        <is>
          <t xml:space="preserve">2020-05</t>
        </is>
      </c>
      <c r="C5421" s="2" t="inlineStr">
        <is>
          <t xml:space="preserve">2019/20</t>
        </is>
      </c>
      <c r="D5421">
        <v>3.159</v>
      </c>
      <c r="E5421">
        <v>23.91</v>
      </c>
      <c r="F5421">
        <v>29.86</v>
      </c>
      <c r="G5421">
        <v>20.34</v>
      </c>
      <c r="H5421">
        <v>0.74</v>
      </c>
      <c r="I5421">
        <v>0.0</v>
      </c>
      <c r="J5421">
        <v>23.76</v>
      </c>
      <c r="K5421">
        <v>28.33</v>
      </c>
      <c r="L5421">
        <v>20.41</v>
      </c>
      <c r="M5421">
        <v>0.07</v>
      </c>
      <c r="N5421">
        <v>0.0</v>
      </c>
      <c r="O5421">
        <v>23.49</v>
      </c>
      <c r="P5421">
        <v>27.55</v>
      </c>
      <c r="Q5421">
        <v>20.35</v>
      </c>
      <c r="R5421">
        <v>0.03</v>
      </c>
    </row>
    <row r="5422">
      <c r="A5422" s="9">
        <v>43953</v>
      </c>
      <c r="B5422" s="2" t="inlineStr">
        <is>
          <t xml:space="preserve">2020-05</t>
        </is>
      </c>
      <c r="C5422" s="2" t="inlineStr">
        <is>
          <t xml:space="preserve">2019/20</t>
        </is>
      </c>
      <c r="D5422">
        <v>0.592</v>
      </c>
      <c r="E5422">
        <v>24.47</v>
      </c>
      <c r="F5422">
        <v>32.66</v>
      </c>
      <c r="G5422">
        <v>18.57</v>
      </c>
      <c r="H5422">
        <v>1.33</v>
      </c>
      <c r="I5422">
        <v>0.53</v>
      </c>
      <c r="J5422">
        <v>24.97</v>
      </c>
      <c r="K5422">
        <v>32.99</v>
      </c>
      <c r="L5422">
        <v>19.36</v>
      </c>
      <c r="M5422">
        <v>0.68</v>
      </c>
      <c r="N5422">
        <v>0.0</v>
      </c>
      <c r="O5422">
        <v>24.47</v>
      </c>
      <c r="P5422">
        <v>31.87</v>
      </c>
      <c r="Q5422">
        <v>19.72</v>
      </c>
      <c r="R5422">
        <v>0.79</v>
      </c>
    </row>
    <row r="5423">
      <c r="A5423" s="9">
        <v>43954</v>
      </c>
      <c r="B5423" s="2" t="inlineStr">
        <is>
          <t xml:space="preserve">2020-05</t>
        </is>
      </c>
      <c r="C5423" s="2" t="inlineStr">
        <is>
          <t xml:space="preserve">2019/20</t>
        </is>
      </c>
      <c r="D5423">
        <v>0.0</v>
      </c>
      <c r="E5423">
        <v>25.66</v>
      </c>
      <c r="F5423">
        <v>33.98</v>
      </c>
      <c r="G5423">
        <v>19.36</v>
      </c>
      <c r="H5423">
        <v>0.78</v>
      </c>
      <c r="I5423">
        <v>0.0</v>
      </c>
      <c r="J5423">
        <v>25.43</v>
      </c>
      <c r="K5423">
        <v>32.69</v>
      </c>
      <c r="L5423">
        <v>19.71</v>
      </c>
      <c r="M5423">
        <v>0.17</v>
      </c>
      <c r="N5423">
        <v>0.051</v>
      </c>
      <c r="O5423">
        <v>24.28</v>
      </c>
      <c r="P5423">
        <v>30.87</v>
      </c>
      <c r="Q5423">
        <v>19.82</v>
      </c>
      <c r="R5423">
        <v>2.47</v>
      </c>
    </row>
    <row r="5424">
      <c r="A5424" s="9">
        <v>43955</v>
      </c>
      <c r="B5424" s="2" t="inlineStr">
        <is>
          <t xml:space="preserve">2020-05</t>
        </is>
      </c>
      <c r="C5424" s="2" t="inlineStr">
        <is>
          <t xml:space="preserve">2019/20</t>
        </is>
      </c>
      <c r="D5424">
        <v>0.0</v>
      </c>
      <c r="E5424">
        <v>25.7</v>
      </c>
      <c r="F5424">
        <v>32.38</v>
      </c>
      <c r="G5424">
        <v>19.94</v>
      </c>
      <c r="H5424">
        <v>0.05</v>
      </c>
      <c r="I5424">
        <v>0.0</v>
      </c>
      <c r="J5424">
        <v>25.68</v>
      </c>
      <c r="K5424">
        <v>31.91</v>
      </c>
      <c r="L5424">
        <v>20.9</v>
      </c>
      <c r="M5424">
        <v>1.44</v>
      </c>
      <c r="N5424">
        <v>0.0</v>
      </c>
      <c r="O5424">
        <v>24.88</v>
      </c>
      <c r="P5424">
        <v>30.61</v>
      </c>
      <c r="Q5424">
        <v>20.99</v>
      </c>
      <c r="R5424">
        <v>0.22</v>
      </c>
    </row>
    <row r="5425">
      <c r="A5425" s="9">
        <v>43956</v>
      </c>
      <c r="B5425" s="2" t="inlineStr">
        <is>
          <t xml:space="preserve">2020-05</t>
        </is>
      </c>
      <c r="C5425" s="2" t="inlineStr">
        <is>
          <t xml:space="preserve">2019/20</t>
        </is>
      </c>
      <c r="D5425">
        <v>0.202</v>
      </c>
      <c r="E5425">
        <v>25.28</v>
      </c>
      <c r="F5425">
        <v>31.0</v>
      </c>
      <c r="G5425">
        <v>20.84</v>
      </c>
      <c r="H5425">
        <v>0.15</v>
      </c>
      <c r="I5425">
        <v>4.125</v>
      </c>
      <c r="J5425">
        <v>23.97</v>
      </c>
      <c r="K5425">
        <v>28.09</v>
      </c>
      <c r="L5425">
        <v>21.05</v>
      </c>
      <c r="M5425">
        <v>3.09</v>
      </c>
      <c r="N5425">
        <v>0.342</v>
      </c>
      <c r="O5425">
        <v>24.18</v>
      </c>
      <c r="P5425">
        <v>29.32</v>
      </c>
      <c r="Q5425">
        <v>21.07</v>
      </c>
      <c r="R5425">
        <v>0.37</v>
      </c>
    </row>
    <row r="5426">
      <c r="A5426" s="9">
        <v>43957</v>
      </c>
      <c r="B5426" s="2" t="inlineStr">
        <is>
          <t xml:space="preserve">2020-05</t>
        </is>
      </c>
      <c r="C5426" s="2" t="inlineStr">
        <is>
          <t xml:space="preserve">2019/20</t>
        </is>
      </c>
      <c r="D5426">
        <v>2.546</v>
      </c>
      <c r="E5426">
        <v>25.56</v>
      </c>
      <c r="F5426">
        <v>32.94</v>
      </c>
      <c r="G5426">
        <v>19.84</v>
      </c>
      <c r="H5426">
        <v>1.95</v>
      </c>
      <c r="I5426">
        <v>3.58</v>
      </c>
      <c r="J5426">
        <v>25.56</v>
      </c>
      <c r="K5426">
        <v>33.19</v>
      </c>
      <c r="L5426">
        <v>19.81</v>
      </c>
      <c r="M5426">
        <v>2.79</v>
      </c>
      <c r="N5426">
        <v>2.243</v>
      </c>
      <c r="O5426">
        <v>24.98</v>
      </c>
      <c r="P5426">
        <v>31.88</v>
      </c>
      <c r="Q5426">
        <v>20.48</v>
      </c>
      <c r="R5426">
        <v>2.17</v>
      </c>
    </row>
    <row r="5427">
      <c r="A5427" s="9">
        <v>43958</v>
      </c>
      <c r="B5427" s="2" t="inlineStr">
        <is>
          <t xml:space="preserve">2020-05</t>
        </is>
      </c>
      <c r="C5427" s="2" t="inlineStr">
        <is>
          <t xml:space="preserve">2019/20</t>
        </is>
      </c>
      <c r="D5427">
        <v>0.084</v>
      </c>
      <c r="E5427">
        <v>23.86</v>
      </c>
      <c r="F5427">
        <v>28.95</v>
      </c>
      <c r="G5427">
        <v>21.1</v>
      </c>
      <c r="H5427">
        <v>1.95</v>
      </c>
      <c r="I5427">
        <v>0.0</v>
      </c>
      <c r="J5427">
        <v>24.11</v>
      </c>
      <c r="K5427">
        <v>28.68</v>
      </c>
      <c r="L5427">
        <v>20.83</v>
      </c>
      <c r="M5427">
        <v>0.5</v>
      </c>
      <c r="N5427">
        <v>0.0</v>
      </c>
      <c r="O5427">
        <v>23.71</v>
      </c>
      <c r="P5427">
        <v>28.07</v>
      </c>
      <c r="Q5427">
        <v>20.8</v>
      </c>
      <c r="R5427">
        <v>4.45</v>
      </c>
    </row>
    <row r="5428">
      <c r="A5428" s="9">
        <v>43959</v>
      </c>
      <c r="B5428" s="2" t="inlineStr">
        <is>
          <t xml:space="preserve">2020-05</t>
        </is>
      </c>
      <c r="C5428" s="2" t="inlineStr">
        <is>
          <t xml:space="preserve">2019/20</t>
        </is>
      </c>
      <c r="D5428">
        <v>0.0</v>
      </c>
      <c r="E5428">
        <v>25.89</v>
      </c>
      <c r="F5428">
        <v>33.72</v>
      </c>
      <c r="G5428">
        <v>20.13</v>
      </c>
      <c r="H5428">
        <v>0.26</v>
      </c>
      <c r="I5428">
        <v>1.347</v>
      </c>
      <c r="J5428">
        <v>25.06</v>
      </c>
      <c r="K5428">
        <v>30.89</v>
      </c>
      <c r="L5428">
        <v>20.63</v>
      </c>
      <c r="M5428">
        <v>1.12</v>
      </c>
      <c r="N5428">
        <v>0.065</v>
      </c>
      <c r="O5428">
        <v>25.23</v>
      </c>
      <c r="P5428">
        <v>32.75</v>
      </c>
      <c r="Q5428">
        <v>20.67</v>
      </c>
      <c r="R5428">
        <v>0.56</v>
      </c>
    </row>
    <row r="5429">
      <c r="A5429" s="9">
        <v>43960</v>
      </c>
      <c r="B5429" s="2" t="inlineStr">
        <is>
          <t xml:space="preserve">2020-05</t>
        </is>
      </c>
      <c r="C5429" s="2" t="inlineStr">
        <is>
          <t xml:space="preserve">2019/20</t>
        </is>
      </c>
      <c r="D5429">
        <v>6.583</v>
      </c>
      <c r="E5429">
        <v>25.21</v>
      </c>
      <c r="F5429">
        <v>31.37</v>
      </c>
      <c r="G5429">
        <v>21.05</v>
      </c>
      <c r="H5429">
        <v>6.23</v>
      </c>
      <c r="I5429">
        <v>34.878</v>
      </c>
      <c r="J5429">
        <v>23.45</v>
      </c>
      <c r="K5429">
        <v>25.94</v>
      </c>
      <c r="L5429">
        <v>21.2</v>
      </c>
      <c r="M5429">
        <v>25.98</v>
      </c>
      <c r="N5429">
        <v>15.935</v>
      </c>
      <c r="O5429">
        <v>24.24</v>
      </c>
      <c r="P5429">
        <v>28.34</v>
      </c>
      <c r="Q5429">
        <v>21.66</v>
      </c>
      <c r="R5429">
        <v>13.78</v>
      </c>
    </row>
    <row r="5430">
      <c r="A5430" s="9">
        <v>43961</v>
      </c>
      <c r="B5430" s="2" t="inlineStr">
        <is>
          <t xml:space="preserve">2020-05</t>
        </is>
      </c>
      <c r="C5430" s="2" t="inlineStr">
        <is>
          <t xml:space="preserve">2019/20</t>
        </is>
      </c>
      <c r="D5430">
        <v>0.04</v>
      </c>
      <c r="E5430">
        <v>24.07</v>
      </c>
      <c r="F5430">
        <v>29.55</v>
      </c>
      <c r="G5430">
        <v>20.09</v>
      </c>
      <c r="H5430">
        <v>0.85</v>
      </c>
      <c r="I5430">
        <v>0.0</v>
      </c>
      <c r="J5430">
        <v>24.44</v>
      </c>
      <c r="K5430">
        <v>29.2</v>
      </c>
      <c r="L5430">
        <v>20.58</v>
      </c>
      <c r="M5430">
        <v>2.57</v>
      </c>
      <c r="N5430">
        <v>0.041</v>
      </c>
      <c r="O5430">
        <v>24.1</v>
      </c>
      <c r="P5430">
        <v>28.85</v>
      </c>
      <c r="Q5430">
        <v>20.64</v>
      </c>
      <c r="R5430">
        <v>0.19</v>
      </c>
    </row>
    <row r="5431">
      <c r="A5431" s="9">
        <v>43962</v>
      </c>
      <c r="B5431" s="2" t="inlineStr">
        <is>
          <t xml:space="preserve">2020-05</t>
        </is>
      </c>
      <c r="C5431" s="2" t="inlineStr">
        <is>
          <t xml:space="preserve">2019/20</t>
        </is>
      </c>
      <c r="D5431">
        <v>2.237</v>
      </c>
      <c r="E5431">
        <v>23.01</v>
      </c>
      <c r="F5431">
        <v>29.2</v>
      </c>
      <c r="G5431">
        <v>18.65</v>
      </c>
      <c r="H5431">
        <v>3.84</v>
      </c>
      <c r="I5431">
        <v>3.995</v>
      </c>
      <c r="J5431">
        <v>24.78</v>
      </c>
      <c r="K5431">
        <v>31.26</v>
      </c>
      <c r="L5431">
        <v>20.24</v>
      </c>
      <c r="M5431">
        <v>2.44</v>
      </c>
      <c r="N5431">
        <v>0.0</v>
      </c>
      <c r="O5431">
        <v>23.71</v>
      </c>
      <c r="P5431">
        <v>29.75</v>
      </c>
      <c r="Q5431">
        <v>20.01</v>
      </c>
      <c r="R5431">
        <v>3.33</v>
      </c>
    </row>
    <row r="5432">
      <c r="A5432" s="9">
        <v>43963</v>
      </c>
      <c r="B5432" s="2" t="inlineStr">
        <is>
          <t xml:space="preserve">2020-05</t>
        </is>
      </c>
      <c r="C5432" s="2" t="inlineStr">
        <is>
          <t xml:space="preserve">2019/20</t>
        </is>
      </c>
      <c r="D5432">
        <v>0.0</v>
      </c>
      <c r="E5432">
        <v>25.1</v>
      </c>
      <c r="F5432">
        <v>32.61</v>
      </c>
      <c r="G5432">
        <v>18.43</v>
      </c>
      <c r="H5432">
        <v>0.01</v>
      </c>
      <c r="I5432">
        <v>0.0</v>
      </c>
      <c r="J5432">
        <v>26.19</v>
      </c>
      <c r="K5432">
        <v>33.47</v>
      </c>
      <c r="L5432">
        <v>20.09</v>
      </c>
      <c r="M5432">
        <v>0.05</v>
      </c>
      <c r="N5432">
        <v>0.0</v>
      </c>
      <c r="O5432">
        <v>25.13</v>
      </c>
      <c r="P5432">
        <v>32.39</v>
      </c>
      <c r="Q5432">
        <v>19.15</v>
      </c>
      <c r="R5432">
        <v>0.09</v>
      </c>
    </row>
    <row r="5433">
      <c r="A5433" s="9">
        <v>43964</v>
      </c>
      <c r="B5433" s="2" t="inlineStr">
        <is>
          <t xml:space="preserve">2020-05</t>
        </is>
      </c>
      <c r="C5433" s="2" t="inlineStr">
        <is>
          <t xml:space="preserve">2019/20</t>
        </is>
      </c>
      <c r="D5433">
        <v>0.099</v>
      </c>
      <c r="E5433">
        <v>25.52</v>
      </c>
      <c r="F5433">
        <v>32.94</v>
      </c>
      <c r="G5433">
        <v>20.72</v>
      </c>
      <c r="H5433">
        <v>1.06</v>
      </c>
      <c r="I5433">
        <v>0.0</v>
      </c>
      <c r="J5433">
        <v>26.74</v>
      </c>
      <c r="K5433">
        <v>33.89</v>
      </c>
      <c r="L5433">
        <v>21.47</v>
      </c>
      <c r="M5433">
        <v>1.74</v>
      </c>
      <c r="N5433">
        <v>0.0</v>
      </c>
      <c r="O5433">
        <v>26.68</v>
      </c>
      <c r="P5433">
        <v>34.6</v>
      </c>
      <c r="Q5433">
        <v>20.15</v>
      </c>
      <c r="R5433">
        <v>0.37</v>
      </c>
    </row>
    <row r="5434">
      <c r="A5434" s="9">
        <v>43965</v>
      </c>
      <c r="B5434" s="2" t="inlineStr">
        <is>
          <t xml:space="preserve">2020-05</t>
        </is>
      </c>
      <c r="C5434" s="2" t="inlineStr">
        <is>
          <t xml:space="preserve">2019/20</t>
        </is>
      </c>
      <c r="D5434">
        <v>5.393</v>
      </c>
      <c r="E5434">
        <v>24.75</v>
      </c>
      <c r="F5434">
        <v>30.1</v>
      </c>
      <c r="G5434">
        <v>21.38</v>
      </c>
      <c r="H5434">
        <v>10.82</v>
      </c>
      <c r="I5434">
        <v>24.111</v>
      </c>
      <c r="J5434">
        <v>24.96</v>
      </c>
      <c r="K5434">
        <v>29.49</v>
      </c>
      <c r="L5434">
        <v>21.55</v>
      </c>
      <c r="M5434">
        <v>17.0</v>
      </c>
      <c r="N5434">
        <v>3.631</v>
      </c>
      <c r="O5434">
        <v>24.98</v>
      </c>
      <c r="P5434">
        <v>30.46</v>
      </c>
      <c r="Q5434">
        <v>21.57</v>
      </c>
      <c r="R5434">
        <v>7.76</v>
      </c>
    </row>
    <row r="5435">
      <c r="A5435" s="9">
        <v>43966</v>
      </c>
      <c r="B5435" s="2" t="inlineStr">
        <is>
          <t xml:space="preserve">2020-05</t>
        </is>
      </c>
      <c r="C5435" s="2" t="inlineStr">
        <is>
          <t xml:space="preserve">2019/20</t>
        </is>
      </c>
      <c r="D5435">
        <v>15.242</v>
      </c>
      <c r="E5435">
        <v>25.02</v>
      </c>
      <c r="F5435">
        <v>30.61</v>
      </c>
      <c r="G5435">
        <v>21.16</v>
      </c>
      <c r="H5435">
        <v>1.61</v>
      </c>
      <c r="I5435">
        <v>8.36</v>
      </c>
      <c r="J5435">
        <v>24.85</v>
      </c>
      <c r="K5435">
        <v>29.31</v>
      </c>
      <c r="L5435">
        <v>21.84</v>
      </c>
      <c r="M5435">
        <v>4.72</v>
      </c>
      <c r="N5435">
        <v>3.229</v>
      </c>
      <c r="O5435">
        <v>26.02</v>
      </c>
      <c r="P5435">
        <v>31.3</v>
      </c>
      <c r="Q5435">
        <v>21.92</v>
      </c>
      <c r="R5435">
        <v>3.01</v>
      </c>
    </row>
    <row r="5436">
      <c r="A5436" s="9">
        <v>43967</v>
      </c>
      <c r="B5436" s="2" t="inlineStr">
        <is>
          <t xml:space="preserve">2020-05</t>
        </is>
      </c>
      <c r="C5436" s="2" t="inlineStr">
        <is>
          <t xml:space="preserve">2019/20</t>
        </is>
      </c>
      <c r="D5436">
        <v>0.571</v>
      </c>
      <c r="E5436">
        <v>25.17</v>
      </c>
      <c r="F5436">
        <v>31.0</v>
      </c>
      <c r="G5436">
        <v>20.65</v>
      </c>
      <c r="H5436">
        <v>0.56</v>
      </c>
      <c r="I5436">
        <v>0.054</v>
      </c>
      <c r="J5436">
        <v>25.32</v>
      </c>
      <c r="K5436">
        <v>30.7</v>
      </c>
      <c r="L5436">
        <v>20.89</v>
      </c>
      <c r="M5436">
        <v>0.17</v>
      </c>
      <c r="N5436">
        <v>0.344</v>
      </c>
      <c r="O5436">
        <v>26.62</v>
      </c>
      <c r="P5436">
        <v>32.01</v>
      </c>
      <c r="Q5436">
        <v>21.95</v>
      </c>
      <c r="R5436">
        <v>0.2</v>
      </c>
    </row>
    <row r="5437">
      <c r="A5437" s="9">
        <v>43968</v>
      </c>
      <c r="B5437" s="2" t="inlineStr">
        <is>
          <t xml:space="preserve">2020-05</t>
        </is>
      </c>
      <c r="C5437" s="2" t="inlineStr">
        <is>
          <t xml:space="preserve">2019/20</t>
        </is>
      </c>
      <c r="D5437">
        <v>0.13</v>
      </c>
      <c r="E5437">
        <v>26.48</v>
      </c>
      <c r="F5437">
        <v>33.47</v>
      </c>
      <c r="G5437">
        <v>21.3</v>
      </c>
      <c r="H5437">
        <v>6.65</v>
      </c>
      <c r="I5437">
        <v>0.022</v>
      </c>
      <c r="J5437">
        <v>26.54</v>
      </c>
      <c r="K5437">
        <v>32.89</v>
      </c>
      <c r="L5437">
        <v>20.73</v>
      </c>
      <c r="M5437">
        <v>4.1</v>
      </c>
      <c r="N5437">
        <v>0.161</v>
      </c>
      <c r="O5437">
        <v>27.63</v>
      </c>
      <c r="P5437">
        <v>34.68</v>
      </c>
      <c r="Q5437">
        <v>22.16</v>
      </c>
      <c r="R5437">
        <v>2.33</v>
      </c>
    </row>
    <row r="5438">
      <c r="A5438" s="9">
        <v>43969</v>
      </c>
      <c r="B5438" s="2" t="inlineStr">
        <is>
          <t xml:space="preserve">2020-05</t>
        </is>
      </c>
      <c r="C5438" s="2" t="inlineStr">
        <is>
          <t xml:space="preserve">2019/20</t>
        </is>
      </c>
      <c r="D5438">
        <v>60.277</v>
      </c>
      <c r="E5438">
        <v>23.65</v>
      </c>
      <c r="F5438">
        <v>26.98</v>
      </c>
      <c r="G5438">
        <v>21.22</v>
      </c>
      <c r="H5438">
        <v>33.75</v>
      </c>
      <c r="I5438">
        <v>18.533</v>
      </c>
      <c r="J5438">
        <v>24.07</v>
      </c>
      <c r="K5438">
        <v>27.34</v>
      </c>
      <c r="L5438">
        <v>21.85</v>
      </c>
      <c r="M5438">
        <v>16.8</v>
      </c>
      <c r="N5438">
        <v>19.128</v>
      </c>
      <c r="O5438">
        <v>23.96</v>
      </c>
      <c r="P5438">
        <v>26.63</v>
      </c>
      <c r="Q5438">
        <v>21.74</v>
      </c>
      <c r="R5438">
        <v>22.97</v>
      </c>
    </row>
    <row r="5439">
      <c r="A5439" s="9">
        <v>43970</v>
      </c>
      <c r="B5439" s="2" t="inlineStr">
        <is>
          <t xml:space="preserve">2020-05</t>
        </is>
      </c>
      <c r="C5439" s="2" t="inlineStr">
        <is>
          <t xml:space="preserve">2019/20</t>
        </is>
      </c>
      <c r="D5439">
        <v>3.901</v>
      </c>
      <c r="E5439">
        <v>24.66</v>
      </c>
      <c r="F5439">
        <v>31.59</v>
      </c>
      <c r="G5439">
        <v>20.07</v>
      </c>
      <c r="H5439">
        <v>17.19</v>
      </c>
      <c r="I5439">
        <v>5.212</v>
      </c>
      <c r="J5439">
        <v>25.62</v>
      </c>
      <c r="K5439">
        <v>32.14</v>
      </c>
      <c r="L5439">
        <v>20.61</v>
      </c>
      <c r="M5439">
        <v>7.97</v>
      </c>
      <c r="N5439">
        <v>0.315</v>
      </c>
      <c r="O5439">
        <v>25.92</v>
      </c>
      <c r="P5439">
        <v>33.41</v>
      </c>
      <c r="Q5439">
        <v>20.59</v>
      </c>
      <c r="R5439">
        <v>6.82</v>
      </c>
    </row>
    <row r="5440">
      <c r="A5440" s="9">
        <v>43971</v>
      </c>
      <c r="B5440" s="2" t="inlineStr">
        <is>
          <t xml:space="preserve">2020-05</t>
        </is>
      </c>
      <c r="C5440" s="2" t="inlineStr">
        <is>
          <t xml:space="preserve">2019/20</t>
        </is>
      </c>
      <c r="D5440">
        <v>14.164</v>
      </c>
      <c r="E5440">
        <v>22.77</v>
      </c>
      <c r="F5440">
        <v>26.56</v>
      </c>
      <c r="G5440">
        <v>19.77</v>
      </c>
      <c r="H5440">
        <v>13.88</v>
      </c>
      <c r="I5440">
        <v>11.117</v>
      </c>
      <c r="J5440">
        <v>23.17</v>
      </c>
      <c r="K5440">
        <v>27.66</v>
      </c>
      <c r="L5440">
        <v>20.31</v>
      </c>
      <c r="M5440">
        <v>18.49</v>
      </c>
      <c r="N5440">
        <v>44.194</v>
      </c>
      <c r="O5440">
        <v>24.44</v>
      </c>
      <c r="P5440">
        <v>29.48</v>
      </c>
      <c r="Q5440">
        <v>21.71</v>
      </c>
      <c r="R5440">
        <v>16.4</v>
      </c>
    </row>
    <row r="5441">
      <c r="A5441" s="9">
        <v>43972</v>
      </c>
      <c r="B5441" s="2" t="inlineStr">
        <is>
          <t xml:space="preserve">2020-05</t>
        </is>
      </c>
      <c r="C5441" s="2" t="inlineStr">
        <is>
          <t xml:space="preserve">2019/20</t>
        </is>
      </c>
      <c r="D5441">
        <v>4.251</v>
      </c>
      <c r="E5441">
        <v>23.5</v>
      </c>
      <c r="F5441">
        <v>29.79</v>
      </c>
      <c r="G5441">
        <v>18.32</v>
      </c>
      <c r="H5441">
        <v>4.83</v>
      </c>
      <c r="I5441">
        <v>3.896</v>
      </c>
      <c r="J5441">
        <v>23.97</v>
      </c>
      <c r="K5441">
        <v>29.72</v>
      </c>
      <c r="L5441">
        <v>19.81</v>
      </c>
      <c r="M5441">
        <v>4.66</v>
      </c>
      <c r="N5441">
        <v>14.673</v>
      </c>
      <c r="O5441">
        <v>24.98</v>
      </c>
      <c r="P5441">
        <v>31.09</v>
      </c>
      <c r="Q5441">
        <v>19.85</v>
      </c>
      <c r="R5441">
        <v>4.37</v>
      </c>
    </row>
    <row r="5442">
      <c r="A5442" s="9">
        <v>43973</v>
      </c>
      <c r="B5442" s="2" t="inlineStr">
        <is>
          <t xml:space="preserve">2020-05</t>
        </is>
      </c>
      <c r="C5442" s="2" t="inlineStr">
        <is>
          <t xml:space="preserve">2019/20</t>
        </is>
      </c>
      <c r="D5442">
        <v>2.051</v>
      </c>
      <c r="E5442">
        <v>24.05</v>
      </c>
      <c r="F5442">
        <v>30.01</v>
      </c>
      <c r="G5442">
        <v>19.92</v>
      </c>
      <c r="H5442">
        <v>2.56</v>
      </c>
      <c r="I5442">
        <v>1.252</v>
      </c>
      <c r="J5442">
        <v>25.39</v>
      </c>
      <c r="K5442">
        <v>31.58</v>
      </c>
      <c r="L5442">
        <v>20.39</v>
      </c>
      <c r="M5442">
        <v>1.42</v>
      </c>
      <c r="N5442">
        <v>2.526</v>
      </c>
      <c r="O5442">
        <v>25.36</v>
      </c>
      <c r="P5442">
        <v>31.26</v>
      </c>
      <c r="Q5442">
        <v>21.21</v>
      </c>
      <c r="R5442">
        <v>1.42</v>
      </c>
    </row>
    <row r="5443">
      <c r="A5443" s="9">
        <v>43974</v>
      </c>
      <c r="B5443" s="2" t="inlineStr">
        <is>
          <t xml:space="preserve">2020-05</t>
        </is>
      </c>
      <c r="C5443" s="2" t="inlineStr">
        <is>
          <t xml:space="preserve">2019/20</t>
        </is>
      </c>
      <c r="D5443">
        <v>3.518</v>
      </c>
      <c r="E5443">
        <v>25.19</v>
      </c>
      <c r="F5443">
        <v>32.89</v>
      </c>
      <c r="G5443">
        <v>17.52</v>
      </c>
      <c r="H5443">
        <v>0.87</v>
      </c>
      <c r="I5443">
        <v>1.338</v>
      </c>
      <c r="J5443">
        <v>25.47</v>
      </c>
      <c r="K5443">
        <v>31.34</v>
      </c>
      <c r="L5443">
        <v>20.9</v>
      </c>
      <c r="M5443">
        <v>1.72</v>
      </c>
      <c r="N5443">
        <v>1.439</v>
      </c>
      <c r="O5443">
        <v>26.67</v>
      </c>
      <c r="P5443">
        <v>33.45</v>
      </c>
      <c r="Q5443">
        <v>20.6</v>
      </c>
      <c r="R5443">
        <v>1.39</v>
      </c>
    </row>
    <row r="5444">
      <c r="A5444" s="9">
        <v>43975</v>
      </c>
      <c r="B5444" s="2" t="inlineStr">
        <is>
          <t xml:space="preserve">2020-05</t>
        </is>
      </c>
      <c r="C5444" s="2" t="inlineStr">
        <is>
          <t xml:space="preserve">2019/20</t>
        </is>
      </c>
      <c r="D5444">
        <v>0.268</v>
      </c>
      <c r="E5444">
        <v>26.0</v>
      </c>
      <c r="F5444">
        <v>31.67</v>
      </c>
      <c r="G5444">
        <v>20.65</v>
      </c>
      <c r="H5444">
        <v>0.32</v>
      </c>
      <c r="I5444">
        <v>1.183</v>
      </c>
      <c r="J5444">
        <v>26.17</v>
      </c>
      <c r="K5444">
        <v>33.19</v>
      </c>
      <c r="L5444">
        <v>20.34</v>
      </c>
      <c r="M5444">
        <v>1.28</v>
      </c>
      <c r="N5444">
        <v>4.579</v>
      </c>
      <c r="O5444">
        <v>27.2</v>
      </c>
      <c r="P5444">
        <v>34.25</v>
      </c>
      <c r="Q5444">
        <v>20.84</v>
      </c>
      <c r="R5444">
        <v>1.51</v>
      </c>
    </row>
    <row r="5445">
      <c r="A5445" s="9">
        <v>43976</v>
      </c>
      <c r="B5445" s="2" t="inlineStr">
        <is>
          <t xml:space="preserve">2020-05</t>
        </is>
      </c>
      <c r="C5445" s="2" t="inlineStr">
        <is>
          <t xml:space="preserve">2019/20</t>
        </is>
      </c>
      <c r="D5445">
        <v>0.0</v>
      </c>
      <c r="E5445">
        <v>26.23</v>
      </c>
      <c r="F5445">
        <v>32.82</v>
      </c>
      <c r="G5445">
        <v>20.69</v>
      </c>
      <c r="H5445">
        <v>1.46</v>
      </c>
      <c r="I5445">
        <v>0.0</v>
      </c>
      <c r="J5445">
        <v>26.39</v>
      </c>
      <c r="K5445">
        <v>33.7</v>
      </c>
      <c r="L5445">
        <v>20.81</v>
      </c>
      <c r="M5445">
        <v>0.27</v>
      </c>
      <c r="N5445">
        <v>0.0</v>
      </c>
      <c r="O5445">
        <v>28.28</v>
      </c>
      <c r="P5445">
        <v>36.62</v>
      </c>
      <c r="Q5445">
        <v>21.53</v>
      </c>
      <c r="R5445">
        <v>1.15</v>
      </c>
    </row>
    <row r="5446">
      <c r="A5446" s="9">
        <v>43977</v>
      </c>
      <c r="B5446" s="2" t="inlineStr">
        <is>
          <t xml:space="preserve">2020-05</t>
        </is>
      </c>
      <c r="C5446" s="2" t="inlineStr">
        <is>
          <t xml:space="preserve">2019/20</t>
        </is>
      </c>
      <c r="D5446">
        <v>9.876</v>
      </c>
      <c r="E5446">
        <v>24.86</v>
      </c>
      <c r="F5446">
        <v>30.97</v>
      </c>
      <c r="G5446">
        <v>21.59</v>
      </c>
      <c r="H5446">
        <v>14.69</v>
      </c>
      <c r="I5446">
        <v>4.63</v>
      </c>
      <c r="J5446">
        <v>24.51</v>
      </c>
      <c r="K5446">
        <v>29.2</v>
      </c>
      <c r="L5446">
        <v>20.9</v>
      </c>
      <c r="M5446">
        <v>14.05</v>
      </c>
      <c r="N5446">
        <v>12.889</v>
      </c>
      <c r="O5446">
        <v>26.28</v>
      </c>
      <c r="P5446">
        <v>33.26</v>
      </c>
      <c r="Q5446">
        <v>21.49</v>
      </c>
      <c r="R5446">
        <v>14.21</v>
      </c>
    </row>
    <row r="5447">
      <c r="A5447" s="9">
        <v>43978</v>
      </c>
      <c r="B5447" s="2" t="inlineStr">
        <is>
          <t xml:space="preserve">2020-05</t>
        </is>
      </c>
      <c r="C5447" s="2" t="inlineStr">
        <is>
          <t xml:space="preserve">2019/20</t>
        </is>
      </c>
      <c r="D5447">
        <v>17.544</v>
      </c>
      <c r="E5447">
        <v>23.86</v>
      </c>
      <c r="F5447">
        <v>27.8</v>
      </c>
      <c r="G5447">
        <v>21.17</v>
      </c>
      <c r="H5447">
        <v>8.73</v>
      </c>
      <c r="I5447">
        <v>6.028</v>
      </c>
      <c r="J5447">
        <v>25.29</v>
      </c>
      <c r="K5447">
        <v>30.29</v>
      </c>
      <c r="L5447">
        <v>21.84</v>
      </c>
      <c r="M5447">
        <v>3.69</v>
      </c>
      <c r="N5447">
        <v>6.104</v>
      </c>
      <c r="O5447">
        <v>25.48</v>
      </c>
      <c r="P5447">
        <v>31.26</v>
      </c>
      <c r="Q5447">
        <v>21.59</v>
      </c>
      <c r="R5447">
        <v>3.49</v>
      </c>
    </row>
    <row r="5448">
      <c r="A5448" s="9">
        <v>43979</v>
      </c>
      <c r="B5448" s="2" t="inlineStr">
        <is>
          <t xml:space="preserve">2020-05</t>
        </is>
      </c>
      <c r="C5448" s="2" t="inlineStr">
        <is>
          <t xml:space="preserve">2019/20</t>
        </is>
      </c>
      <c r="D5448">
        <v>3.698</v>
      </c>
      <c r="E5448">
        <v>22.48</v>
      </c>
      <c r="F5448">
        <v>26.62</v>
      </c>
      <c r="G5448">
        <v>18.85</v>
      </c>
      <c r="H5448">
        <v>15.05</v>
      </c>
      <c r="I5448">
        <v>1.214</v>
      </c>
      <c r="J5448">
        <v>24.08</v>
      </c>
      <c r="K5448">
        <v>29.37</v>
      </c>
      <c r="L5448">
        <v>21.31</v>
      </c>
      <c r="M5448">
        <v>13.97</v>
      </c>
      <c r="N5448">
        <v>3.503</v>
      </c>
      <c r="O5448">
        <v>24.06</v>
      </c>
      <c r="P5448">
        <v>29.23</v>
      </c>
      <c r="Q5448">
        <v>21.4</v>
      </c>
      <c r="R5448">
        <v>13.05</v>
      </c>
    </row>
    <row r="5449">
      <c r="A5449" s="9">
        <v>43980</v>
      </c>
      <c r="B5449" s="2" t="inlineStr">
        <is>
          <t xml:space="preserve">2020-05</t>
        </is>
      </c>
      <c r="C5449" s="2" t="inlineStr">
        <is>
          <t xml:space="preserve">2019/20</t>
        </is>
      </c>
      <c r="D5449">
        <v>22.32</v>
      </c>
      <c r="E5449">
        <v>20.61</v>
      </c>
      <c r="F5449">
        <v>23.93</v>
      </c>
      <c r="G5449">
        <v>17.3</v>
      </c>
      <c r="H5449">
        <v>13.03</v>
      </c>
      <c r="I5449">
        <v>16.961</v>
      </c>
      <c r="J5449">
        <v>22.66</v>
      </c>
      <c r="K5449">
        <v>26.74</v>
      </c>
      <c r="L5449">
        <v>20.06</v>
      </c>
      <c r="M5449">
        <v>11.81</v>
      </c>
      <c r="N5449">
        <v>18.873</v>
      </c>
      <c r="O5449">
        <v>22.67</v>
      </c>
      <c r="P5449">
        <v>27.1</v>
      </c>
      <c r="Q5449">
        <v>20.55</v>
      </c>
      <c r="R5449">
        <v>12.81</v>
      </c>
    </row>
    <row r="5450">
      <c r="A5450" s="9">
        <v>43981</v>
      </c>
      <c r="B5450" s="2" t="inlineStr">
        <is>
          <t xml:space="preserve">2020-05</t>
        </is>
      </c>
      <c r="C5450" s="2" t="inlineStr">
        <is>
          <t xml:space="preserve">2019/20</t>
        </is>
      </c>
      <c r="D5450">
        <v>7.33</v>
      </c>
      <c r="E5450">
        <v>20.56</v>
      </c>
      <c r="F5450">
        <v>23.16</v>
      </c>
      <c r="G5450">
        <v>18.45</v>
      </c>
      <c r="H5450">
        <v>18.35</v>
      </c>
      <c r="I5450">
        <v>48.276</v>
      </c>
      <c r="J5450">
        <v>21.26</v>
      </c>
      <c r="K5450">
        <v>23.64</v>
      </c>
      <c r="L5450">
        <v>19.55</v>
      </c>
      <c r="M5450">
        <v>38.01</v>
      </c>
      <c r="N5450">
        <v>12.761</v>
      </c>
      <c r="O5450">
        <v>22.23</v>
      </c>
      <c r="P5450">
        <v>25.37</v>
      </c>
      <c r="Q5450">
        <v>19.73</v>
      </c>
      <c r="R5450">
        <v>18.38</v>
      </c>
    </row>
    <row r="5451">
      <c r="A5451" s="9">
        <v>43982</v>
      </c>
      <c r="B5451" s="2" t="inlineStr">
        <is>
          <t xml:space="preserve">2020-05</t>
        </is>
      </c>
      <c r="C5451" s="2" t="inlineStr">
        <is>
          <t xml:space="preserve">2019/20</t>
        </is>
      </c>
      <c r="D5451">
        <v>50.811</v>
      </c>
      <c r="E5451">
        <v>21.14</v>
      </c>
      <c r="F5451">
        <v>24.42</v>
      </c>
      <c r="G5451">
        <v>17.82</v>
      </c>
      <c r="H5451">
        <v>17.51</v>
      </c>
      <c r="I5451">
        <v>56.033</v>
      </c>
      <c r="J5451">
        <v>22.05</v>
      </c>
      <c r="K5451">
        <v>25.73</v>
      </c>
      <c r="L5451">
        <v>19.81</v>
      </c>
      <c r="M5451">
        <v>43.29</v>
      </c>
      <c r="N5451">
        <v>29.562</v>
      </c>
      <c r="O5451">
        <v>23.22</v>
      </c>
      <c r="P5451">
        <v>28.84</v>
      </c>
      <c r="Q5451">
        <v>19.16</v>
      </c>
      <c r="R5451">
        <v>16.05</v>
      </c>
    </row>
    <row r="5452">
      <c r="A5452" s="9">
        <v>43983</v>
      </c>
      <c r="B5452" s="2" t="inlineStr">
        <is>
          <t xml:space="preserve">2020-06</t>
        </is>
      </c>
      <c r="C5452" s="2" t="inlineStr">
        <is>
          <t xml:space="preserve">2019/20</t>
        </is>
      </c>
      <c r="D5452">
        <v>10.609</v>
      </c>
      <c r="E5452">
        <v>20.92</v>
      </c>
      <c r="F5452">
        <v>24.09</v>
      </c>
      <c r="G5452">
        <v>18.47</v>
      </c>
      <c r="H5452">
        <v>8.3</v>
      </c>
      <c r="I5452">
        <v>45.517</v>
      </c>
      <c r="J5452">
        <v>22.15</v>
      </c>
      <c r="K5452">
        <v>24.63</v>
      </c>
      <c r="L5452">
        <v>20.03</v>
      </c>
      <c r="M5452">
        <v>26.53</v>
      </c>
      <c r="N5452">
        <v>4.444</v>
      </c>
      <c r="O5452">
        <v>22.78</v>
      </c>
      <c r="P5452">
        <v>27.58</v>
      </c>
      <c r="Q5452">
        <v>19.29</v>
      </c>
      <c r="R5452">
        <v>7.79</v>
      </c>
    </row>
    <row r="5453">
      <c r="A5453" s="9">
        <v>43984</v>
      </c>
      <c r="B5453" s="2" t="inlineStr">
        <is>
          <t xml:space="preserve">2020-06</t>
        </is>
      </c>
      <c r="C5453" s="2" t="inlineStr">
        <is>
          <t xml:space="preserve">2019/20</t>
        </is>
      </c>
      <c r="D5453">
        <v>8.893</v>
      </c>
      <c r="E5453">
        <v>22.06</v>
      </c>
      <c r="F5453">
        <v>26.34</v>
      </c>
      <c r="G5453">
        <v>18.57</v>
      </c>
      <c r="H5453">
        <v>7.78</v>
      </c>
      <c r="I5453">
        <v>14.458</v>
      </c>
      <c r="J5453">
        <v>22.58</v>
      </c>
      <c r="K5453">
        <v>24.82</v>
      </c>
      <c r="L5453">
        <v>21.02</v>
      </c>
      <c r="M5453">
        <v>12.43</v>
      </c>
      <c r="N5453">
        <v>3.237</v>
      </c>
      <c r="O5453">
        <v>23.43</v>
      </c>
      <c r="P5453">
        <v>26.95</v>
      </c>
      <c r="Q5453">
        <v>21.03</v>
      </c>
      <c r="R5453">
        <v>5.25</v>
      </c>
    </row>
    <row r="5454">
      <c r="A5454" s="9">
        <v>43985</v>
      </c>
      <c r="B5454" s="2" t="inlineStr">
        <is>
          <t xml:space="preserve">2020-06</t>
        </is>
      </c>
      <c r="C5454" s="2" t="inlineStr">
        <is>
          <t xml:space="preserve">2019/20</t>
        </is>
      </c>
      <c r="D5454">
        <v>12.057</v>
      </c>
      <c r="E5454">
        <v>22.17</v>
      </c>
      <c r="F5454">
        <v>25.96</v>
      </c>
      <c r="G5454">
        <v>19.33</v>
      </c>
      <c r="H5454">
        <v>9.13</v>
      </c>
      <c r="I5454">
        <v>3.503</v>
      </c>
      <c r="J5454">
        <v>21.68</v>
      </c>
      <c r="K5454">
        <v>24.1</v>
      </c>
      <c r="L5454">
        <v>19.35</v>
      </c>
      <c r="M5454">
        <v>5.99</v>
      </c>
      <c r="N5454">
        <v>2.145</v>
      </c>
      <c r="O5454">
        <v>22.83</v>
      </c>
      <c r="P5454">
        <v>25.56</v>
      </c>
      <c r="Q5454">
        <v>20.85</v>
      </c>
      <c r="R5454">
        <v>4.51</v>
      </c>
    </row>
    <row r="5455">
      <c r="A5455" s="9">
        <v>43986</v>
      </c>
      <c r="B5455" s="2" t="inlineStr">
        <is>
          <t xml:space="preserve">2020-06</t>
        </is>
      </c>
      <c r="C5455" s="2" t="inlineStr">
        <is>
          <t xml:space="preserve">2019/20</t>
        </is>
      </c>
      <c r="D5455">
        <v>5.768</v>
      </c>
      <c r="E5455">
        <v>21.62</v>
      </c>
      <c r="F5455">
        <v>25.07</v>
      </c>
      <c r="G5455">
        <v>19.6</v>
      </c>
      <c r="H5455">
        <v>3.58</v>
      </c>
      <c r="I5455">
        <v>10.347</v>
      </c>
      <c r="J5455">
        <v>21.67</v>
      </c>
      <c r="K5455">
        <v>24.28</v>
      </c>
      <c r="L5455">
        <v>19.24</v>
      </c>
      <c r="M5455">
        <v>7.64</v>
      </c>
      <c r="N5455">
        <v>2.555</v>
      </c>
      <c r="O5455">
        <v>22.94</v>
      </c>
      <c r="P5455">
        <v>27.42</v>
      </c>
      <c r="Q5455">
        <v>20.4</v>
      </c>
      <c r="R5455">
        <v>3.67</v>
      </c>
    </row>
    <row r="5456">
      <c r="A5456" s="9">
        <v>43987</v>
      </c>
      <c r="B5456" s="2" t="inlineStr">
        <is>
          <t xml:space="preserve">2020-06</t>
        </is>
      </c>
      <c r="C5456" s="2" t="inlineStr">
        <is>
          <t xml:space="preserve">2019/20</t>
        </is>
      </c>
      <c r="D5456">
        <v>10.256</v>
      </c>
      <c r="E5456">
        <v>21.18</v>
      </c>
      <c r="F5456">
        <v>24.53</v>
      </c>
      <c r="G5456">
        <v>18.85</v>
      </c>
      <c r="H5456">
        <v>6.39</v>
      </c>
      <c r="I5456">
        <v>20.5</v>
      </c>
      <c r="J5456">
        <v>21.96</v>
      </c>
      <c r="K5456">
        <v>24.24</v>
      </c>
      <c r="L5456">
        <v>20.47</v>
      </c>
      <c r="M5456">
        <v>12.69</v>
      </c>
      <c r="N5456">
        <v>6.352</v>
      </c>
      <c r="O5456">
        <v>23.14</v>
      </c>
      <c r="P5456">
        <v>27.13</v>
      </c>
      <c r="Q5456">
        <v>20.36</v>
      </c>
      <c r="R5456">
        <v>5.89</v>
      </c>
    </row>
    <row r="5457">
      <c r="A5457" s="9">
        <v>43988</v>
      </c>
      <c r="B5457" s="2" t="inlineStr">
        <is>
          <t xml:space="preserve">2020-06</t>
        </is>
      </c>
      <c r="C5457" s="2" t="inlineStr">
        <is>
          <t xml:space="preserve">2019/20</t>
        </is>
      </c>
      <c r="D5457">
        <v>8.633</v>
      </c>
      <c r="E5457">
        <v>22.32</v>
      </c>
      <c r="F5457">
        <v>27.56</v>
      </c>
      <c r="G5457">
        <v>18.17</v>
      </c>
      <c r="H5457">
        <v>5.46</v>
      </c>
      <c r="I5457">
        <v>5.679</v>
      </c>
      <c r="J5457">
        <v>22.74</v>
      </c>
      <c r="K5457">
        <v>26.68</v>
      </c>
      <c r="L5457">
        <v>19.9</v>
      </c>
      <c r="M5457">
        <v>5.11</v>
      </c>
      <c r="N5457">
        <v>5.674</v>
      </c>
      <c r="O5457">
        <v>23.99</v>
      </c>
      <c r="P5457">
        <v>29.5</v>
      </c>
      <c r="Q5457">
        <v>20.4</v>
      </c>
      <c r="R5457">
        <v>5.17</v>
      </c>
    </row>
    <row r="5458">
      <c r="A5458" s="9">
        <v>43989</v>
      </c>
      <c r="B5458" s="2" t="inlineStr">
        <is>
          <t xml:space="preserve">2020-06</t>
        </is>
      </c>
      <c r="C5458" s="2" t="inlineStr">
        <is>
          <t xml:space="preserve">2019/20</t>
        </is>
      </c>
      <c r="D5458">
        <v>0.0</v>
      </c>
      <c r="E5458">
        <v>23.56</v>
      </c>
      <c r="F5458">
        <v>29.39</v>
      </c>
      <c r="G5458">
        <v>18.72</v>
      </c>
      <c r="H5458">
        <v>0.16</v>
      </c>
      <c r="I5458">
        <v>0.0</v>
      </c>
      <c r="J5458">
        <v>23.38</v>
      </c>
      <c r="K5458">
        <v>28.34</v>
      </c>
      <c r="L5458">
        <v>19.34</v>
      </c>
      <c r="M5458">
        <v>0.01</v>
      </c>
      <c r="N5458">
        <v>0.0</v>
      </c>
      <c r="O5458">
        <v>25.67</v>
      </c>
      <c r="P5458">
        <v>32.35</v>
      </c>
      <c r="Q5458">
        <v>19.82</v>
      </c>
      <c r="R5458">
        <v>0.09</v>
      </c>
    </row>
    <row r="5459">
      <c r="A5459" s="9">
        <v>43990</v>
      </c>
      <c r="B5459" s="2" t="inlineStr">
        <is>
          <t xml:space="preserve">2020-06</t>
        </is>
      </c>
      <c r="C5459" s="2" t="inlineStr">
        <is>
          <t xml:space="preserve">2019/20</t>
        </is>
      </c>
      <c r="D5459">
        <v>0.0</v>
      </c>
      <c r="E5459">
        <v>23.81</v>
      </c>
      <c r="F5459">
        <v>28.01</v>
      </c>
      <c r="G5459">
        <v>20.11</v>
      </c>
      <c r="H5459">
        <v>0.13</v>
      </c>
      <c r="I5459">
        <v>0.0</v>
      </c>
      <c r="J5459">
        <v>23.58</v>
      </c>
      <c r="K5459">
        <v>28.25</v>
      </c>
      <c r="L5459">
        <v>19.98</v>
      </c>
      <c r="M5459">
        <v>0.01</v>
      </c>
      <c r="N5459">
        <v>0.0</v>
      </c>
      <c r="O5459">
        <v>25.86</v>
      </c>
      <c r="P5459">
        <v>31.19</v>
      </c>
      <c r="Q5459">
        <v>21.21</v>
      </c>
      <c r="R5459">
        <v>0.03</v>
      </c>
    </row>
    <row r="5460">
      <c r="A5460" s="9">
        <v>43991</v>
      </c>
      <c r="B5460" s="2" t="inlineStr">
        <is>
          <t xml:space="preserve">2020-06</t>
        </is>
      </c>
      <c r="C5460" s="2" t="inlineStr">
        <is>
          <t xml:space="preserve">2019/20</t>
        </is>
      </c>
      <c r="D5460">
        <v>0.0</v>
      </c>
      <c r="E5460">
        <v>24.57</v>
      </c>
      <c r="F5460">
        <v>29.65</v>
      </c>
      <c r="G5460">
        <v>21.03</v>
      </c>
      <c r="H5460">
        <v>0.65</v>
      </c>
      <c r="I5460">
        <v>0.0</v>
      </c>
      <c r="J5460">
        <v>22.84</v>
      </c>
      <c r="K5460">
        <v>25.76</v>
      </c>
      <c r="L5460">
        <v>20.28</v>
      </c>
      <c r="M5460">
        <v>0.16</v>
      </c>
      <c r="N5460">
        <v>0.0</v>
      </c>
      <c r="O5460">
        <v>25.94</v>
      </c>
      <c r="P5460">
        <v>31.31</v>
      </c>
      <c r="Q5460">
        <v>21.97</v>
      </c>
      <c r="R5460">
        <v>0.43</v>
      </c>
    </row>
    <row r="5461">
      <c r="A5461" s="9">
        <v>43992</v>
      </c>
      <c r="B5461" s="2" t="inlineStr">
        <is>
          <t xml:space="preserve">2020-06</t>
        </is>
      </c>
      <c r="C5461" s="2" t="inlineStr">
        <is>
          <t xml:space="preserve">2019/20</t>
        </is>
      </c>
      <c r="D5461">
        <v>1.563</v>
      </c>
      <c r="E5461">
        <v>24.1</v>
      </c>
      <c r="F5461">
        <v>28.39</v>
      </c>
      <c r="G5461">
        <v>19.72</v>
      </c>
      <c r="H5461">
        <v>2.45</v>
      </c>
      <c r="I5461">
        <v>0.333</v>
      </c>
      <c r="J5461">
        <v>23.9</v>
      </c>
      <c r="K5461">
        <v>28.46</v>
      </c>
      <c r="L5461">
        <v>19.57</v>
      </c>
      <c r="M5461">
        <v>2.25</v>
      </c>
      <c r="N5461">
        <v>0.694</v>
      </c>
      <c r="O5461">
        <v>25.03</v>
      </c>
      <c r="P5461">
        <v>30.56</v>
      </c>
      <c r="Q5461">
        <v>20.87</v>
      </c>
      <c r="R5461">
        <v>2.25</v>
      </c>
    </row>
    <row r="5462">
      <c r="A5462" s="9">
        <v>43993</v>
      </c>
      <c r="B5462" s="2" t="inlineStr">
        <is>
          <t xml:space="preserve">2020-06</t>
        </is>
      </c>
      <c r="C5462" s="2" t="inlineStr">
        <is>
          <t xml:space="preserve">2019/20</t>
        </is>
      </c>
      <c r="D5462">
        <v>4.399</v>
      </c>
      <c r="E5462">
        <v>21.71</v>
      </c>
      <c r="F5462">
        <v>24.4</v>
      </c>
      <c r="G5462">
        <v>19.39</v>
      </c>
      <c r="H5462">
        <v>4.76</v>
      </c>
      <c r="I5462">
        <v>8.798</v>
      </c>
      <c r="J5462">
        <v>22.64</v>
      </c>
      <c r="K5462">
        <v>25.49</v>
      </c>
      <c r="L5462">
        <v>19.74</v>
      </c>
      <c r="M5462">
        <v>6.77</v>
      </c>
      <c r="N5462">
        <v>7.481</v>
      </c>
      <c r="O5462">
        <v>22.99</v>
      </c>
      <c r="P5462">
        <v>25.96</v>
      </c>
      <c r="Q5462">
        <v>20.88</v>
      </c>
      <c r="R5462">
        <v>4.85</v>
      </c>
    </row>
    <row r="5463">
      <c r="A5463" s="9">
        <v>43994</v>
      </c>
      <c r="B5463" s="2" t="inlineStr">
        <is>
          <t xml:space="preserve">2020-06</t>
        </is>
      </c>
      <c r="C5463" s="2" t="inlineStr">
        <is>
          <t xml:space="preserve">2019/20</t>
        </is>
      </c>
      <c r="D5463">
        <v>0.0</v>
      </c>
      <c r="E5463">
        <v>22.41</v>
      </c>
      <c r="F5463">
        <v>27.47</v>
      </c>
      <c r="G5463">
        <v>18.56</v>
      </c>
      <c r="H5463">
        <v>122.02</v>
      </c>
      <c r="I5463">
        <v>0.0</v>
      </c>
      <c r="J5463">
        <v>22.55</v>
      </c>
      <c r="K5463">
        <v>27.06</v>
      </c>
      <c r="L5463">
        <v>18.77</v>
      </c>
      <c r="M5463">
        <v>0.13</v>
      </c>
      <c r="N5463">
        <v>0.0</v>
      </c>
      <c r="O5463">
        <v>23.45</v>
      </c>
      <c r="P5463">
        <v>28.56</v>
      </c>
      <c r="Q5463">
        <v>20.02</v>
      </c>
      <c r="R5463">
        <v>0.85</v>
      </c>
    </row>
    <row r="5464">
      <c r="A5464" s="9">
        <v>43995</v>
      </c>
      <c r="B5464" s="2" t="inlineStr">
        <is>
          <t xml:space="preserve">2020-06</t>
        </is>
      </c>
      <c r="C5464" s="2" t="inlineStr">
        <is>
          <t xml:space="preserve">2019/20</t>
        </is>
      </c>
      <c r="D5464">
        <v>0.0</v>
      </c>
      <c r="E5464">
        <v>20.92</v>
      </c>
      <c r="F5464">
        <v>24.28</v>
      </c>
      <c r="G5464">
        <v>18.58</v>
      </c>
      <c r="H5464">
        <v>67.86</v>
      </c>
      <c r="I5464">
        <v>0.0</v>
      </c>
      <c r="J5464">
        <v>22.07</v>
      </c>
      <c r="K5464">
        <v>26.43</v>
      </c>
      <c r="L5464">
        <v>18.44</v>
      </c>
      <c r="M5464">
        <v>3.89</v>
      </c>
      <c r="N5464">
        <v>0.0</v>
      </c>
      <c r="O5464">
        <v>22.78</v>
      </c>
      <c r="P5464">
        <v>27.62</v>
      </c>
      <c r="Q5464">
        <v>19.54</v>
      </c>
      <c r="R5464">
        <v>3.16</v>
      </c>
    </row>
    <row r="5465">
      <c r="A5465" s="9">
        <v>43996</v>
      </c>
      <c r="B5465" s="2" t="inlineStr">
        <is>
          <t xml:space="preserve">2020-06</t>
        </is>
      </c>
      <c r="C5465" s="2" t="inlineStr">
        <is>
          <t xml:space="preserve">2019/20</t>
        </is>
      </c>
      <c r="D5465">
        <v>0.0</v>
      </c>
      <c r="E5465">
        <v>21.67</v>
      </c>
      <c r="F5465">
        <v>26.21</v>
      </c>
      <c r="G5465">
        <v>18.2</v>
      </c>
      <c r="H5465">
        <v>3.17</v>
      </c>
      <c r="I5465">
        <v>12.58</v>
      </c>
      <c r="J5465">
        <v>22.37</v>
      </c>
      <c r="K5465">
        <v>27.47</v>
      </c>
      <c r="L5465">
        <v>17.94</v>
      </c>
      <c r="M5465">
        <v>3.98</v>
      </c>
      <c r="N5465">
        <v>0.605</v>
      </c>
      <c r="O5465">
        <v>23.18</v>
      </c>
      <c r="P5465">
        <v>28.97</v>
      </c>
      <c r="Q5465">
        <v>18.99</v>
      </c>
      <c r="R5465">
        <v>2.47</v>
      </c>
    </row>
    <row r="5466">
      <c r="A5466" s="9">
        <v>43997</v>
      </c>
      <c r="B5466" s="2" t="inlineStr">
        <is>
          <t xml:space="preserve">2020-06</t>
        </is>
      </c>
      <c r="C5466" s="2" t="inlineStr">
        <is>
          <t xml:space="preserve">2019/20</t>
        </is>
      </c>
      <c r="D5466">
        <v>2.162</v>
      </c>
      <c r="E5466">
        <v>21.48</v>
      </c>
      <c r="F5466">
        <v>24.58</v>
      </c>
      <c r="G5466">
        <v>19.31</v>
      </c>
      <c r="H5466">
        <v>6.84</v>
      </c>
      <c r="I5466">
        <v>6.601</v>
      </c>
      <c r="J5466">
        <v>22.69</v>
      </c>
      <c r="K5466">
        <v>27.22</v>
      </c>
      <c r="L5466">
        <v>19.24</v>
      </c>
      <c r="M5466">
        <v>6.03</v>
      </c>
      <c r="N5466">
        <v>8.11</v>
      </c>
      <c r="O5466">
        <v>23.12</v>
      </c>
      <c r="P5466">
        <v>28.43</v>
      </c>
      <c r="Q5466">
        <v>19.89</v>
      </c>
      <c r="R5466">
        <v>6.37</v>
      </c>
    </row>
    <row r="5467">
      <c r="A5467" s="9">
        <v>43998</v>
      </c>
      <c r="B5467" s="2" t="inlineStr">
        <is>
          <t xml:space="preserve">2020-06</t>
        </is>
      </c>
      <c r="C5467" s="2" t="inlineStr">
        <is>
          <t xml:space="preserve">2019/20</t>
        </is>
      </c>
      <c r="D5467">
        <v>3.994</v>
      </c>
      <c r="E5467">
        <v>21.91</v>
      </c>
      <c r="F5467">
        <v>25.94</v>
      </c>
      <c r="G5467">
        <v>19.0</v>
      </c>
      <c r="H5467">
        <v>9.38</v>
      </c>
      <c r="I5467">
        <v>2.9</v>
      </c>
      <c r="J5467">
        <v>22.6</v>
      </c>
      <c r="K5467">
        <v>26.75</v>
      </c>
      <c r="L5467">
        <v>19.37</v>
      </c>
      <c r="M5467">
        <v>11.19</v>
      </c>
      <c r="N5467">
        <v>0.924</v>
      </c>
      <c r="O5467">
        <v>22.86</v>
      </c>
      <c r="P5467">
        <v>27.06</v>
      </c>
      <c r="Q5467">
        <v>20.27</v>
      </c>
      <c r="R5467">
        <v>11.65</v>
      </c>
    </row>
    <row r="5468">
      <c r="A5468" s="9">
        <v>43999</v>
      </c>
      <c r="B5468" s="2" t="inlineStr">
        <is>
          <t xml:space="preserve">2020-06</t>
        </is>
      </c>
      <c r="C5468" s="2" t="inlineStr">
        <is>
          <t xml:space="preserve">2019/20</t>
        </is>
      </c>
      <c r="D5468">
        <v>25.58</v>
      </c>
      <c r="E5468">
        <v>21.52</v>
      </c>
      <c r="F5468">
        <v>24.9</v>
      </c>
      <c r="G5468">
        <v>18.93</v>
      </c>
      <c r="H5468">
        <v>15.23</v>
      </c>
      <c r="I5468">
        <v>24.117</v>
      </c>
      <c r="J5468">
        <v>22.66</v>
      </c>
      <c r="K5468">
        <v>26.43</v>
      </c>
      <c r="L5468">
        <v>19.59</v>
      </c>
      <c r="M5468">
        <v>13.24</v>
      </c>
      <c r="N5468">
        <v>21.368</v>
      </c>
      <c r="O5468">
        <v>23.17</v>
      </c>
      <c r="P5468">
        <v>27.71</v>
      </c>
      <c r="Q5468">
        <v>20.31</v>
      </c>
      <c r="R5468">
        <v>14.91</v>
      </c>
    </row>
    <row r="5469">
      <c r="A5469" s="9">
        <v>44000</v>
      </c>
      <c r="B5469" s="2" t="inlineStr">
        <is>
          <t xml:space="preserve">2020-06</t>
        </is>
      </c>
      <c r="C5469" s="2" t="inlineStr">
        <is>
          <t xml:space="preserve">2019/20</t>
        </is>
      </c>
      <c r="D5469">
        <v>9.02</v>
      </c>
      <c r="E5469">
        <v>22.13</v>
      </c>
      <c r="F5469">
        <v>26.32</v>
      </c>
      <c r="G5469">
        <v>19.17</v>
      </c>
      <c r="H5469">
        <v>5.03</v>
      </c>
      <c r="I5469">
        <v>0.504</v>
      </c>
      <c r="J5469">
        <v>22.78</v>
      </c>
      <c r="K5469">
        <v>26.4</v>
      </c>
      <c r="L5469">
        <v>20.14</v>
      </c>
      <c r="M5469">
        <v>4.16</v>
      </c>
      <c r="N5469">
        <v>3.172</v>
      </c>
      <c r="O5469">
        <v>23.01</v>
      </c>
      <c r="P5469">
        <v>26.45</v>
      </c>
      <c r="Q5469">
        <v>20.98</v>
      </c>
      <c r="R5469">
        <v>5.81</v>
      </c>
    </row>
    <row r="5470">
      <c r="A5470" s="9">
        <v>44001</v>
      </c>
      <c r="B5470" s="2" t="inlineStr">
        <is>
          <t xml:space="preserve">2020-06</t>
        </is>
      </c>
      <c r="C5470" s="2" t="inlineStr">
        <is>
          <t xml:space="preserve">2019/20</t>
        </is>
      </c>
      <c r="D5470">
        <v>0.907</v>
      </c>
      <c r="E5470">
        <v>21.68</v>
      </c>
      <c r="F5470">
        <v>27.68</v>
      </c>
      <c r="G5470">
        <v>17.2</v>
      </c>
      <c r="H5470">
        <v>0.02</v>
      </c>
      <c r="I5470">
        <v>1.855</v>
      </c>
      <c r="J5470">
        <v>23.69</v>
      </c>
      <c r="K5470">
        <v>27.85</v>
      </c>
      <c r="L5470">
        <v>20.38</v>
      </c>
      <c r="M5470">
        <v>0.55</v>
      </c>
      <c r="N5470">
        <v>7.545</v>
      </c>
      <c r="O5470">
        <v>24.09</v>
      </c>
      <c r="P5470">
        <v>29.85</v>
      </c>
      <c r="Q5470">
        <v>21.04</v>
      </c>
      <c r="R5470">
        <v>0.19</v>
      </c>
    </row>
    <row r="5471">
      <c r="A5471" s="9">
        <v>44002</v>
      </c>
      <c r="B5471" s="2" t="inlineStr">
        <is>
          <t xml:space="preserve">2020-06</t>
        </is>
      </c>
      <c r="C5471" s="2" t="inlineStr">
        <is>
          <t xml:space="preserve">2019/20</t>
        </is>
      </c>
      <c r="D5471">
        <v>0.0</v>
      </c>
      <c r="E5471">
        <v>22.24</v>
      </c>
      <c r="F5471">
        <v>27.77</v>
      </c>
      <c r="G5471">
        <v>17.86</v>
      </c>
      <c r="H5471">
        <v>0.42</v>
      </c>
      <c r="I5471">
        <v>0.0</v>
      </c>
      <c r="J5471">
        <v>23.8</v>
      </c>
      <c r="K5471">
        <v>28.64</v>
      </c>
      <c r="L5471">
        <v>18.88</v>
      </c>
      <c r="M5471">
        <v>3.96</v>
      </c>
      <c r="N5471">
        <v>0.0</v>
      </c>
      <c r="O5471">
        <v>24.32</v>
      </c>
      <c r="P5471">
        <v>29.61</v>
      </c>
      <c r="Q5471">
        <v>20.41</v>
      </c>
      <c r="R5471">
        <v>2.06</v>
      </c>
    </row>
    <row r="5472">
      <c r="A5472" s="9">
        <v>44003</v>
      </c>
      <c r="B5472" s="2" t="inlineStr">
        <is>
          <t xml:space="preserve">2020-06</t>
        </is>
      </c>
      <c r="C5472" s="2" t="inlineStr">
        <is>
          <t xml:space="preserve">2019/20</t>
        </is>
      </c>
      <c r="D5472">
        <v>13.827</v>
      </c>
      <c r="E5472">
        <v>21.89</v>
      </c>
      <c r="F5472">
        <v>27.13</v>
      </c>
      <c r="G5472">
        <v>17.02</v>
      </c>
      <c r="H5472">
        <v>6.97</v>
      </c>
      <c r="I5472">
        <v>9.839</v>
      </c>
      <c r="J5472">
        <v>23.45</v>
      </c>
      <c r="K5472">
        <v>28.26</v>
      </c>
      <c r="L5472">
        <v>20.25</v>
      </c>
      <c r="M5472">
        <v>6.52</v>
      </c>
      <c r="N5472">
        <v>14.401</v>
      </c>
      <c r="O5472">
        <v>23.96</v>
      </c>
      <c r="P5472">
        <v>29.23</v>
      </c>
      <c r="Q5472">
        <v>20.6</v>
      </c>
      <c r="R5472">
        <v>6.86</v>
      </c>
    </row>
    <row r="5473">
      <c r="A5473" s="9">
        <v>44004</v>
      </c>
      <c r="B5473" s="2" t="inlineStr">
        <is>
          <t xml:space="preserve">2020-06</t>
        </is>
      </c>
      <c r="C5473" s="2" t="inlineStr">
        <is>
          <t xml:space="preserve">2019/20</t>
        </is>
      </c>
      <c r="D5473">
        <v>0.047</v>
      </c>
      <c r="E5473">
        <v>21.67</v>
      </c>
      <c r="F5473">
        <v>27.01</v>
      </c>
      <c r="G5473">
        <v>17.25</v>
      </c>
      <c r="H5473">
        <v>1.35</v>
      </c>
      <c r="I5473">
        <v>0.809</v>
      </c>
      <c r="J5473">
        <v>23.82</v>
      </c>
      <c r="K5473">
        <v>28.81</v>
      </c>
      <c r="L5473">
        <v>19.74</v>
      </c>
      <c r="M5473">
        <v>1.05</v>
      </c>
      <c r="N5473">
        <v>0.024</v>
      </c>
      <c r="O5473">
        <v>24.2</v>
      </c>
      <c r="P5473">
        <v>29.86</v>
      </c>
      <c r="Q5473">
        <v>20.57</v>
      </c>
      <c r="R5473">
        <v>3.15</v>
      </c>
    </row>
    <row r="5474">
      <c r="A5474" s="9">
        <v>44005</v>
      </c>
      <c r="B5474" s="2" t="inlineStr">
        <is>
          <t xml:space="preserve">2020-06</t>
        </is>
      </c>
      <c r="C5474" s="2" t="inlineStr">
        <is>
          <t xml:space="preserve">2019/20</t>
        </is>
      </c>
      <c r="D5474">
        <v>0.956</v>
      </c>
      <c r="E5474">
        <v>21.77</v>
      </c>
      <c r="F5474">
        <v>26.74</v>
      </c>
      <c r="G5474">
        <v>16.75</v>
      </c>
      <c r="H5474">
        <v>3.85</v>
      </c>
      <c r="I5474">
        <v>0.0</v>
      </c>
      <c r="J5474">
        <v>24.44</v>
      </c>
      <c r="K5474">
        <v>29.28</v>
      </c>
      <c r="L5474">
        <v>19.27</v>
      </c>
      <c r="M5474">
        <v>3.4</v>
      </c>
      <c r="N5474">
        <v>0.0</v>
      </c>
      <c r="O5474">
        <v>24.11</v>
      </c>
      <c r="P5474">
        <v>30.42</v>
      </c>
      <c r="Q5474">
        <v>19.73</v>
      </c>
      <c r="R5474">
        <v>3.84</v>
      </c>
    </row>
    <row r="5475">
      <c r="A5475" s="9">
        <v>44006</v>
      </c>
      <c r="B5475" s="2" t="inlineStr">
        <is>
          <t xml:space="preserve">2020-06</t>
        </is>
      </c>
      <c r="C5475" s="2" t="inlineStr">
        <is>
          <t xml:space="preserve">2019/20</t>
        </is>
      </c>
      <c r="D5475">
        <v>28.636</v>
      </c>
      <c r="E5475">
        <v>22.08</v>
      </c>
      <c r="F5475">
        <v>25.96</v>
      </c>
      <c r="G5475">
        <v>18.86</v>
      </c>
      <c r="H5475">
        <v>3.26</v>
      </c>
      <c r="I5475">
        <v>13.804</v>
      </c>
      <c r="J5475">
        <v>23.27</v>
      </c>
      <c r="K5475">
        <v>27.26</v>
      </c>
      <c r="L5475">
        <v>20.25</v>
      </c>
      <c r="M5475">
        <v>14.59</v>
      </c>
      <c r="N5475">
        <v>2.954</v>
      </c>
      <c r="O5475">
        <v>23.7</v>
      </c>
      <c r="P5475">
        <v>27.98</v>
      </c>
      <c r="Q5475">
        <v>21.4</v>
      </c>
      <c r="R5475">
        <v>6.77</v>
      </c>
    </row>
    <row r="5476">
      <c r="A5476" s="9">
        <v>44007</v>
      </c>
      <c r="B5476" s="2" t="inlineStr">
        <is>
          <t xml:space="preserve">2020-06</t>
        </is>
      </c>
      <c r="C5476" s="2" t="inlineStr">
        <is>
          <t xml:space="preserve">2019/20</t>
        </is>
      </c>
      <c r="D5476">
        <v>0.718</v>
      </c>
      <c r="E5476">
        <v>21.71</v>
      </c>
      <c r="F5476">
        <v>27.08</v>
      </c>
      <c r="G5476">
        <v>17.62</v>
      </c>
      <c r="H5476">
        <v>0.3</v>
      </c>
      <c r="I5476">
        <v>0.022</v>
      </c>
      <c r="J5476">
        <v>23.85</v>
      </c>
      <c r="K5476">
        <v>28.52</v>
      </c>
      <c r="L5476">
        <v>20.19</v>
      </c>
      <c r="M5476">
        <v>0.1</v>
      </c>
      <c r="N5476">
        <v>0.189</v>
      </c>
      <c r="O5476">
        <v>23.88</v>
      </c>
      <c r="P5476">
        <v>29.77</v>
      </c>
      <c r="Q5476">
        <v>19.84</v>
      </c>
      <c r="R5476">
        <v>0.11</v>
      </c>
    </row>
    <row r="5477">
      <c r="A5477" s="9">
        <v>44008</v>
      </c>
      <c r="B5477" s="2" t="inlineStr">
        <is>
          <t xml:space="preserve">2020-06</t>
        </is>
      </c>
      <c r="C5477" s="2" t="inlineStr">
        <is>
          <t xml:space="preserve">2019/20</t>
        </is>
      </c>
      <c r="D5477">
        <v>0.0</v>
      </c>
      <c r="E5477">
        <v>21.7</v>
      </c>
      <c r="F5477">
        <v>26.94</v>
      </c>
      <c r="G5477">
        <v>17.21</v>
      </c>
      <c r="H5477">
        <v>0.09</v>
      </c>
      <c r="I5477">
        <v>0.0</v>
      </c>
      <c r="J5477">
        <v>23.46</v>
      </c>
      <c r="K5477">
        <v>28.41</v>
      </c>
      <c r="L5477">
        <v>19.4</v>
      </c>
      <c r="M5477">
        <v>0.0</v>
      </c>
      <c r="N5477">
        <v>0.0</v>
      </c>
      <c r="O5477">
        <v>24.15</v>
      </c>
      <c r="P5477">
        <v>29.45</v>
      </c>
      <c r="Q5477">
        <v>20.5</v>
      </c>
      <c r="R5477">
        <v>0.01</v>
      </c>
    </row>
    <row r="5478">
      <c r="A5478" s="9">
        <v>44009</v>
      </c>
      <c r="B5478" s="2" t="inlineStr">
        <is>
          <t xml:space="preserve">2020-06</t>
        </is>
      </c>
      <c r="C5478" s="2" t="inlineStr">
        <is>
          <t xml:space="preserve">2019/20</t>
        </is>
      </c>
      <c r="D5478">
        <v>0.0</v>
      </c>
      <c r="E5478">
        <v>21.25</v>
      </c>
      <c r="F5478">
        <v>26.03</v>
      </c>
      <c r="G5478">
        <v>17.08</v>
      </c>
      <c r="H5478">
        <v>0.45</v>
      </c>
      <c r="I5478">
        <v>0.0</v>
      </c>
      <c r="J5478">
        <v>23.28</v>
      </c>
      <c r="K5478">
        <v>28.38</v>
      </c>
      <c r="L5478">
        <v>19.32</v>
      </c>
      <c r="M5478">
        <v>1.54</v>
      </c>
      <c r="N5478">
        <v>0.0</v>
      </c>
      <c r="O5478">
        <v>23.99</v>
      </c>
      <c r="P5478">
        <v>29.53</v>
      </c>
      <c r="Q5478">
        <v>20.32</v>
      </c>
      <c r="R5478">
        <v>0.61</v>
      </c>
    </row>
    <row r="5479">
      <c r="A5479" s="9">
        <v>44010</v>
      </c>
      <c r="B5479" s="2" t="inlineStr">
        <is>
          <t xml:space="preserve">2020-06</t>
        </is>
      </c>
      <c r="C5479" s="2" t="inlineStr">
        <is>
          <t xml:space="preserve">2019/20</t>
        </is>
      </c>
      <c r="D5479">
        <v>2.118</v>
      </c>
      <c r="E5479">
        <v>21.22</v>
      </c>
      <c r="F5479">
        <v>26.46</v>
      </c>
      <c r="G5479">
        <v>16.57</v>
      </c>
      <c r="H5479">
        <v>1.85</v>
      </c>
      <c r="I5479">
        <v>1.389</v>
      </c>
      <c r="J5479">
        <v>22.98</v>
      </c>
      <c r="K5479">
        <v>27.36</v>
      </c>
      <c r="L5479">
        <v>18.66</v>
      </c>
      <c r="M5479">
        <v>0.3</v>
      </c>
      <c r="N5479">
        <v>0.652</v>
      </c>
      <c r="O5479">
        <v>23.81</v>
      </c>
      <c r="P5479">
        <v>29.75</v>
      </c>
      <c r="Q5479">
        <v>19.89</v>
      </c>
      <c r="R5479">
        <v>1.1</v>
      </c>
    </row>
    <row r="5480">
      <c r="A5480" s="9">
        <v>44011</v>
      </c>
      <c r="B5480" s="2" t="inlineStr">
        <is>
          <t xml:space="preserve">2020-06</t>
        </is>
      </c>
      <c r="C5480" s="2" t="inlineStr">
        <is>
          <t xml:space="preserve">2019/20</t>
        </is>
      </c>
      <c r="D5480">
        <v>0.0</v>
      </c>
      <c r="E5480">
        <v>21.25</v>
      </c>
      <c r="F5480">
        <v>25.69</v>
      </c>
      <c r="G5480">
        <v>17.66</v>
      </c>
      <c r="H5480">
        <v>0.26</v>
      </c>
      <c r="I5480">
        <v>0.0</v>
      </c>
      <c r="J5480">
        <v>22.97</v>
      </c>
      <c r="K5480">
        <v>27.89</v>
      </c>
      <c r="L5480">
        <v>19.23</v>
      </c>
      <c r="M5480">
        <v>4.75</v>
      </c>
      <c r="N5480">
        <v>0.0</v>
      </c>
      <c r="O5480">
        <v>24.04</v>
      </c>
      <c r="P5480">
        <v>30.16</v>
      </c>
      <c r="Q5480">
        <v>19.85</v>
      </c>
      <c r="R5480">
        <v>1.76</v>
      </c>
    </row>
    <row r="5481">
      <c r="A5481" s="9">
        <v>44012</v>
      </c>
      <c r="B5481" s="2" t="inlineStr">
        <is>
          <t xml:space="preserve">2020-06</t>
        </is>
      </c>
      <c r="C5481" s="2" t="inlineStr">
        <is>
          <t xml:space="preserve">2019/20</t>
        </is>
      </c>
      <c r="D5481">
        <v>0.053</v>
      </c>
      <c r="E5481">
        <v>21.03</v>
      </c>
      <c r="F5481">
        <v>26.65</v>
      </c>
      <c r="G5481">
        <v>15.9</v>
      </c>
      <c r="H5481">
        <v>0.22</v>
      </c>
      <c r="I5481">
        <v>15.25</v>
      </c>
      <c r="J5481">
        <v>23.33</v>
      </c>
      <c r="K5481">
        <v>28.77</v>
      </c>
      <c r="L5481">
        <v>18.58</v>
      </c>
      <c r="M5481">
        <v>4.86</v>
      </c>
      <c r="N5481">
        <v>0.834</v>
      </c>
      <c r="O5481">
        <v>24.02</v>
      </c>
      <c r="P5481">
        <v>29.96</v>
      </c>
      <c r="Q5481">
        <v>19.36</v>
      </c>
      <c r="R5481">
        <v>0.48</v>
      </c>
    </row>
    <row r="5482">
      <c r="A5482" s="9">
        <v>44013</v>
      </c>
      <c r="B5482" s="2" t="inlineStr">
        <is>
          <t xml:space="preserve">2020-07</t>
        </is>
      </c>
      <c r="C5482" s="2" t="inlineStr">
        <is>
          <t xml:space="preserve">2020/21</t>
        </is>
      </c>
      <c r="D5482">
        <v>0.0</v>
      </c>
      <c r="E5482">
        <v>21.39</v>
      </c>
      <c r="F5482">
        <v>26.82</v>
      </c>
      <c r="G5482">
        <v>16.66</v>
      </c>
      <c r="H5482">
        <v>1.17</v>
      </c>
      <c r="I5482">
        <v>4.855</v>
      </c>
      <c r="J5482">
        <v>23.18</v>
      </c>
      <c r="K5482">
        <v>27.95</v>
      </c>
      <c r="L5482">
        <v>18.66</v>
      </c>
      <c r="M5482">
        <v>4.42</v>
      </c>
      <c r="N5482">
        <v>0.184</v>
      </c>
      <c r="O5482">
        <v>24.05</v>
      </c>
      <c r="P5482">
        <v>29.73</v>
      </c>
      <c r="Q5482">
        <v>19.66</v>
      </c>
      <c r="R5482">
        <v>0.82</v>
      </c>
    </row>
    <row r="5483">
      <c r="A5483" s="9">
        <v>44014</v>
      </c>
      <c r="B5483" s="2" t="inlineStr">
        <is>
          <t xml:space="preserve">2020-07</t>
        </is>
      </c>
      <c r="C5483" s="2" t="inlineStr">
        <is>
          <t xml:space="preserve">2020/21</t>
        </is>
      </c>
      <c r="D5483">
        <v>4.936</v>
      </c>
      <c r="E5483">
        <v>20.43</v>
      </c>
      <c r="F5483">
        <v>25.01</v>
      </c>
      <c r="G5483">
        <v>16.86</v>
      </c>
      <c r="H5483">
        <v>2.55</v>
      </c>
      <c r="I5483">
        <v>15.764</v>
      </c>
      <c r="J5483">
        <v>22.04</v>
      </c>
      <c r="K5483">
        <v>24.94</v>
      </c>
      <c r="L5483">
        <v>19.89</v>
      </c>
      <c r="M5483">
        <v>6.15</v>
      </c>
      <c r="N5483">
        <v>0.792</v>
      </c>
      <c r="O5483">
        <v>22.8</v>
      </c>
      <c r="P5483">
        <v>26.92</v>
      </c>
      <c r="Q5483">
        <v>20.32</v>
      </c>
      <c r="R5483">
        <v>1.85</v>
      </c>
    </row>
    <row r="5484">
      <c r="A5484" s="9">
        <v>44015</v>
      </c>
      <c r="B5484" s="2" t="inlineStr">
        <is>
          <t xml:space="preserve">2020-07</t>
        </is>
      </c>
      <c r="C5484" s="2" t="inlineStr">
        <is>
          <t xml:space="preserve">2020/21</t>
        </is>
      </c>
      <c r="D5484">
        <v>6.535</v>
      </c>
      <c r="E5484">
        <v>21.29</v>
      </c>
      <c r="F5484">
        <v>26.78</v>
      </c>
      <c r="G5484">
        <v>17.41</v>
      </c>
      <c r="H5484">
        <v>6.64</v>
      </c>
      <c r="I5484">
        <v>1.699</v>
      </c>
      <c r="J5484">
        <v>22.7</v>
      </c>
      <c r="K5484">
        <v>27.37</v>
      </c>
      <c r="L5484">
        <v>18.51</v>
      </c>
      <c r="M5484">
        <v>7.91</v>
      </c>
      <c r="N5484">
        <v>5.748</v>
      </c>
      <c r="O5484">
        <v>23.25</v>
      </c>
      <c r="P5484">
        <v>28.73</v>
      </c>
      <c r="Q5484">
        <v>19.74</v>
      </c>
      <c r="R5484">
        <v>5.72</v>
      </c>
    </row>
    <row r="5485">
      <c r="A5485" s="9">
        <v>44016</v>
      </c>
      <c r="B5485" s="2" t="inlineStr">
        <is>
          <t xml:space="preserve">2020-07</t>
        </is>
      </c>
      <c r="C5485" s="2" t="inlineStr">
        <is>
          <t xml:space="preserve">2020/21</t>
        </is>
      </c>
      <c r="D5485">
        <v>7.104</v>
      </c>
      <c r="E5485">
        <v>21.8</v>
      </c>
      <c r="F5485">
        <v>27.38</v>
      </c>
      <c r="G5485">
        <v>17.16</v>
      </c>
      <c r="H5485">
        <v>3.39</v>
      </c>
      <c r="I5485">
        <v>11.217</v>
      </c>
      <c r="J5485">
        <v>23.1</v>
      </c>
      <c r="K5485">
        <v>27.71</v>
      </c>
      <c r="L5485">
        <v>19.22</v>
      </c>
      <c r="M5485">
        <v>7.75</v>
      </c>
      <c r="N5485">
        <v>10.384</v>
      </c>
      <c r="O5485">
        <v>23.49</v>
      </c>
      <c r="P5485">
        <v>29.37</v>
      </c>
      <c r="Q5485">
        <v>19.67</v>
      </c>
      <c r="R5485">
        <v>4.1</v>
      </c>
    </row>
    <row r="5486">
      <c r="A5486" s="9">
        <v>44017</v>
      </c>
      <c r="B5486" s="2" t="inlineStr">
        <is>
          <t xml:space="preserve">2020-07</t>
        </is>
      </c>
      <c r="C5486" s="2" t="inlineStr">
        <is>
          <t xml:space="preserve">2020/21</t>
        </is>
      </c>
      <c r="D5486">
        <v>6.203</v>
      </c>
      <c r="E5486">
        <v>22.59</v>
      </c>
      <c r="F5486">
        <v>27.43</v>
      </c>
      <c r="G5486">
        <v>18.68</v>
      </c>
      <c r="H5486">
        <v>6.22</v>
      </c>
      <c r="I5486">
        <v>11.224</v>
      </c>
      <c r="J5486">
        <v>23.38</v>
      </c>
      <c r="K5486">
        <v>27.44</v>
      </c>
      <c r="L5486">
        <v>19.78</v>
      </c>
      <c r="M5486">
        <v>8.73</v>
      </c>
      <c r="N5486">
        <v>1.91</v>
      </c>
      <c r="O5486">
        <v>24.14</v>
      </c>
      <c r="P5486">
        <v>29.35</v>
      </c>
      <c r="Q5486">
        <v>20.69</v>
      </c>
      <c r="R5486">
        <v>6.41</v>
      </c>
    </row>
    <row r="5487">
      <c r="A5487" s="9">
        <v>44018</v>
      </c>
      <c r="B5487" s="2" t="inlineStr">
        <is>
          <t xml:space="preserve">2020-07</t>
        </is>
      </c>
      <c r="C5487" s="2" t="inlineStr">
        <is>
          <t xml:space="preserve">2020/21</t>
        </is>
      </c>
      <c r="D5487">
        <v>7.118</v>
      </c>
      <c r="E5487">
        <v>22.03</v>
      </c>
      <c r="F5487">
        <v>27.48</v>
      </c>
      <c r="G5487">
        <v>17.62</v>
      </c>
      <c r="H5487">
        <v>0.49</v>
      </c>
      <c r="I5487">
        <v>10.331</v>
      </c>
      <c r="J5487">
        <v>23.03</v>
      </c>
      <c r="K5487">
        <v>26.29</v>
      </c>
      <c r="L5487">
        <v>20.84</v>
      </c>
      <c r="M5487">
        <v>3.45</v>
      </c>
      <c r="N5487">
        <v>9.855</v>
      </c>
      <c r="O5487">
        <v>24.69</v>
      </c>
      <c r="P5487">
        <v>30.62</v>
      </c>
      <c r="Q5487">
        <v>20.64</v>
      </c>
      <c r="R5487">
        <v>0.74</v>
      </c>
    </row>
    <row r="5488">
      <c r="A5488" s="9">
        <v>44019</v>
      </c>
      <c r="B5488" s="2" t="inlineStr">
        <is>
          <t xml:space="preserve">2020-07</t>
        </is>
      </c>
      <c r="C5488" s="2" t="inlineStr">
        <is>
          <t xml:space="preserve">2020/21</t>
        </is>
      </c>
      <c r="D5488">
        <v>1.556</v>
      </c>
      <c r="E5488">
        <v>22.28</v>
      </c>
      <c r="F5488">
        <v>27.01</v>
      </c>
      <c r="G5488">
        <v>18.13</v>
      </c>
      <c r="H5488">
        <v>0.68</v>
      </c>
      <c r="I5488">
        <v>0.0</v>
      </c>
      <c r="J5488">
        <v>22.65</v>
      </c>
      <c r="K5488">
        <v>26.51</v>
      </c>
      <c r="L5488">
        <v>19.59</v>
      </c>
      <c r="M5488">
        <v>0.09</v>
      </c>
      <c r="N5488">
        <v>0.023</v>
      </c>
      <c r="O5488">
        <v>23.98</v>
      </c>
      <c r="P5488">
        <v>28.27</v>
      </c>
      <c r="Q5488">
        <v>21.05</v>
      </c>
      <c r="R5488">
        <v>0.26</v>
      </c>
    </row>
    <row r="5489">
      <c r="A5489" s="9">
        <v>44020</v>
      </c>
      <c r="B5489" s="2" t="inlineStr">
        <is>
          <t xml:space="preserve">2020-07</t>
        </is>
      </c>
      <c r="C5489" s="2" t="inlineStr">
        <is>
          <t xml:space="preserve">2020/21</t>
        </is>
      </c>
      <c r="D5489">
        <v>0.197</v>
      </c>
      <c r="E5489">
        <v>22.83</v>
      </c>
      <c r="F5489">
        <v>28.03</v>
      </c>
      <c r="G5489">
        <v>17.95</v>
      </c>
      <c r="H5489">
        <v>0.34</v>
      </c>
      <c r="I5489">
        <v>0.044</v>
      </c>
      <c r="J5489">
        <v>23.53</v>
      </c>
      <c r="K5489">
        <v>27.87</v>
      </c>
      <c r="L5489">
        <v>19.14</v>
      </c>
      <c r="M5489">
        <v>0.94</v>
      </c>
      <c r="N5489">
        <v>0.337</v>
      </c>
      <c r="O5489">
        <v>24.83</v>
      </c>
      <c r="P5489">
        <v>31.06</v>
      </c>
      <c r="Q5489">
        <v>20.46</v>
      </c>
      <c r="R5489">
        <v>0.42</v>
      </c>
    </row>
    <row r="5490">
      <c r="A5490" s="9">
        <v>44021</v>
      </c>
      <c r="B5490" s="2" t="inlineStr">
        <is>
          <t xml:space="preserve">2020-07</t>
        </is>
      </c>
      <c r="C5490" s="2" t="inlineStr">
        <is>
          <t xml:space="preserve">2020/21</t>
        </is>
      </c>
      <c r="D5490">
        <v>0.686</v>
      </c>
      <c r="E5490">
        <v>21.96</v>
      </c>
      <c r="F5490">
        <v>26.26</v>
      </c>
      <c r="G5490">
        <v>18.39</v>
      </c>
      <c r="H5490">
        <v>2.87</v>
      </c>
      <c r="I5490">
        <v>4.942</v>
      </c>
      <c r="J5490">
        <v>23.24</v>
      </c>
      <c r="K5490">
        <v>27.17</v>
      </c>
      <c r="L5490">
        <v>19.78</v>
      </c>
      <c r="M5490">
        <v>11.26</v>
      </c>
      <c r="N5490">
        <v>1.202</v>
      </c>
      <c r="O5490">
        <v>23.91</v>
      </c>
      <c r="P5490">
        <v>28.81</v>
      </c>
      <c r="Q5490">
        <v>20.98</v>
      </c>
      <c r="R5490">
        <v>4.4</v>
      </c>
    </row>
    <row r="5491">
      <c r="A5491" s="9">
        <v>44022</v>
      </c>
      <c r="B5491" s="2" t="inlineStr">
        <is>
          <t xml:space="preserve">2020-07</t>
        </is>
      </c>
      <c r="C5491" s="2" t="inlineStr">
        <is>
          <t xml:space="preserve">2020/21</t>
        </is>
      </c>
      <c r="D5491">
        <v>6.619</v>
      </c>
      <c r="E5491">
        <v>21.14</v>
      </c>
      <c r="F5491">
        <v>24.45</v>
      </c>
      <c r="G5491">
        <v>17.79</v>
      </c>
      <c r="H5491">
        <v>11.63</v>
      </c>
      <c r="I5491">
        <v>22.293</v>
      </c>
      <c r="J5491">
        <v>22.08</v>
      </c>
      <c r="K5491">
        <v>25.51</v>
      </c>
      <c r="L5491">
        <v>19.15</v>
      </c>
      <c r="M5491">
        <v>29.39</v>
      </c>
      <c r="N5491">
        <v>18.933</v>
      </c>
      <c r="O5491">
        <v>22.97</v>
      </c>
      <c r="P5491">
        <v>26.72</v>
      </c>
      <c r="Q5491">
        <v>20.24</v>
      </c>
      <c r="R5491">
        <v>18.36</v>
      </c>
    </row>
    <row r="5492">
      <c r="A5492" s="9">
        <v>44023</v>
      </c>
      <c r="B5492" s="2" t="inlineStr">
        <is>
          <t xml:space="preserve">2020-07</t>
        </is>
      </c>
      <c r="C5492" s="2" t="inlineStr">
        <is>
          <t xml:space="preserve">2020/21</t>
        </is>
      </c>
      <c r="D5492">
        <v>4.217</v>
      </c>
      <c r="E5492">
        <v>21.7</v>
      </c>
      <c r="F5492">
        <v>27.06</v>
      </c>
      <c r="G5492">
        <v>17.06</v>
      </c>
      <c r="H5492">
        <v>0.88</v>
      </c>
      <c r="I5492">
        <v>1.282</v>
      </c>
      <c r="J5492">
        <v>23.76</v>
      </c>
      <c r="K5492">
        <v>28.72</v>
      </c>
      <c r="L5492">
        <v>19.8</v>
      </c>
      <c r="M5492">
        <v>0.69</v>
      </c>
      <c r="N5492">
        <v>3.993</v>
      </c>
      <c r="O5492">
        <v>24.4</v>
      </c>
      <c r="P5492">
        <v>30.09</v>
      </c>
      <c r="Q5492">
        <v>21.07</v>
      </c>
      <c r="R5492">
        <v>0.69</v>
      </c>
    </row>
    <row r="5493">
      <c r="A5493" s="9">
        <v>44024</v>
      </c>
      <c r="B5493" s="2" t="inlineStr">
        <is>
          <t xml:space="preserve">2020-07</t>
        </is>
      </c>
      <c r="C5493" s="2" t="inlineStr">
        <is>
          <t xml:space="preserve">2020/21</t>
        </is>
      </c>
      <c r="D5493">
        <v>0.565</v>
      </c>
      <c r="E5493">
        <v>21.33</v>
      </c>
      <c r="F5493">
        <v>26.92</v>
      </c>
      <c r="G5493">
        <v>16.27</v>
      </c>
      <c r="H5493">
        <v>2.42</v>
      </c>
      <c r="I5493">
        <v>0.15</v>
      </c>
      <c r="J5493">
        <v>23.31</v>
      </c>
      <c r="K5493">
        <v>28.22</v>
      </c>
      <c r="L5493">
        <v>19.19</v>
      </c>
      <c r="M5493">
        <v>0.56</v>
      </c>
      <c r="N5493">
        <v>1.683</v>
      </c>
      <c r="O5493">
        <v>24.01</v>
      </c>
      <c r="P5493">
        <v>29.97</v>
      </c>
      <c r="Q5493">
        <v>20.19</v>
      </c>
      <c r="R5493">
        <v>2.07</v>
      </c>
    </row>
    <row r="5494">
      <c r="A5494" s="9">
        <v>44025</v>
      </c>
      <c r="B5494" s="2" t="inlineStr">
        <is>
          <t xml:space="preserve">2020-07</t>
        </is>
      </c>
      <c r="C5494" s="2" t="inlineStr">
        <is>
          <t xml:space="preserve">2020/21</t>
        </is>
      </c>
      <c r="D5494">
        <v>11.171</v>
      </c>
      <c r="E5494">
        <v>21.69</v>
      </c>
      <c r="F5494">
        <v>27.43</v>
      </c>
      <c r="G5494">
        <v>17.22</v>
      </c>
      <c r="H5494">
        <v>4.83</v>
      </c>
      <c r="I5494">
        <v>0.0</v>
      </c>
      <c r="J5494">
        <v>23.3</v>
      </c>
      <c r="K5494">
        <v>28.23</v>
      </c>
      <c r="L5494">
        <v>19.17</v>
      </c>
      <c r="M5494">
        <v>0.2</v>
      </c>
      <c r="N5494">
        <v>0.218</v>
      </c>
      <c r="O5494">
        <v>24.12</v>
      </c>
      <c r="P5494">
        <v>30.44</v>
      </c>
      <c r="Q5494">
        <v>20.08</v>
      </c>
      <c r="R5494">
        <v>1.69</v>
      </c>
    </row>
    <row r="5495">
      <c r="A5495" s="9">
        <v>44026</v>
      </c>
      <c r="B5495" s="2" t="inlineStr">
        <is>
          <t xml:space="preserve">2020-07</t>
        </is>
      </c>
      <c r="C5495" s="2" t="inlineStr">
        <is>
          <t xml:space="preserve">2020/21</t>
        </is>
      </c>
      <c r="D5495">
        <v>0.47</v>
      </c>
      <c r="E5495">
        <v>21.72</v>
      </c>
      <c r="F5495">
        <v>26.45</v>
      </c>
      <c r="G5495">
        <v>17.32</v>
      </c>
      <c r="H5495">
        <v>1.59</v>
      </c>
      <c r="I5495">
        <v>0.081</v>
      </c>
      <c r="J5495">
        <v>23.68</v>
      </c>
      <c r="K5495">
        <v>28.54</v>
      </c>
      <c r="L5495">
        <v>19.38</v>
      </c>
      <c r="M5495">
        <v>0.84</v>
      </c>
      <c r="N5495">
        <v>0.0</v>
      </c>
      <c r="O5495">
        <v>24.36</v>
      </c>
      <c r="P5495">
        <v>29.96</v>
      </c>
      <c r="Q5495">
        <v>20.4</v>
      </c>
      <c r="R5495">
        <v>3.35</v>
      </c>
    </row>
    <row r="5496">
      <c r="A5496" s="9">
        <v>44027</v>
      </c>
      <c r="B5496" s="2" t="inlineStr">
        <is>
          <t xml:space="preserve">2020-07</t>
        </is>
      </c>
      <c r="C5496" s="2" t="inlineStr">
        <is>
          <t xml:space="preserve">2020/21</t>
        </is>
      </c>
      <c r="D5496">
        <v>5.184</v>
      </c>
      <c r="E5496">
        <v>20.65</v>
      </c>
      <c r="F5496">
        <v>24.72</v>
      </c>
      <c r="G5496">
        <v>17.57</v>
      </c>
      <c r="H5496">
        <v>3.96</v>
      </c>
      <c r="I5496">
        <v>0.304</v>
      </c>
      <c r="J5496">
        <v>23.23</v>
      </c>
      <c r="K5496">
        <v>28.44</v>
      </c>
      <c r="L5496">
        <v>19.56</v>
      </c>
      <c r="M5496">
        <v>1.31</v>
      </c>
      <c r="N5496">
        <v>2.233</v>
      </c>
      <c r="O5496">
        <v>23.8</v>
      </c>
      <c r="P5496">
        <v>29.49</v>
      </c>
      <c r="Q5496">
        <v>20.36</v>
      </c>
      <c r="R5496">
        <v>4.96</v>
      </c>
    </row>
    <row r="5497">
      <c r="A5497" s="9">
        <v>44028</v>
      </c>
      <c r="B5497" s="2" t="inlineStr">
        <is>
          <t xml:space="preserve">2020-07</t>
        </is>
      </c>
      <c r="C5497" s="2" t="inlineStr">
        <is>
          <t xml:space="preserve">2020/21</t>
        </is>
      </c>
      <c r="D5497">
        <v>2.489</v>
      </c>
      <c r="E5497">
        <v>21.69</v>
      </c>
      <c r="F5497">
        <v>27.33</v>
      </c>
      <c r="G5497">
        <v>17.53</v>
      </c>
      <c r="H5497">
        <v>0.98</v>
      </c>
      <c r="I5497">
        <v>0.17</v>
      </c>
      <c r="J5497">
        <v>22.4</v>
      </c>
      <c r="K5497">
        <v>27.44</v>
      </c>
      <c r="L5497">
        <v>19.11</v>
      </c>
      <c r="M5497">
        <v>0.53</v>
      </c>
      <c r="N5497">
        <v>0.893</v>
      </c>
      <c r="O5497">
        <v>23.36</v>
      </c>
      <c r="P5497">
        <v>28.46</v>
      </c>
      <c r="Q5497">
        <v>20.29</v>
      </c>
      <c r="R5497">
        <v>1.27</v>
      </c>
    </row>
    <row r="5498">
      <c r="A5498" s="9">
        <v>44029</v>
      </c>
      <c r="B5498" s="2" t="inlineStr">
        <is>
          <t xml:space="preserve">2020-07</t>
        </is>
      </c>
      <c r="C5498" s="2" t="inlineStr">
        <is>
          <t xml:space="preserve">2020/21</t>
        </is>
      </c>
      <c r="D5498">
        <v>0.074</v>
      </c>
      <c r="E5498">
        <v>22.38</v>
      </c>
      <c r="F5498">
        <v>27.49</v>
      </c>
      <c r="G5498">
        <v>18.53</v>
      </c>
      <c r="H5498">
        <v>1.49</v>
      </c>
      <c r="I5498">
        <v>0.167</v>
      </c>
      <c r="J5498">
        <v>21.8</v>
      </c>
      <c r="K5498">
        <v>25.75</v>
      </c>
      <c r="L5498">
        <v>18.79</v>
      </c>
      <c r="M5498">
        <v>0.81</v>
      </c>
      <c r="N5498">
        <v>1.917</v>
      </c>
      <c r="O5498">
        <v>22.77</v>
      </c>
      <c r="P5498">
        <v>27.33</v>
      </c>
      <c r="Q5498">
        <v>20.17</v>
      </c>
      <c r="R5498">
        <v>2.61</v>
      </c>
    </row>
    <row r="5499">
      <c r="A5499" s="9">
        <v>44030</v>
      </c>
      <c r="B5499" s="2" t="inlineStr">
        <is>
          <t xml:space="preserve">2020-07</t>
        </is>
      </c>
      <c r="C5499" s="2" t="inlineStr">
        <is>
          <t xml:space="preserve">2020/21</t>
        </is>
      </c>
      <c r="D5499">
        <v>0.0</v>
      </c>
      <c r="E5499">
        <v>23.05</v>
      </c>
      <c r="F5499">
        <v>28.41</v>
      </c>
      <c r="G5499">
        <v>18.91</v>
      </c>
      <c r="H5499">
        <v>1.2</v>
      </c>
      <c r="I5499">
        <v>0.123</v>
      </c>
      <c r="J5499">
        <v>22.86</v>
      </c>
      <c r="K5499">
        <v>27.48</v>
      </c>
      <c r="L5499">
        <v>18.67</v>
      </c>
      <c r="M5499">
        <v>0.52</v>
      </c>
      <c r="N5499">
        <v>1.447</v>
      </c>
      <c r="O5499">
        <v>23.7</v>
      </c>
      <c r="P5499">
        <v>29.76</v>
      </c>
      <c r="Q5499">
        <v>19.61</v>
      </c>
      <c r="R5499">
        <v>1.49</v>
      </c>
    </row>
    <row r="5500">
      <c r="A5500" s="9">
        <v>44031</v>
      </c>
      <c r="B5500" s="2" t="inlineStr">
        <is>
          <t xml:space="preserve">2020-07</t>
        </is>
      </c>
      <c r="C5500" s="2" t="inlineStr">
        <is>
          <t xml:space="preserve">2020/21</t>
        </is>
      </c>
      <c r="D5500">
        <v>3.782</v>
      </c>
      <c r="E5500">
        <v>23.13</v>
      </c>
      <c r="F5500">
        <v>28.71</v>
      </c>
      <c r="G5500">
        <v>18.31</v>
      </c>
      <c r="H5500">
        <v>2.02</v>
      </c>
      <c r="I5500">
        <v>0.0</v>
      </c>
      <c r="J5500">
        <v>23.2</v>
      </c>
      <c r="K5500">
        <v>27.62</v>
      </c>
      <c r="L5500">
        <v>19.0</v>
      </c>
      <c r="M5500">
        <v>0.18</v>
      </c>
      <c r="N5500">
        <v>0.045</v>
      </c>
      <c r="O5500">
        <v>24.04</v>
      </c>
      <c r="P5500">
        <v>29.23</v>
      </c>
      <c r="Q5500">
        <v>20.43</v>
      </c>
      <c r="R5500">
        <v>2.14</v>
      </c>
    </row>
    <row r="5501">
      <c r="A5501" s="9">
        <v>44032</v>
      </c>
      <c r="B5501" s="2" t="inlineStr">
        <is>
          <t xml:space="preserve">2020-07</t>
        </is>
      </c>
      <c r="C5501" s="2" t="inlineStr">
        <is>
          <t xml:space="preserve">2020/21</t>
        </is>
      </c>
      <c r="D5501">
        <v>0.287</v>
      </c>
      <c r="E5501">
        <v>23.17</v>
      </c>
      <c r="F5501">
        <v>28.61</v>
      </c>
      <c r="G5501">
        <v>19.06</v>
      </c>
      <c r="H5501">
        <v>9.49</v>
      </c>
      <c r="I5501">
        <v>0.0</v>
      </c>
      <c r="J5501">
        <v>22.87</v>
      </c>
      <c r="K5501">
        <v>26.71</v>
      </c>
      <c r="L5501">
        <v>19.68</v>
      </c>
      <c r="M5501">
        <v>19.85</v>
      </c>
      <c r="N5501">
        <v>0.249</v>
      </c>
      <c r="O5501">
        <v>23.43</v>
      </c>
      <c r="P5501">
        <v>28.19</v>
      </c>
      <c r="Q5501">
        <v>20.85</v>
      </c>
      <c r="R5501">
        <v>9.27</v>
      </c>
    </row>
    <row r="5502">
      <c r="A5502" s="9">
        <v>44033</v>
      </c>
      <c r="B5502" s="2" t="inlineStr">
        <is>
          <t xml:space="preserve">2020-07</t>
        </is>
      </c>
      <c r="C5502" s="2" t="inlineStr">
        <is>
          <t xml:space="preserve">2020/21</t>
        </is>
      </c>
      <c r="D5502">
        <v>15.66</v>
      </c>
      <c r="E5502">
        <v>22.51</v>
      </c>
      <c r="F5502">
        <v>26.63</v>
      </c>
      <c r="G5502">
        <v>19.74</v>
      </c>
      <c r="H5502">
        <v>14.42</v>
      </c>
      <c r="I5502">
        <v>43.836</v>
      </c>
      <c r="J5502">
        <v>22.33</v>
      </c>
      <c r="K5502">
        <v>25.25</v>
      </c>
      <c r="L5502">
        <v>20.12</v>
      </c>
      <c r="M5502">
        <v>23.04</v>
      </c>
      <c r="N5502">
        <v>45.85</v>
      </c>
      <c r="O5502">
        <v>23.03</v>
      </c>
      <c r="P5502">
        <v>25.6</v>
      </c>
      <c r="Q5502">
        <v>21.14</v>
      </c>
      <c r="R5502">
        <v>25.86</v>
      </c>
    </row>
    <row r="5503">
      <c r="A5503" s="9">
        <v>44034</v>
      </c>
      <c r="B5503" s="2" t="inlineStr">
        <is>
          <t xml:space="preserve">2020-07</t>
        </is>
      </c>
      <c r="C5503" s="2" t="inlineStr">
        <is>
          <t xml:space="preserve">2020/21</t>
        </is>
      </c>
      <c r="D5503">
        <v>18.219</v>
      </c>
      <c r="E5503">
        <v>21.71</v>
      </c>
      <c r="F5503">
        <v>25.16</v>
      </c>
      <c r="G5503">
        <v>18.97</v>
      </c>
      <c r="H5503">
        <v>21.93</v>
      </c>
      <c r="I5503">
        <v>13.662</v>
      </c>
      <c r="J5503">
        <v>22.2</v>
      </c>
      <c r="K5503">
        <v>25.63</v>
      </c>
      <c r="L5503">
        <v>19.65</v>
      </c>
      <c r="M5503">
        <v>17.76</v>
      </c>
      <c r="N5503">
        <v>34.395</v>
      </c>
      <c r="O5503">
        <v>22.43</v>
      </c>
      <c r="P5503">
        <v>25.12</v>
      </c>
      <c r="Q5503">
        <v>20.24</v>
      </c>
      <c r="R5503">
        <v>16.97</v>
      </c>
    </row>
    <row r="5504">
      <c r="A5504" s="9">
        <v>44035</v>
      </c>
      <c r="B5504" s="2" t="inlineStr">
        <is>
          <t xml:space="preserve">2020-07</t>
        </is>
      </c>
      <c r="C5504" s="2" t="inlineStr">
        <is>
          <t xml:space="preserve">2020/21</t>
        </is>
      </c>
      <c r="D5504">
        <v>2.526</v>
      </c>
      <c r="E5504">
        <v>22.25</v>
      </c>
      <c r="F5504">
        <v>27.68</v>
      </c>
      <c r="G5504">
        <v>16.75</v>
      </c>
      <c r="H5504">
        <v>2.4</v>
      </c>
      <c r="I5504">
        <v>20.554</v>
      </c>
      <c r="J5504">
        <v>23.36</v>
      </c>
      <c r="K5504">
        <v>28.62</v>
      </c>
      <c r="L5504">
        <v>18.9</v>
      </c>
      <c r="M5504">
        <v>10.81</v>
      </c>
      <c r="N5504">
        <v>1.613</v>
      </c>
      <c r="O5504">
        <v>24.08</v>
      </c>
      <c r="P5504">
        <v>29.84</v>
      </c>
      <c r="Q5504">
        <v>18.95</v>
      </c>
      <c r="R5504">
        <v>1.53</v>
      </c>
    </row>
    <row r="5505">
      <c r="A5505" s="9">
        <v>44036</v>
      </c>
      <c r="B5505" s="2" t="inlineStr">
        <is>
          <t xml:space="preserve">2020-07</t>
        </is>
      </c>
      <c r="C5505" s="2" t="inlineStr">
        <is>
          <t xml:space="preserve">2020/21</t>
        </is>
      </c>
      <c r="D5505">
        <v>2.399</v>
      </c>
      <c r="E5505">
        <v>22.61</v>
      </c>
      <c r="F5505">
        <v>27.37</v>
      </c>
      <c r="G5505">
        <v>18.86</v>
      </c>
      <c r="H5505">
        <v>1.61</v>
      </c>
      <c r="I5505">
        <v>0.0</v>
      </c>
      <c r="J5505">
        <v>23.49</v>
      </c>
      <c r="K5505">
        <v>27.63</v>
      </c>
      <c r="L5505">
        <v>19.37</v>
      </c>
      <c r="M5505">
        <v>1.09</v>
      </c>
      <c r="N5505">
        <v>0.024</v>
      </c>
      <c r="O5505">
        <v>24.62</v>
      </c>
      <c r="P5505">
        <v>29.57</v>
      </c>
      <c r="Q5505">
        <v>20.3</v>
      </c>
      <c r="R5505">
        <v>1.7</v>
      </c>
    </row>
    <row r="5506">
      <c r="A5506" s="9">
        <v>44037</v>
      </c>
      <c r="B5506" s="2" t="inlineStr">
        <is>
          <t xml:space="preserve">2020-07</t>
        </is>
      </c>
      <c r="C5506" s="2" t="inlineStr">
        <is>
          <t xml:space="preserve">2020/21</t>
        </is>
      </c>
      <c r="D5506">
        <v>5.944</v>
      </c>
      <c r="E5506">
        <v>22.46</v>
      </c>
      <c r="F5506">
        <v>27.65</v>
      </c>
      <c r="G5506">
        <v>17.93</v>
      </c>
      <c r="H5506">
        <v>4.09</v>
      </c>
      <c r="I5506">
        <v>0.727</v>
      </c>
      <c r="J5506">
        <v>23.61</v>
      </c>
      <c r="K5506">
        <v>27.77</v>
      </c>
      <c r="L5506">
        <v>19.82</v>
      </c>
      <c r="M5506">
        <v>3.94</v>
      </c>
      <c r="N5506">
        <v>2.197</v>
      </c>
      <c r="O5506">
        <v>24.9</v>
      </c>
      <c r="P5506">
        <v>30.65</v>
      </c>
      <c r="Q5506">
        <v>20.07</v>
      </c>
      <c r="R5506">
        <v>4.01</v>
      </c>
    </row>
    <row r="5507">
      <c r="A5507" s="9">
        <v>44038</v>
      </c>
      <c r="B5507" s="2" t="inlineStr">
        <is>
          <t xml:space="preserve">2020-07</t>
        </is>
      </c>
      <c r="C5507" s="2" t="inlineStr">
        <is>
          <t xml:space="preserve">2020/21</t>
        </is>
      </c>
      <c r="D5507">
        <v>8.408</v>
      </c>
      <c r="E5507">
        <v>22.53</v>
      </c>
      <c r="F5507">
        <v>27.19</v>
      </c>
      <c r="G5507">
        <v>19.45</v>
      </c>
      <c r="H5507">
        <v>5.71</v>
      </c>
      <c r="I5507">
        <v>7.347</v>
      </c>
      <c r="J5507">
        <v>21.7</v>
      </c>
      <c r="K5507">
        <v>24.03</v>
      </c>
      <c r="L5507">
        <v>19.4</v>
      </c>
      <c r="M5507">
        <v>11.27</v>
      </c>
      <c r="N5507">
        <v>28.372</v>
      </c>
      <c r="O5507">
        <v>23.05</v>
      </c>
      <c r="P5507">
        <v>25.25</v>
      </c>
      <c r="Q5507">
        <v>21.34</v>
      </c>
      <c r="R5507">
        <v>11.05</v>
      </c>
    </row>
    <row r="5508">
      <c r="A5508" s="9">
        <v>44039</v>
      </c>
      <c r="B5508" s="2" t="inlineStr">
        <is>
          <t xml:space="preserve">2020-07</t>
        </is>
      </c>
      <c r="C5508" s="2" t="inlineStr">
        <is>
          <t xml:space="preserve">2020/21</t>
        </is>
      </c>
      <c r="D5508">
        <v>2.529</v>
      </c>
      <c r="E5508">
        <v>22.41</v>
      </c>
      <c r="F5508">
        <v>27.26</v>
      </c>
      <c r="G5508">
        <v>18.29</v>
      </c>
      <c r="H5508">
        <v>2.92</v>
      </c>
      <c r="I5508">
        <v>0.099</v>
      </c>
      <c r="J5508">
        <v>22.35</v>
      </c>
      <c r="K5508">
        <v>26.65</v>
      </c>
      <c r="L5508">
        <v>18.24</v>
      </c>
      <c r="M5508">
        <v>6.91</v>
      </c>
      <c r="N5508">
        <v>1.038</v>
      </c>
      <c r="O5508">
        <v>23.94</v>
      </c>
      <c r="P5508">
        <v>29.37</v>
      </c>
      <c r="Q5508">
        <v>19.43</v>
      </c>
      <c r="R5508">
        <v>6.39</v>
      </c>
    </row>
    <row r="5509">
      <c r="A5509" s="9">
        <v>44040</v>
      </c>
      <c r="B5509" s="2" t="inlineStr">
        <is>
          <t xml:space="preserve">2020-07</t>
        </is>
      </c>
      <c r="C5509" s="2" t="inlineStr">
        <is>
          <t xml:space="preserve">2020/21</t>
        </is>
      </c>
      <c r="D5509">
        <v>5.231</v>
      </c>
      <c r="E5509">
        <v>21.89</v>
      </c>
      <c r="F5509">
        <v>26.89</v>
      </c>
      <c r="G5509">
        <v>18.21</v>
      </c>
      <c r="H5509">
        <v>7.94</v>
      </c>
      <c r="I5509">
        <v>8.856</v>
      </c>
      <c r="J5509">
        <v>23.03</v>
      </c>
      <c r="K5509">
        <v>27.4</v>
      </c>
      <c r="L5509">
        <v>19.68</v>
      </c>
      <c r="M5509">
        <v>9.66</v>
      </c>
      <c r="N5509">
        <v>30.961</v>
      </c>
      <c r="O5509">
        <v>23.61</v>
      </c>
      <c r="P5509">
        <v>28.76</v>
      </c>
      <c r="Q5509">
        <v>20.7</v>
      </c>
      <c r="R5509">
        <v>10.51</v>
      </c>
    </row>
    <row r="5510">
      <c r="A5510" s="9">
        <v>44041</v>
      </c>
      <c r="B5510" s="2" t="inlineStr">
        <is>
          <t xml:space="preserve">2020-07</t>
        </is>
      </c>
      <c r="C5510" s="2" t="inlineStr">
        <is>
          <t xml:space="preserve">2020/21</t>
        </is>
      </c>
      <c r="D5510">
        <v>3.18</v>
      </c>
      <c r="E5510">
        <v>21.28</v>
      </c>
      <c r="F5510">
        <v>26.03</v>
      </c>
      <c r="G5510">
        <v>17.19</v>
      </c>
      <c r="H5510">
        <v>0.32</v>
      </c>
      <c r="I5510">
        <v>1.203</v>
      </c>
      <c r="J5510">
        <v>23.15</v>
      </c>
      <c r="K5510">
        <v>27.8</v>
      </c>
      <c r="L5510">
        <v>19.7</v>
      </c>
      <c r="M5510">
        <v>1.18</v>
      </c>
      <c r="N5510">
        <v>2.83</v>
      </c>
      <c r="O5510">
        <v>23.18</v>
      </c>
      <c r="P5510">
        <v>28.2</v>
      </c>
      <c r="Q5510">
        <v>19.88</v>
      </c>
      <c r="R5510">
        <v>0.97</v>
      </c>
    </row>
    <row r="5511">
      <c r="A5511" s="9">
        <v>44042</v>
      </c>
      <c r="B5511" s="2" t="inlineStr">
        <is>
          <t xml:space="preserve">2020-07</t>
        </is>
      </c>
      <c r="C5511" s="2" t="inlineStr">
        <is>
          <t xml:space="preserve">2020/21</t>
        </is>
      </c>
      <c r="D5511">
        <v>0.0</v>
      </c>
      <c r="E5511">
        <v>22.42</v>
      </c>
      <c r="F5511">
        <v>27.63</v>
      </c>
      <c r="G5511">
        <v>17.41</v>
      </c>
      <c r="H5511">
        <v>0.16</v>
      </c>
      <c r="I5511">
        <v>0.038</v>
      </c>
      <c r="J5511">
        <v>23.15</v>
      </c>
      <c r="K5511">
        <v>27.69</v>
      </c>
      <c r="L5511">
        <v>19.12</v>
      </c>
      <c r="M5511">
        <v>0.12</v>
      </c>
      <c r="N5511">
        <v>0.417</v>
      </c>
      <c r="O5511">
        <v>24.06</v>
      </c>
      <c r="P5511">
        <v>29.13</v>
      </c>
      <c r="Q5511">
        <v>20.19</v>
      </c>
      <c r="R5511">
        <v>0.31</v>
      </c>
    </row>
    <row r="5512">
      <c r="A5512" s="9">
        <v>44043</v>
      </c>
      <c r="B5512" s="2" t="inlineStr">
        <is>
          <t xml:space="preserve">2020-07</t>
        </is>
      </c>
      <c r="C5512" s="2" t="inlineStr">
        <is>
          <t xml:space="preserve">2020/21</t>
        </is>
      </c>
      <c r="D5512">
        <v>0.0</v>
      </c>
      <c r="E5512">
        <v>22.86</v>
      </c>
      <c r="F5512">
        <v>28.27</v>
      </c>
      <c r="G5512">
        <v>18.77</v>
      </c>
      <c r="H5512">
        <v>0.25</v>
      </c>
      <c r="I5512">
        <v>0.0</v>
      </c>
      <c r="J5512">
        <v>23.42</v>
      </c>
      <c r="K5512">
        <v>27.88</v>
      </c>
      <c r="L5512">
        <v>20.08</v>
      </c>
      <c r="M5512">
        <v>0.02</v>
      </c>
      <c r="N5512">
        <v>0.0</v>
      </c>
      <c r="O5512">
        <v>24.15</v>
      </c>
      <c r="P5512">
        <v>29.17</v>
      </c>
      <c r="Q5512">
        <v>20.73</v>
      </c>
      <c r="R5512">
        <v>0.77</v>
      </c>
    </row>
    <row r="5513">
      <c r="A5513" s="9">
        <v>44044</v>
      </c>
      <c r="B5513" s="2" t="inlineStr">
        <is>
          <t xml:space="preserve">2020-08</t>
        </is>
      </c>
      <c r="C5513" s="2" t="inlineStr">
        <is>
          <t xml:space="preserve">2020/21</t>
        </is>
      </c>
      <c r="D5513">
        <v>0.0</v>
      </c>
      <c r="E5513">
        <v>22.21</v>
      </c>
      <c r="F5513">
        <v>26.82</v>
      </c>
      <c r="G5513">
        <v>18.58</v>
      </c>
      <c r="H5513">
        <v>0.42</v>
      </c>
      <c r="I5513">
        <v>0.0</v>
      </c>
      <c r="J5513">
        <v>23.32</v>
      </c>
      <c r="K5513">
        <v>28.2</v>
      </c>
      <c r="L5513">
        <v>18.94</v>
      </c>
      <c r="M5513">
        <v>0.0</v>
      </c>
      <c r="N5513">
        <v>0.0</v>
      </c>
      <c r="O5513">
        <v>24.07</v>
      </c>
      <c r="P5513">
        <v>29.32</v>
      </c>
      <c r="Q5513">
        <v>20.06</v>
      </c>
      <c r="R5513">
        <v>0.23</v>
      </c>
    </row>
    <row r="5514">
      <c r="A5514" s="9">
        <v>44045</v>
      </c>
      <c r="B5514" s="2" t="inlineStr">
        <is>
          <t xml:space="preserve">2020-08</t>
        </is>
      </c>
      <c r="C5514" s="2" t="inlineStr">
        <is>
          <t xml:space="preserve">2020/21</t>
        </is>
      </c>
      <c r="D5514">
        <v>0.0</v>
      </c>
      <c r="E5514">
        <v>23.08</v>
      </c>
      <c r="F5514">
        <v>27.94</v>
      </c>
      <c r="G5514">
        <v>18.15</v>
      </c>
      <c r="H5514">
        <v>2.64</v>
      </c>
      <c r="I5514">
        <v>0.0</v>
      </c>
      <c r="J5514">
        <v>23.12</v>
      </c>
      <c r="K5514">
        <v>27.18</v>
      </c>
      <c r="L5514">
        <v>19.66</v>
      </c>
      <c r="M5514">
        <v>0.07</v>
      </c>
      <c r="N5514">
        <v>0.0</v>
      </c>
      <c r="O5514">
        <v>23.61</v>
      </c>
      <c r="P5514">
        <v>28.01</v>
      </c>
      <c r="Q5514">
        <v>20.1</v>
      </c>
      <c r="R5514">
        <v>0.53</v>
      </c>
    </row>
    <row r="5515">
      <c r="A5515" s="9">
        <v>44046</v>
      </c>
      <c r="B5515" s="2" t="inlineStr">
        <is>
          <t xml:space="preserve">2020-08</t>
        </is>
      </c>
      <c r="C5515" s="2" t="inlineStr">
        <is>
          <t xml:space="preserve">2020/21</t>
        </is>
      </c>
      <c r="D5515">
        <v>8.597</v>
      </c>
      <c r="E5515">
        <v>22.88</v>
      </c>
      <c r="F5515">
        <v>26.18</v>
      </c>
      <c r="G5515">
        <v>20.18</v>
      </c>
      <c r="H5515">
        <v>4.75</v>
      </c>
      <c r="I5515">
        <v>0.0</v>
      </c>
      <c r="J5515">
        <v>23.03</v>
      </c>
      <c r="K5515">
        <v>26.39</v>
      </c>
      <c r="L5515">
        <v>20.27</v>
      </c>
      <c r="M5515">
        <v>11.85</v>
      </c>
      <c r="N5515">
        <v>0.064</v>
      </c>
      <c r="O5515">
        <v>23.12</v>
      </c>
      <c r="P5515">
        <v>26.56</v>
      </c>
      <c r="Q5515">
        <v>20.85</v>
      </c>
      <c r="R5515">
        <v>5.56</v>
      </c>
    </row>
    <row r="5516">
      <c r="A5516" s="9">
        <v>44047</v>
      </c>
      <c r="B5516" s="2" t="inlineStr">
        <is>
          <t xml:space="preserve">2020-08</t>
        </is>
      </c>
      <c r="C5516" s="2" t="inlineStr">
        <is>
          <t xml:space="preserve">2020/21</t>
        </is>
      </c>
      <c r="D5516">
        <v>1.889</v>
      </c>
      <c r="E5516">
        <v>22.68</v>
      </c>
      <c r="F5516">
        <v>27.55</v>
      </c>
      <c r="G5516">
        <v>19.21</v>
      </c>
      <c r="H5516">
        <v>7.46</v>
      </c>
      <c r="I5516">
        <v>23.555</v>
      </c>
      <c r="J5516">
        <v>22.75</v>
      </c>
      <c r="K5516">
        <v>26.08</v>
      </c>
      <c r="L5516">
        <v>20.51</v>
      </c>
      <c r="M5516">
        <v>5.23</v>
      </c>
      <c r="N5516">
        <v>7.513</v>
      </c>
      <c r="O5516">
        <v>22.42</v>
      </c>
      <c r="P5516">
        <v>25.36</v>
      </c>
      <c r="Q5516">
        <v>20.53</v>
      </c>
      <c r="R5516">
        <v>4.7</v>
      </c>
    </row>
    <row r="5517">
      <c r="A5517" s="9">
        <v>44048</v>
      </c>
      <c r="B5517" s="2" t="inlineStr">
        <is>
          <t xml:space="preserve">2020-08</t>
        </is>
      </c>
      <c r="C5517" s="2" t="inlineStr">
        <is>
          <t xml:space="preserve">2020/21</t>
        </is>
      </c>
      <c r="D5517">
        <v>3.942</v>
      </c>
      <c r="E5517">
        <v>22.68</v>
      </c>
      <c r="F5517">
        <v>27.63</v>
      </c>
      <c r="G5517">
        <v>19.07</v>
      </c>
      <c r="H5517">
        <v>5.19</v>
      </c>
      <c r="I5517">
        <v>15.658</v>
      </c>
      <c r="J5517">
        <v>22.78</v>
      </c>
      <c r="K5517">
        <v>27.22</v>
      </c>
      <c r="L5517">
        <v>18.75</v>
      </c>
      <c r="M5517">
        <v>11.93</v>
      </c>
      <c r="N5517">
        <v>0.984</v>
      </c>
      <c r="O5517">
        <v>23.26</v>
      </c>
      <c r="P5517">
        <v>27.4</v>
      </c>
      <c r="Q5517">
        <v>20.33</v>
      </c>
      <c r="R5517">
        <v>5.15</v>
      </c>
    </row>
    <row r="5518">
      <c r="A5518" s="9">
        <v>44049</v>
      </c>
      <c r="B5518" s="2" t="inlineStr">
        <is>
          <t xml:space="preserve">2020-08</t>
        </is>
      </c>
      <c r="C5518" s="2" t="inlineStr">
        <is>
          <t xml:space="preserve">2020/21</t>
        </is>
      </c>
      <c r="D5518">
        <v>41.013</v>
      </c>
      <c r="E5518">
        <v>20.98</v>
      </c>
      <c r="F5518">
        <v>25.07</v>
      </c>
      <c r="G5518">
        <v>16.95</v>
      </c>
      <c r="H5518">
        <v>27.7</v>
      </c>
      <c r="I5518">
        <v>16.439</v>
      </c>
      <c r="J5518">
        <v>22.05</v>
      </c>
      <c r="K5518">
        <v>25.25</v>
      </c>
      <c r="L5518">
        <v>20.1</v>
      </c>
      <c r="M5518">
        <v>28.66</v>
      </c>
      <c r="N5518">
        <v>37.091</v>
      </c>
      <c r="O5518">
        <v>22.99</v>
      </c>
      <c r="P5518">
        <v>26.8</v>
      </c>
      <c r="Q5518">
        <v>20.61</v>
      </c>
      <c r="R5518">
        <v>31.75</v>
      </c>
    </row>
    <row r="5519">
      <c r="A5519" s="9">
        <v>44050</v>
      </c>
      <c r="B5519" s="2" t="inlineStr">
        <is>
          <t xml:space="preserve">2020-08</t>
        </is>
      </c>
      <c r="C5519" s="2" t="inlineStr">
        <is>
          <t xml:space="preserve">2020/21</t>
        </is>
      </c>
      <c r="D5519">
        <v>8.481</v>
      </c>
      <c r="E5519">
        <v>21.04</v>
      </c>
      <c r="F5519">
        <v>25.84</v>
      </c>
      <c r="G5519">
        <v>16.51</v>
      </c>
      <c r="H5519">
        <v>3.87</v>
      </c>
      <c r="I5519">
        <v>12.818</v>
      </c>
      <c r="J5519">
        <v>22.27</v>
      </c>
      <c r="K5519">
        <v>25.94</v>
      </c>
      <c r="L5519">
        <v>19.54</v>
      </c>
      <c r="M5519">
        <v>12.6</v>
      </c>
      <c r="N5519">
        <v>32.514</v>
      </c>
      <c r="O5519">
        <v>23.26</v>
      </c>
      <c r="P5519">
        <v>27.7</v>
      </c>
      <c r="Q5519">
        <v>20.51</v>
      </c>
      <c r="R5519">
        <v>7.69</v>
      </c>
    </row>
    <row r="5520">
      <c r="A5520" s="9">
        <v>44051</v>
      </c>
      <c r="B5520" s="2" t="inlineStr">
        <is>
          <t xml:space="preserve">2020-08</t>
        </is>
      </c>
      <c r="C5520" s="2" t="inlineStr">
        <is>
          <t xml:space="preserve">2020/21</t>
        </is>
      </c>
      <c r="D5520">
        <v>2.117</v>
      </c>
      <c r="E5520">
        <v>21.87</v>
      </c>
      <c r="F5520">
        <v>25.78</v>
      </c>
      <c r="G5520">
        <v>18.82</v>
      </c>
      <c r="H5520">
        <v>2.16</v>
      </c>
      <c r="I5520">
        <v>13.731</v>
      </c>
      <c r="J5520">
        <v>23.13</v>
      </c>
      <c r="K5520">
        <v>26.72</v>
      </c>
      <c r="L5520">
        <v>20.23</v>
      </c>
      <c r="M5520">
        <v>2.62</v>
      </c>
      <c r="N5520">
        <v>1.096</v>
      </c>
      <c r="O5520">
        <v>23.25</v>
      </c>
      <c r="P5520">
        <v>27.01</v>
      </c>
      <c r="Q5520">
        <v>20.58</v>
      </c>
      <c r="R5520">
        <v>0.9</v>
      </c>
    </row>
    <row r="5521">
      <c r="A5521" s="9">
        <v>44052</v>
      </c>
      <c r="B5521" s="2" t="inlineStr">
        <is>
          <t xml:space="preserve">2020-08</t>
        </is>
      </c>
      <c r="C5521" s="2" t="inlineStr">
        <is>
          <t xml:space="preserve">2020/21</t>
        </is>
      </c>
      <c r="D5521">
        <v>2.126</v>
      </c>
      <c r="E5521">
        <v>21.82</v>
      </c>
      <c r="F5521">
        <v>25.63</v>
      </c>
      <c r="G5521">
        <v>19.0</v>
      </c>
      <c r="H5521">
        <v>4.15</v>
      </c>
      <c r="I5521">
        <v>0.597</v>
      </c>
      <c r="J5521">
        <v>23.3</v>
      </c>
      <c r="K5521">
        <v>27.13</v>
      </c>
      <c r="L5521">
        <v>20.47</v>
      </c>
      <c r="M5521">
        <v>9.93</v>
      </c>
      <c r="N5521">
        <v>2.375</v>
      </c>
      <c r="O5521">
        <v>23.65</v>
      </c>
      <c r="P5521">
        <v>27.61</v>
      </c>
      <c r="Q5521">
        <v>20.89</v>
      </c>
      <c r="R5521">
        <v>9.54</v>
      </c>
    </row>
    <row r="5522">
      <c r="A5522" s="9">
        <v>44053</v>
      </c>
      <c r="B5522" s="2" t="inlineStr">
        <is>
          <t xml:space="preserve">2020-08</t>
        </is>
      </c>
      <c r="C5522" s="2" t="inlineStr">
        <is>
          <t xml:space="preserve">2020/21</t>
        </is>
      </c>
      <c r="D5522">
        <v>2.148</v>
      </c>
      <c r="E5522">
        <v>20.68</v>
      </c>
      <c r="F5522">
        <v>22.8</v>
      </c>
      <c r="G5522">
        <v>18.51</v>
      </c>
      <c r="H5522">
        <v>2.56</v>
      </c>
      <c r="I5522">
        <v>6.458</v>
      </c>
      <c r="J5522">
        <v>22.45</v>
      </c>
      <c r="K5522">
        <v>25.99</v>
      </c>
      <c r="L5522">
        <v>19.82</v>
      </c>
      <c r="M5522">
        <v>2.99</v>
      </c>
      <c r="N5522">
        <v>24.882</v>
      </c>
      <c r="O5522">
        <v>22.39</v>
      </c>
      <c r="P5522">
        <v>25.31</v>
      </c>
      <c r="Q5522">
        <v>20.52</v>
      </c>
      <c r="R5522">
        <v>3.18</v>
      </c>
    </row>
    <row r="5523">
      <c r="A5523" s="9">
        <v>44054</v>
      </c>
      <c r="B5523" s="2" t="inlineStr">
        <is>
          <t xml:space="preserve">2020-08</t>
        </is>
      </c>
      <c r="C5523" s="2" t="inlineStr">
        <is>
          <t xml:space="preserve">2020/21</t>
        </is>
      </c>
      <c r="D5523">
        <v>0.0</v>
      </c>
      <c r="E5523">
        <v>21.32</v>
      </c>
      <c r="F5523">
        <v>26.27</v>
      </c>
      <c r="G5523">
        <v>17.74</v>
      </c>
      <c r="H5523">
        <v>0.07</v>
      </c>
      <c r="I5523">
        <v>0.858</v>
      </c>
      <c r="J5523">
        <v>22.46</v>
      </c>
      <c r="K5523">
        <v>26.63</v>
      </c>
      <c r="L5523">
        <v>19.1</v>
      </c>
      <c r="M5523">
        <v>0.83</v>
      </c>
      <c r="N5523">
        <v>0.37</v>
      </c>
      <c r="O5523">
        <v>22.91</v>
      </c>
      <c r="P5523">
        <v>26.94</v>
      </c>
      <c r="Q5523">
        <v>19.96</v>
      </c>
      <c r="R5523">
        <v>0.29</v>
      </c>
    </row>
    <row r="5524">
      <c r="A5524" s="9">
        <v>44055</v>
      </c>
      <c r="B5524" s="2" t="inlineStr">
        <is>
          <t xml:space="preserve">2020-08</t>
        </is>
      </c>
      <c r="C5524" s="2" t="inlineStr">
        <is>
          <t xml:space="preserve">2020/21</t>
        </is>
      </c>
      <c r="D5524">
        <v>0.0</v>
      </c>
      <c r="E5524">
        <v>21.97</v>
      </c>
      <c r="F5524">
        <v>27.02</v>
      </c>
      <c r="G5524">
        <v>17.72</v>
      </c>
      <c r="H5524">
        <v>3.83</v>
      </c>
      <c r="I5524">
        <v>1.223</v>
      </c>
      <c r="J5524">
        <v>22.88</v>
      </c>
      <c r="K5524">
        <v>27.71</v>
      </c>
      <c r="L5524">
        <v>19.26</v>
      </c>
      <c r="M5524">
        <v>3.87</v>
      </c>
      <c r="N5524">
        <v>0.0</v>
      </c>
      <c r="O5524">
        <v>23.4</v>
      </c>
      <c r="P5524">
        <v>27.89</v>
      </c>
      <c r="Q5524">
        <v>20.02</v>
      </c>
      <c r="R5524">
        <v>3.56</v>
      </c>
    </row>
    <row r="5525">
      <c r="A5525" s="9">
        <v>44056</v>
      </c>
      <c r="B5525" s="2" t="inlineStr">
        <is>
          <t xml:space="preserve">2020-08</t>
        </is>
      </c>
      <c r="C5525" s="2" t="inlineStr">
        <is>
          <t xml:space="preserve">2020/21</t>
        </is>
      </c>
      <c r="D5525">
        <v>8.367</v>
      </c>
      <c r="E5525">
        <v>22.31</v>
      </c>
      <c r="F5525">
        <v>27.74</v>
      </c>
      <c r="G5525">
        <v>18.63</v>
      </c>
      <c r="H5525">
        <v>2.22</v>
      </c>
      <c r="I5525">
        <v>1.107</v>
      </c>
      <c r="J5525">
        <v>22.56</v>
      </c>
      <c r="K5525">
        <v>27.11</v>
      </c>
      <c r="L5525">
        <v>19.52</v>
      </c>
      <c r="M5525">
        <v>1.54</v>
      </c>
      <c r="N5525">
        <v>4.09</v>
      </c>
      <c r="O5525">
        <v>22.78</v>
      </c>
      <c r="P5525">
        <v>26.56</v>
      </c>
      <c r="Q5525">
        <v>20.54</v>
      </c>
      <c r="R5525">
        <v>2.85</v>
      </c>
    </row>
    <row r="5526">
      <c r="A5526" s="9">
        <v>44057</v>
      </c>
      <c r="B5526" s="2" t="inlineStr">
        <is>
          <t xml:space="preserve">2020-08</t>
        </is>
      </c>
      <c r="C5526" s="2" t="inlineStr">
        <is>
          <t xml:space="preserve">2020/21</t>
        </is>
      </c>
      <c r="D5526">
        <v>2.435</v>
      </c>
      <c r="E5526">
        <v>21.38</v>
      </c>
      <c r="F5526">
        <v>25.68</v>
      </c>
      <c r="G5526">
        <v>17.97</v>
      </c>
      <c r="H5526">
        <v>3.38</v>
      </c>
      <c r="I5526">
        <v>9.133</v>
      </c>
      <c r="J5526">
        <v>22.53</v>
      </c>
      <c r="K5526">
        <v>26.54</v>
      </c>
      <c r="L5526">
        <v>18.96</v>
      </c>
      <c r="M5526">
        <v>5.69</v>
      </c>
      <c r="N5526">
        <v>2.296</v>
      </c>
      <c r="O5526">
        <v>22.5</v>
      </c>
      <c r="P5526">
        <v>26.21</v>
      </c>
      <c r="Q5526">
        <v>19.97</v>
      </c>
      <c r="R5526">
        <v>4.5</v>
      </c>
    </row>
    <row r="5527">
      <c r="A5527" s="9">
        <v>44058</v>
      </c>
      <c r="B5527" s="2" t="inlineStr">
        <is>
          <t xml:space="preserve">2020-08</t>
        </is>
      </c>
      <c r="C5527" s="2" t="inlineStr">
        <is>
          <t xml:space="preserve">2020/21</t>
        </is>
      </c>
      <c r="D5527">
        <v>0.0</v>
      </c>
      <c r="E5527">
        <v>21.26</v>
      </c>
      <c r="F5527">
        <v>26.77</v>
      </c>
      <c r="G5527">
        <v>16.21</v>
      </c>
      <c r="H5527">
        <v>0.18</v>
      </c>
      <c r="I5527">
        <v>0.0</v>
      </c>
      <c r="J5527">
        <v>22.66</v>
      </c>
      <c r="K5527">
        <v>27.06</v>
      </c>
      <c r="L5527">
        <v>19.17</v>
      </c>
      <c r="M5527">
        <v>0.06</v>
      </c>
      <c r="N5527">
        <v>0.0</v>
      </c>
      <c r="O5527">
        <v>23.16</v>
      </c>
      <c r="P5527">
        <v>28.02</v>
      </c>
      <c r="Q5527">
        <v>19.92</v>
      </c>
      <c r="R5527">
        <v>0.25</v>
      </c>
    </row>
    <row r="5528">
      <c r="A5528" s="9">
        <v>44059</v>
      </c>
      <c r="B5528" s="2" t="inlineStr">
        <is>
          <t xml:space="preserve">2020-08</t>
        </is>
      </c>
      <c r="C5528" s="2" t="inlineStr">
        <is>
          <t xml:space="preserve">2020/21</t>
        </is>
      </c>
      <c r="D5528">
        <v>0.786</v>
      </c>
      <c r="E5528">
        <v>21.83</v>
      </c>
      <c r="F5528">
        <v>26.85</v>
      </c>
      <c r="G5528">
        <v>17.66</v>
      </c>
      <c r="H5528">
        <v>5.05</v>
      </c>
      <c r="I5528">
        <v>0.0</v>
      </c>
      <c r="J5528">
        <v>22.54</v>
      </c>
      <c r="K5528">
        <v>26.87</v>
      </c>
      <c r="L5528">
        <v>18.81</v>
      </c>
      <c r="M5528">
        <v>9.43</v>
      </c>
      <c r="N5528">
        <v>0.222</v>
      </c>
      <c r="O5528">
        <v>23.13</v>
      </c>
      <c r="P5528">
        <v>27.48</v>
      </c>
      <c r="Q5528">
        <v>20.01</v>
      </c>
      <c r="R5528">
        <v>7.54</v>
      </c>
    </row>
    <row r="5529">
      <c r="A5529" s="9">
        <v>44060</v>
      </c>
      <c r="B5529" s="2" t="inlineStr">
        <is>
          <t xml:space="preserve">2020-08</t>
        </is>
      </c>
      <c r="C5529" s="2" t="inlineStr">
        <is>
          <t xml:space="preserve">2020/21</t>
        </is>
      </c>
      <c r="D5529">
        <v>10.496</v>
      </c>
      <c r="E5529">
        <v>21.92</v>
      </c>
      <c r="F5529">
        <v>26.93</v>
      </c>
      <c r="G5529">
        <v>18.3</v>
      </c>
      <c r="H5529">
        <v>8.75</v>
      </c>
      <c r="I5529">
        <v>27.845</v>
      </c>
      <c r="J5529">
        <v>21.96</v>
      </c>
      <c r="K5529">
        <v>25.93</v>
      </c>
      <c r="L5529">
        <v>19.32</v>
      </c>
      <c r="M5529">
        <v>21.19</v>
      </c>
      <c r="N5529">
        <v>42.105</v>
      </c>
      <c r="O5529">
        <v>22.18</v>
      </c>
      <c r="P5529">
        <v>25.5</v>
      </c>
      <c r="Q5529">
        <v>19.87</v>
      </c>
      <c r="R5529">
        <v>13.72</v>
      </c>
    </row>
    <row r="5530">
      <c r="A5530" s="9">
        <v>44061</v>
      </c>
      <c r="B5530" s="2" t="inlineStr">
        <is>
          <t xml:space="preserve">2020-08</t>
        </is>
      </c>
      <c r="C5530" s="2" t="inlineStr">
        <is>
          <t xml:space="preserve">2020/21</t>
        </is>
      </c>
      <c r="D5530">
        <v>4.038</v>
      </c>
      <c r="E5530">
        <v>21.73</v>
      </c>
      <c r="F5530">
        <v>26.22</v>
      </c>
      <c r="G5530">
        <v>18.24</v>
      </c>
      <c r="H5530">
        <v>5.53</v>
      </c>
      <c r="I5530">
        <v>13.811</v>
      </c>
      <c r="J5530">
        <v>21.54</v>
      </c>
      <c r="K5530">
        <v>25.97</v>
      </c>
      <c r="L5530">
        <v>17.6</v>
      </c>
      <c r="M5530">
        <v>10.09</v>
      </c>
      <c r="N5530">
        <v>6.542</v>
      </c>
      <c r="O5530">
        <v>22.03</v>
      </c>
      <c r="P5530">
        <v>26.68</v>
      </c>
      <c r="Q5530">
        <v>18.38</v>
      </c>
      <c r="R5530">
        <v>5.74</v>
      </c>
    </row>
    <row r="5531">
      <c r="A5531" s="9">
        <v>44062</v>
      </c>
      <c r="B5531" s="2" t="inlineStr">
        <is>
          <t xml:space="preserve">2020-08</t>
        </is>
      </c>
      <c r="C5531" s="2" t="inlineStr">
        <is>
          <t xml:space="preserve">2020/21</t>
        </is>
      </c>
      <c r="D5531">
        <v>8.16</v>
      </c>
      <c r="E5531">
        <v>22.54</v>
      </c>
      <c r="F5531">
        <v>27.56</v>
      </c>
      <c r="G5531">
        <v>18.57</v>
      </c>
      <c r="H5531">
        <v>10.37</v>
      </c>
      <c r="I5531">
        <v>9.565</v>
      </c>
      <c r="J5531">
        <v>22.52</v>
      </c>
      <c r="K5531">
        <v>26.68</v>
      </c>
      <c r="L5531">
        <v>19.04</v>
      </c>
      <c r="M5531">
        <v>15.98</v>
      </c>
      <c r="N5531">
        <v>18.105</v>
      </c>
      <c r="O5531">
        <v>23.27</v>
      </c>
      <c r="P5531">
        <v>28.28</v>
      </c>
      <c r="Q5531">
        <v>19.28</v>
      </c>
      <c r="R5531">
        <v>12.62</v>
      </c>
    </row>
    <row r="5532">
      <c r="A5532" s="9">
        <v>44063</v>
      </c>
      <c r="B5532" s="2" t="inlineStr">
        <is>
          <t xml:space="preserve">2020-08</t>
        </is>
      </c>
      <c r="C5532" s="2" t="inlineStr">
        <is>
          <t xml:space="preserve">2020/21</t>
        </is>
      </c>
      <c r="D5532">
        <v>40.75</v>
      </c>
      <c r="E5532">
        <v>22.38</v>
      </c>
      <c r="F5532">
        <v>26.62</v>
      </c>
      <c r="G5532">
        <v>18.99</v>
      </c>
      <c r="H5532">
        <v>13.17</v>
      </c>
      <c r="I5532">
        <v>11.951</v>
      </c>
      <c r="J5532">
        <v>22.46</v>
      </c>
      <c r="K5532">
        <v>25.35</v>
      </c>
      <c r="L5532">
        <v>20.01</v>
      </c>
      <c r="M5532">
        <v>7.59</v>
      </c>
      <c r="N5532">
        <v>10.779</v>
      </c>
      <c r="O5532">
        <v>23.92</v>
      </c>
      <c r="P5532">
        <v>27.82</v>
      </c>
      <c r="Q5532">
        <v>21.03</v>
      </c>
      <c r="R5532">
        <v>7.72</v>
      </c>
    </row>
    <row r="5533">
      <c r="A5533" s="9">
        <v>44064</v>
      </c>
      <c r="B5533" s="2" t="inlineStr">
        <is>
          <t xml:space="preserve">2020-08</t>
        </is>
      </c>
      <c r="C5533" s="2" t="inlineStr">
        <is>
          <t xml:space="preserve">2020/21</t>
        </is>
      </c>
      <c r="D5533">
        <v>2.49</v>
      </c>
      <c r="E5533">
        <v>22.6</v>
      </c>
      <c r="F5533">
        <v>27.05</v>
      </c>
      <c r="G5533">
        <v>18.95</v>
      </c>
      <c r="H5533">
        <v>2.96</v>
      </c>
      <c r="I5533">
        <v>1.108</v>
      </c>
      <c r="J5533">
        <v>22.52</v>
      </c>
      <c r="K5533">
        <v>27.18</v>
      </c>
      <c r="L5533">
        <v>18.93</v>
      </c>
      <c r="M5533">
        <v>1.51</v>
      </c>
      <c r="N5533">
        <v>3.762</v>
      </c>
      <c r="O5533">
        <v>23.8</v>
      </c>
      <c r="P5533">
        <v>28.49</v>
      </c>
      <c r="Q5533">
        <v>19.89</v>
      </c>
      <c r="R5533">
        <v>2.82</v>
      </c>
    </row>
    <row r="5534">
      <c r="A5534" s="9">
        <v>44065</v>
      </c>
      <c r="B5534" s="2" t="inlineStr">
        <is>
          <t xml:space="preserve">2020-08</t>
        </is>
      </c>
      <c r="C5534" s="2" t="inlineStr">
        <is>
          <t xml:space="preserve">2020/21</t>
        </is>
      </c>
      <c r="D5534">
        <v>0.36</v>
      </c>
      <c r="E5534">
        <v>22.24</v>
      </c>
      <c r="F5534">
        <v>25.73</v>
      </c>
      <c r="G5534">
        <v>19.68</v>
      </c>
      <c r="H5534">
        <v>2.2</v>
      </c>
      <c r="I5534">
        <v>3.563</v>
      </c>
      <c r="J5534">
        <v>21.89</v>
      </c>
      <c r="K5534">
        <v>23.73</v>
      </c>
      <c r="L5534">
        <v>20.03</v>
      </c>
      <c r="M5534">
        <v>13.77</v>
      </c>
      <c r="N5534">
        <v>7.452</v>
      </c>
      <c r="O5534">
        <v>22.86</v>
      </c>
      <c r="P5534">
        <v>25.08</v>
      </c>
      <c r="Q5534">
        <v>20.87</v>
      </c>
      <c r="R5534">
        <v>8.44</v>
      </c>
    </row>
    <row r="5535">
      <c r="A5535" s="9">
        <v>44066</v>
      </c>
      <c r="B5535" s="2" t="inlineStr">
        <is>
          <t xml:space="preserve">2020-08</t>
        </is>
      </c>
      <c r="C5535" s="2" t="inlineStr">
        <is>
          <t xml:space="preserve">2020/21</t>
        </is>
      </c>
      <c r="D5535">
        <v>3.46</v>
      </c>
      <c r="E5535">
        <v>22.83</v>
      </c>
      <c r="F5535">
        <v>27.34</v>
      </c>
      <c r="G5535">
        <v>19.07</v>
      </c>
      <c r="H5535">
        <v>7.38</v>
      </c>
      <c r="I5535">
        <v>11.464</v>
      </c>
      <c r="J5535">
        <v>22.01</v>
      </c>
      <c r="K5535">
        <v>26.14</v>
      </c>
      <c r="L5535">
        <v>19.12</v>
      </c>
      <c r="M5535">
        <v>8.72</v>
      </c>
      <c r="N5535">
        <v>33.48</v>
      </c>
      <c r="O5535">
        <v>23.12</v>
      </c>
      <c r="P5535">
        <v>27.53</v>
      </c>
      <c r="Q5535">
        <v>19.72</v>
      </c>
      <c r="R5535">
        <v>7.83</v>
      </c>
    </row>
    <row r="5536">
      <c r="A5536" s="9">
        <v>44067</v>
      </c>
      <c r="B5536" s="2" t="inlineStr">
        <is>
          <t xml:space="preserve">2020-08</t>
        </is>
      </c>
      <c r="C5536" s="2" t="inlineStr">
        <is>
          <t xml:space="preserve">2020/21</t>
        </is>
      </c>
      <c r="D5536">
        <v>3.941</v>
      </c>
      <c r="E5536">
        <v>23.02</v>
      </c>
      <c r="F5536">
        <v>27.15</v>
      </c>
      <c r="G5536">
        <v>19.25</v>
      </c>
      <c r="H5536">
        <v>7.24</v>
      </c>
      <c r="I5536">
        <v>1.097</v>
      </c>
      <c r="J5536">
        <v>22.82</v>
      </c>
      <c r="K5536">
        <v>27.87</v>
      </c>
      <c r="L5536">
        <v>18.66</v>
      </c>
      <c r="M5536">
        <v>0.85</v>
      </c>
      <c r="N5536">
        <v>0.091</v>
      </c>
      <c r="O5536">
        <v>24.26</v>
      </c>
      <c r="P5536">
        <v>29.51</v>
      </c>
      <c r="Q5536">
        <v>19.77</v>
      </c>
      <c r="R5536">
        <v>1.0</v>
      </c>
    </row>
    <row r="5537">
      <c r="A5537" s="9">
        <v>44068</v>
      </c>
      <c r="B5537" s="2" t="inlineStr">
        <is>
          <t xml:space="preserve">2020-08</t>
        </is>
      </c>
      <c r="C5537" s="2" t="inlineStr">
        <is>
          <t xml:space="preserve">2020/21</t>
        </is>
      </c>
      <c r="D5537">
        <v>22.683</v>
      </c>
      <c r="E5537">
        <v>22.45</v>
      </c>
      <c r="F5537">
        <v>26.53</v>
      </c>
      <c r="G5537">
        <v>19.81</v>
      </c>
      <c r="H5537">
        <v>12.55</v>
      </c>
      <c r="I5537">
        <v>0.963</v>
      </c>
      <c r="J5537">
        <v>22.21</v>
      </c>
      <c r="K5537">
        <v>25.56</v>
      </c>
      <c r="L5537">
        <v>19.86</v>
      </c>
      <c r="M5537">
        <v>7.31</v>
      </c>
      <c r="N5537">
        <v>2.933</v>
      </c>
      <c r="O5537">
        <v>22.96</v>
      </c>
      <c r="P5537">
        <v>26.04</v>
      </c>
      <c r="Q5537">
        <v>21.27</v>
      </c>
      <c r="R5537">
        <v>8.98</v>
      </c>
    </row>
    <row r="5538">
      <c r="A5538" s="9">
        <v>44069</v>
      </c>
      <c r="B5538" s="2" t="inlineStr">
        <is>
          <t xml:space="preserve">2020-08</t>
        </is>
      </c>
      <c r="C5538" s="2" t="inlineStr">
        <is>
          <t xml:space="preserve">2020/21</t>
        </is>
      </c>
      <c r="D5538">
        <v>6.139</v>
      </c>
      <c r="E5538">
        <v>21.74</v>
      </c>
      <c r="F5538">
        <v>25.87</v>
      </c>
      <c r="G5538">
        <v>18.87</v>
      </c>
      <c r="H5538">
        <v>11.06</v>
      </c>
      <c r="I5538">
        <v>4.284</v>
      </c>
      <c r="J5538">
        <v>21.87</v>
      </c>
      <c r="K5538">
        <v>24.51</v>
      </c>
      <c r="L5538">
        <v>20.08</v>
      </c>
      <c r="M5538">
        <v>16.22</v>
      </c>
      <c r="N5538">
        <v>6.649</v>
      </c>
      <c r="O5538">
        <v>23.52</v>
      </c>
      <c r="P5538">
        <v>27.95</v>
      </c>
      <c r="Q5538">
        <v>20.91</v>
      </c>
      <c r="R5538">
        <v>15.68</v>
      </c>
    </row>
    <row r="5539">
      <c r="A5539" s="9">
        <v>44070</v>
      </c>
      <c r="B5539" s="2" t="inlineStr">
        <is>
          <t xml:space="preserve">2020-08</t>
        </is>
      </c>
      <c r="C5539" s="2" t="inlineStr">
        <is>
          <t xml:space="preserve">2020/21</t>
        </is>
      </c>
      <c r="D5539">
        <v>34.886</v>
      </c>
      <c r="E5539">
        <v>21.52</v>
      </c>
      <c r="F5539">
        <v>26.41</v>
      </c>
      <c r="G5539">
        <v>17.25</v>
      </c>
      <c r="H5539">
        <v>13.67</v>
      </c>
      <c r="I5539">
        <v>16.849</v>
      </c>
      <c r="J5539">
        <v>21.81</v>
      </c>
      <c r="K5539">
        <v>26.1</v>
      </c>
      <c r="L5539">
        <v>18.92</v>
      </c>
      <c r="M5539">
        <v>5.67</v>
      </c>
      <c r="N5539">
        <v>28.739</v>
      </c>
      <c r="O5539">
        <v>23.13</v>
      </c>
      <c r="P5539">
        <v>28.38</v>
      </c>
      <c r="Q5539">
        <v>19.59</v>
      </c>
      <c r="R5539">
        <v>3.67</v>
      </c>
    </row>
    <row r="5540">
      <c r="A5540" s="9">
        <v>44071</v>
      </c>
      <c r="B5540" s="2" t="inlineStr">
        <is>
          <t xml:space="preserve">2020-08</t>
        </is>
      </c>
      <c r="C5540" s="2" t="inlineStr">
        <is>
          <t xml:space="preserve">2020/21</t>
        </is>
      </c>
      <c r="D5540">
        <v>0.245</v>
      </c>
      <c r="E5540">
        <v>22.56</v>
      </c>
      <c r="F5540">
        <v>26.85</v>
      </c>
      <c r="G5540">
        <v>18.77</v>
      </c>
      <c r="H5540">
        <v>0.26</v>
      </c>
      <c r="I5540">
        <v>0.045</v>
      </c>
      <c r="J5540">
        <v>22.98</v>
      </c>
      <c r="K5540">
        <v>27.61</v>
      </c>
      <c r="L5540">
        <v>19.19</v>
      </c>
      <c r="M5540">
        <v>0.36</v>
      </c>
      <c r="N5540">
        <v>0.504</v>
      </c>
      <c r="O5540">
        <v>24.15</v>
      </c>
      <c r="P5540">
        <v>28.49</v>
      </c>
      <c r="Q5540">
        <v>19.92</v>
      </c>
      <c r="R5540">
        <v>0.45</v>
      </c>
    </row>
    <row r="5541">
      <c r="A5541" s="9">
        <v>44072</v>
      </c>
      <c r="B5541" s="2" t="inlineStr">
        <is>
          <t xml:space="preserve">2020-08</t>
        </is>
      </c>
      <c r="C5541" s="2" t="inlineStr">
        <is>
          <t xml:space="preserve">2020/21</t>
        </is>
      </c>
      <c r="D5541">
        <v>0.927</v>
      </c>
      <c r="E5541">
        <v>22.35</v>
      </c>
      <c r="F5541">
        <v>26.71</v>
      </c>
      <c r="G5541">
        <v>18.78</v>
      </c>
      <c r="H5541">
        <v>0.53</v>
      </c>
      <c r="I5541">
        <v>0.363</v>
      </c>
      <c r="J5541">
        <v>22.31</v>
      </c>
      <c r="K5541">
        <v>25.72</v>
      </c>
      <c r="L5541">
        <v>19.65</v>
      </c>
      <c r="M5541">
        <v>4.08</v>
      </c>
      <c r="N5541">
        <v>2.343</v>
      </c>
      <c r="O5541">
        <v>24.1</v>
      </c>
      <c r="P5541">
        <v>28.5</v>
      </c>
      <c r="Q5541">
        <v>20.59</v>
      </c>
      <c r="R5541">
        <v>1.47</v>
      </c>
    </row>
    <row r="5542">
      <c r="A5542" s="9">
        <v>44073</v>
      </c>
      <c r="B5542" s="2" t="inlineStr">
        <is>
          <t xml:space="preserve">2020-08</t>
        </is>
      </c>
      <c r="C5542" s="2" t="inlineStr">
        <is>
          <t xml:space="preserve">2020/21</t>
        </is>
      </c>
      <c r="D5542">
        <v>0.0</v>
      </c>
      <c r="E5542">
        <v>21.95</v>
      </c>
      <c r="F5542">
        <v>27.92</v>
      </c>
      <c r="G5542">
        <v>17.25</v>
      </c>
      <c r="H5542">
        <v>0.03</v>
      </c>
      <c r="I5542">
        <v>6.86</v>
      </c>
      <c r="J5542">
        <v>23.07</v>
      </c>
      <c r="K5542">
        <v>27.78</v>
      </c>
      <c r="L5542">
        <v>19.14</v>
      </c>
      <c r="M5542">
        <v>0.79</v>
      </c>
      <c r="N5542">
        <v>1.446</v>
      </c>
      <c r="O5542">
        <v>24.47</v>
      </c>
      <c r="P5542">
        <v>29.69</v>
      </c>
      <c r="Q5542">
        <v>20.81</v>
      </c>
      <c r="R5542">
        <v>0.2</v>
      </c>
    </row>
    <row r="5543">
      <c r="A5543" s="9">
        <v>44074</v>
      </c>
      <c r="B5543" s="2" t="inlineStr">
        <is>
          <t xml:space="preserve">2020-08</t>
        </is>
      </c>
      <c r="C5543" s="2" t="inlineStr">
        <is>
          <t xml:space="preserve">2020/21</t>
        </is>
      </c>
      <c r="D5543">
        <v>0.083</v>
      </c>
      <c r="E5543">
        <v>21.92</v>
      </c>
      <c r="F5543">
        <v>28.0</v>
      </c>
      <c r="G5543">
        <v>16.74</v>
      </c>
      <c r="H5543">
        <v>0.39</v>
      </c>
      <c r="I5543">
        <v>0.0</v>
      </c>
      <c r="J5543">
        <v>23.41</v>
      </c>
      <c r="K5543">
        <v>28.37</v>
      </c>
      <c r="L5543">
        <v>18.76</v>
      </c>
      <c r="M5543">
        <v>0.94</v>
      </c>
      <c r="N5543">
        <v>0.0</v>
      </c>
      <c r="O5543">
        <v>23.61</v>
      </c>
      <c r="P5543">
        <v>29.6</v>
      </c>
      <c r="Q5543">
        <v>18.35</v>
      </c>
      <c r="R5543">
        <v>0.16</v>
      </c>
    </row>
    <row r="5544">
      <c r="A5544" s="9">
        <v>44075</v>
      </c>
      <c r="B5544" s="2" t="inlineStr">
        <is>
          <t xml:space="preserve">2020-09</t>
        </is>
      </c>
      <c r="C5544" s="2" t="inlineStr">
        <is>
          <t xml:space="preserve">2020/21</t>
        </is>
      </c>
      <c r="D5544">
        <v>5.672</v>
      </c>
      <c r="E5544">
        <v>22.32</v>
      </c>
      <c r="F5544">
        <v>27.89</v>
      </c>
      <c r="G5544">
        <v>16.88</v>
      </c>
      <c r="H5544">
        <v>2.33</v>
      </c>
      <c r="I5544">
        <v>5.469</v>
      </c>
      <c r="J5544">
        <v>23.14</v>
      </c>
      <c r="K5544">
        <v>28.09</v>
      </c>
      <c r="L5544">
        <v>17.94</v>
      </c>
      <c r="M5544">
        <v>2.34</v>
      </c>
      <c r="N5544">
        <v>0.389</v>
      </c>
      <c r="O5544">
        <v>23.99</v>
      </c>
      <c r="P5544">
        <v>29.3</v>
      </c>
      <c r="Q5544">
        <v>19.47</v>
      </c>
      <c r="R5544">
        <v>0.92</v>
      </c>
    </row>
    <row r="5545">
      <c r="A5545" s="9">
        <v>44076</v>
      </c>
      <c r="B5545" s="2" t="inlineStr">
        <is>
          <t xml:space="preserve">2020-09</t>
        </is>
      </c>
      <c r="C5545" s="2" t="inlineStr">
        <is>
          <t xml:space="preserve">2020/21</t>
        </is>
      </c>
      <c r="D5545">
        <v>0.09</v>
      </c>
      <c r="E5545">
        <v>22.53</v>
      </c>
      <c r="F5545">
        <v>27.41</v>
      </c>
      <c r="G5545">
        <v>18.84</v>
      </c>
      <c r="H5545">
        <v>4.53</v>
      </c>
      <c r="I5545">
        <v>0.0</v>
      </c>
      <c r="J5545">
        <v>23.26</v>
      </c>
      <c r="K5545">
        <v>27.86</v>
      </c>
      <c r="L5545">
        <v>19.53</v>
      </c>
      <c r="M5545">
        <v>2.0</v>
      </c>
      <c r="N5545">
        <v>0.0</v>
      </c>
      <c r="O5545">
        <v>23.66</v>
      </c>
      <c r="P5545">
        <v>28.95</v>
      </c>
      <c r="Q5545">
        <v>20.2</v>
      </c>
      <c r="R5545">
        <v>7.13</v>
      </c>
    </row>
    <row r="5546">
      <c r="A5546" s="9">
        <v>44077</v>
      </c>
      <c r="B5546" s="2" t="inlineStr">
        <is>
          <t xml:space="preserve">2020-09</t>
        </is>
      </c>
      <c r="C5546" s="2" t="inlineStr">
        <is>
          <t xml:space="preserve">2020/21</t>
        </is>
      </c>
      <c r="D5546">
        <v>7.021</v>
      </c>
      <c r="E5546">
        <v>21.75</v>
      </c>
      <c r="F5546">
        <v>25.9</v>
      </c>
      <c r="G5546">
        <v>19.08</v>
      </c>
      <c r="H5546">
        <v>10.03</v>
      </c>
      <c r="I5546">
        <v>12.823</v>
      </c>
      <c r="J5546">
        <v>21.72</v>
      </c>
      <c r="K5546">
        <v>24.3</v>
      </c>
      <c r="L5546">
        <v>19.47</v>
      </c>
      <c r="M5546">
        <v>12.96</v>
      </c>
      <c r="N5546">
        <v>15.959</v>
      </c>
      <c r="O5546">
        <v>21.96</v>
      </c>
      <c r="P5546">
        <v>24.74</v>
      </c>
      <c r="Q5546">
        <v>19.75</v>
      </c>
      <c r="R5546">
        <v>12.28</v>
      </c>
    </row>
    <row r="5547">
      <c r="A5547" s="9">
        <v>44078</v>
      </c>
      <c r="B5547" s="2" t="inlineStr">
        <is>
          <t xml:space="preserve">2020-09</t>
        </is>
      </c>
      <c r="C5547" s="2" t="inlineStr">
        <is>
          <t xml:space="preserve">2020/21</t>
        </is>
      </c>
      <c r="D5547">
        <v>4.299</v>
      </c>
      <c r="E5547">
        <v>21.98</v>
      </c>
      <c r="F5547">
        <v>26.32</v>
      </c>
      <c r="G5547">
        <v>18.31</v>
      </c>
      <c r="H5547">
        <v>8.58</v>
      </c>
      <c r="I5547">
        <v>1.947</v>
      </c>
      <c r="J5547">
        <v>23.06</v>
      </c>
      <c r="K5547">
        <v>28.01</v>
      </c>
      <c r="L5547">
        <v>18.48</v>
      </c>
      <c r="M5547">
        <v>6.76</v>
      </c>
      <c r="N5547">
        <v>1.981</v>
      </c>
      <c r="O5547">
        <v>22.89</v>
      </c>
      <c r="P5547">
        <v>27.62</v>
      </c>
      <c r="Q5547">
        <v>19.35</v>
      </c>
      <c r="R5547">
        <v>5.82</v>
      </c>
    </row>
    <row r="5548">
      <c r="A5548" s="9">
        <v>44079</v>
      </c>
      <c r="B5548" s="2" t="inlineStr">
        <is>
          <t xml:space="preserve">2020-09</t>
        </is>
      </c>
      <c r="C5548" s="2" t="inlineStr">
        <is>
          <t xml:space="preserve">2020/21</t>
        </is>
      </c>
      <c r="D5548">
        <v>48.723</v>
      </c>
      <c r="E5548">
        <v>21.67</v>
      </c>
      <c r="F5548">
        <v>25.47</v>
      </c>
      <c r="G5548">
        <v>18.75</v>
      </c>
      <c r="H5548">
        <v>35.64</v>
      </c>
      <c r="I5548">
        <v>19.958</v>
      </c>
      <c r="J5548">
        <v>22.52</v>
      </c>
      <c r="K5548">
        <v>25.75</v>
      </c>
      <c r="L5548">
        <v>20.67</v>
      </c>
      <c r="M5548">
        <v>37.94</v>
      </c>
      <c r="N5548">
        <v>22.095</v>
      </c>
      <c r="O5548">
        <v>22.72</v>
      </c>
      <c r="P5548">
        <v>25.61</v>
      </c>
      <c r="Q5548">
        <v>20.97</v>
      </c>
      <c r="R5548">
        <v>29.72</v>
      </c>
    </row>
    <row r="5549">
      <c r="A5549" s="9">
        <v>44080</v>
      </c>
      <c r="B5549" s="2" t="inlineStr">
        <is>
          <t xml:space="preserve">2020-09</t>
        </is>
      </c>
      <c r="C5549" s="2" t="inlineStr">
        <is>
          <t xml:space="preserve">2020/21</t>
        </is>
      </c>
      <c r="D5549">
        <v>24.106</v>
      </c>
      <c r="E5549">
        <v>21.87</v>
      </c>
      <c r="F5549">
        <v>26.42</v>
      </c>
      <c r="G5549">
        <v>18.18</v>
      </c>
      <c r="H5549">
        <v>7.23</v>
      </c>
      <c r="I5549">
        <v>33.3</v>
      </c>
      <c r="J5549">
        <v>21.88</v>
      </c>
      <c r="K5549">
        <v>24.4</v>
      </c>
      <c r="L5549">
        <v>20.14</v>
      </c>
      <c r="M5549">
        <v>12.1</v>
      </c>
      <c r="N5549">
        <v>30.26</v>
      </c>
      <c r="O5549">
        <v>22.69</v>
      </c>
      <c r="P5549">
        <v>26.56</v>
      </c>
      <c r="Q5549">
        <v>20.65</v>
      </c>
      <c r="R5549">
        <v>7.41</v>
      </c>
    </row>
    <row r="5550">
      <c r="A5550" s="9">
        <v>44081</v>
      </c>
      <c r="B5550" s="2" t="inlineStr">
        <is>
          <t xml:space="preserve">2020-09</t>
        </is>
      </c>
      <c r="C5550" s="2" t="inlineStr">
        <is>
          <t xml:space="preserve">2020/21</t>
        </is>
      </c>
      <c r="D5550">
        <v>7.074</v>
      </c>
      <c r="E5550">
        <v>21.98</v>
      </c>
      <c r="F5550">
        <v>26.37</v>
      </c>
      <c r="G5550">
        <v>19.12</v>
      </c>
      <c r="H5550">
        <v>19.11</v>
      </c>
      <c r="I5550">
        <v>14.263</v>
      </c>
      <c r="J5550">
        <v>22.65</v>
      </c>
      <c r="K5550">
        <v>27.43</v>
      </c>
      <c r="L5550">
        <v>18.91</v>
      </c>
      <c r="M5550">
        <v>20.77</v>
      </c>
      <c r="N5550">
        <v>17.535</v>
      </c>
      <c r="O5550">
        <v>22.45</v>
      </c>
      <c r="P5550">
        <v>26.74</v>
      </c>
      <c r="Q5550">
        <v>19.99</v>
      </c>
      <c r="R5550">
        <v>20.67</v>
      </c>
    </row>
    <row r="5551">
      <c r="A5551" s="9">
        <v>44082</v>
      </c>
      <c r="B5551" s="2" t="inlineStr">
        <is>
          <t xml:space="preserve">2020-09</t>
        </is>
      </c>
      <c r="C5551" s="2" t="inlineStr">
        <is>
          <t xml:space="preserve">2020/21</t>
        </is>
      </c>
      <c r="D5551">
        <v>4.905</v>
      </c>
      <c r="E5551">
        <v>22.57</v>
      </c>
      <c r="F5551">
        <v>27.15</v>
      </c>
      <c r="G5551">
        <v>18.66</v>
      </c>
      <c r="H5551">
        <v>6.03</v>
      </c>
      <c r="I5551">
        <v>10.318</v>
      </c>
      <c r="J5551">
        <v>22.05</v>
      </c>
      <c r="K5551">
        <v>25.63</v>
      </c>
      <c r="L5551">
        <v>19.47</v>
      </c>
      <c r="M5551">
        <v>10.19</v>
      </c>
      <c r="N5551">
        <v>39.989</v>
      </c>
      <c r="O5551">
        <v>23.13</v>
      </c>
      <c r="P5551">
        <v>27.15</v>
      </c>
      <c r="Q5551">
        <v>20.03</v>
      </c>
      <c r="R5551">
        <v>7.27</v>
      </c>
    </row>
    <row r="5552">
      <c r="A5552" s="9">
        <v>44083</v>
      </c>
      <c r="B5552" s="2" t="inlineStr">
        <is>
          <t xml:space="preserve">2020-09</t>
        </is>
      </c>
      <c r="C5552" s="2" t="inlineStr">
        <is>
          <t xml:space="preserve">2020/21</t>
        </is>
      </c>
      <c r="D5552">
        <v>10.13</v>
      </c>
      <c r="E5552">
        <v>22.49</v>
      </c>
      <c r="F5552">
        <v>26.42</v>
      </c>
      <c r="G5552">
        <v>19.03</v>
      </c>
      <c r="H5552">
        <v>6.61</v>
      </c>
      <c r="I5552">
        <v>7.421</v>
      </c>
      <c r="J5552">
        <v>22.53</v>
      </c>
      <c r="K5552">
        <v>26.98</v>
      </c>
      <c r="L5552">
        <v>18.73</v>
      </c>
      <c r="M5552">
        <v>13.18</v>
      </c>
      <c r="N5552">
        <v>26.468</v>
      </c>
      <c r="O5552">
        <v>23.13</v>
      </c>
      <c r="P5552">
        <v>27.59</v>
      </c>
      <c r="Q5552">
        <v>19.57</v>
      </c>
      <c r="R5552">
        <v>13.1</v>
      </c>
    </row>
    <row r="5553">
      <c r="A5553" s="9">
        <v>44084</v>
      </c>
      <c r="B5553" s="2" t="inlineStr">
        <is>
          <t xml:space="preserve">2020-09</t>
        </is>
      </c>
      <c r="C5553" s="2" t="inlineStr">
        <is>
          <t xml:space="preserve">2020/21</t>
        </is>
      </c>
      <c r="D5553">
        <v>11.86</v>
      </c>
      <c r="E5553">
        <v>22.59</v>
      </c>
      <c r="F5553">
        <v>27.29</v>
      </c>
      <c r="G5553">
        <v>18.75</v>
      </c>
      <c r="H5553">
        <v>5.26</v>
      </c>
      <c r="I5553">
        <v>1.94</v>
      </c>
      <c r="J5553">
        <v>23.71</v>
      </c>
      <c r="K5553">
        <v>27.87</v>
      </c>
      <c r="L5553">
        <v>20.68</v>
      </c>
      <c r="M5553">
        <v>3.88</v>
      </c>
      <c r="N5553">
        <v>7.608</v>
      </c>
      <c r="O5553">
        <v>24.21</v>
      </c>
      <c r="P5553">
        <v>29.06</v>
      </c>
      <c r="Q5553">
        <v>20.95</v>
      </c>
      <c r="R5553">
        <v>3.54</v>
      </c>
    </row>
    <row r="5554">
      <c r="A5554" s="9">
        <v>44085</v>
      </c>
      <c r="B5554" s="2" t="inlineStr">
        <is>
          <t xml:space="preserve">2020-09</t>
        </is>
      </c>
      <c r="C5554" s="2" t="inlineStr">
        <is>
          <t xml:space="preserve">2020/21</t>
        </is>
      </c>
      <c r="D5554">
        <v>1.553</v>
      </c>
      <c r="E5554">
        <v>22.22</v>
      </c>
      <c r="F5554">
        <v>27.1</v>
      </c>
      <c r="G5554">
        <v>18.5</v>
      </c>
      <c r="H5554">
        <v>2.99</v>
      </c>
      <c r="I5554">
        <v>3.528</v>
      </c>
      <c r="J5554">
        <v>22.7</v>
      </c>
      <c r="K5554">
        <v>27.05</v>
      </c>
      <c r="L5554">
        <v>20.06</v>
      </c>
      <c r="M5554">
        <v>2.85</v>
      </c>
      <c r="N5554">
        <v>2.024</v>
      </c>
      <c r="O5554">
        <v>23.19</v>
      </c>
      <c r="P5554">
        <v>27.02</v>
      </c>
      <c r="Q5554">
        <v>20.91</v>
      </c>
      <c r="R5554">
        <v>1.76</v>
      </c>
    </row>
    <row r="5555">
      <c r="A5555" s="9">
        <v>44086</v>
      </c>
      <c r="B5555" s="2" t="inlineStr">
        <is>
          <t xml:space="preserve">2020-09</t>
        </is>
      </c>
      <c r="C5555" s="2" t="inlineStr">
        <is>
          <t xml:space="preserve">2020/21</t>
        </is>
      </c>
      <c r="D5555">
        <v>9.07</v>
      </c>
      <c r="E5555">
        <v>21.89</v>
      </c>
      <c r="F5555">
        <v>25.61</v>
      </c>
      <c r="G5555">
        <v>18.96</v>
      </c>
      <c r="H5555">
        <v>10.38</v>
      </c>
      <c r="I5555">
        <v>13.424</v>
      </c>
      <c r="J5555">
        <v>22.35</v>
      </c>
      <c r="K5555">
        <v>26.6</v>
      </c>
      <c r="L5555">
        <v>18.84</v>
      </c>
      <c r="M5555">
        <v>8.71</v>
      </c>
      <c r="N5555">
        <v>1.489</v>
      </c>
      <c r="O5555">
        <v>22.81</v>
      </c>
      <c r="P5555">
        <v>27.01</v>
      </c>
      <c r="Q5555">
        <v>19.91</v>
      </c>
      <c r="R5555">
        <v>4.04</v>
      </c>
    </row>
    <row r="5556">
      <c r="A5556" s="9">
        <v>44087</v>
      </c>
      <c r="B5556" s="2" t="inlineStr">
        <is>
          <t xml:space="preserve">2020-09</t>
        </is>
      </c>
      <c r="C5556" s="2" t="inlineStr">
        <is>
          <t xml:space="preserve">2020/21</t>
        </is>
      </c>
      <c r="D5556">
        <v>14.438</v>
      </c>
      <c r="E5556">
        <v>21.96</v>
      </c>
      <c r="F5556">
        <v>25.89</v>
      </c>
      <c r="G5556">
        <v>19.17</v>
      </c>
      <c r="H5556">
        <v>17.38</v>
      </c>
      <c r="I5556">
        <v>1.127</v>
      </c>
      <c r="J5556">
        <v>22.22</v>
      </c>
      <c r="K5556">
        <v>26.25</v>
      </c>
      <c r="L5556">
        <v>19.78</v>
      </c>
      <c r="M5556">
        <v>17.54</v>
      </c>
      <c r="N5556">
        <v>4.651</v>
      </c>
      <c r="O5556">
        <v>22.86</v>
      </c>
      <c r="P5556">
        <v>26.86</v>
      </c>
      <c r="Q5556">
        <v>20.22</v>
      </c>
      <c r="R5556">
        <v>24.29</v>
      </c>
    </row>
    <row r="5557">
      <c r="A5557" s="9">
        <v>44088</v>
      </c>
      <c r="B5557" s="2" t="inlineStr">
        <is>
          <t xml:space="preserve">2020-09</t>
        </is>
      </c>
      <c r="C5557" s="2" t="inlineStr">
        <is>
          <t xml:space="preserve">2020/21</t>
        </is>
      </c>
      <c r="D5557">
        <v>17.396</v>
      </c>
      <c r="E5557">
        <v>21.7</v>
      </c>
      <c r="F5557">
        <v>25.65</v>
      </c>
      <c r="G5557">
        <v>18.38</v>
      </c>
      <c r="H5557">
        <v>6.18</v>
      </c>
      <c r="I5557">
        <v>21.9</v>
      </c>
      <c r="J5557">
        <v>22.08</v>
      </c>
      <c r="K5557">
        <v>26.25</v>
      </c>
      <c r="L5557">
        <v>19.19</v>
      </c>
      <c r="M5557">
        <v>21.34</v>
      </c>
      <c r="N5557">
        <v>72.917</v>
      </c>
      <c r="O5557">
        <v>23.25</v>
      </c>
      <c r="P5557">
        <v>27.72</v>
      </c>
      <c r="Q5557">
        <v>19.67</v>
      </c>
      <c r="R5557">
        <v>12.46</v>
      </c>
    </row>
    <row r="5558">
      <c r="A5558" s="9">
        <v>44089</v>
      </c>
      <c r="B5558" s="2" t="inlineStr">
        <is>
          <t xml:space="preserve">2020-09</t>
        </is>
      </c>
      <c r="C5558" s="2" t="inlineStr">
        <is>
          <t xml:space="preserve">2020/21</t>
        </is>
      </c>
      <c r="D5558">
        <v>2.084</v>
      </c>
      <c r="E5558">
        <v>23.02</v>
      </c>
      <c r="F5558">
        <v>28.27</v>
      </c>
      <c r="G5558">
        <v>18.18</v>
      </c>
      <c r="H5558">
        <v>1.68</v>
      </c>
      <c r="I5558">
        <v>0.664</v>
      </c>
      <c r="J5558">
        <v>22.71</v>
      </c>
      <c r="K5558">
        <v>27.38</v>
      </c>
      <c r="L5558">
        <v>19.05</v>
      </c>
      <c r="M5558">
        <v>7.53</v>
      </c>
      <c r="N5558">
        <v>2.719</v>
      </c>
      <c r="O5558">
        <v>23.56</v>
      </c>
      <c r="P5558">
        <v>28.2</v>
      </c>
      <c r="Q5558">
        <v>19.67</v>
      </c>
      <c r="R5558">
        <v>5.36</v>
      </c>
    </row>
    <row r="5559">
      <c r="A5559" s="9">
        <v>44090</v>
      </c>
      <c r="B5559" s="2" t="inlineStr">
        <is>
          <t xml:space="preserve">2020-09</t>
        </is>
      </c>
      <c r="C5559" s="2" t="inlineStr">
        <is>
          <t xml:space="preserve">2020/21</t>
        </is>
      </c>
      <c r="D5559">
        <v>2.707</v>
      </c>
      <c r="E5559">
        <v>22.83</v>
      </c>
      <c r="F5559">
        <v>26.19</v>
      </c>
      <c r="G5559">
        <v>19.9</v>
      </c>
      <c r="H5559">
        <v>6.0</v>
      </c>
      <c r="I5559">
        <v>15.927</v>
      </c>
      <c r="J5559">
        <v>23.22</v>
      </c>
      <c r="K5559">
        <v>27.31</v>
      </c>
      <c r="L5559">
        <v>19.23</v>
      </c>
      <c r="M5559">
        <v>28.18</v>
      </c>
      <c r="N5559">
        <v>64.033</v>
      </c>
      <c r="O5559">
        <v>23.64</v>
      </c>
      <c r="P5559">
        <v>27.04</v>
      </c>
      <c r="Q5559">
        <v>20.83</v>
      </c>
      <c r="R5559">
        <v>24.49</v>
      </c>
    </row>
    <row r="5560">
      <c r="A5560" s="9">
        <v>44091</v>
      </c>
      <c r="B5560" s="2" t="inlineStr">
        <is>
          <t xml:space="preserve">2020-09</t>
        </is>
      </c>
      <c r="C5560" s="2" t="inlineStr">
        <is>
          <t xml:space="preserve">2020/21</t>
        </is>
      </c>
      <c r="D5560">
        <v>4.704</v>
      </c>
      <c r="E5560">
        <v>22.22</v>
      </c>
      <c r="F5560">
        <v>26.83</v>
      </c>
      <c r="G5560">
        <v>18.97</v>
      </c>
      <c r="H5560">
        <v>7.62</v>
      </c>
      <c r="I5560">
        <v>16.852</v>
      </c>
      <c r="J5560">
        <v>22.32</v>
      </c>
      <c r="K5560">
        <v>25.67</v>
      </c>
      <c r="L5560">
        <v>19.68</v>
      </c>
      <c r="M5560">
        <v>18.47</v>
      </c>
      <c r="N5560">
        <v>42.567</v>
      </c>
      <c r="O5560">
        <v>23.78</v>
      </c>
      <c r="P5560">
        <v>27.22</v>
      </c>
      <c r="Q5560">
        <v>21.2</v>
      </c>
      <c r="R5560">
        <v>16.21</v>
      </c>
    </row>
    <row r="5561">
      <c r="A5561" s="9">
        <v>44092</v>
      </c>
      <c r="B5561" s="2" t="inlineStr">
        <is>
          <t xml:space="preserve">2020-09</t>
        </is>
      </c>
      <c r="C5561" s="2" t="inlineStr">
        <is>
          <t xml:space="preserve">2020/21</t>
        </is>
      </c>
      <c r="D5561">
        <v>10.046</v>
      </c>
      <c r="E5561">
        <v>22.92</v>
      </c>
      <c r="F5561">
        <v>27.8</v>
      </c>
      <c r="G5561">
        <v>18.78</v>
      </c>
      <c r="H5561">
        <v>3.78</v>
      </c>
      <c r="I5561">
        <v>0.071</v>
      </c>
      <c r="J5561">
        <v>22.61</v>
      </c>
      <c r="K5561">
        <v>27.51</v>
      </c>
      <c r="L5561">
        <v>18.71</v>
      </c>
      <c r="M5561">
        <v>1.8</v>
      </c>
      <c r="N5561">
        <v>0.59</v>
      </c>
      <c r="O5561">
        <v>23.95</v>
      </c>
      <c r="P5561">
        <v>28.9</v>
      </c>
      <c r="Q5561">
        <v>19.53</v>
      </c>
      <c r="R5561">
        <v>2.33</v>
      </c>
    </row>
    <row r="5562">
      <c r="A5562" s="9">
        <v>44093</v>
      </c>
      <c r="B5562" s="2" t="inlineStr">
        <is>
          <t xml:space="preserve">2020-09</t>
        </is>
      </c>
      <c r="C5562" s="2" t="inlineStr">
        <is>
          <t xml:space="preserve">2020/21</t>
        </is>
      </c>
      <c r="D5562">
        <v>1.356</v>
      </c>
      <c r="E5562">
        <v>23.05</v>
      </c>
      <c r="F5562">
        <v>27.86</v>
      </c>
      <c r="G5562">
        <v>18.94</v>
      </c>
      <c r="H5562">
        <v>1.19</v>
      </c>
      <c r="I5562">
        <v>1.36</v>
      </c>
      <c r="J5562">
        <v>23.15</v>
      </c>
      <c r="K5562">
        <v>27.31</v>
      </c>
      <c r="L5562">
        <v>20.26</v>
      </c>
      <c r="M5562">
        <v>1.41</v>
      </c>
      <c r="N5562">
        <v>5.417</v>
      </c>
      <c r="O5562">
        <v>23.74</v>
      </c>
      <c r="P5562">
        <v>27.7</v>
      </c>
      <c r="Q5562">
        <v>21.45</v>
      </c>
      <c r="R5562">
        <v>1.37</v>
      </c>
    </row>
    <row r="5563">
      <c r="A5563" s="9">
        <v>44094</v>
      </c>
      <c r="B5563" s="2" t="inlineStr">
        <is>
          <t xml:space="preserve">2020-09</t>
        </is>
      </c>
      <c r="C5563" s="2" t="inlineStr">
        <is>
          <t xml:space="preserve">2020/21</t>
        </is>
      </c>
      <c r="D5563">
        <v>0.477</v>
      </c>
      <c r="E5563">
        <v>22.86</v>
      </c>
      <c r="F5563">
        <v>27.78</v>
      </c>
      <c r="G5563">
        <v>19.07</v>
      </c>
      <c r="H5563">
        <v>0.48</v>
      </c>
      <c r="I5563">
        <v>0.624</v>
      </c>
      <c r="J5563">
        <v>23.11</v>
      </c>
      <c r="K5563">
        <v>26.81</v>
      </c>
      <c r="L5563">
        <v>19.62</v>
      </c>
      <c r="M5563">
        <v>0.87</v>
      </c>
      <c r="N5563">
        <v>1.367</v>
      </c>
      <c r="O5563">
        <v>23.3</v>
      </c>
      <c r="P5563">
        <v>26.97</v>
      </c>
      <c r="Q5563">
        <v>20.84</v>
      </c>
      <c r="R5563">
        <v>0.73</v>
      </c>
    </row>
    <row r="5564">
      <c r="A5564" s="9">
        <v>44095</v>
      </c>
      <c r="B5564" s="2" t="inlineStr">
        <is>
          <t xml:space="preserve">2020-09</t>
        </is>
      </c>
      <c r="C5564" s="2" t="inlineStr">
        <is>
          <t xml:space="preserve">2020/21</t>
        </is>
      </c>
      <c r="D5564">
        <v>0.0</v>
      </c>
      <c r="E5564">
        <v>22.48</v>
      </c>
      <c r="F5564">
        <v>27.64</v>
      </c>
      <c r="G5564">
        <v>18.08</v>
      </c>
      <c r="H5564">
        <v>0.2</v>
      </c>
      <c r="I5564">
        <v>0.352</v>
      </c>
      <c r="J5564">
        <v>22.91</v>
      </c>
      <c r="K5564">
        <v>27.09</v>
      </c>
      <c r="L5564">
        <v>19.83</v>
      </c>
      <c r="M5564">
        <v>0.13</v>
      </c>
      <c r="N5564">
        <v>0.0</v>
      </c>
      <c r="O5564">
        <v>23.32</v>
      </c>
      <c r="P5564">
        <v>27.51</v>
      </c>
      <c r="Q5564">
        <v>20.46</v>
      </c>
      <c r="R5564">
        <v>0.16</v>
      </c>
    </row>
    <row r="5565">
      <c r="A5565" s="9">
        <v>44096</v>
      </c>
      <c r="B5565" s="2" t="inlineStr">
        <is>
          <t xml:space="preserve">2020-09</t>
        </is>
      </c>
      <c r="C5565" s="2" t="inlineStr">
        <is>
          <t xml:space="preserve">2020/21</t>
        </is>
      </c>
      <c r="D5565">
        <v>0.594</v>
      </c>
      <c r="E5565">
        <v>22.56</v>
      </c>
      <c r="F5565">
        <v>27.29</v>
      </c>
      <c r="G5565">
        <v>18.84</v>
      </c>
      <c r="H5565">
        <v>5.73</v>
      </c>
      <c r="I5565">
        <v>0.203</v>
      </c>
      <c r="J5565">
        <v>22.59</v>
      </c>
      <c r="K5565">
        <v>27.26</v>
      </c>
      <c r="L5565">
        <v>18.69</v>
      </c>
      <c r="M5565">
        <v>2.61</v>
      </c>
      <c r="N5565">
        <v>0.0</v>
      </c>
      <c r="O5565">
        <v>23.05</v>
      </c>
      <c r="P5565">
        <v>27.73</v>
      </c>
      <c r="Q5565">
        <v>19.53</v>
      </c>
      <c r="R5565">
        <v>1.13</v>
      </c>
    </row>
    <row r="5566">
      <c r="A5566" s="9">
        <v>44097</v>
      </c>
      <c r="B5566" s="2" t="inlineStr">
        <is>
          <t xml:space="preserve">2020-09</t>
        </is>
      </c>
      <c r="C5566" s="2" t="inlineStr">
        <is>
          <t xml:space="preserve">2020/21</t>
        </is>
      </c>
      <c r="D5566">
        <v>7.552</v>
      </c>
      <c r="E5566">
        <v>22.9</v>
      </c>
      <c r="F5566">
        <v>28.04</v>
      </c>
      <c r="G5566">
        <v>19.09</v>
      </c>
      <c r="H5566">
        <v>2.9</v>
      </c>
      <c r="I5566">
        <v>5.772</v>
      </c>
      <c r="J5566">
        <v>22.98</v>
      </c>
      <c r="K5566">
        <v>28.23</v>
      </c>
      <c r="L5566">
        <v>18.8</v>
      </c>
      <c r="M5566">
        <v>2.44</v>
      </c>
      <c r="N5566">
        <v>0.461</v>
      </c>
      <c r="O5566">
        <v>23.33</v>
      </c>
      <c r="P5566">
        <v>28.14</v>
      </c>
      <c r="Q5566">
        <v>19.86</v>
      </c>
      <c r="R5566">
        <v>1.5</v>
      </c>
    </row>
    <row r="5567">
      <c r="A5567" s="9">
        <v>44098</v>
      </c>
      <c r="B5567" s="2" t="inlineStr">
        <is>
          <t xml:space="preserve">2020-09</t>
        </is>
      </c>
      <c r="C5567" s="2" t="inlineStr">
        <is>
          <t xml:space="preserve">2020/21</t>
        </is>
      </c>
      <c r="D5567">
        <v>15.223</v>
      </c>
      <c r="E5567">
        <v>21.93</v>
      </c>
      <c r="F5567">
        <v>25.82</v>
      </c>
      <c r="G5567">
        <v>19.01</v>
      </c>
      <c r="H5567">
        <v>17.36</v>
      </c>
      <c r="I5567">
        <v>17.507</v>
      </c>
      <c r="J5567">
        <v>22.0</v>
      </c>
      <c r="K5567">
        <v>24.82</v>
      </c>
      <c r="L5567">
        <v>19.88</v>
      </c>
      <c r="M5567">
        <v>27.3</v>
      </c>
      <c r="N5567">
        <v>25.315</v>
      </c>
      <c r="O5567">
        <v>22.88</v>
      </c>
      <c r="P5567">
        <v>27.26</v>
      </c>
      <c r="Q5567">
        <v>20.29</v>
      </c>
      <c r="R5567">
        <v>20.45</v>
      </c>
    </row>
    <row r="5568">
      <c r="A5568" s="9">
        <v>44099</v>
      </c>
      <c r="B5568" s="2" t="inlineStr">
        <is>
          <t xml:space="preserve">2020-09</t>
        </is>
      </c>
      <c r="C5568" s="2" t="inlineStr">
        <is>
          <t xml:space="preserve">2020/21</t>
        </is>
      </c>
      <c r="D5568">
        <v>19.05</v>
      </c>
      <c r="E5568">
        <v>21.93</v>
      </c>
      <c r="F5568">
        <v>25.86</v>
      </c>
      <c r="G5568">
        <v>19.2</v>
      </c>
      <c r="H5568">
        <v>10.28</v>
      </c>
      <c r="I5568">
        <v>11.829</v>
      </c>
      <c r="J5568">
        <v>22.49</v>
      </c>
      <c r="K5568">
        <v>26.96</v>
      </c>
      <c r="L5568">
        <v>20.2</v>
      </c>
      <c r="M5568">
        <v>16.76</v>
      </c>
      <c r="N5568">
        <v>44.912</v>
      </c>
      <c r="O5568">
        <v>23.49</v>
      </c>
      <c r="P5568">
        <v>27.45</v>
      </c>
      <c r="Q5568">
        <v>21.11</v>
      </c>
      <c r="R5568">
        <v>17.21</v>
      </c>
    </row>
    <row r="5569">
      <c r="A5569" s="9">
        <v>44100</v>
      </c>
      <c r="B5569" s="2" t="inlineStr">
        <is>
          <t xml:space="preserve">2020-09</t>
        </is>
      </c>
      <c r="C5569" s="2" t="inlineStr">
        <is>
          <t xml:space="preserve">2020/21</t>
        </is>
      </c>
      <c r="D5569">
        <v>3.716</v>
      </c>
      <c r="E5569">
        <v>21.8</v>
      </c>
      <c r="F5569">
        <v>25.94</v>
      </c>
      <c r="G5569">
        <v>18.46</v>
      </c>
      <c r="H5569">
        <v>5.9</v>
      </c>
      <c r="I5569">
        <v>11.13</v>
      </c>
      <c r="J5569">
        <v>22.1</v>
      </c>
      <c r="K5569">
        <v>26.13</v>
      </c>
      <c r="L5569">
        <v>19.26</v>
      </c>
      <c r="M5569">
        <v>18.16</v>
      </c>
      <c r="N5569">
        <v>12.866</v>
      </c>
      <c r="O5569">
        <v>23.46</v>
      </c>
      <c r="P5569">
        <v>28.06</v>
      </c>
      <c r="Q5569">
        <v>20.29</v>
      </c>
      <c r="R5569">
        <v>16.33</v>
      </c>
    </row>
    <row r="5570">
      <c r="A5570" s="9">
        <v>44101</v>
      </c>
      <c r="B5570" s="2" t="inlineStr">
        <is>
          <t xml:space="preserve">2020-09</t>
        </is>
      </c>
      <c r="C5570" s="2" t="inlineStr">
        <is>
          <t xml:space="preserve">2020/21</t>
        </is>
      </c>
      <c r="D5570">
        <v>0.427</v>
      </c>
      <c r="E5570">
        <v>21.66</v>
      </c>
      <c r="F5570">
        <v>26.88</v>
      </c>
      <c r="G5570">
        <v>17.71</v>
      </c>
      <c r="H5570">
        <v>1.11</v>
      </c>
      <c r="I5570">
        <v>9.986</v>
      </c>
      <c r="J5570">
        <v>22.52</v>
      </c>
      <c r="K5570">
        <v>27.13</v>
      </c>
      <c r="L5570">
        <v>19.17</v>
      </c>
      <c r="M5570">
        <v>8.32</v>
      </c>
      <c r="N5570">
        <v>40.402</v>
      </c>
      <c r="O5570">
        <v>23.71</v>
      </c>
      <c r="P5570">
        <v>28.49</v>
      </c>
      <c r="Q5570">
        <v>19.75</v>
      </c>
      <c r="R5570">
        <v>5.05</v>
      </c>
    </row>
    <row r="5571">
      <c r="A5571" s="9">
        <v>44102</v>
      </c>
      <c r="B5571" s="2" t="inlineStr">
        <is>
          <t xml:space="preserve">2020-09</t>
        </is>
      </c>
      <c r="C5571" s="2" t="inlineStr">
        <is>
          <t xml:space="preserve">2020/21</t>
        </is>
      </c>
      <c r="D5571">
        <v>0.532</v>
      </c>
      <c r="E5571">
        <v>22.18</v>
      </c>
      <c r="F5571">
        <v>27.51</v>
      </c>
      <c r="G5571">
        <v>17.34</v>
      </c>
      <c r="H5571">
        <v>4.27</v>
      </c>
      <c r="I5571">
        <v>1.616</v>
      </c>
      <c r="J5571">
        <v>23.23</v>
      </c>
      <c r="K5571">
        <v>28.39</v>
      </c>
      <c r="L5571">
        <v>19.31</v>
      </c>
      <c r="M5571">
        <v>2.78</v>
      </c>
      <c r="N5571">
        <v>6.08</v>
      </c>
      <c r="O5571">
        <v>23.69</v>
      </c>
      <c r="P5571">
        <v>28.49</v>
      </c>
      <c r="Q5571">
        <v>19.63</v>
      </c>
      <c r="R5571">
        <v>3.06</v>
      </c>
    </row>
    <row r="5572">
      <c r="A5572" s="9">
        <v>44103</v>
      </c>
      <c r="B5572" s="2" t="inlineStr">
        <is>
          <t xml:space="preserve">2020-09</t>
        </is>
      </c>
      <c r="C5572" s="2" t="inlineStr">
        <is>
          <t xml:space="preserve">2020/21</t>
        </is>
      </c>
      <c r="D5572">
        <v>3.543</v>
      </c>
      <c r="E5572">
        <v>22.68</v>
      </c>
      <c r="F5572">
        <v>27.72</v>
      </c>
      <c r="G5572">
        <v>18.38</v>
      </c>
      <c r="H5572">
        <v>2.79</v>
      </c>
      <c r="I5572">
        <v>1.316</v>
      </c>
      <c r="J5572">
        <v>22.56</v>
      </c>
      <c r="K5572">
        <v>26.08</v>
      </c>
      <c r="L5572">
        <v>20.27</v>
      </c>
      <c r="M5572">
        <v>2.38</v>
      </c>
      <c r="N5572">
        <v>2.453</v>
      </c>
      <c r="O5572">
        <v>22.93</v>
      </c>
      <c r="P5572">
        <v>26.41</v>
      </c>
      <c r="Q5572">
        <v>20.77</v>
      </c>
      <c r="R5572">
        <v>2.42</v>
      </c>
    </row>
    <row r="5573">
      <c r="A5573" s="9">
        <v>44104</v>
      </c>
      <c r="B5573" s="2" t="inlineStr">
        <is>
          <t xml:space="preserve">2020-09</t>
        </is>
      </c>
      <c r="C5573" s="2" t="inlineStr">
        <is>
          <t xml:space="preserve">2020/21</t>
        </is>
      </c>
      <c r="D5573">
        <v>3.559</v>
      </c>
      <c r="E5573">
        <v>21.78</v>
      </c>
      <c r="F5573">
        <v>25.75</v>
      </c>
      <c r="G5573">
        <v>18.51</v>
      </c>
      <c r="H5573">
        <v>6.89</v>
      </c>
      <c r="I5573">
        <v>8.545</v>
      </c>
      <c r="J5573">
        <v>22.15</v>
      </c>
      <c r="K5573">
        <v>26.33</v>
      </c>
      <c r="L5573">
        <v>18.9</v>
      </c>
      <c r="M5573">
        <v>7.01</v>
      </c>
      <c r="N5573">
        <v>0.417</v>
      </c>
      <c r="O5573">
        <v>22.66</v>
      </c>
      <c r="P5573">
        <v>27.16</v>
      </c>
      <c r="Q5573">
        <v>20.07</v>
      </c>
      <c r="R5573">
        <v>4.71</v>
      </c>
    </row>
    <row r="5574">
      <c r="A5574" s="9">
        <v>44105</v>
      </c>
      <c r="B5574" s="2" t="inlineStr">
        <is>
          <t xml:space="preserve">2020-10</t>
        </is>
      </c>
      <c r="C5574" s="2" t="inlineStr">
        <is>
          <t xml:space="preserve">2020/21</t>
        </is>
      </c>
      <c r="D5574">
        <v>2.455</v>
      </c>
      <c r="E5574">
        <v>21.38</v>
      </c>
      <c r="F5574">
        <v>25.28</v>
      </c>
      <c r="G5574">
        <v>18.72</v>
      </c>
      <c r="H5574">
        <v>5.42</v>
      </c>
      <c r="I5574">
        <v>7.897</v>
      </c>
      <c r="J5574">
        <v>21.66</v>
      </c>
      <c r="K5574">
        <v>25.59</v>
      </c>
      <c r="L5574">
        <v>18.65</v>
      </c>
      <c r="M5574">
        <v>3.38</v>
      </c>
      <c r="N5574">
        <v>1.142</v>
      </c>
      <c r="O5574">
        <v>22.04</v>
      </c>
      <c r="P5574">
        <v>25.84</v>
      </c>
      <c r="Q5574">
        <v>19.4</v>
      </c>
      <c r="R5574">
        <v>9.44</v>
      </c>
    </row>
    <row r="5575">
      <c r="A5575" s="9">
        <v>44106</v>
      </c>
      <c r="B5575" s="2" t="inlineStr">
        <is>
          <t xml:space="preserve">2020-10</t>
        </is>
      </c>
      <c r="C5575" s="2" t="inlineStr">
        <is>
          <t xml:space="preserve">2020/21</t>
        </is>
      </c>
      <c r="D5575">
        <v>1.315</v>
      </c>
      <c r="E5575">
        <v>21.02</v>
      </c>
      <c r="F5575">
        <v>25.67</v>
      </c>
      <c r="G5575">
        <v>18.06</v>
      </c>
      <c r="H5575">
        <v>2.34</v>
      </c>
      <c r="I5575">
        <v>2.521</v>
      </c>
      <c r="J5575">
        <v>20.68</v>
      </c>
      <c r="K5575">
        <v>23.77</v>
      </c>
      <c r="L5575">
        <v>18.45</v>
      </c>
      <c r="M5575">
        <v>6.53</v>
      </c>
      <c r="N5575">
        <v>6.137</v>
      </c>
      <c r="O5575">
        <v>21.35</v>
      </c>
      <c r="P5575">
        <v>23.44</v>
      </c>
      <c r="Q5575">
        <v>19.67</v>
      </c>
      <c r="R5575">
        <v>2.71</v>
      </c>
    </row>
    <row r="5576">
      <c r="A5576" s="9">
        <v>44107</v>
      </c>
      <c r="B5576" s="2" t="inlineStr">
        <is>
          <t xml:space="preserve">2020-10</t>
        </is>
      </c>
      <c r="C5576" s="2" t="inlineStr">
        <is>
          <t xml:space="preserve">2020/21</t>
        </is>
      </c>
      <c r="D5576">
        <v>2.161</v>
      </c>
      <c r="E5576">
        <v>20.96</v>
      </c>
      <c r="F5576">
        <v>24.84</v>
      </c>
      <c r="G5576">
        <v>17.45</v>
      </c>
      <c r="H5576">
        <v>12.25</v>
      </c>
      <c r="I5576">
        <v>18.259</v>
      </c>
      <c r="J5576">
        <v>21.41</v>
      </c>
      <c r="K5576">
        <v>25.97</v>
      </c>
      <c r="L5576">
        <v>17.24</v>
      </c>
      <c r="M5576">
        <v>7.13</v>
      </c>
      <c r="N5576">
        <v>0.751</v>
      </c>
      <c r="O5576">
        <v>21.75</v>
      </c>
      <c r="P5576">
        <v>25.84</v>
      </c>
      <c r="Q5576">
        <v>18.83</v>
      </c>
      <c r="R5576">
        <v>5.31</v>
      </c>
    </row>
    <row r="5577">
      <c r="A5577" s="9">
        <v>44108</v>
      </c>
      <c r="B5577" s="2" t="inlineStr">
        <is>
          <t xml:space="preserve">2020-10</t>
        </is>
      </c>
      <c r="C5577" s="2" t="inlineStr">
        <is>
          <t xml:space="preserve">2020/21</t>
        </is>
      </c>
      <c r="D5577">
        <v>5.855</v>
      </c>
      <c r="E5577">
        <v>19.25</v>
      </c>
      <c r="F5577">
        <v>20.88</v>
      </c>
      <c r="G5577">
        <v>16.96</v>
      </c>
      <c r="H5577">
        <v>9.84</v>
      </c>
      <c r="I5577">
        <v>1.587</v>
      </c>
      <c r="J5577">
        <v>20.04</v>
      </c>
      <c r="K5577">
        <v>22.85</v>
      </c>
      <c r="L5577">
        <v>18.0</v>
      </c>
      <c r="M5577">
        <v>0.92</v>
      </c>
      <c r="N5577">
        <v>2.371</v>
      </c>
      <c r="O5577">
        <v>20.52</v>
      </c>
      <c r="P5577">
        <v>22.72</v>
      </c>
      <c r="Q5577">
        <v>18.93</v>
      </c>
      <c r="R5577">
        <v>2.26</v>
      </c>
    </row>
    <row r="5578">
      <c r="A5578" s="9">
        <v>44109</v>
      </c>
      <c r="B5578" s="2" t="inlineStr">
        <is>
          <t xml:space="preserve">2020-10</t>
        </is>
      </c>
      <c r="C5578" s="2" t="inlineStr">
        <is>
          <t xml:space="preserve">2020/21</t>
        </is>
      </c>
      <c r="D5578">
        <v>2.11</v>
      </c>
      <c r="E5578">
        <v>19.66</v>
      </c>
      <c r="F5578">
        <v>23.81</v>
      </c>
      <c r="G5578">
        <v>16.04</v>
      </c>
      <c r="H5578">
        <v>2.51</v>
      </c>
      <c r="I5578">
        <v>0.0</v>
      </c>
      <c r="J5578">
        <v>21.1</v>
      </c>
      <c r="K5578">
        <v>25.57</v>
      </c>
      <c r="L5578">
        <v>17.42</v>
      </c>
      <c r="M5578">
        <v>0.34</v>
      </c>
      <c r="N5578">
        <v>0.0</v>
      </c>
      <c r="O5578">
        <v>21.41</v>
      </c>
      <c r="P5578">
        <v>25.76</v>
      </c>
      <c r="Q5578">
        <v>18.3</v>
      </c>
      <c r="R5578">
        <v>1.3</v>
      </c>
    </row>
    <row r="5579">
      <c r="A5579" s="9">
        <v>44110</v>
      </c>
      <c r="B5579" s="2" t="inlineStr">
        <is>
          <t xml:space="preserve">2020-10</t>
        </is>
      </c>
      <c r="C5579" s="2" t="inlineStr">
        <is>
          <t xml:space="preserve">2020/21</t>
        </is>
      </c>
      <c r="D5579">
        <v>4.249</v>
      </c>
      <c r="E5579">
        <v>21.53</v>
      </c>
      <c r="F5579">
        <v>26.28</v>
      </c>
      <c r="G5579">
        <v>17.76</v>
      </c>
      <c r="H5579">
        <v>1.2</v>
      </c>
      <c r="I5579">
        <v>0.493</v>
      </c>
      <c r="J5579">
        <v>22.5</v>
      </c>
      <c r="K5579">
        <v>27.56</v>
      </c>
      <c r="L5579">
        <v>18.37</v>
      </c>
      <c r="M5579">
        <v>1.82</v>
      </c>
      <c r="N5579">
        <v>1.544</v>
      </c>
      <c r="O5579">
        <v>22.19</v>
      </c>
      <c r="P5579">
        <v>26.98</v>
      </c>
      <c r="Q5579">
        <v>18.51</v>
      </c>
      <c r="R5579">
        <v>1.41</v>
      </c>
    </row>
    <row r="5580">
      <c r="A5580" s="9">
        <v>44111</v>
      </c>
      <c r="B5580" s="2" t="inlineStr">
        <is>
          <t xml:space="preserve">2020-10</t>
        </is>
      </c>
      <c r="C5580" s="2" t="inlineStr">
        <is>
          <t xml:space="preserve">2020/21</t>
        </is>
      </c>
      <c r="D5580">
        <v>0.118</v>
      </c>
      <c r="E5580">
        <v>21.53</v>
      </c>
      <c r="F5580">
        <v>24.93</v>
      </c>
      <c r="G5580">
        <v>19.1</v>
      </c>
      <c r="H5580">
        <v>8.62</v>
      </c>
      <c r="I5580">
        <v>1.442</v>
      </c>
      <c r="J5580">
        <v>22.24</v>
      </c>
      <c r="K5580">
        <v>25.9</v>
      </c>
      <c r="L5580">
        <v>19.54</v>
      </c>
      <c r="M5580">
        <v>18.28</v>
      </c>
      <c r="N5580">
        <v>0.0</v>
      </c>
      <c r="O5580">
        <v>22.68</v>
      </c>
      <c r="P5580">
        <v>27.03</v>
      </c>
      <c r="Q5580">
        <v>19.28</v>
      </c>
      <c r="R5580">
        <v>14.37</v>
      </c>
    </row>
    <row r="5581">
      <c r="A5581" s="9">
        <v>44112</v>
      </c>
      <c r="B5581" s="2" t="inlineStr">
        <is>
          <t xml:space="preserve">2020-10</t>
        </is>
      </c>
      <c r="C5581" s="2" t="inlineStr">
        <is>
          <t xml:space="preserve">2020/21</t>
        </is>
      </c>
      <c r="D5581">
        <v>25.306</v>
      </c>
      <c r="E5581">
        <v>21.59</v>
      </c>
      <c r="F5581">
        <v>25.82</v>
      </c>
      <c r="G5581">
        <v>18.96</v>
      </c>
      <c r="H5581">
        <v>14.1</v>
      </c>
      <c r="I5581">
        <v>47.986</v>
      </c>
      <c r="J5581">
        <v>21.54</v>
      </c>
      <c r="K5581">
        <v>26.06</v>
      </c>
      <c r="L5581">
        <v>18.51</v>
      </c>
      <c r="M5581">
        <v>38.75</v>
      </c>
      <c r="N5581">
        <v>82.16</v>
      </c>
      <c r="O5581">
        <v>21.89</v>
      </c>
      <c r="P5581">
        <v>24.86</v>
      </c>
      <c r="Q5581">
        <v>19.81</v>
      </c>
      <c r="R5581">
        <v>25.86</v>
      </c>
    </row>
    <row r="5582">
      <c r="A5582" s="9">
        <v>44113</v>
      </c>
      <c r="B5582" s="2" t="inlineStr">
        <is>
          <t xml:space="preserve">2020-10</t>
        </is>
      </c>
      <c r="C5582" s="2" t="inlineStr">
        <is>
          <t xml:space="preserve">2020/21</t>
        </is>
      </c>
      <c r="D5582">
        <v>6.297</v>
      </c>
      <c r="E5582">
        <v>22.27</v>
      </c>
      <c r="F5582">
        <v>26.91</v>
      </c>
      <c r="G5582">
        <v>18.08</v>
      </c>
      <c r="H5582">
        <v>7.49</v>
      </c>
      <c r="I5582">
        <v>5.846</v>
      </c>
      <c r="J5582">
        <v>21.58</v>
      </c>
      <c r="K5582">
        <v>26.46</v>
      </c>
      <c r="L5582">
        <v>17.5</v>
      </c>
      <c r="M5582">
        <v>10.24</v>
      </c>
      <c r="N5582">
        <v>21.11</v>
      </c>
      <c r="O5582">
        <v>22.91</v>
      </c>
      <c r="P5582">
        <v>27.86</v>
      </c>
      <c r="Q5582">
        <v>18.95</v>
      </c>
      <c r="R5582">
        <v>11.67</v>
      </c>
    </row>
    <row r="5583">
      <c r="A5583" s="9">
        <v>44114</v>
      </c>
      <c r="B5583" s="2" t="inlineStr">
        <is>
          <t xml:space="preserve">2020-10</t>
        </is>
      </c>
      <c r="C5583" s="2" t="inlineStr">
        <is>
          <t xml:space="preserve">2020/21</t>
        </is>
      </c>
      <c r="D5583">
        <v>9.483</v>
      </c>
      <c r="E5583">
        <v>22.41</v>
      </c>
      <c r="F5583">
        <v>27.24</v>
      </c>
      <c r="G5583">
        <v>19.01</v>
      </c>
      <c r="H5583">
        <v>4.43</v>
      </c>
      <c r="I5583">
        <v>1.016</v>
      </c>
      <c r="J5583">
        <v>22.8</v>
      </c>
      <c r="K5583">
        <v>27.42</v>
      </c>
      <c r="L5583">
        <v>19.26</v>
      </c>
      <c r="M5583">
        <v>2.08</v>
      </c>
      <c r="N5583">
        <v>3.069</v>
      </c>
      <c r="O5583">
        <v>23.5</v>
      </c>
      <c r="P5583">
        <v>27.84</v>
      </c>
      <c r="Q5583">
        <v>20.14</v>
      </c>
      <c r="R5583">
        <v>3.04</v>
      </c>
    </row>
    <row r="5584">
      <c r="A5584" s="9">
        <v>44115</v>
      </c>
      <c r="B5584" s="2" t="inlineStr">
        <is>
          <t xml:space="preserve">2020-10</t>
        </is>
      </c>
      <c r="C5584" s="2" t="inlineStr">
        <is>
          <t xml:space="preserve">2020/21</t>
        </is>
      </c>
      <c r="D5584">
        <v>1.62</v>
      </c>
      <c r="E5584">
        <v>22.24</v>
      </c>
      <c r="F5584">
        <v>27.29</v>
      </c>
      <c r="G5584">
        <v>18.31</v>
      </c>
      <c r="H5584">
        <v>0.92</v>
      </c>
      <c r="I5584">
        <v>0.16</v>
      </c>
      <c r="J5584">
        <v>23.87</v>
      </c>
      <c r="K5584">
        <v>28.6</v>
      </c>
      <c r="L5584">
        <v>20.23</v>
      </c>
      <c r="M5584">
        <v>4.46</v>
      </c>
      <c r="N5584">
        <v>0.94</v>
      </c>
      <c r="O5584">
        <v>24.26</v>
      </c>
      <c r="P5584">
        <v>29.01</v>
      </c>
      <c r="Q5584">
        <v>20.69</v>
      </c>
      <c r="R5584">
        <v>1.79</v>
      </c>
    </row>
    <row r="5585">
      <c r="A5585" s="9">
        <v>44116</v>
      </c>
      <c r="B5585" s="2" t="inlineStr">
        <is>
          <t xml:space="preserve">2020-10</t>
        </is>
      </c>
      <c r="C5585" s="2" t="inlineStr">
        <is>
          <t xml:space="preserve">2020/21</t>
        </is>
      </c>
      <c r="D5585">
        <v>0.0</v>
      </c>
      <c r="E5585">
        <v>22.3</v>
      </c>
      <c r="F5585">
        <v>27.51</v>
      </c>
      <c r="G5585">
        <v>17.7</v>
      </c>
      <c r="H5585">
        <v>3.94</v>
      </c>
      <c r="I5585">
        <v>0.074</v>
      </c>
      <c r="J5585">
        <v>23.89</v>
      </c>
      <c r="K5585">
        <v>28.3</v>
      </c>
      <c r="L5585">
        <v>19.99</v>
      </c>
      <c r="M5585">
        <v>6.52</v>
      </c>
      <c r="N5585">
        <v>0.0</v>
      </c>
      <c r="O5585">
        <v>23.78</v>
      </c>
      <c r="P5585">
        <v>28.35</v>
      </c>
      <c r="Q5585">
        <v>20.8</v>
      </c>
      <c r="R5585">
        <v>7.05</v>
      </c>
    </row>
    <row r="5586">
      <c r="A5586" s="9">
        <v>44117</v>
      </c>
      <c r="B5586" s="2" t="inlineStr">
        <is>
          <t xml:space="preserve">2020-10</t>
        </is>
      </c>
      <c r="C5586" s="2" t="inlineStr">
        <is>
          <t xml:space="preserve">2020/21</t>
        </is>
      </c>
      <c r="D5586">
        <v>1.031</v>
      </c>
      <c r="E5586">
        <v>21.29</v>
      </c>
      <c r="F5586">
        <v>24.74</v>
      </c>
      <c r="G5586">
        <v>19.23</v>
      </c>
      <c r="H5586">
        <v>27.71</v>
      </c>
      <c r="I5586">
        <v>1.289</v>
      </c>
      <c r="J5586">
        <v>21.84</v>
      </c>
      <c r="K5586">
        <v>24.63</v>
      </c>
      <c r="L5586">
        <v>19.33</v>
      </c>
      <c r="M5586">
        <v>19.45</v>
      </c>
      <c r="N5586">
        <v>5.513</v>
      </c>
      <c r="O5586">
        <v>22.03</v>
      </c>
      <c r="P5586">
        <v>24.47</v>
      </c>
      <c r="Q5586">
        <v>20.2</v>
      </c>
      <c r="R5586">
        <v>19.6</v>
      </c>
    </row>
    <row r="5587">
      <c r="A5587" s="9">
        <v>44118</v>
      </c>
      <c r="B5587" s="2" t="inlineStr">
        <is>
          <t xml:space="preserve">2020-10</t>
        </is>
      </c>
      <c r="C5587" s="2" t="inlineStr">
        <is>
          <t xml:space="preserve">2020/21</t>
        </is>
      </c>
      <c r="D5587">
        <v>1.739</v>
      </c>
      <c r="E5587">
        <v>20.87</v>
      </c>
      <c r="F5587">
        <v>24.27</v>
      </c>
      <c r="G5587">
        <v>18.36</v>
      </c>
      <c r="H5587">
        <v>5.18</v>
      </c>
      <c r="I5587">
        <v>4.795</v>
      </c>
      <c r="J5587">
        <v>20.67</v>
      </c>
      <c r="K5587">
        <v>23.69</v>
      </c>
      <c r="L5587">
        <v>18.43</v>
      </c>
      <c r="M5587">
        <v>9.49</v>
      </c>
      <c r="N5587">
        <v>1.187</v>
      </c>
      <c r="O5587">
        <v>21.28</v>
      </c>
      <c r="P5587">
        <v>23.06</v>
      </c>
      <c r="Q5587">
        <v>20.15</v>
      </c>
      <c r="R5587">
        <v>15.29</v>
      </c>
    </row>
    <row r="5588">
      <c r="A5588" s="9">
        <v>44119</v>
      </c>
      <c r="B5588" s="2" t="inlineStr">
        <is>
          <t xml:space="preserve">2020-10</t>
        </is>
      </c>
      <c r="C5588" s="2" t="inlineStr">
        <is>
          <t xml:space="preserve">2020/21</t>
        </is>
      </c>
      <c r="D5588">
        <v>0.53</v>
      </c>
      <c r="E5588">
        <v>21.87</v>
      </c>
      <c r="F5588">
        <v>26.68</v>
      </c>
      <c r="G5588">
        <v>18.34</v>
      </c>
      <c r="H5588">
        <v>1.53</v>
      </c>
      <c r="I5588">
        <v>0.0</v>
      </c>
      <c r="J5588">
        <v>22.37</v>
      </c>
      <c r="K5588">
        <v>26.81</v>
      </c>
      <c r="L5588">
        <v>18.68</v>
      </c>
      <c r="M5588">
        <v>3.22</v>
      </c>
      <c r="N5588">
        <v>0.0</v>
      </c>
      <c r="O5588">
        <v>22.68</v>
      </c>
      <c r="P5588">
        <v>27.29</v>
      </c>
      <c r="Q5588">
        <v>19.66</v>
      </c>
      <c r="R5588">
        <v>2.02</v>
      </c>
    </row>
    <row r="5589">
      <c r="A5589" s="9">
        <v>44120</v>
      </c>
      <c r="B5589" s="2" t="inlineStr">
        <is>
          <t xml:space="preserve">2020-10</t>
        </is>
      </c>
      <c r="C5589" s="2" t="inlineStr">
        <is>
          <t xml:space="preserve">2020/21</t>
        </is>
      </c>
      <c r="D5589">
        <v>2.795</v>
      </c>
      <c r="E5589">
        <v>20.6</v>
      </c>
      <c r="F5589">
        <v>24.62</v>
      </c>
      <c r="G5589">
        <v>17.45</v>
      </c>
      <c r="H5589">
        <v>5.31</v>
      </c>
      <c r="I5589">
        <v>14.17</v>
      </c>
      <c r="J5589">
        <v>21.71</v>
      </c>
      <c r="K5589">
        <v>25.34</v>
      </c>
      <c r="L5589">
        <v>19.34</v>
      </c>
      <c r="M5589">
        <v>12.69</v>
      </c>
      <c r="N5589">
        <v>19.346</v>
      </c>
      <c r="O5589">
        <v>21.84</v>
      </c>
      <c r="P5589">
        <v>25.24</v>
      </c>
      <c r="Q5589">
        <v>19.96</v>
      </c>
      <c r="R5589">
        <v>9.55</v>
      </c>
    </row>
    <row r="5590">
      <c r="A5590" s="9">
        <v>44121</v>
      </c>
      <c r="B5590" s="2" t="inlineStr">
        <is>
          <t xml:space="preserve">2020-10</t>
        </is>
      </c>
      <c r="C5590" s="2" t="inlineStr">
        <is>
          <t xml:space="preserve">2020/21</t>
        </is>
      </c>
      <c r="D5590">
        <v>7.171</v>
      </c>
      <c r="E5590">
        <v>20.63</v>
      </c>
      <c r="F5590">
        <v>25.53</v>
      </c>
      <c r="G5590">
        <v>17.13</v>
      </c>
      <c r="H5590">
        <v>4.61</v>
      </c>
      <c r="I5590">
        <v>7.407</v>
      </c>
      <c r="J5590">
        <v>21.34</v>
      </c>
      <c r="K5590">
        <v>25.24</v>
      </c>
      <c r="L5590">
        <v>19.05</v>
      </c>
      <c r="M5590">
        <v>5.27</v>
      </c>
      <c r="N5590">
        <v>5.303</v>
      </c>
      <c r="O5590">
        <v>21.61</v>
      </c>
      <c r="P5590">
        <v>25.2</v>
      </c>
      <c r="Q5590">
        <v>19.87</v>
      </c>
      <c r="R5590">
        <v>6.27</v>
      </c>
    </row>
    <row r="5591">
      <c r="A5591" s="9">
        <v>44122</v>
      </c>
      <c r="B5591" s="2" t="inlineStr">
        <is>
          <t xml:space="preserve">2020-10</t>
        </is>
      </c>
      <c r="C5591" s="2" t="inlineStr">
        <is>
          <t xml:space="preserve">2020/21</t>
        </is>
      </c>
      <c r="D5591">
        <v>0.033</v>
      </c>
      <c r="E5591">
        <v>21.0</v>
      </c>
      <c r="F5591">
        <v>25.85</v>
      </c>
      <c r="G5591">
        <v>17.5</v>
      </c>
      <c r="H5591">
        <v>2.15</v>
      </c>
      <c r="I5591">
        <v>0.942</v>
      </c>
      <c r="J5591">
        <v>21.32</v>
      </c>
      <c r="K5591">
        <v>25.57</v>
      </c>
      <c r="L5591">
        <v>18.2</v>
      </c>
      <c r="M5591">
        <v>1.77</v>
      </c>
      <c r="N5591">
        <v>3.847</v>
      </c>
      <c r="O5591">
        <v>21.66</v>
      </c>
      <c r="P5591">
        <v>25.65</v>
      </c>
      <c r="Q5591">
        <v>19.13</v>
      </c>
      <c r="R5591">
        <v>3.63</v>
      </c>
    </row>
    <row r="5592">
      <c r="A5592" s="9">
        <v>44123</v>
      </c>
      <c r="B5592" s="2" t="inlineStr">
        <is>
          <t xml:space="preserve">2020-10</t>
        </is>
      </c>
      <c r="C5592" s="2" t="inlineStr">
        <is>
          <t xml:space="preserve">2020/21</t>
        </is>
      </c>
      <c r="D5592">
        <v>4.46</v>
      </c>
      <c r="E5592">
        <v>21.06</v>
      </c>
      <c r="F5592">
        <v>25.71</v>
      </c>
      <c r="G5592">
        <v>17.43</v>
      </c>
      <c r="H5592">
        <v>11.15</v>
      </c>
      <c r="I5592">
        <v>0.362</v>
      </c>
      <c r="J5592">
        <v>21.29</v>
      </c>
      <c r="K5592">
        <v>25.87</v>
      </c>
      <c r="L5592">
        <v>17.67</v>
      </c>
      <c r="M5592">
        <v>1.39</v>
      </c>
      <c r="N5592">
        <v>1.751</v>
      </c>
      <c r="O5592">
        <v>21.71</v>
      </c>
      <c r="P5592">
        <v>25.98</v>
      </c>
      <c r="Q5592">
        <v>18.35</v>
      </c>
      <c r="R5592">
        <v>1.81</v>
      </c>
    </row>
    <row r="5593">
      <c r="A5593" s="9">
        <v>44124</v>
      </c>
      <c r="B5593" s="2" t="inlineStr">
        <is>
          <t xml:space="preserve">2020-10</t>
        </is>
      </c>
      <c r="C5593" s="2" t="inlineStr">
        <is>
          <t xml:space="preserve">2020/21</t>
        </is>
      </c>
      <c r="D5593">
        <v>5.951</v>
      </c>
      <c r="E5593">
        <v>21.04</v>
      </c>
      <c r="F5593">
        <v>24.97</v>
      </c>
      <c r="G5593">
        <v>17.76</v>
      </c>
      <c r="H5593">
        <v>7.3</v>
      </c>
      <c r="I5593">
        <v>0.0</v>
      </c>
      <c r="J5593">
        <v>21.67</v>
      </c>
      <c r="K5593">
        <v>25.99</v>
      </c>
      <c r="L5593">
        <v>18.16</v>
      </c>
      <c r="M5593">
        <v>0.29</v>
      </c>
      <c r="N5593">
        <v>0.0</v>
      </c>
      <c r="O5593">
        <v>22.17</v>
      </c>
      <c r="P5593">
        <v>26.52</v>
      </c>
      <c r="Q5593">
        <v>18.63</v>
      </c>
      <c r="R5593">
        <v>0.2</v>
      </c>
    </row>
    <row r="5594">
      <c r="A5594" s="9">
        <v>44125</v>
      </c>
      <c r="B5594" s="2" t="inlineStr">
        <is>
          <t xml:space="preserve">2020-10</t>
        </is>
      </c>
      <c r="C5594" s="2" t="inlineStr">
        <is>
          <t xml:space="preserve">2020/21</t>
        </is>
      </c>
      <c r="D5594">
        <v>5.294</v>
      </c>
      <c r="E5594">
        <v>21.06</v>
      </c>
      <c r="F5594">
        <v>24.36</v>
      </c>
      <c r="G5594">
        <v>18.29</v>
      </c>
      <c r="H5594">
        <v>7.94</v>
      </c>
      <c r="I5594">
        <v>0.25</v>
      </c>
      <c r="J5594">
        <v>21.84</v>
      </c>
      <c r="K5594">
        <v>25.72</v>
      </c>
      <c r="L5594">
        <v>18.33</v>
      </c>
      <c r="M5594">
        <v>0.36</v>
      </c>
      <c r="N5594">
        <v>0.225</v>
      </c>
      <c r="O5594">
        <v>22.35</v>
      </c>
      <c r="P5594">
        <v>26.61</v>
      </c>
      <c r="Q5594">
        <v>18.94</v>
      </c>
      <c r="R5594">
        <v>0.86</v>
      </c>
    </row>
    <row r="5595">
      <c r="A5595" s="9">
        <v>44126</v>
      </c>
      <c r="B5595" s="2" t="inlineStr">
        <is>
          <t xml:space="preserve">2020-10</t>
        </is>
      </c>
      <c r="C5595" s="2" t="inlineStr">
        <is>
          <t xml:space="preserve">2020/21</t>
        </is>
      </c>
      <c r="D5595">
        <v>18.481</v>
      </c>
      <c r="E5595">
        <v>21.66</v>
      </c>
      <c r="F5595">
        <v>25.96</v>
      </c>
      <c r="G5595">
        <v>18.34</v>
      </c>
      <c r="H5595">
        <v>13.13</v>
      </c>
      <c r="I5595">
        <v>0.573</v>
      </c>
      <c r="J5595">
        <v>22.39</v>
      </c>
      <c r="K5595">
        <v>27.13</v>
      </c>
      <c r="L5595">
        <v>18.14</v>
      </c>
      <c r="M5595">
        <v>0.76</v>
      </c>
      <c r="N5595">
        <v>0.333</v>
      </c>
      <c r="O5595">
        <v>22.85</v>
      </c>
      <c r="P5595">
        <v>27.3</v>
      </c>
      <c r="Q5595">
        <v>19.09</v>
      </c>
      <c r="R5595">
        <v>1.5</v>
      </c>
    </row>
    <row r="5596">
      <c r="A5596" s="9">
        <v>44127</v>
      </c>
      <c r="B5596" s="2" t="inlineStr">
        <is>
          <t xml:space="preserve">2020-10</t>
        </is>
      </c>
      <c r="C5596" s="2" t="inlineStr">
        <is>
          <t xml:space="preserve">2020/21</t>
        </is>
      </c>
      <c r="D5596">
        <v>3.096</v>
      </c>
      <c r="E5596">
        <v>21.7</v>
      </c>
      <c r="F5596">
        <v>25.05</v>
      </c>
      <c r="G5596">
        <v>19.24</v>
      </c>
      <c r="H5596">
        <v>4.75</v>
      </c>
      <c r="I5596">
        <v>0.703</v>
      </c>
      <c r="J5596">
        <v>22.87</v>
      </c>
      <c r="K5596">
        <v>26.55</v>
      </c>
      <c r="L5596">
        <v>19.7</v>
      </c>
      <c r="M5596">
        <v>1.1</v>
      </c>
      <c r="N5596">
        <v>0.078</v>
      </c>
      <c r="O5596">
        <v>23.28</v>
      </c>
      <c r="P5596">
        <v>27.11</v>
      </c>
      <c r="Q5596">
        <v>20.2</v>
      </c>
      <c r="R5596">
        <v>0.19</v>
      </c>
    </row>
    <row r="5597">
      <c r="A5597" s="9">
        <v>44128</v>
      </c>
      <c r="B5597" s="2" t="inlineStr">
        <is>
          <t xml:space="preserve">2020-10</t>
        </is>
      </c>
      <c r="C5597" s="2" t="inlineStr">
        <is>
          <t xml:space="preserve">2020/21</t>
        </is>
      </c>
      <c r="D5597">
        <v>4.722</v>
      </c>
      <c r="E5597">
        <v>21.82</v>
      </c>
      <c r="F5597">
        <v>26.1</v>
      </c>
      <c r="G5597">
        <v>18.79</v>
      </c>
      <c r="H5597">
        <v>5.57</v>
      </c>
      <c r="I5597">
        <v>6.738</v>
      </c>
      <c r="J5597">
        <v>22.8</v>
      </c>
      <c r="K5597">
        <v>26.58</v>
      </c>
      <c r="L5597">
        <v>20.06</v>
      </c>
      <c r="M5597">
        <v>7.37</v>
      </c>
      <c r="N5597">
        <v>0.424</v>
      </c>
      <c r="O5597">
        <v>23.03</v>
      </c>
      <c r="P5597">
        <v>26.85</v>
      </c>
      <c r="Q5597">
        <v>20.54</v>
      </c>
      <c r="R5597">
        <v>4.86</v>
      </c>
    </row>
    <row r="5598">
      <c r="A5598" s="9">
        <v>44129</v>
      </c>
      <c r="B5598" s="2" t="inlineStr">
        <is>
          <t xml:space="preserve">2020-10</t>
        </is>
      </c>
      <c r="C5598" s="2" t="inlineStr">
        <is>
          <t xml:space="preserve">2020/21</t>
        </is>
      </c>
      <c r="D5598">
        <v>7.442</v>
      </c>
      <c r="E5598">
        <v>21.02</v>
      </c>
      <c r="F5598">
        <v>24.2</v>
      </c>
      <c r="G5598">
        <v>18.64</v>
      </c>
      <c r="H5598">
        <v>6.57</v>
      </c>
      <c r="I5598">
        <v>7.64</v>
      </c>
      <c r="J5598">
        <v>21.92</v>
      </c>
      <c r="K5598">
        <v>25.1</v>
      </c>
      <c r="L5598">
        <v>18.82</v>
      </c>
      <c r="M5598">
        <v>10.31</v>
      </c>
      <c r="N5598">
        <v>25.426</v>
      </c>
      <c r="O5598">
        <v>21.81</v>
      </c>
      <c r="P5598">
        <v>24.24</v>
      </c>
      <c r="Q5598">
        <v>19.26</v>
      </c>
      <c r="R5598">
        <v>11.2</v>
      </c>
    </row>
    <row r="5599">
      <c r="A5599" s="9">
        <v>44130</v>
      </c>
      <c r="B5599" s="2" t="inlineStr">
        <is>
          <t xml:space="preserve">2020-10</t>
        </is>
      </c>
      <c r="C5599" s="2" t="inlineStr">
        <is>
          <t xml:space="preserve">2020/21</t>
        </is>
      </c>
      <c r="D5599">
        <v>0.126</v>
      </c>
      <c r="E5599">
        <v>21.51</v>
      </c>
      <c r="F5599">
        <v>26.55</v>
      </c>
      <c r="G5599">
        <v>17.81</v>
      </c>
      <c r="H5599">
        <v>0.77</v>
      </c>
      <c r="I5599">
        <v>0.126</v>
      </c>
      <c r="J5599">
        <v>21.95</v>
      </c>
      <c r="K5599">
        <v>26.81</v>
      </c>
      <c r="L5599">
        <v>17.47</v>
      </c>
      <c r="M5599">
        <v>0.21</v>
      </c>
      <c r="N5599">
        <v>0.0</v>
      </c>
      <c r="O5599">
        <v>21.88</v>
      </c>
      <c r="P5599">
        <v>25.13</v>
      </c>
      <c r="Q5599">
        <v>18.87</v>
      </c>
      <c r="R5599">
        <v>0.1</v>
      </c>
    </row>
    <row r="5600">
      <c r="A5600" s="9">
        <v>44131</v>
      </c>
      <c r="B5600" s="2" t="inlineStr">
        <is>
          <t xml:space="preserve">2020-10</t>
        </is>
      </c>
      <c r="C5600" s="2" t="inlineStr">
        <is>
          <t xml:space="preserve">2020/21</t>
        </is>
      </c>
      <c r="D5600">
        <v>2.947</v>
      </c>
      <c r="E5600">
        <v>21.66</v>
      </c>
      <c r="F5600">
        <v>25.74</v>
      </c>
      <c r="G5600">
        <v>18.38</v>
      </c>
      <c r="H5600">
        <v>3.04</v>
      </c>
      <c r="I5600">
        <v>1.191</v>
      </c>
      <c r="J5600">
        <v>22.28</v>
      </c>
      <c r="K5600">
        <v>26.36</v>
      </c>
      <c r="L5600">
        <v>19.15</v>
      </c>
      <c r="M5600">
        <v>1.68</v>
      </c>
      <c r="N5600">
        <v>0.953</v>
      </c>
      <c r="O5600">
        <v>23.24</v>
      </c>
      <c r="P5600">
        <v>27.96</v>
      </c>
      <c r="Q5600">
        <v>19.66</v>
      </c>
      <c r="R5600">
        <v>2.62</v>
      </c>
    </row>
    <row r="5601">
      <c r="A5601" s="9">
        <v>44132</v>
      </c>
      <c r="B5601" s="2" t="inlineStr">
        <is>
          <t xml:space="preserve">2020-10</t>
        </is>
      </c>
      <c r="C5601" s="2" t="inlineStr">
        <is>
          <t xml:space="preserve">2020/21</t>
        </is>
      </c>
      <c r="D5601">
        <v>0.0</v>
      </c>
      <c r="E5601">
        <v>21.63</v>
      </c>
      <c r="F5601">
        <v>25.58</v>
      </c>
      <c r="G5601">
        <v>19.21</v>
      </c>
      <c r="H5601">
        <v>2.21</v>
      </c>
      <c r="I5601">
        <v>0.067</v>
      </c>
      <c r="J5601">
        <v>22.47</v>
      </c>
      <c r="K5601">
        <v>26.46</v>
      </c>
      <c r="L5601">
        <v>19.36</v>
      </c>
      <c r="M5601">
        <v>5.62</v>
      </c>
      <c r="N5601">
        <v>0.0</v>
      </c>
      <c r="O5601">
        <v>22.78</v>
      </c>
      <c r="P5601">
        <v>25.96</v>
      </c>
      <c r="Q5601">
        <v>20.17</v>
      </c>
      <c r="R5601">
        <v>4.19</v>
      </c>
    </row>
    <row r="5602">
      <c r="A5602" s="9">
        <v>44133</v>
      </c>
      <c r="B5602" s="2" t="inlineStr">
        <is>
          <t xml:space="preserve">2020-10</t>
        </is>
      </c>
      <c r="C5602" s="2" t="inlineStr">
        <is>
          <t xml:space="preserve">2020/21</t>
        </is>
      </c>
      <c r="D5602">
        <v>11.502</v>
      </c>
      <c r="E5602">
        <v>21.77</v>
      </c>
      <c r="F5602">
        <v>26.52</v>
      </c>
      <c r="G5602">
        <v>18.36</v>
      </c>
      <c r="H5602">
        <v>2.09</v>
      </c>
      <c r="I5602">
        <v>19.039</v>
      </c>
      <c r="J5602">
        <v>22.33</v>
      </c>
      <c r="K5602">
        <v>25.78</v>
      </c>
      <c r="L5602">
        <v>20.27</v>
      </c>
      <c r="M5602">
        <v>11.7</v>
      </c>
      <c r="N5602">
        <v>57.947</v>
      </c>
      <c r="O5602">
        <v>22.81</v>
      </c>
      <c r="P5602">
        <v>25.97</v>
      </c>
      <c r="Q5602">
        <v>20.81</v>
      </c>
      <c r="R5602">
        <v>7.96</v>
      </c>
    </row>
    <row r="5603">
      <c r="A5603" s="9">
        <v>44134</v>
      </c>
      <c r="B5603" s="2" t="inlineStr">
        <is>
          <t xml:space="preserve">2020-10</t>
        </is>
      </c>
      <c r="C5603" s="2" t="inlineStr">
        <is>
          <t xml:space="preserve">2020/21</t>
        </is>
      </c>
      <c r="D5603">
        <v>0.773</v>
      </c>
      <c r="E5603">
        <v>21.17</v>
      </c>
      <c r="F5603">
        <v>25.81</v>
      </c>
      <c r="G5603">
        <v>18.4</v>
      </c>
      <c r="H5603">
        <v>2.16</v>
      </c>
      <c r="I5603">
        <v>0.707</v>
      </c>
      <c r="J5603">
        <v>21.92</v>
      </c>
      <c r="K5603">
        <v>25.82</v>
      </c>
      <c r="L5603">
        <v>19.24</v>
      </c>
      <c r="M5603">
        <v>0.94</v>
      </c>
      <c r="N5603">
        <v>0.301</v>
      </c>
      <c r="O5603">
        <v>22.12</v>
      </c>
      <c r="P5603">
        <v>25.95</v>
      </c>
      <c r="Q5603">
        <v>19.94</v>
      </c>
      <c r="R5603">
        <v>1.2</v>
      </c>
    </row>
    <row r="5604">
      <c r="A5604" s="9">
        <v>44135</v>
      </c>
      <c r="B5604" s="2" t="inlineStr">
        <is>
          <t xml:space="preserve">2020-10</t>
        </is>
      </c>
      <c r="C5604" s="2" t="inlineStr">
        <is>
          <t xml:space="preserve">2020/21</t>
        </is>
      </c>
      <c r="D5604">
        <v>1.129</v>
      </c>
      <c r="E5604">
        <v>20.75</v>
      </c>
      <c r="F5604">
        <v>25.5</v>
      </c>
      <c r="G5604">
        <v>17.61</v>
      </c>
      <c r="H5604">
        <v>1.56</v>
      </c>
      <c r="I5604">
        <v>1.264</v>
      </c>
      <c r="J5604">
        <v>21.3</v>
      </c>
      <c r="K5604">
        <v>25.66</v>
      </c>
      <c r="L5604">
        <v>18.16</v>
      </c>
      <c r="M5604">
        <v>3.23</v>
      </c>
      <c r="N5604">
        <v>5.115</v>
      </c>
      <c r="O5604">
        <v>21.48</v>
      </c>
      <c r="P5604">
        <v>25.64</v>
      </c>
      <c r="Q5604">
        <v>18.6</v>
      </c>
      <c r="R5604">
        <v>4.74</v>
      </c>
    </row>
    <row r="5605">
      <c r="A5605" s="9">
        <v>44136</v>
      </c>
      <c r="B5605" s="2" t="inlineStr">
        <is>
          <t xml:space="preserve">2020-11</t>
        </is>
      </c>
      <c r="C5605" s="2" t="inlineStr">
        <is>
          <t xml:space="preserve">2020/21</t>
        </is>
      </c>
      <c r="D5605">
        <v>0.053</v>
      </c>
      <c r="E5605">
        <v>20.47</v>
      </c>
      <c r="F5605">
        <v>24.35</v>
      </c>
      <c r="G5605">
        <v>17.26</v>
      </c>
      <c r="H5605">
        <v>6.75</v>
      </c>
      <c r="I5605">
        <v>1.654</v>
      </c>
      <c r="J5605">
        <v>20.63</v>
      </c>
      <c r="K5605">
        <v>25.2</v>
      </c>
      <c r="L5605">
        <v>17.11</v>
      </c>
      <c r="M5605">
        <v>3.84</v>
      </c>
      <c r="N5605">
        <v>6.811</v>
      </c>
      <c r="O5605">
        <v>20.85</v>
      </c>
      <c r="P5605">
        <v>24.59</v>
      </c>
      <c r="Q5605">
        <v>18.11</v>
      </c>
      <c r="R5605">
        <v>11.2</v>
      </c>
    </row>
    <row r="5606">
      <c r="A5606" s="9">
        <v>44137</v>
      </c>
      <c r="B5606" s="2" t="inlineStr">
        <is>
          <t xml:space="preserve">2020-11</t>
        </is>
      </c>
      <c r="C5606" s="2" t="inlineStr">
        <is>
          <t xml:space="preserve">2020/21</t>
        </is>
      </c>
      <c r="D5606">
        <v>24.441</v>
      </c>
      <c r="E5606">
        <v>20.87</v>
      </c>
      <c r="F5606">
        <v>23.99</v>
      </c>
      <c r="G5606">
        <v>18.47</v>
      </c>
      <c r="H5606">
        <v>33.62</v>
      </c>
      <c r="I5606">
        <v>7.952</v>
      </c>
      <c r="J5606">
        <v>20.5</v>
      </c>
      <c r="K5606">
        <v>23.68</v>
      </c>
      <c r="L5606">
        <v>18.52</v>
      </c>
      <c r="M5606">
        <v>21.92</v>
      </c>
      <c r="N5606">
        <v>19.438</v>
      </c>
      <c r="O5606">
        <v>21.36</v>
      </c>
      <c r="P5606">
        <v>23.79</v>
      </c>
      <c r="Q5606">
        <v>19.66</v>
      </c>
      <c r="R5606">
        <v>61.21</v>
      </c>
    </row>
    <row r="5607">
      <c r="A5607" s="9">
        <v>44138</v>
      </c>
      <c r="B5607" s="2" t="inlineStr">
        <is>
          <t xml:space="preserve">2020-11</t>
        </is>
      </c>
      <c r="C5607" s="2" t="inlineStr">
        <is>
          <t xml:space="preserve">2020/21</t>
        </is>
      </c>
      <c r="D5607">
        <v>4.626</v>
      </c>
      <c r="E5607">
        <v>20.21</v>
      </c>
      <c r="F5607">
        <v>21.92</v>
      </c>
      <c r="G5607">
        <v>18.52</v>
      </c>
      <c r="H5607">
        <v>28.86</v>
      </c>
      <c r="I5607">
        <v>6.568</v>
      </c>
      <c r="J5607">
        <v>20.37</v>
      </c>
      <c r="K5607">
        <v>23.01</v>
      </c>
      <c r="L5607">
        <v>18.19</v>
      </c>
      <c r="M5607">
        <v>13.07</v>
      </c>
      <c r="N5607">
        <v>17.947</v>
      </c>
      <c r="O5607">
        <v>20.95</v>
      </c>
      <c r="P5607">
        <v>22.95</v>
      </c>
      <c r="Q5607">
        <v>19.38</v>
      </c>
      <c r="R5607">
        <v>42.56</v>
      </c>
    </row>
    <row r="5608">
      <c r="A5608" s="9">
        <v>44139</v>
      </c>
      <c r="B5608" s="2" t="inlineStr">
        <is>
          <t xml:space="preserve">2020-11</t>
        </is>
      </c>
      <c r="C5608" s="2" t="inlineStr">
        <is>
          <t xml:space="preserve">2020/21</t>
        </is>
      </c>
      <c r="D5608">
        <v>17.845</v>
      </c>
      <c r="E5608">
        <v>21.34</v>
      </c>
      <c r="F5608">
        <v>23.0</v>
      </c>
      <c r="G5608">
        <v>20.23</v>
      </c>
      <c r="H5608">
        <v>61.66</v>
      </c>
      <c r="I5608">
        <v>10.522</v>
      </c>
      <c r="J5608">
        <v>19.61</v>
      </c>
      <c r="K5608">
        <v>20.92</v>
      </c>
      <c r="L5608">
        <v>18.01</v>
      </c>
      <c r="M5608">
        <v>29.83</v>
      </c>
      <c r="N5608">
        <v>42.727</v>
      </c>
      <c r="O5608">
        <v>20.01</v>
      </c>
      <c r="P5608">
        <v>21.53</v>
      </c>
      <c r="Q5608">
        <v>18.76</v>
      </c>
      <c r="R5608">
        <v>96.9</v>
      </c>
    </row>
    <row r="5609">
      <c r="A5609" s="9">
        <v>44140</v>
      </c>
      <c r="B5609" s="2" t="inlineStr">
        <is>
          <t xml:space="preserve">2020-11</t>
        </is>
      </c>
      <c r="C5609" s="2" t="inlineStr">
        <is>
          <t xml:space="preserve">2020/21</t>
        </is>
      </c>
      <c r="D5609">
        <v>45.875</v>
      </c>
      <c r="E5609">
        <v>21.29</v>
      </c>
      <c r="F5609">
        <v>24.2</v>
      </c>
      <c r="G5609">
        <v>18.79</v>
      </c>
      <c r="H5609">
        <v>36.77</v>
      </c>
      <c r="I5609">
        <v>41.372</v>
      </c>
      <c r="J5609">
        <v>20.8</v>
      </c>
      <c r="K5609">
        <v>22.79</v>
      </c>
      <c r="L5609">
        <v>19.38</v>
      </c>
      <c r="M5609">
        <v>60.16</v>
      </c>
      <c r="N5609">
        <v>110.481</v>
      </c>
      <c r="O5609">
        <v>21.74</v>
      </c>
      <c r="P5609">
        <v>23.34</v>
      </c>
      <c r="Q5609">
        <v>20.54</v>
      </c>
      <c r="R5609">
        <v>60.26</v>
      </c>
    </row>
    <row r="5610">
      <c r="A5610" s="9">
        <v>44141</v>
      </c>
      <c r="B5610" s="2" t="inlineStr">
        <is>
          <t xml:space="preserve">2020-11</t>
        </is>
      </c>
      <c r="C5610" s="2" t="inlineStr">
        <is>
          <t xml:space="preserve">2020/21</t>
        </is>
      </c>
      <c r="D5610">
        <v>4.43</v>
      </c>
      <c r="E5610">
        <v>20.65</v>
      </c>
      <c r="F5610">
        <v>24.8</v>
      </c>
      <c r="G5610">
        <v>17.61</v>
      </c>
      <c r="H5610">
        <v>11.46</v>
      </c>
      <c r="I5610">
        <v>11.643</v>
      </c>
      <c r="J5610">
        <v>21.23</v>
      </c>
      <c r="K5610">
        <v>24.86</v>
      </c>
      <c r="L5610">
        <v>18.21</v>
      </c>
      <c r="M5610">
        <v>6.54</v>
      </c>
      <c r="N5610">
        <v>6.744</v>
      </c>
      <c r="O5610">
        <v>21.66</v>
      </c>
      <c r="P5610">
        <v>25.5</v>
      </c>
      <c r="Q5610">
        <v>18.95</v>
      </c>
      <c r="R5610">
        <v>5.17</v>
      </c>
    </row>
    <row r="5611">
      <c r="A5611" s="9">
        <v>44142</v>
      </c>
      <c r="B5611" s="2" t="inlineStr">
        <is>
          <t xml:space="preserve">2020-11</t>
        </is>
      </c>
      <c r="C5611" s="2" t="inlineStr">
        <is>
          <t xml:space="preserve">2020/21</t>
        </is>
      </c>
      <c r="D5611">
        <v>26.935</v>
      </c>
      <c r="E5611">
        <v>21.49</v>
      </c>
      <c r="F5611">
        <v>24.97</v>
      </c>
      <c r="G5611">
        <v>18.62</v>
      </c>
      <c r="H5611">
        <v>15.0</v>
      </c>
      <c r="I5611">
        <v>10.24</v>
      </c>
      <c r="J5611">
        <v>21.58</v>
      </c>
      <c r="K5611">
        <v>24.83</v>
      </c>
      <c r="L5611">
        <v>19.27</v>
      </c>
      <c r="M5611">
        <v>8.64</v>
      </c>
      <c r="N5611">
        <v>7.622</v>
      </c>
      <c r="O5611">
        <v>21.18</v>
      </c>
      <c r="P5611">
        <v>24.26</v>
      </c>
      <c r="Q5611">
        <v>18.7</v>
      </c>
      <c r="R5611">
        <v>8.71</v>
      </c>
    </row>
    <row r="5612">
      <c r="A5612" s="9">
        <v>44143</v>
      </c>
      <c r="B5612" s="2" t="inlineStr">
        <is>
          <t xml:space="preserve">2020-11</t>
        </is>
      </c>
      <c r="C5612" s="2" t="inlineStr">
        <is>
          <t xml:space="preserve">2020/21</t>
        </is>
      </c>
      <c r="D5612">
        <v>6.835</v>
      </c>
      <c r="E5612">
        <v>20.97</v>
      </c>
      <c r="F5612">
        <v>24.9</v>
      </c>
      <c r="G5612">
        <v>18.33</v>
      </c>
      <c r="H5612">
        <v>5.96</v>
      </c>
      <c r="I5612">
        <v>2.213</v>
      </c>
      <c r="J5612">
        <v>21.58</v>
      </c>
      <c r="K5612">
        <v>25.56</v>
      </c>
      <c r="L5612">
        <v>19.1</v>
      </c>
      <c r="M5612">
        <v>2.42</v>
      </c>
      <c r="N5612">
        <v>6.972</v>
      </c>
      <c r="O5612">
        <v>21.41</v>
      </c>
      <c r="P5612">
        <v>25.16</v>
      </c>
      <c r="Q5612">
        <v>19.18</v>
      </c>
      <c r="R5612">
        <v>2.55</v>
      </c>
    </row>
    <row r="5613">
      <c r="A5613" s="9">
        <v>44144</v>
      </c>
      <c r="B5613" s="2" t="inlineStr">
        <is>
          <t xml:space="preserve">2020-11</t>
        </is>
      </c>
      <c r="C5613" s="2" t="inlineStr">
        <is>
          <t xml:space="preserve">2020/21</t>
        </is>
      </c>
      <c r="D5613">
        <v>0.572</v>
      </c>
      <c r="E5613">
        <v>20.98</v>
      </c>
      <c r="F5613">
        <v>25.43</v>
      </c>
      <c r="G5613">
        <v>16.93</v>
      </c>
      <c r="H5613">
        <v>3.29</v>
      </c>
      <c r="I5613">
        <v>5.225</v>
      </c>
      <c r="J5613">
        <v>21.34</v>
      </c>
      <c r="K5613">
        <v>25.54</v>
      </c>
      <c r="L5613">
        <v>18.31</v>
      </c>
      <c r="M5613">
        <v>8.18</v>
      </c>
      <c r="N5613">
        <v>0.253</v>
      </c>
      <c r="O5613">
        <v>21.48</v>
      </c>
      <c r="P5613">
        <v>25.37</v>
      </c>
      <c r="Q5613">
        <v>17.97</v>
      </c>
      <c r="R5613">
        <v>2.65</v>
      </c>
    </row>
    <row r="5614">
      <c r="A5614" s="9">
        <v>44145</v>
      </c>
      <c r="B5614" s="2" t="inlineStr">
        <is>
          <t xml:space="preserve">2020-11</t>
        </is>
      </c>
      <c r="C5614" s="2" t="inlineStr">
        <is>
          <t xml:space="preserve">2020/21</t>
        </is>
      </c>
      <c r="D5614">
        <v>7.043</v>
      </c>
      <c r="E5614">
        <v>21.74</v>
      </c>
      <c r="F5614">
        <v>26.1</v>
      </c>
      <c r="G5614">
        <v>18.41</v>
      </c>
      <c r="H5614">
        <v>3.12</v>
      </c>
      <c r="I5614">
        <v>6.702</v>
      </c>
      <c r="J5614">
        <v>21.73</v>
      </c>
      <c r="K5614">
        <v>26.16</v>
      </c>
      <c r="L5614">
        <v>18.79</v>
      </c>
      <c r="M5614">
        <v>4.62</v>
      </c>
      <c r="N5614">
        <v>7.341</v>
      </c>
      <c r="O5614">
        <v>22.22</v>
      </c>
      <c r="P5614">
        <v>26.73</v>
      </c>
      <c r="Q5614">
        <v>19.06</v>
      </c>
      <c r="R5614">
        <v>3.55</v>
      </c>
    </row>
    <row r="5615">
      <c r="A5615" s="9">
        <v>44146</v>
      </c>
      <c r="B5615" s="2" t="inlineStr">
        <is>
          <t xml:space="preserve">2020-11</t>
        </is>
      </c>
      <c r="C5615" s="2" t="inlineStr">
        <is>
          <t xml:space="preserve">2020/21</t>
        </is>
      </c>
      <c r="D5615">
        <v>1.023</v>
      </c>
      <c r="E5615">
        <v>21.3</v>
      </c>
      <c r="F5615">
        <v>25.94</v>
      </c>
      <c r="G5615">
        <v>17.43</v>
      </c>
      <c r="H5615">
        <v>4.2</v>
      </c>
      <c r="I5615">
        <v>1.321</v>
      </c>
      <c r="J5615">
        <v>21.95</v>
      </c>
      <c r="K5615">
        <v>26.42</v>
      </c>
      <c r="L5615">
        <v>18.38</v>
      </c>
      <c r="M5615">
        <v>3.04</v>
      </c>
      <c r="N5615">
        <v>0.354</v>
      </c>
      <c r="O5615">
        <v>21.94</v>
      </c>
      <c r="P5615">
        <v>26.96</v>
      </c>
      <c r="Q5615">
        <v>17.52</v>
      </c>
      <c r="R5615">
        <v>4.38</v>
      </c>
    </row>
    <row r="5616">
      <c r="A5616" s="9">
        <v>44147</v>
      </c>
      <c r="B5616" s="2" t="inlineStr">
        <is>
          <t xml:space="preserve">2020-11</t>
        </is>
      </c>
      <c r="C5616" s="2" t="inlineStr">
        <is>
          <t xml:space="preserve">2020/21</t>
        </is>
      </c>
      <c r="D5616">
        <v>0.0</v>
      </c>
      <c r="E5616">
        <v>21.03</v>
      </c>
      <c r="F5616">
        <v>25.71</v>
      </c>
      <c r="G5616">
        <v>17.72</v>
      </c>
      <c r="H5616">
        <v>0.11</v>
      </c>
      <c r="I5616">
        <v>0.0</v>
      </c>
      <c r="J5616">
        <v>21.45</v>
      </c>
      <c r="K5616">
        <v>26.13</v>
      </c>
      <c r="L5616">
        <v>18.31</v>
      </c>
      <c r="M5616">
        <v>0.0</v>
      </c>
      <c r="N5616">
        <v>0.0</v>
      </c>
      <c r="O5616">
        <v>21.62</v>
      </c>
      <c r="P5616">
        <v>26.07</v>
      </c>
      <c r="Q5616">
        <v>18.94</v>
      </c>
      <c r="R5616">
        <v>0.0</v>
      </c>
    </row>
    <row r="5617">
      <c r="A5617" s="9">
        <v>44148</v>
      </c>
      <c r="B5617" s="2" t="inlineStr">
        <is>
          <t xml:space="preserve">2020-11</t>
        </is>
      </c>
      <c r="C5617" s="2" t="inlineStr">
        <is>
          <t xml:space="preserve">2020/21</t>
        </is>
      </c>
      <c r="D5617">
        <v>0.046</v>
      </c>
      <c r="E5617">
        <v>20.43</v>
      </c>
      <c r="F5617">
        <v>25.16</v>
      </c>
      <c r="G5617">
        <v>16.82</v>
      </c>
      <c r="H5617">
        <v>0.07</v>
      </c>
      <c r="I5617">
        <v>0.0</v>
      </c>
      <c r="J5617">
        <v>20.48</v>
      </c>
      <c r="K5617">
        <v>25.31</v>
      </c>
      <c r="L5617">
        <v>17.6</v>
      </c>
      <c r="M5617">
        <v>0.01</v>
      </c>
      <c r="N5617">
        <v>0.0</v>
      </c>
      <c r="O5617">
        <v>21.09</v>
      </c>
      <c r="P5617">
        <v>25.4</v>
      </c>
      <c r="Q5617">
        <v>17.88</v>
      </c>
      <c r="R5617">
        <v>0.03</v>
      </c>
    </row>
    <row r="5618">
      <c r="A5618" s="9">
        <v>44149</v>
      </c>
      <c r="B5618" s="2" t="inlineStr">
        <is>
          <t xml:space="preserve">2020-11</t>
        </is>
      </c>
      <c r="C5618" s="2" t="inlineStr">
        <is>
          <t xml:space="preserve">2020/21</t>
        </is>
      </c>
      <c r="D5618">
        <v>0.564</v>
      </c>
      <c r="E5618">
        <v>21.43</v>
      </c>
      <c r="F5618">
        <v>26.45</v>
      </c>
      <c r="G5618">
        <v>17.98</v>
      </c>
      <c r="H5618">
        <v>0.24</v>
      </c>
      <c r="I5618">
        <v>0.0</v>
      </c>
      <c r="J5618">
        <v>21.55</v>
      </c>
      <c r="K5618">
        <v>26.69</v>
      </c>
      <c r="L5618">
        <v>17.52</v>
      </c>
      <c r="M5618">
        <v>0.0</v>
      </c>
      <c r="N5618">
        <v>0.0</v>
      </c>
      <c r="O5618">
        <v>21.86</v>
      </c>
      <c r="P5618">
        <v>26.63</v>
      </c>
      <c r="Q5618">
        <v>18.55</v>
      </c>
      <c r="R5618">
        <v>0.04</v>
      </c>
    </row>
    <row r="5619">
      <c r="A5619" s="9">
        <v>44150</v>
      </c>
      <c r="B5619" s="2" t="inlineStr">
        <is>
          <t xml:space="preserve">2020-11</t>
        </is>
      </c>
      <c r="C5619" s="2" t="inlineStr">
        <is>
          <t xml:space="preserve">2020/21</t>
        </is>
      </c>
      <c r="D5619">
        <v>0.0</v>
      </c>
      <c r="E5619">
        <v>20.48</v>
      </c>
      <c r="F5619">
        <v>23.84</v>
      </c>
      <c r="G5619">
        <v>18.08</v>
      </c>
      <c r="H5619">
        <v>0.83</v>
      </c>
      <c r="I5619">
        <v>0.0</v>
      </c>
      <c r="J5619">
        <v>21.54</v>
      </c>
      <c r="K5619">
        <v>25.8</v>
      </c>
      <c r="L5619">
        <v>18.81</v>
      </c>
      <c r="M5619">
        <v>1.1</v>
      </c>
      <c r="N5619">
        <v>0.0</v>
      </c>
      <c r="O5619">
        <v>21.58</v>
      </c>
      <c r="P5619">
        <v>25.73</v>
      </c>
      <c r="Q5619">
        <v>19.3</v>
      </c>
      <c r="R5619">
        <v>1.47</v>
      </c>
    </row>
    <row r="5620">
      <c r="A5620" s="9">
        <v>44151</v>
      </c>
      <c r="B5620" s="2" t="inlineStr">
        <is>
          <t xml:space="preserve">2020-11</t>
        </is>
      </c>
      <c r="C5620" s="2" t="inlineStr">
        <is>
          <t xml:space="preserve">2020/21</t>
        </is>
      </c>
      <c r="D5620">
        <v>0.573</v>
      </c>
      <c r="E5620">
        <v>20.22</v>
      </c>
      <c r="F5620">
        <v>23.9</v>
      </c>
      <c r="G5620">
        <v>17.37</v>
      </c>
      <c r="H5620">
        <v>9.54</v>
      </c>
      <c r="I5620">
        <v>1.523</v>
      </c>
      <c r="J5620">
        <v>20.49</v>
      </c>
      <c r="K5620">
        <v>24.61</v>
      </c>
      <c r="L5620">
        <v>17.94</v>
      </c>
      <c r="M5620">
        <v>4.02</v>
      </c>
      <c r="N5620">
        <v>5.967</v>
      </c>
      <c r="O5620">
        <v>20.87</v>
      </c>
      <c r="P5620">
        <v>24.4</v>
      </c>
      <c r="Q5620">
        <v>18.43</v>
      </c>
      <c r="R5620">
        <v>11.93</v>
      </c>
    </row>
    <row r="5621">
      <c r="A5621" s="9">
        <v>44152</v>
      </c>
      <c r="B5621" s="2" t="inlineStr">
        <is>
          <t xml:space="preserve">2020-11</t>
        </is>
      </c>
      <c r="C5621" s="2" t="inlineStr">
        <is>
          <t xml:space="preserve">2020/21</t>
        </is>
      </c>
      <c r="D5621">
        <v>18.495</v>
      </c>
      <c r="E5621">
        <v>20.25</v>
      </c>
      <c r="F5621">
        <v>21.75</v>
      </c>
      <c r="G5621">
        <v>18.99</v>
      </c>
      <c r="H5621">
        <v>48.61</v>
      </c>
      <c r="I5621">
        <v>14.186</v>
      </c>
      <c r="J5621">
        <v>20.49</v>
      </c>
      <c r="K5621">
        <v>22.43</v>
      </c>
      <c r="L5621">
        <v>18.89</v>
      </c>
      <c r="M5621">
        <v>38.59</v>
      </c>
      <c r="N5621">
        <v>48.889</v>
      </c>
      <c r="O5621">
        <v>20.95</v>
      </c>
      <c r="P5621">
        <v>21.73</v>
      </c>
      <c r="Q5621">
        <v>19.89</v>
      </c>
      <c r="R5621">
        <v>74.59</v>
      </c>
    </row>
    <row r="5622">
      <c r="A5622" s="9">
        <v>44153</v>
      </c>
      <c r="B5622" s="2" t="inlineStr">
        <is>
          <t xml:space="preserve">2020-11</t>
        </is>
      </c>
      <c r="C5622" s="2" t="inlineStr">
        <is>
          <t xml:space="preserve">2020/21</t>
        </is>
      </c>
      <c r="D5622">
        <v>32.073</v>
      </c>
      <c r="E5622">
        <v>19.8</v>
      </c>
      <c r="F5622">
        <v>22.24</v>
      </c>
      <c r="G5622">
        <v>18.1</v>
      </c>
      <c r="H5622">
        <v>24.48</v>
      </c>
      <c r="I5622">
        <v>52.779</v>
      </c>
      <c r="J5622">
        <v>19.83</v>
      </c>
      <c r="K5622">
        <v>20.92</v>
      </c>
      <c r="L5622">
        <v>18.35</v>
      </c>
      <c r="M5622">
        <v>54.4</v>
      </c>
      <c r="N5622">
        <v>91.027</v>
      </c>
      <c r="O5622">
        <v>20.07</v>
      </c>
      <c r="P5622">
        <v>21.13</v>
      </c>
      <c r="Q5622">
        <v>18.92</v>
      </c>
      <c r="R5622">
        <v>46.83</v>
      </c>
    </row>
    <row r="5623">
      <c r="A5623" s="9">
        <v>44154</v>
      </c>
      <c r="B5623" s="2" t="inlineStr">
        <is>
          <t xml:space="preserve">2020-11</t>
        </is>
      </c>
      <c r="C5623" s="2" t="inlineStr">
        <is>
          <t xml:space="preserve">2020/21</t>
        </is>
      </c>
      <c r="D5623">
        <v>2.005</v>
      </c>
      <c r="E5623">
        <v>19.45</v>
      </c>
      <c r="F5623">
        <v>23.62</v>
      </c>
      <c r="G5623">
        <v>16.94</v>
      </c>
      <c r="H5623">
        <v>1.08</v>
      </c>
      <c r="I5623">
        <v>4.29</v>
      </c>
      <c r="J5623">
        <v>19.92</v>
      </c>
      <c r="K5623">
        <v>24.01</v>
      </c>
      <c r="L5623">
        <v>17.79</v>
      </c>
      <c r="M5623">
        <v>1.47</v>
      </c>
      <c r="N5623">
        <v>15.156</v>
      </c>
      <c r="O5623">
        <v>20.29</v>
      </c>
      <c r="P5623">
        <v>23.92</v>
      </c>
      <c r="Q5623">
        <v>18.16</v>
      </c>
      <c r="R5623">
        <v>2.05</v>
      </c>
    </row>
    <row r="5624">
      <c r="A5624" s="9">
        <v>44155</v>
      </c>
      <c r="B5624" s="2" t="inlineStr">
        <is>
          <t xml:space="preserve">2020-11</t>
        </is>
      </c>
      <c r="C5624" s="2" t="inlineStr">
        <is>
          <t xml:space="preserve">2020/21</t>
        </is>
      </c>
      <c r="D5624">
        <v>0.517</v>
      </c>
      <c r="E5624">
        <v>20.33</v>
      </c>
      <c r="F5624">
        <v>24.25</v>
      </c>
      <c r="G5624">
        <v>16.96</v>
      </c>
      <c r="H5624">
        <v>4.89</v>
      </c>
      <c r="I5624">
        <v>0.892</v>
      </c>
      <c r="J5624">
        <v>20.62</v>
      </c>
      <c r="K5624">
        <v>25.09</v>
      </c>
      <c r="L5624">
        <v>17.11</v>
      </c>
      <c r="M5624">
        <v>2.55</v>
      </c>
      <c r="N5624">
        <v>3.528</v>
      </c>
      <c r="O5624">
        <v>20.98</v>
      </c>
      <c r="P5624">
        <v>24.28</v>
      </c>
      <c r="Q5624">
        <v>17.94</v>
      </c>
      <c r="R5624">
        <v>10.71</v>
      </c>
    </row>
    <row r="5625">
      <c r="A5625" s="9">
        <v>44156</v>
      </c>
      <c r="B5625" s="2" t="inlineStr">
        <is>
          <t xml:space="preserve">2020-11</t>
        </is>
      </c>
      <c r="C5625" s="2" t="inlineStr">
        <is>
          <t xml:space="preserve">2020/21</t>
        </is>
      </c>
      <c r="D5625">
        <v>4.294</v>
      </c>
      <c r="E5625">
        <v>20.43</v>
      </c>
      <c r="F5625">
        <v>23.54</v>
      </c>
      <c r="G5625">
        <v>18.74</v>
      </c>
      <c r="H5625">
        <v>10.74</v>
      </c>
      <c r="I5625">
        <v>1.481</v>
      </c>
      <c r="J5625">
        <v>20.42</v>
      </c>
      <c r="K5625">
        <v>22.83</v>
      </c>
      <c r="L5625">
        <v>17.79</v>
      </c>
      <c r="M5625">
        <v>3.73</v>
      </c>
      <c r="N5625">
        <v>4.352</v>
      </c>
      <c r="O5625">
        <v>21.08</v>
      </c>
      <c r="P5625">
        <v>22.62</v>
      </c>
      <c r="Q5625">
        <v>18.92</v>
      </c>
      <c r="R5625">
        <v>15.91</v>
      </c>
    </row>
    <row r="5626">
      <c r="A5626" s="9">
        <v>44157</v>
      </c>
      <c r="B5626" s="2" t="inlineStr">
        <is>
          <t xml:space="preserve">2020-11</t>
        </is>
      </c>
      <c r="C5626" s="2" t="inlineStr">
        <is>
          <t xml:space="preserve">2020/21</t>
        </is>
      </c>
      <c r="D5626">
        <v>2.239</v>
      </c>
      <c r="E5626">
        <v>20.32</v>
      </c>
      <c r="F5626">
        <v>24.37</v>
      </c>
      <c r="G5626">
        <v>17.51</v>
      </c>
      <c r="H5626">
        <v>10.25</v>
      </c>
      <c r="I5626">
        <v>2.179</v>
      </c>
      <c r="J5626">
        <v>20.05</v>
      </c>
      <c r="K5626">
        <v>23.86</v>
      </c>
      <c r="L5626">
        <v>17.44</v>
      </c>
      <c r="M5626">
        <v>6.56</v>
      </c>
      <c r="N5626">
        <v>7.145</v>
      </c>
      <c r="O5626">
        <v>20.33</v>
      </c>
      <c r="P5626">
        <v>23.69</v>
      </c>
      <c r="Q5626">
        <v>17.79</v>
      </c>
      <c r="R5626">
        <v>16.48</v>
      </c>
    </row>
    <row r="5627">
      <c r="A5627" s="9">
        <v>44158</v>
      </c>
      <c r="B5627" s="2" t="inlineStr">
        <is>
          <t xml:space="preserve">2020-11</t>
        </is>
      </c>
      <c r="C5627" s="2" t="inlineStr">
        <is>
          <t xml:space="preserve">2020/21</t>
        </is>
      </c>
      <c r="D5627">
        <v>2.837</v>
      </c>
      <c r="E5627">
        <v>20.26</v>
      </c>
      <c r="F5627">
        <v>24.28</v>
      </c>
      <c r="G5627">
        <v>17.34</v>
      </c>
      <c r="H5627">
        <v>9.32</v>
      </c>
      <c r="I5627">
        <v>5.032</v>
      </c>
      <c r="J5627">
        <v>20.6</v>
      </c>
      <c r="K5627">
        <v>23.82</v>
      </c>
      <c r="L5627">
        <v>18.5</v>
      </c>
      <c r="M5627">
        <v>8.97</v>
      </c>
      <c r="N5627">
        <v>17.738</v>
      </c>
      <c r="O5627">
        <v>21.08</v>
      </c>
      <c r="P5627">
        <v>24.12</v>
      </c>
      <c r="Q5627">
        <v>19.05</v>
      </c>
      <c r="R5627">
        <v>20.4</v>
      </c>
    </row>
    <row r="5628">
      <c r="A5628" s="9">
        <v>44159</v>
      </c>
      <c r="B5628" s="2" t="inlineStr">
        <is>
          <t xml:space="preserve">2020-11</t>
        </is>
      </c>
      <c r="C5628" s="2" t="inlineStr">
        <is>
          <t xml:space="preserve">2020/21</t>
        </is>
      </c>
      <c r="D5628">
        <v>2.626</v>
      </c>
      <c r="E5628">
        <v>20.55</v>
      </c>
      <c r="F5628">
        <v>24.3</v>
      </c>
      <c r="G5628">
        <v>18.04</v>
      </c>
      <c r="H5628">
        <v>7.98</v>
      </c>
      <c r="I5628">
        <v>2.705</v>
      </c>
      <c r="J5628">
        <v>20.83</v>
      </c>
      <c r="K5628">
        <v>24.71</v>
      </c>
      <c r="L5628">
        <v>18.49</v>
      </c>
      <c r="M5628">
        <v>4.34</v>
      </c>
      <c r="N5628">
        <v>11.083</v>
      </c>
      <c r="O5628">
        <v>20.97</v>
      </c>
      <c r="P5628">
        <v>24.22</v>
      </c>
      <c r="Q5628">
        <v>18.95</v>
      </c>
      <c r="R5628">
        <v>19.24</v>
      </c>
    </row>
    <row r="5629">
      <c r="A5629" s="9">
        <v>44160</v>
      </c>
      <c r="B5629" s="2" t="inlineStr">
        <is>
          <t xml:space="preserve">2020-11</t>
        </is>
      </c>
      <c r="C5629" s="2" t="inlineStr">
        <is>
          <t xml:space="preserve">2020/21</t>
        </is>
      </c>
      <c r="D5629">
        <v>1.319</v>
      </c>
      <c r="E5629">
        <v>20.32</v>
      </c>
      <c r="F5629">
        <v>24.31</v>
      </c>
      <c r="G5629">
        <v>17.55</v>
      </c>
      <c r="H5629">
        <v>4.14</v>
      </c>
      <c r="I5629">
        <v>0.032</v>
      </c>
      <c r="J5629">
        <v>21.18</v>
      </c>
      <c r="K5629">
        <v>26.12</v>
      </c>
      <c r="L5629">
        <v>17.3</v>
      </c>
      <c r="M5629">
        <v>1.01</v>
      </c>
      <c r="N5629">
        <v>0.27</v>
      </c>
      <c r="O5629">
        <v>21.3</v>
      </c>
      <c r="P5629">
        <v>25.78</v>
      </c>
      <c r="Q5629">
        <v>17.96</v>
      </c>
      <c r="R5629">
        <v>1.65</v>
      </c>
    </row>
    <row r="5630">
      <c r="A5630" s="9">
        <v>44161</v>
      </c>
      <c r="B5630" s="2" t="inlineStr">
        <is>
          <t xml:space="preserve">2020-11</t>
        </is>
      </c>
      <c r="C5630" s="2" t="inlineStr">
        <is>
          <t xml:space="preserve">2020/21</t>
        </is>
      </c>
      <c r="D5630">
        <v>3.558</v>
      </c>
      <c r="E5630">
        <v>20.49</v>
      </c>
      <c r="F5630">
        <v>24.65</v>
      </c>
      <c r="G5630">
        <v>17.09</v>
      </c>
      <c r="H5630">
        <v>2.14</v>
      </c>
      <c r="I5630">
        <v>1.57</v>
      </c>
      <c r="J5630">
        <v>21.26</v>
      </c>
      <c r="K5630">
        <v>25.21</v>
      </c>
      <c r="L5630">
        <v>18.6</v>
      </c>
      <c r="M5630">
        <v>2.78</v>
      </c>
      <c r="N5630">
        <v>4.72</v>
      </c>
      <c r="O5630">
        <v>21.66</v>
      </c>
      <c r="P5630">
        <v>25.18</v>
      </c>
      <c r="Q5630">
        <v>19.63</v>
      </c>
      <c r="R5630">
        <v>3.51</v>
      </c>
    </row>
    <row r="5631">
      <c r="A5631" s="9">
        <v>44162</v>
      </c>
      <c r="B5631" s="2" t="inlineStr">
        <is>
          <t xml:space="preserve">2020-11</t>
        </is>
      </c>
      <c r="C5631" s="2" t="inlineStr">
        <is>
          <t xml:space="preserve">2020/21</t>
        </is>
      </c>
      <c r="D5631">
        <v>0.072</v>
      </c>
      <c r="E5631">
        <v>20.46</v>
      </c>
      <c r="F5631">
        <v>24.67</v>
      </c>
      <c r="G5631">
        <v>17.64</v>
      </c>
      <c r="H5631">
        <v>0.26</v>
      </c>
      <c r="I5631">
        <v>0.745</v>
      </c>
      <c r="J5631">
        <v>21.1</v>
      </c>
      <c r="K5631">
        <v>25.36</v>
      </c>
      <c r="L5631">
        <v>18.21</v>
      </c>
      <c r="M5631">
        <v>0.81</v>
      </c>
      <c r="N5631">
        <v>2.994</v>
      </c>
      <c r="O5631">
        <v>21.29</v>
      </c>
      <c r="P5631">
        <v>25.28</v>
      </c>
      <c r="Q5631">
        <v>18.75</v>
      </c>
      <c r="R5631">
        <v>0.82</v>
      </c>
    </row>
    <row r="5632">
      <c r="A5632" s="9">
        <v>44163</v>
      </c>
      <c r="B5632" s="2" t="inlineStr">
        <is>
          <t xml:space="preserve">2020-11</t>
        </is>
      </c>
      <c r="C5632" s="2" t="inlineStr">
        <is>
          <t xml:space="preserve">2020/21</t>
        </is>
      </c>
      <c r="D5632">
        <v>0.0</v>
      </c>
      <c r="E5632">
        <v>19.95</v>
      </c>
      <c r="F5632">
        <v>24.83</v>
      </c>
      <c r="G5632">
        <v>16.89</v>
      </c>
      <c r="H5632">
        <v>0.07</v>
      </c>
      <c r="I5632">
        <v>0.0</v>
      </c>
      <c r="J5632">
        <v>21.32</v>
      </c>
      <c r="K5632">
        <v>26.06</v>
      </c>
      <c r="L5632">
        <v>18.06</v>
      </c>
      <c r="M5632">
        <v>0.46</v>
      </c>
      <c r="N5632">
        <v>0.0</v>
      </c>
      <c r="O5632">
        <v>21.3</v>
      </c>
      <c r="P5632">
        <v>25.77</v>
      </c>
      <c r="Q5632">
        <v>18.42</v>
      </c>
      <c r="R5632">
        <v>0.02</v>
      </c>
    </row>
    <row r="5633">
      <c r="A5633" s="9">
        <v>44164</v>
      </c>
      <c r="B5633" s="2" t="inlineStr">
        <is>
          <t xml:space="preserve">2020-11</t>
        </is>
      </c>
      <c r="C5633" s="2" t="inlineStr">
        <is>
          <t xml:space="preserve">2020/21</t>
        </is>
      </c>
      <c r="D5633">
        <v>1.081</v>
      </c>
      <c r="E5633">
        <v>20.32</v>
      </c>
      <c r="F5633">
        <v>25.41</v>
      </c>
      <c r="G5633">
        <v>16.41</v>
      </c>
      <c r="H5633">
        <v>0.56</v>
      </c>
      <c r="I5633">
        <v>0.566</v>
      </c>
      <c r="J5633">
        <v>21.53</v>
      </c>
      <c r="K5633">
        <v>27.02</v>
      </c>
      <c r="L5633">
        <v>16.9</v>
      </c>
      <c r="M5633">
        <v>0.54</v>
      </c>
      <c r="N5633">
        <v>0.022</v>
      </c>
      <c r="O5633">
        <v>22.12</v>
      </c>
      <c r="P5633">
        <v>27.17</v>
      </c>
      <c r="Q5633">
        <v>18.63</v>
      </c>
      <c r="R5633">
        <v>0.26</v>
      </c>
    </row>
    <row r="5634">
      <c r="A5634" s="9">
        <v>44165</v>
      </c>
      <c r="B5634" s="2" t="inlineStr">
        <is>
          <t xml:space="preserve">2020-11</t>
        </is>
      </c>
      <c r="C5634" s="2" t="inlineStr">
        <is>
          <t xml:space="preserve">2020/21</t>
        </is>
      </c>
      <c r="D5634">
        <v>0.291</v>
      </c>
      <c r="E5634">
        <v>19.57</v>
      </c>
      <c r="F5634">
        <v>24.22</v>
      </c>
      <c r="G5634">
        <v>16.5</v>
      </c>
      <c r="H5634">
        <v>0.48</v>
      </c>
      <c r="I5634">
        <v>2.227</v>
      </c>
      <c r="J5634">
        <v>20.91</v>
      </c>
      <c r="K5634">
        <v>24.96</v>
      </c>
      <c r="L5634">
        <v>17.62</v>
      </c>
      <c r="M5634">
        <v>1.32</v>
      </c>
      <c r="N5634">
        <v>0.127</v>
      </c>
      <c r="O5634">
        <v>21.13</v>
      </c>
      <c r="P5634">
        <v>24.86</v>
      </c>
      <c r="Q5634">
        <v>18.17</v>
      </c>
      <c r="R5634">
        <v>1.11</v>
      </c>
    </row>
    <row r="5635">
      <c r="A5635" s="9">
        <v>44166</v>
      </c>
      <c r="B5635" s="2" t="inlineStr">
        <is>
          <t xml:space="preserve">2020-12</t>
        </is>
      </c>
      <c r="C5635" s="2" t="inlineStr">
        <is>
          <t xml:space="preserve">2020/21</t>
        </is>
      </c>
      <c r="D5635">
        <v>0.099</v>
      </c>
      <c r="E5635">
        <v>18.47</v>
      </c>
      <c r="F5635">
        <v>22.67</v>
      </c>
      <c r="G5635">
        <v>16.19</v>
      </c>
      <c r="H5635">
        <v>7.42</v>
      </c>
      <c r="I5635">
        <v>1.203</v>
      </c>
      <c r="J5635">
        <v>18.25</v>
      </c>
      <c r="K5635">
        <v>21.03</v>
      </c>
      <c r="L5635">
        <v>15.89</v>
      </c>
      <c r="M5635">
        <v>2.41</v>
      </c>
      <c r="N5635">
        <v>4.907</v>
      </c>
      <c r="O5635">
        <v>18.42</v>
      </c>
      <c r="P5635">
        <v>20.6</v>
      </c>
      <c r="Q5635">
        <v>17.03</v>
      </c>
      <c r="R5635">
        <v>9.94</v>
      </c>
    </row>
    <row r="5636">
      <c r="A5636" s="9">
        <v>44167</v>
      </c>
      <c r="B5636" s="2" t="inlineStr">
        <is>
          <t xml:space="preserve">2020-12</t>
        </is>
      </c>
      <c r="C5636" s="2" t="inlineStr">
        <is>
          <t xml:space="preserve">2020/21</t>
        </is>
      </c>
      <c r="D5636">
        <v>0.052</v>
      </c>
      <c r="E5636">
        <v>19.32</v>
      </c>
      <c r="F5636">
        <v>23.87</v>
      </c>
      <c r="G5636">
        <v>16.49</v>
      </c>
      <c r="H5636">
        <v>2.2</v>
      </c>
      <c r="I5636">
        <v>0.0</v>
      </c>
      <c r="J5636">
        <v>18.98</v>
      </c>
      <c r="K5636">
        <v>23.75</v>
      </c>
      <c r="L5636">
        <v>15.3</v>
      </c>
      <c r="M5636">
        <v>0.03</v>
      </c>
      <c r="N5636">
        <v>0.0</v>
      </c>
      <c r="O5636">
        <v>19.05</v>
      </c>
      <c r="P5636">
        <v>22.82</v>
      </c>
      <c r="Q5636">
        <v>16.49</v>
      </c>
      <c r="R5636">
        <v>1.82</v>
      </c>
    </row>
    <row r="5637">
      <c r="A5637" s="9">
        <v>44168</v>
      </c>
      <c r="B5637" s="2" t="inlineStr">
        <is>
          <t xml:space="preserve">2020-12</t>
        </is>
      </c>
      <c r="C5637" s="2" t="inlineStr">
        <is>
          <t xml:space="preserve">2020/21</t>
        </is>
      </c>
      <c r="D5637">
        <v>0.0</v>
      </c>
      <c r="E5637">
        <v>19.69</v>
      </c>
      <c r="F5637">
        <v>24.72</v>
      </c>
      <c r="G5637">
        <v>16.01</v>
      </c>
      <c r="H5637">
        <v>1.72</v>
      </c>
      <c r="I5637">
        <v>0.0</v>
      </c>
      <c r="J5637">
        <v>20.6</v>
      </c>
      <c r="K5637">
        <v>25.88</v>
      </c>
      <c r="L5637">
        <v>16.63</v>
      </c>
      <c r="M5637">
        <v>0.09</v>
      </c>
      <c r="N5637">
        <v>0.0</v>
      </c>
      <c r="O5637">
        <v>20.71</v>
      </c>
      <c r="P5637">
        <v>25.36</v>
      </c>
      <c r="Q5637">
        <v>17.44</v>
      </c>
      <c r="R5637">
        <v>1.31</v>
      </c>
    </row>
    <row r="5638">
      <c r="A5638" s="9">
        <v>44169</v>
      </c>
      <c r="B5638" s="2" t="inlineStr">
        <is>
          <t xml:space="preserve">2020-12</t>
        </is>
      </c>
      <c r="C5638" s="2" t="inlineStr">
        <is>
          <t xml:space="preserve">2020/21</t>
        </is>
      </c>
      <c r="D5638">
        <v>0.219</v>
      </c>
      <c r="E5638">
        <v>19.26</v>
      </c>
      <c r="F5638">
        <v>23.05</v>
      </c>
      <c r="G5638">
        <v>16.88</v>
      </c>
      <c r="H5638">
        <v>1.92</v>
      </c>
      <c r="I5638">
        <v>0.136</v>
      </c>
      <c r="J5638">
        <v>20.43</v>
      </c>
      <c r="K5638">
        <v>24.76</v>
      </c>
      <c r="L5638">
        <v>17.31</v>
      </c>
      <c r="M5638">
        <v>0.96</v>
      </c>
      <c r="N5638">
        <v>0.957</v>
      </c>
      <c r="O5638">
        <v>20.79</v>
      </c>
      <c r="P5638">
        <v>24.66</v>
      </c>
      <c r="Q5638">
        <v>18.58</v>
      </c>
      <c r="R5638">
        <v>2.67</v>
      </c>
    </row>
    <row r="5639">
      <c r="A5639" s="9">
        <v>44170</v>
      </c>
      <c r="B5639" s="2" t="inlineStr">
        <is>
          <t xml:space="preserve">2020-12</t>
        </is>
      </c>
      <c r="C5639" s="2" t="inlineStr">
        <is>
          <t xml:space="preserve">2020/21</t>
        </is>
      </c>
      <c r="D5639">
        <v>0.028</v>
      </c>
      <c r="E5639">
        <v>19.66</v>
      </c>
      <c r="F5639">
        <v>24.04</v>
      </c>
      <c r="G5639">
        <v>16.53</v>
      </c>
      <c r="H5639">
        <v>0.4</v>
      </c>
      <c r="I5639">
        <v>0.878</v>
      </c>
      <c r="J5639">
        <v>20.12</v>
      </c>
      <c r="K5639">
        <v>24.02</v>
      </c>
      <c r="L5639">
        <v>17.75</v>
      </c>
      <c r="M5639">
        <v>0.51</v>
      </c>
      <c r="N5639">
        <v>1.154</v>
      </c>
      <c r="O5639">
        <v>20.26</v>
      </c>
      <c r="P5639">
        <v>23.67</v>
      </c>
      <c r="Q5639">
        <v>18.2</v>
      </c>
      <c r="R5639">
        <v>1.21</v>
      </c>
    </row>
    <row r="5640">
      <c r="A5640" s="9">
        <v>44171</v>
      </c>
      <c r="B5640" s="2" t="inlineStr">
        <is>
          <t xml:space="preserve">2020-12</t>
        </is>
      </c>
      <c r="C5640" s="2" t="inlineStr">
        <is>
          <t xml:space="preserve">2020/21</t>
        </is>
      </c>
      <c r="D5640">
        <v>0.0</v>
      </c>
      <c r="E5640">
        <v>19.79</v>
      </c>
      <c r="F5640">
        <v>23.94</v>
      </c>
      <c r="G5640">
        <v>17.24</v>
      </c>
      <c r="H5640">
        <v>9.53</v>
      </c>
      <c r="I5640">
        <v>0.0</v>
      </c>
      <c r="J5640">
        <v>20.92</v>
      </c>
      <c r="K5640">
        <v>25.97</v>
      </c>
      <c r="L5640">
        <v>17.32</v>
      </c>
      <c r="M5640">
        <v>0.55</v>
      </c>
      <c r="N5640">
        <v>0.0</v>
      </c>
      <c r="O5640">
        <v>21.23</v>
      </c>
      <c r="P5640">
        <v>26.02</v>
      </c>
      <c r="Q5640">
        <v>17.74</v>
      </c>
      <c r="R5640">
        <v>12.17</v>
      </c>
    </row>
    <row r="5641">
      <c r="A5641" s="9">
        <v>44172</v>
      </c>
      <c r="B5641" s="2" t="inlineStr">
        <is>
          <t xml:space="preserve">2020-12</t>
        </is>
      </c>
      <c r="C5641" s="2" t="inlineStr">
        <is>
          <t xml:space="preserve">2020/21</t>
        </is>
      </c>
      <c r="D5641">
        <v>0.0</v>
      </c>
      <c r="E5641">
        <v>19.01</v>
      </c>
      <c r="F5641">
        <v>22.96</v>
      </c>
      <c r="G5641">
        <v>16.84</v>
      </c>
      <c r="H5641">
        <v>106.96</v>
      </c>
      <c r="I5641">
        <v>0.0</v>
      </c>
      <c r="J5641">
        <v>20.2</v>
      </c>
      <c r="K5641">
        <v>24.21</v>
      </c>
      <c r="L5641">
        <v>17.13</v>
      </c>
      <c r="M5641">
        <v>3.8</v>
      </c>
      <c r="N5641">
        <v>0.092</v>
      </c>
      <c r="O5641">
        <v>20.48</v>
      </c>
      <c r="P5641">
        <v>23.76</v>
      </c>
      <c r="Q5641">
        <v>18.57</v>
      </c>
      <c r="R5641">
        <v>56.83</v>
      </c>
    </row>
    <row r="5642">
      <c r="A5642" s="9">
        <v>44173</v>
      </c>
      <c r="B5642" s="2" t="inlineStr">
        <is>
          <t xml:space="preserve">2020-12</t>
        </is>
      </c>
      <c r="C5642" s="2" t="inlineStr">
        <is>
          <t xml:space="preserve">2020/21</t>
        </is>
      </c>
      <c r="D5642">
        <v>0.104</v>
      </c>
      <c r="E5642">
        <v>16.41</v>
      </c>
      <c r="F5642">
        <v>19.47</v>
      </c>
      <c r="G5642">
        <v>13.09</v>
      </c>
      <c r="H5642">
        <v>6.56</v>
      </c>
      <c r="I5642">
        <v>1.41</v>
      </c>
      <c r="J5642">
        <v>16.57</v>
      </c>
      <c r="K5642">
        <v>20.27</v>
      </c>
      <c r="L5642">
        <v>14.3</v>
      </c>
      <c r="M5642">
        <v>1.96</v>
      </c>
      <c r="N5642">
        <v>5.75</v>
      </c>
      <c r="O5642">
        <v>16.55</v>
      </c>
      <c r="P5642">
        <v>19.03</v>
      </c>
      <c r="Q5642">
        <v>14.54</v>
      </c>
      <c r="R5642">
        <v>8.75</v>
      </c>
    </row>
    <row r="5643">
      <c r="A5643" s="9">
        <v>44174</v>
      </c>
      <c r="B5643" s="2" t="inlineStr">
        <is>
          <t xml:space="preserve">2020-12</t>
        </is>
      </c>
      <c r="C5643" s="2" t="inlineStr">
        <is>
          <t xml:space="preserve">2020/21</t>
        </is>
      </c>
      <c r="D5643">
        <v>0.0</v>
      </c>
      <c r="E5643">
        <v>15.4</v>
      </c>
      <c r="F5643">
        <v>19.89</v>
      </c>
      <c r="G5643">
        <v>12.8</v>
      </c>
      <c r="H5643">
        <v>0.44</v>
      </c>
      <c r="I5643">
        <v>0.0</v>
      </c>
      <c r="J5643">
        <v>16.11</v>
      </c>
      <c r="K5643">
        <v>19.86</v>
      </c>
      <c r="L5643">
        <v>13.81</v>
      </c>
      <c r="M5643">
        <v>0.06</v>
      </c>
      <c r="N5643">
        <v>0.0</v>
      </c>
      <c r="O5643">
        <v>16.09</v>
      </c>
      <c r="P5643">
        <v>19.68</v>
      </c>
      <c r="Q5643">
        <v>13.92</v>
      </c>
      <c r="R5643">
        <v>1.25</v>
      </c>
    </row>
    <row r="5644">
      <c r="A5644" s="9">
        <v>44175</v>
      </c>
      <c r="B5644" s="2" t="inlineStr">
        <is>
          <t xml:space="preserve">2020-12</t>
        </is>
      </c>
      <c r="C5644" s="2" t="inlineStr">
        <is>
          <t xml:space="preserve">2020/21</t>
        </is>
      </c>
      <c r="D5644">
        <v>0.0</v>
      </c>
      <c r="E5644">
        <v>16.83</v>
      </c>
      <c r="F5644">
        <v>22.14</v>
      </c>
      <c r="G5644">
        <v>12.84</v>
      </c>
      <c r="H5644">
        <v>0.04</v>
      </c>
      <c r="I5644">
        <v>0.0</v>
      </c>
      <c r="J5644">
        <v>16.7</v>
      </c>
      <c r="K5644">
        <v>22.02</v>
      </c>
      <c r="L5644">
        <v>12.74</v>
      </c>
      <c r="M5644">
        <v>0.0</v>
      </c>
      <c r="N5644">
        <v>0.0</v>
      </c>
      <c r="O5644">
        <v>16.61</v>
      </c>
      <c r="P5644">
        <v>20.91</v>
      </c>
      <c r="Q5644">
        <v>13.12</v>
      </c>
      <c r="R5644">
        <v>0.18</v>
      </c>
    </row>
    <row r="5645">
      <c r="A5645" s="9">
        <v>44176</v>
      </c>
      <c r="B5645" s="2" t="inlineStr">
        <is>
          <t xml:space="preserve">2020-12</t>
        </is>
      </c>
      <c r="C5645" s="2" t="inlineStr">
        <is>
          <t xml:space="preserve">2020/21</t>
        </is>
      </c>
      <c r="D5645">
        <v>0.0</v>
      </c>
      <c r="E5645">
        <v>17.66</v>
      </c>
      <c r="F5645">
        <v>23.54</v>
      </c>
      <c r="G5645">
        <v>13.28</v>
      </c>
      <c r="H5645">
        <v>0.05</v>
      </c>
      <c r="I5645">
        <v>0.0</v>
      </c>
      <c r="J5645">
        <v>18.88</v>
      </c>
      <c r="K5645">
        <v>25.02</v>
      </c>
      <c r="L5645">
        <v>13.9</v>
      </c>
      <c r="M5645">
        <v>0.0</v>
      </c>
      <c r="N5645">
        <v>0.0</v>
      </c>
      <c r="O5645">
        <v>18.54</v>
      </c>
      <c r="P5645">
        <v>23.87</v>
      </c>
      <c r="Q5645">
        <v>14.89</v>
      </c>
      <c r="R5645">
        <v>0.28</v>
      </c>
    </row>
    <row r="5646">
      <c r="A5646" s="9">
        <v>44177</v>
      </c>
      <c r="B5646" s="2" t="inlineStr">
        <is>
          <t xml:space="preserve">2020-12</t>
        </is>
      </c>
      <c r="C5646" s="2" t="inlineStr">
        <is>
          <t xml:space="preserve">2020/21</t>
        </is>
      </c>
      <c r="D5646">
        <v>0.0</v>
      </c>
      <c r="E5646">
        <v>19.49</v>
      </c>
      <c r="F5646">
        <v>25.08</v>
      </c>
      <c r="G5646">
        <v>14.89</v>
      </c>
      <c r="H5646">
        <v>49.31</v>
      </c>
      <c r="I5646">
        <v>0.0</v>
      </c>
      <c r="J5646">
        <v>20.39</v>
      </c>
      <c r="K5646">
        <v>26.73</v>
      </c>
      <c r="L5646">
        <v>14.98</v>
      </c>
      <c r="M5646">
        <v>0.24</v>
      </c>
      <c r="N5646">
        <v>0.0</v>
      </c>
      <c r="O5646">
        <v>20.28</v>
      </c>
      <c r="P5646">
        <v>25.91</v>
      </c>
      <c r="Q5646">
        <v>15.95</v>
      </c>
      <c r="R5646">
        <v>1.77</v>
      </c>
    </row>
    <row r="5647">
      <c r="A5647" s="9">
        <v>44178</v>
      </c>
      <c r="B5647" s="2" t="inlineStr">
        <is>
          <t xml:space="preserve">2020-12</t>
        </is>
      </c>
      <c r="C5647" s="2" t="inlineStr">
        <is>
          <t xml:space="preserve">2020/21</t>
        </is>
      </c>
      <c r="D5647">
        <v>0.0</v>
      </c>
      <c r="E5647">
        <v>19.63</v>
      </c>
      <c r="F5647">
        <v>24.25</v>
      </c>
      <c r="G5647">
        <v>16.22</v>
      </c>
      <c r="H5647">
        <v>151.37</v>
      </c>
      <c r="I5647">
        <v>0.0</v>
      </c>
      <c r="J5647">
        <v>21.46</v>
      </c>
      <c r="K5647">
        <v>26.51</v>
      </c>
      <c r="L5647">
        <v>16.85</v>
      </c>
      <c r="M5647">
        <v>0.28</v>
      </c>
      <c r="N5647">
        <v>0.0</v>
      </c>
      <c r="O5647">
        <v>21.2</v>
      </c>
      <c r="P5647">
        <v>25.95</v>
      </c>
      <c r="Q5647">
        <v>18.07</v>
      </c>
      <c r="R5647">
        <v>3.15</v>
      </c>
    </row>
    <row r="5648">
      <c r="A5648" s="9">
        <v>44179</v>
      </c>
      <c r="B5648" s="2" t="inlineStr">
        <is>
          <t xml:space="preserve">2020-12</t>
        </is>
      </c>
      <c r="C5648" s="2" t="inlineStr">
        <is>
          <t xml:space="preserve">2020/21</t>
        </is>
      </c>
      <c r="D5648">
        <v>0.0</v>
      </c>
      <c r="E5648">
        <v>19.41</v>
      </c>
      <c r="F5648">
        <v>24.6</v>
      </c>
      <c r="G5648">
        <v>15.45</v>
      </c>
      <c r="H5648">
        <v>0.39</v>
      </c>
      <c r="I5648">
        <v>0.0</v>
      </c>
      <c r="J5648">
        <v>21.61</v>
      </c>
      <c r="K5648">
        <v>26.6</v>
      </c>
      <c r="L5648">
        <v>18.1</v>
      </c>
      <c r="M5648">
        <v>0.2</v>
      </c>
      <c r="N5648">
        <v>0.0</v>
      </c>
      <c r="O5648">
        <v>21.59</v>
      </c>
      <c r="P5648">
        <v>26.09</v>
      </c>
      <c r="Q5648">
        <v>18.86</v>
      </c>
      <c r="R5648">
        <v>0.35</v>
      </c>
    </row>
    <row r="5649">
      <c r="A5649" s="9">
        <v>44180</v>
      </c>
      <c r="B5649" s="2" t="inlineStr">
        <is>
          <t xml:space="preserve">2020-12</t>
        </is>
      </c>
      <c r="C5649" s="2" t="inlineStr">
        <is>
          <t xml:space="preserve">2020/21</t>
        </is>
      </c>
      <c r="D5649">
        <v>1.237</v>
      </c>
      <c r="E5649">
        <v>19.4</v>
      </c>
      <c r="F5649">
        <v>24.04</v>
      </c>
      <c r="G5649">
        <v>15.93</v>
      </c>
      <c r="H5649">
        <v>0.65</v>
      </c>
      <c r="I5649">
        <v>0.15</v>
      </c>
      <c r="J5649">
        <v>20.29</v>
      </c>
      <c r="K5649">
        <v>25.37</v>
      </c>
      <c r="L5649">
        <v>16.57</v>
      </c>
      <c r="M5649">
        <v>0.33</v>
      </c>
      <c r="N5649">
        <v>0.478</v>
      </c>
      <c r="O5649">
        <v>20.49</v>
      </c>
      <c r="P5649">
        <v>24.91</v>
      </c>
      <c r="Q5649">
        <v>17.71</v>
      </c>
      <c r="R5649">
        <v>0.66</v>
      </c>
    </row>
    <row r="5650">
      <c r="A5650" s="9">
        <v>44181</v>
      </c>
      <c r="B5650" s="2" t="inlineStr">
        <is>
          <t xml:space="preserve">2020-12</t>
        </is>
      </c>
      <c r="C5650" s="2" t="inlineStr">
        <is>
          <t xml:space="preserve">2020/21</t>
        </is>
      </c>
      <c r="D5650">
        <v>0.0</v>
      </c>
      <c r="E5650">
        <v>19.84</v>
      </c>
      <c r="F5650">
        <v>25.3</v>
      </c>
      <c r="G5650">
        <v>15.01</v>
      </c>
      <c r="H5650">
        <v>0.4</v>
      </c>
      <c r="I5650">
        <v>0.0</v>
      </c>
      <c r="J5650">
        <v>21.11</v>
      </c>
      <c r="K5650">
        <v>26.95</v>
      </c>
      <c r="L5650">
        <v>16.62</v>
      </c>
      <c r="M5650">
        <v>0.0</v>
      </c>
      <c r="N5650">
        <v>0.0</v>
      </c>
      <c r="O5650">
        <v>21.18</v>
      </c>
      <c r="P5650">
        <v>26.55</v>
      </c>
      <c r="Q5650">
        <v>16.75</v>
      </c>
      <c r="R5650">
        <v>0.11</v>
      </c>
    </row>
    <row r="5651">
      <c r="A5651" s="9">
        <v>44182</v>
      </c>
      <c r="B5651" s="2" t="inlineStr">
        <is>
          <t xml:space="preserve">2020-12</t>
        </is>
      </c>
      <c r="C5651" s="2" t="inlineStr">
        <is>
          <t xml:space="preserve">2020/21</t>
        </is>
      </c>
      <c r="D5651">
        <v>0.0</v>
      </c>
      <c r="E5651">
        <v>19.83</v>
      </c>
      <c r="F5651">
        <v>24.47</v>
      </c>
      <c r="G5651">
        <v>16.91</v>
      </c>
      <c r="H5651">
        <v>0.62</v>
      </c>
      <c r="I5651">
        <v>0.0</v>
      </c>
      <c r="J5651">
        <v>19.9</v>
      </c>
      <c r="K5651">
        <v>24.24</v>
      </c>
      <c r="L5651">
        <v>16.41</v>
      </c>
      <c r="M5651">
        <v>0.32</v>
      </c>
      <c r="N5651">
        <v>0.0</v>
      </c>
      <c r="O5651">
        <v>20.4</v>
      </c>
      <c r="P5651">
        <v>24.21</v>
      </c>
      <c r="Q5651">
        <v>17.67</v>
      </c>
      <c r="R5651">
        <v>1.53</v>
      </c>
    </row>
    <row r="5652">
      <c r="A5652" s="9">
        <v>44183</v>
      </c>
      <c r="B5652" s="2" t="inlineStr">
        <is>
          <t xml:space="preserve">2020-12</t>
        </is>
      </c>
      <c r="C5652" s="2" t="inlineStr">
        <is>
          <t xml:space="preserve">2020/21</t>
        </is>
      </c>
      <c r="D5652">
        <v>0.0</v>
      </c>
      <c r="E5652">
        <v>18.72</v>
      </c>
      <c r="F5652">
        <v>22.93</v>
      </c>
      <c r="G5652">
        <v>15.73</v>
      </c>
      <c r="H5652">
        <v>1.41</v>
      </c>
      <c r="I5652">
        <v>0.628</v>
      </c>
      <c r="J5652">
        <v>19.57</v>
      </c>
      <c r="K5652">
        <v>24.27</v>
      </c>
      <c r="L5652">
        <v>16.28</v>
      </c>
      <c r="M5652">
        <v>1.14</v>
      </c>
      <c r="N5652">
        <v>2.595</v>
      </c>
      <c r="O5652">
        <v>19.91</v>
      </c>
      <c r="P5652">
        <v>23.78</v>
      </c>
      <c r="Q5652">
        <v>17.48</v>
      </c>
      <c r="R5652">
        <v>4.48</v>
      </c>
    </row>
    <row r="5653">
      <c r="A5653" s="9">
        <v>44184</v>
      </c>
      <c r="B5653" s="2" t="inlineStr">
        <is>
          <t xml:space="preserve">2020-12</t>
        </is>
      </c>
      <c r="C5653" s="2" t="inlineStr">
        <is>
          <t xml:space="preserve">2020/21</t>
        </is>
      </c>
      <c r="D5653">
        <v>0.0</v>
      </c>
      <c r="E5653">
        <v>17.93</v>
      </c>
      <c r="F5653">
        <v>22.61</v>
      </c>
      <c r="G5653">
        <v>14.05</v>
      </c>
      <c r="H5653">
        <v>0.31</v>
      </c>
      <c r="I5653">
        <v>0.0</v>
      </c>
      <c r="J5653">
        <v>18.61</v>
      </c>
      <c r="K5653">
        <v>23.48</v>
      </c>
      <c r="L5653">
        <v>14.96</v>
      </c>
      <c r="M5653">
        <v>0.01</v>
      </c>
      <c r="N5653">
        <v>0.0</v>
      </c>
      <c r="O5653">
        <v>19.16</v>
      </c>
      <c r="P5653">
        <v>23.13</v>
      </c>
      <c r="Q5653">
        <v>16.33</v>
      </c>
      <c r="R5653">
        <v>0.26</v>
      </c>
    </row>
    <row r="5654">
      <c r="A5654" s="9">
        <v>44185</v>
      </c>
      <c r="B5654" s="2" t="inlineStr">
        <is>
          <t xml:space="preserve">2020-12</t>
        </is>
      </c>
      <c r="C5654" s="2" t="inlineStr">
        <is>
          <t xml:space="preserve">2020/21</t>
        </is>
      </c>
      <c r="D5654">
        <v>0.0</v>
      </c>
      <c r="E5654">
        <v>18.82</v>
      </c>
      <c r="F5654">
        <v>23.7</v>
      </c>
      <c r="G5654">
        <v>15.54</v>
      </c>
      <c r="H5654">
        <v>1.59</v>
      </c>
      <c r="I5654">
        <v>0.0</v>
      </c>
      <c r="J5654">
        <v>19.76</v>
      </c>
      <c r="K5654">
        <v>25.41</v>
      </c>
      <c r="L5654">
        <v>15.53</v>
      </c>
      <c r="M5654">
        <v>0.24</v>
      </c>
      <c r="N5654">
        <v>0.0</v>
      </c>
      <c r="O5654">
        <v>20.44</v>
      </c>
      <c r="P5654">
        <v>25.0</v>
      </c>
      <c r="Q5654">
        <v>17.37</v>
      </c>
      <c r="R5654">
        <v>3.96</v>
      </c>
    </row>
    <row r="5655">
      <c r="A5655" s="9">
        <v>44186</v>
      </c>
      <c r="B5655" s="2" t="inlineStr">
        <is>
          <t xml:space="preserve">2020-12</t>
        </is>
      </c>
      <c r="C5655" s="2" t="inlineStr">
        <is>
          <t xml:space="preserve">2020/21</t>
        </is>
      </c>
      <c r="D5655">
        <v>0.04</v>
      </c>
      <c r="E5655">
        <v>19.21</v>
      </c>
      <c r="F5655">
        <v>23.4</v>
      </c>
      <c r="G5655">
        <v>16.22</v>
      </c>
      <c r="H5655">
        <v>4.42</v>
      </c>
      <c r="I5655">
        <v>0.0</v>
      </c>
      <c r="J5655">
        <v>20.14</v>
      </c>
      <c r="K5655">
        <v>24.62</v>
      </c>
      <c r="L5655">
        <v>16.66</v>
      </c>
      <c r="M5655">
        <v>1.32</v>
      </c>
      <c r="N5655">
        <v>0.381</v>
      </c>
      <c r="O5655">
        <v>20.6</v>
      </c>
      <c r="P5655">
        <v>24.11</v>
      </c>
      <c r="Q5655">
        <v>18.28</v>
      </c>
      <c r="R5655">
        <v>14.03</v>
      </c>
    </row>
    <row r="5656">
      <c r="A5656" s="9">
        <v>44187</v>
      </c>
      <c r="B5656" s="2" t="inlineStr">
        <is>
          <t xml:space="preserve">2020-12</t>
        </is>
      </c>
      <c r="C5656" s="2" t="inlineStr">
        <is>
          <t xml:space="preserve">2020/21</t>
        </is>
      </c>
      <c r="D5656">
        <v>0.0</v>
      </c>
      <c r="E5656">
        <v>19.28</v>
      </c>
      <c r="F5656">
        <v>23.56</v>
      </c>
      <c r="G5656">
        <v>15.9</v>
      </c>
      <c r="H5656">
        <v>1.08</v>
      </c>
      <c r="I5656">
        <v>0.712</v>
      </c>
      <c r="J5656">
        <v>19.99</v>
      </c>
      <c r="K5656">
        <v>24.36</v>
      </c>
      <c r="L5656">
        <v>17.12</v>
      </c>
      <c r="M5656">
        <v>1.56</v>
      </c>
      <c r="N5656">
        <v>2.919</v>
      </c>
      <c r="O5656">
        <v>20.24</v>
      </c>
      <c r="P5656">
        <v>23.88</v>
      </c>
      <c r="Q5656">
        <v>17.96</v>
      </c>
      <c r="R5656">
        <v>3.14</v>
      </c>
    </row>
    <row r="5657">
      <c r="A5657" s="9">
        <v>44188</v>
      </c>
      <c r="B5657" s="2" t="inlineStr">
        <is>
          <t xml:space="preserve">2020-12</t>
        </is>
      </c>
      <c r="C5657" s="2" t="inlineStr">
        <is>
          <t xml:space="preserve">2020/21</t>
        </is>
      </c>
      <c r="D5657">
        <v>0.29</v>
      </c>
      <c r="E5657">
        <v>19.43</v>
      </c>
      <c r="F5657">
        <v>24.06</v>
      </c>
      <c r="G5657">
        <v>16.47</v>
      </c>
      <c r="H5657">
        <v>0.51</v>
      </c>
      <c r="I5657">
        <v>0.898</v>
      </c>
      <c r="J5657">
        <v>20.41</v>
      </c>
      <c r="K5657">
        <v>25.58</v>
      </c>
      <c r="L5657">
        <v>16.87</v>
      </c>
      <c r="M5657">
        <v>1.22</v>
      </c>
      <c r="N5657">
        <v>3.528</v>
      </c>
      <c r="O5657">
        <v>20.67</v>
      </c>
      <c r="P5657">
        <v>24.98</v>
      </c>
      <c r="Q5657">
        <v>18.09</v>
      </c>
      <c r="R5657">
        <v>2.23</v>
      </c>
    </row>
    <row r="5658">
      <c r="A5658" s="9">
        <v>44189</v>
      </c>
      <c r="B5658" s="2" t="inlineStr">
        <is>
          <t xml:space="preserve">2020-12</t>
        </is>
      </c>
      <c r="C5658" s="2" t="inlineStr">
        <is>
          <t xml:space="preserve">2020/21</t>
        </is>
      </c>
      <c r="D5658">
        <v>0.0</v>
      </c>
      <c r="E5658">
        <v>19.57</v>
      </c>
      <c r="F5658">
        <v>25.55</v>
      </c>
      <c r="G5658">
        <v>15.37</v>
      </c>
      <c r="H5658">
        <v>0.11</v>
      </c>
      <c r="I5658">
        <v>0.0</v>
      </c>
      <c r="J5658">
        <v>21.3</v>
      </c>
      <c r="K5658">
        <v>27.44</v>
      </c>
      <c r="L5658">
        <v>16.84</v>
      </c>
      <c r="M5658">
        <v>0.04</v>
      </c>
      <c r="N5658">
        <v>0.0</v>
      </c>
      <c r="O5658">
        <v>21.73</v>
      </c>
      <c r="P5658">
        <v>27.48</v>
      </c>
      <c r="Q5658">
        <v>18.29</v>
      </c>
      <c r="R5658">
        <v>0.22</v>
      </c>
    </row>
    <row r="5659">
      <c r="A5659" s="9">
        <v>44190</v>
      </c>
      <c r="B5659" s="2" t="inlineStr">
        <is>
          <t xml:space="preserve">2020-12</t>
        </is>
      </c>
      <c r="C5659" s="2" t="inlineStr">
        <is>
          <t xml:space="preserve">2020/21</t>
        </is>
      </c>
      <c r="D5659">
        <v>1.301</v>
      </c>
      <c r="E5659">
        <v>17.9</v>
      </c>
      <c r="F5659">
        <v>21.66</v>
      </c>
      <c r="G5659">
        <v>14.41</v>
      </c>
      <c r="H5659">
        <v>2.54</v>
      </c>
      <c r="I5659">
        <v>0.221</v>
      </c>
      <c r="J5659">
        <v>18.18</v>
      </c>
      <c r="K5659">
        <v>23.3</v>
      </c>
      <c r="L5659">
        <v>12.9</v>
      </c>
      <c r="M5659">
        <v>1.12</v>
      </c>
      <c r="N5659">
        <v>0.892</v>
      </c>
      <c r="O5659">
        <v>18.43</v>
      </c>
      <c r="P5659">
        <v>22.68</v>
      </c>
      <c r="Q5659">
        <v>13.89</v>
      </c>
      <c r="R5659">
        <v>6.42</v>
      </c>
    </row>
    <row r="5660">
      <c r="A5660" s="9">
        <v>44191</v>
      </c>
      <c r="B5660" s="2" t="inlineStr">
        <is>
          <t xml:space="preserve">2020-12</t>
        </is>
      </c>
      <c r="C5660" s="2" t="inlineStr">
        <is>
          <t xml:space="preserve">2020/21</t>
        </is>
      </c>
      <c r="D5660">
        <v>0.0</v>
      </c>
      <c r="E5660">
        <v>15.66</v>
      </c>
      <c r="F5660">
        <v>19.82</v>
      </c>
      <c r="G5660">
        <v>12.79</v>
      </c>
      <c r="H5660">
        <v>2.46</v>
      </c>
      <c r="I5660">
        <v>0.482</v>
      </c>
      <c r="J5660">
        <v>15.12</v>
      </c>
      <c r="K5660">
        <v>19.93</v>
      </c>
      <c r="L5660">
        <v>11.85</v>
      </c>
      <c r="M5660">
        <v>0.61</v>
      </c>
      <c r="N5660">
        <v>1.999</v>
      </c>
      <c r="O5660">
        <v>14.87</v>
      </c>
      <c r="P5660">
        <v>18.8</v>
      </c>
      <c r="Q5660">
        <v>12.3</v>
      </c>
      <c r="R5660">
        <v>4.03</v>
      </c>
    </row>
    <row r="5661">
      <c r="A5661" s="9">
        <v>44192</v>
      </c>
      <c r="B5661" s="2" t="inlineStr">
        <is>
          <t xml:space="preserve">2020-12</t>
        </is>
      </c>
      <c r="C5661" s="2" t="inlineStr">
        <is>
          <t xml:space="preserve">2020/21</t>
        </is>
      </c>
      <c r="D5661">
        <v>0.0</v>
      </c>
      <c r="E5661">
        <v>17.36</v>
      </c>
      <c r="F5661">
        <v>22.47</v>
      </c>
      <c r="G5661">
        <v>13.64</v>
      </c>
      <c r="H5661">
        <v>0.33</v>
      </c>
      <c r="I5661">
        <v>0.0</v>
      </c>
      <c r="J5661">
        <v>17.18</v>
      </c>
      <c r="K5661">
        <v>22.86</v>
      </c>
      <c r="L5661">
        <v>13.4</v>
      </c>
      <c r="M5661">
        <v>0.03</v>
      </c>
      <c r="N5661">
        <v>0.0</v>
      </c>
      <c r="O5661">
        <v>17.08</v>
      </c>
      <c r="P5661">
        <v>21.79</v>
      </c>
      <c r="Q5661">
        <v>13.79</v>
      </c>
      <c r="R5661">
        <v>0.67</v>
      </c>
    </row>
    <row r="5662">
      <c r="A5662" s="9">
        <v>44193</v>
      </c>
      <c r="B5662" s="2" t="inlineStr">
        <is>
          <t xml:space="preserve">2020-12</t>
        </is>
      </c>
      <c r="C5662" s="2" t="inlineStr">
        <is>
          <t xml:space="preserve">2020/21</t>
        </is>
      </c>
      <c r="D5662">
        <v>0.0</v>
      </c>
      <c r="E5662">
        <v>17.14</v>
      </c>
      <c r="F5662">
        <v>21.94</v>
      </c>
      <c r="G5662">
        <v>13.7</v>
      </c>
      <c r="H5662">
        <v>1.2</v>
      </c>
      <c r="I5662">
        <v>0.0</v>
      </c>
      <c r="J5662">
        <v>17.96</v>
      </c>
      <c r="K5662">
        <v>22.8</v>
      </c>
      <c r="L5662">
        <v>14.65</v>
      </c>
      <c r="M5662">
        <v>0.18</v>
      </c>
      <c r="N5662">
        <v>0.0</v>
      </c>
      <c r="O5662">
        <v>17.97</v>
      </c>
      <c r="P5662">
        <v>22.12</v>
      </c>
      <c r="Q5662">
        <v>15.29</v>
      </c>
      <c r="R5662">
        <v>2.78</v>
      </c>
    </row>
    <row r="5663">
      <c r="A5663" s="9">
        <v>44194</v>
      </c>
      <c r="B5663" s="2" t="inlineStr">
        <is>
          <t xml:space="preserve">2020-12</t>
        </is>
      </c>
      <c r="C5663" s="2" t="inlineStr">
        <is>
          <t xml:space="preserve">2020/21</t>
        </is>
      </c>
      <c r="D5663">
        <v>0.0</v>
      </c>
      <c r="E5663">
        <v>17.45</v>
      </c>
      <c r="F5663">
        <v>22.8</v>
      </c>
      <c r="G5663">
        <v>13.25</v>
      </c>
      <c r="H5663">
        <v>0.15</v>
      </c>
      <c r="I5663">
        <v>0.03</v>
      </c>
      <c r="J5663">
        <v>17.86</v>
      </c>
      <c r="K5663">
        <v>22.96</v>
      </c>
      <c r="L5663">
        <v>14.47</v>
      </c>
      <c r="M5663">
        <v>0.12</v>
      </c>
      <c r="N5663">
        <v>0.344</v>
      </c>
      <c r="O5663">
        <v>17.94</v>
      </c>
      <c r="P5663">
        <v>22.33</v>
      </c>
      <c r="Q5663">
        <v>14.67</v>
      </c>
      <c r="R5663">
        <v>0.59</v>
      </c>
    </row>
    <row r="5664">
      <c r="A5664" s="9">
        <v>44195</v>
      </c>
      <c r="B5664" s="2" t="inlineStr">
        <is>
          <t xml:space="preserve">2020-12</t>
        </is>
      </c>
      <c r="C5664" s="2" t="inlineStr">
        <is>
          <t xml:space="preserve">2020/21</t>
        </is>
      </c>
      <c r="D5664">
        <v>0.0</v>
      </c>
      <c r="E5664">
        <v>19.43</v>
      </c>
      <c r="F5664">
        <v>24.61</v>
      </c>
      <c r="G5664">
        <v>14.89</v>
      </c>
      <c r="H5664">
        <v>3.06</v>
      </c>
      <c r="I5664">
        <v>0.0</v>
      </c>
      <c r="J5664">
        <v>19.8</v>
      </c>
      <c r="K5664">
        <v>25.8</v>
      </c>
      <c r="L5664">
        <v>14.65</v>
      </c>
      <c r="M5664">
        <v>0.31</v>
      </c>
      <c r="N5664">
        <v>0.0</v>
      </c>
      <c r="O5664">
        <v>20.0</v>
      </c>
      <c r="P5664">
        <v>25.16</v>
      </c>
      <c r="Q5664">
        <v>15.73</v>
      </c>
      <c r="R5664">
        <v>0.78</v>
      </c>
    </row>
    <row r="5665">
      <c r="A5665" s="9">
        <v>44196</v>
      </c>
      <c r="B5665" s="2" t="inlineStr">
        <is>
          <t xml:space="preserve">2020-12</t>
        </is>
      </c>
      <c r="C5665" s="2" t="inlineStr">
        <is>
          <t xml:space="preserve">2020/21</t>
        </is>
      </c>
      <c r="D5665">
        <v>0.0</v>
      </c>
      <c r="E5665">
        <v>20.15</v>
      </c>
      <c r="F5665">
        <v>24.9</v>
      </c>
      <c r="G5665">
        <v>16.5</v>
      </c>
      <c r="H5665">
        <v>1.14</v>
      </c>
      <c r="I5665">
        <v>0.027</v>
      </c>
      <c r="J5665">
        <v>20.05</v>
      </c>
      <c r="K5665">
        <v>25.2</v>
      </c>
      <c r="L5665">
        <v>16.46</v>
      </c>
      <c r="M5665">
        <v>1.08</v>
      </c>
      <c r="N5665">
        <v>0.0</v>
      </c>
      <c r="O5665">
        <v>21.29</v>
      </c>
      <c r="P5665">
        <v>26.71</v>
      </c>
      <c r="Q5665">
        <v>17.26</v>
      </c>
      <c r="R5665">
        <v>2.25</v>
      </c>
    </row>
    <row r="5666">
      <c r="A5666" s="9">
        <v>44197</v>
      </c>
      <c r="B5666" s="2" t="inlineStr">
        <is>
          <t xml:space="preserve">2021-01</t>
        </is>
      </c>
      <c r="C5666" s="2" t="inlineStr">
        <is>
          <t xml:space="preserve">2020/21</t>
        </is>
      </c>
      <c r="D5666">
        <v>0.0</v>
      </c>
      <c r="E5666">
        <v>20.26</v>
      </c>
      <c r="F5666">
        <v>25.26</v>
      </c>
      <c r="G5666">
        <v>17.0</v>
      </c>
      <c r="H5666">
        <v>0.0</v>
      </c>
      <c r="I5666">
        <v>0.0</v>
      </c>
      <c r="J5666">
        <v>21.52</v>
      </c>
      <c r="K5666">
        <v>26.81</v>
      </c>
      <c r="L5666">
        <v>17.23</v>
      </c>
      <c r="M5666">
        <v>0.02</v>
      </c>
      <c r="N5666">
        <v>0.0</v>
      </c>
      <c r="O5666">
        <v>21.58</v>
      </c>
      <c r="P5666">
        <v>26.93</v>
      </c>
      <c r="Q5666">
        <v>17.26</v>
      </c>
      <c r="R5666">
        <v>0.0</v>
      </c>
    </row>
    <row r="5667">
      <c r="A5667" s="9">
        <v>44198</v>
      </c>
      <c r="B5667" s="2" t="inlineStr">
        <is>
          <t xml:space="preserve">2021-01</t>
        </is>
      </c>
      <c r="C5667" s="2" t="inlineStr">
        <is>
          <t xml:space="preserve">2020/21</t>
        </is>
      </c>
      <c r="D5667">
        <v>0.0</v>
      </c>
      <c r="E5667">
        <v>19.41</v>
      </c>
      <c r="F5667">
        <v>24.52</v>
      </c>
      <c r="G5667">
        <v>15.32</v>
      </c>
      <c r="H5667">
        <v>0.14</v>
      </c>
      <c r="I5667">
        <v>0.107</v>
      </c>
      <c r="J5667">
        <v>21.36</v>
      </c>
      <c r="K5667">
        <v>26.51</v>
      </c>
      <c r="L5667">
        <v>17.35</v>
      </c>
      <c r="M5667">
        <v>0.03</v>
      </c>
      <c r="N5667">
        <v>0.0</v>
      </c>
      <c r="O5667">
        <v>21.45</v>
      </c>
      <c r="P5667">
        <v>25.71</v>
      </c>
      <c r="Q5667">
        <v>18.64</v>
      </c>
      <c r="R5667">
        <v>0.18</v>
      </c>
    </row>
    <row r="5668">
      <c r="A5668" s="9">
        <v>44199</v>
      </c>
      <c r="B5668" s="2" t="inlineStr">
        <is>
          <t xml:space="preserve">2021-01</t>
        </is>
      </c>
      <c r="C5668" s="2" t="inlineStr">
        <is>
          <t xml:space="preserve">2020/21</t>
        </is>
      </c>
      <c r="D5668">
        <v>0.0</v>
      </c>
      <c r="E5668">
        <v>20.3</v>
      </c>
      <c r="F5668">
        <v>24.6</v>
      </c>
      <c r="G5668">
        <v>17.35</v>
      </c>
      <c r="H5668">
        <v>1.31</v>
      </c>
      <c r="I5668">
        <v>0.0</v>
      </c>
      <c r="J5668">
        <v>20.55</v>
      </c>
      <c r="K5668">
        <v>25.2</v>
      </c>
      <c r="L5668">
        <v>17.09</v>
      </c>
      <c r="M5668">
        <v>0.3</v>
      </c>
      <c r="N5668">
        <v>0.088</v>
      </c>
      <c r="O5668">
        <v>21.06</v>
      </c>
      <c r="P5668">
        <v>24.86</v>
      </c>
      <c r="Q5668">
        <v>18.49</v>
      </c>
      <c r="R5668">
        <v>1.71</v>
      </c>
    </row>
    <row r="5669">
      <c r="A5669" s="9">
        <v>44200</v>
      </c>
      <c r="B5669" s="2" t="inlineStr">
        <is>
          <t xml:space="preserve">2021-01</t>
        </is>
      </c>
      <c r="C5669" s="2" t="inlineStr">
        <is>
          <t xml:space="preserve">2020/21</t>
        </is>
      </c>
      <c r="D5669">
        <v>0.103</v>
      </c>
      <c r="E5669">
        <v>19.03</v>
      </c>
      <c r="F5669">
        <v>24.08</v>
      </c>
      <c r="G5669">
        <v>15.45</v>
      </c>
      <c r="H5669">
        <v>0.32</v>
      </c>
      <c r="I5669">
        <v>0.409</v>
      </c>
      <c r="J5669">
        <v>20.47</v>
      </c>
      <c r="K5669">
        <v>25.48</v>
      </c>
      <c r="L5669">
        <v>16.28</v>
      </c>
      <c r="M5669">
        <v>0.58</v>
      </c>
      <c r="N5669">
        <v>1.572</v>
      </c>
      <c r="O5669">
        <v>20.54</v>
      </c>
      <c r="P5669">
        <v>24.83</v>
      </c>
      <c r="Q5669">
        <v>16.84</v>
      </c>
      <c r="R5669">
        <v>0.71</v>
      </c>
    </row>
    <row r="5670">
      <c r="A5670" s="9">
        <v>44201</v>
      </c>
      <c r="B5670" s="2" t="inlineStr">
        <is>
          <t xml:space="preserve">2021-01</t>
        </is>
      </c>
      <c r="C5670" s="2" t="inlineStr">
        <is>
          <t xml:space="preserve">2020/21</t>
        </is>
      </c>
      <c r="D5670">
        <v>0.0</v>
      </c>
      <c r="E5670">
        <v>17.21</v>
      </c>
      <c r="F5670">
        <v>22.0</v>
      </c>
      <c r="G5670">
        <v>13.61</v>
      </c>
      <c r="H5670">
        <v>0.13</v>
      </c>
      <c r="I5670">
        <v>0.0</v>
      </c>
      <c r="J5670">
        <v>17.8</v>
      </c>
      <c r="K5670">
        <v>23.09</v>
      </c>
      <c r="L5670">
        <v>14.44</v>
      </c>
      <c r="M5670">
        <v>0.06</v>
      </c>
      <c r="N5670">
        <v>0.036</v>
      </c>
      <c r="O5670">
        <v>18.04</v>
      </c>
      <c r="P5670">
        <v>22.19</v>
      </c>
      <c r="Q5670">
        <v>15.43</v>
      </c>
      <c r="R5670">
        <v>0.44</v>
      </c>
    </row>
    <row r="5671">
      <c r="A5671" s="9">
        <v>44202</v>
      </c>
      <c r="B5671" s="2" t="inlineStr">
        <is>
          <t xml:space="preserve">2021-01</t>
        </is>
      </c>
      <c r="C5671" s="2" t="inlineStr">
        <is>
          <t xml:space="preserve">2020/21</t>
        </is>
      </c>
      <c r="D5671">
        <v>0.0</v>
      </c>
      <c r="E5671">
        <v>18.28</v>
      </c>
      <c r="F5671">
        <v>23.08</v>
      </c>
      <c r="G5671">
        <v>14.56</v>
      </c>
      <c r="H5671">
        <v>0.09</v>
      </c>
      <c r="I5671">
        <v>0.0</v>
      </c>
      <c r="J5671">
        <v>18.85</v>
      </c>
      <c r="K5671">
        <v>24.35</v>
      </c>
      <c r="L5671">
        <v>14.09</v>
      </c>
      <c r="M5671">
        <v>0.0</v>
      </c>
      <c r="N5671">
        <v>0.0</v>
      </c>
      <c r="O5671">
        <v>19.28</v>
      </c>
      <c r="P5671">
        <v>24.22</v>
      </c>
      <c r="Q5671">
        <v>15.62</v>
      </c>
      <c r="R5671">
        <v>0.17</v>
      </c>
    </row>
    <row r="5672">
      <c r="A5672" s="9">
        <v>44203</v>
      </c>
      <c r="B5672" s="2" t="inlineStr">
        <is>
          <t xml:space="preserve">2021-01</t>
        </is>
      </c>
      <c r="C5672" s="2" t="inlineStr">
        <is>
          <t xml:space="preserve">2020/21</t>
        </is>
      </c>
      <c r="D5672">
        <v>0.238</v>
      </c>
      <c r="E5672">
        <v>19.14</v>
      </c>
      <c r="F5672">
        <v>24.36</v>
      </c>
      <c r="G5672">
        <v>14.88</v>
      </c>
      <c r="H5672">
        <v>0.39</v>
      </c>
      <c r="I5672">
        <v>0.0</v>
      </c>
      <c r="J5672">
        <v>20.36</v>
      </c>
      <c r="K5672">
        <v>25.75</v>
      </c>
      <c r="L5672">
        <v>16.5</v>
      </c>
      <c r="M5672">
        <v>0.01</v>
      </c>
      <c r="N5672">
        <v>0.0</v>
      </c>
      <c r="O5672">
        <v>20.61</v>
      </c>
      <c r="P5672">
        <v>25.5</v>
      </c>
      <c r="Q5672">
        <v>17.37</v>
      </c>
      <c r="R5672">
        <v>0.0</v>
      </c>
    </row>
    <row r="5673">
      <c r="A5673" s="9">
        <v>44204</v>
      </c>
      <c r="B5673" s="2" t="inlineStr">
        <is>
          <t xml:space="preserve">2021-01</t>
        </is>
      </c>
      <c r="C5673" s="2" t="inlineStr">
        <is>
          <t xml:space="preserve">2020/21</t>
        </is>
      </c>
      <c r="D5673">
        <v>0.0</v>
      </c>
      <c r="E5673">
        <v>18.78</v>
      </c>
      <c r="F5673">
        <v>23.28</v>
      </c>
      <c r="G5673">
        <v>15.95</v>
      </c>
      <c r="H5673">
        <v>0.15</v>
      </c>
      <c r="I5673">
        <v>0.0</v>
      </c>
      <c r="J5673">
        <v>19.22</v>
      </c>
      <c r="K5673">
        <v>24.06</v>
      </c>
      <c r="L5673">
        <v>15.6</v>
      </c>
      <c r="M5673">
        <v>0.53</v>
      </c>
      <c r="N5673">
        <v>0.0</v>
      </c>
      <c r="O5673">
        <v>19.73</v>
      </c>
      <c r="P5673">
        <v>23.83</v>
      </c>
      <c r="Q5673">
        <v>17.0</v>
      </c>
      <c r="R5673">
        <v>0.58</v>
      </c>
    </row>
    <row r="5674">
      <c r="A5674" s="9">
        <v>44205</v>
      </c>
      <c r="B5674" s="2" t="inlineStr">
        <is>
          <t xml:space="preserve">2021-01</t>
        </is>
      </c>
      <c r="C5674" s="2" t="inlineStr">
        <is>
          <t xml:space="preserve">2020/21</t>
        </is>
      </c>
      <c r="D5674">
        <v>0.0</v>
      </c>
      <c r="E5674">
        <v>17.94</v>
      </c>
      <c r="F5674">
        <v>23.04</v>
      </c>
      <c r="G5674">
        <v>14.92</v>
      </c>
      <c r="H5674">
        <v>2.38</v>
      </c>
      <c r="I5674">
        <v>1.249</v>
      </c>
      <c r="J5674">
        <v>17.91</v>
      </c>
      <c r="K5674">
        <v>22.0</v>
      </c>
      <c r="L5674">
        <v>14.74</v>
      </c>
      <c r="M5674">
        <v>1.92</v>
      </c>
      <c r="N5674">
        <v>5.042</v>
      </c>
      <c r="O5674">
        <v>17.71</v>
      </c>
      <c r="P5674">
        <v>20.95</v>
      </c>
      <c r="Q5674">
        <v>14.57</v>
      </c>
      <c r="R5674">
        <v>2.99</v>
      </c>
    </row>
    <row r="5675">
      <c r="A5675" s="9">
        <v>44206</v>
      </c>
      <c r="B5675" s="2" t="inlineStr">
        <is>
          <t xml:space="preserve">2021-01</t>
        </is>
      </c>
      <c r="C5675" s="2" t="inlineStr">
        <is>
          <t xml:space="preserve">2020/21</t>
        </is>
      </c>
      <c r="D5675">
        <v>0.072</v>
      </c>
      <c r="E5675">
        <v>18.27</v>
      </c>
      <c r="F5675">
        <v>23.28</v>
      </c>
      <c r="G5675">
        <v>14.73</v>
      </c>
      <c r="H5675">
        <v>1.7</v>
      </c>
      <c r="I5675">
        <v>0.225</v>
      </c>
      <c r="J5675">
        <v>17.59</v>
      </c>
      <c r="K5675">
        <v>23.19</v>
      </c>
      <c r="L5675">
        <v>13.31</v>
      </c>
      <c r="M5675">
        <v>0.38</v>
      </c>
      <c r="N5675">
        <v>0.874</v>
      </c>
      <c r="O5675">
        <v>17.21</v>
      </c>
      <c r="P5675">
        <v>22.17</v>
      </c>
      <c r="Q5675">
        <v>13.57</v>
      </c>
      <c r="R5675">
        <v>2.41</v>
      </c>
    </row>
    <row r="5676">
      <c r="A5676" s="9">
        <v>44207</v>
      </c>
      <c r="B5676" s="2" t="inlineStr">
        <is>
          <t xml:space="preserve">2021-01</t>
        </is>
      </c>
      <c r="C5676" s="2" t="inlineStr">
        <is>
          <t xml:space="preserve">2020/21</t>
        </is>
      </c>
      <c r="D5676">
        <v>0.0</v>
      </c>
      <c r="E5676">
        <v>18.57</v>
      </c>
      <c r="F5676">
        <v>22.81</v>
      </c>
      <c r="G5676">
        <v>16.26</v>
      </c>
      <c r="H5676">
        <v>0.45</v>
      </c>
      <c r="I5676">
        <v>0.0</v>
      </c>
      <c r="J5676">
        <v>19.66</v>
      </c>
      <c r="K5676">
        <v>25.05</v>
      </c>
      <c r="L5676">
        <v>15.44</v>
      </c>
      <c r="M5676">
        <v>0.21</v>
      </c>
      <c r="N5676">
        <v>0.0</v>
      </c>
      <c r="O5676">
        <v>19.47</v>
      </c>
      <c r="P5676">
        <v>24.33</v>
      </c>
      <c r="Q5676">
        <v>16.07</v>
      </c>
      <c r="R5676">
        <v>0.45</v>
      </c>
    </row>
    <row r="5677">
      <c r="A5677" s="9">
        <v>44208</v>
      </c>
      <c r="B5677" s="2" t="inlineStr">
        <is>
          <t xml:space="preserve">2021-01</t>
        </is>
      </c>
      <c r="C5677" s="2" t="inlineStr">
        <is>
          <t xml:space="preserve">2020/21</t>
        </is>
      </c>
      <c r="D5677">
        <v>0.0</v>
      </c>
      <c r="E5677">
        <v>19.32</v>
      </c>
      <c r="F5677">
        <v>23.91</v>
      </c>
      <c r="G5677">
        <v>16.15</v>
      </c>
      <c r="H5677">
        <v>0.79</v>
      </c>
      <c r="I5677">
        <v>0.562</v>
      </c>
      <c r="J5677">
        <v>19.58</v>
      </c>
      <c r="K5677">
        <v>23.74</v>
      </c>
      <c r="L5677">
        <v>17.04</v>
      </c>
      <c r="M5677">
        <v>1.14</v>
      </c>
      <c r="N5677">
        <v>2.278</v>
      </c>
      <c r="O5677">
        <v>19.91</v>
      </c>
      <c r="P5677">
        <v>23.49</v>
      </c>
      <c r="Q5677">
        <v>17.73</v>
      </c>
      <c r="R5677">
        <v>2.9</v>
      </c>
    </row>
    <row r="5678">
      <c r="A5678" s="9">
        <v>44209</v>
      </c>
      <c r="B5678" s="2" t="inlineStr">
        <is>
          <t xml:space="preserve">2021-01</t>
        </is>
      </c>
      <c r="C5678" s="2" t="inlineStr">
        <is>
          <t xml:space="preserve">2020/21</t>
        </is>
      </c>
      <c r="D5678">
        <v>0.0</v>
      </c>
      <c r="E5678">
        <v>19.26</v>
      </c>
      <c r="F5678">
        <v>23.82</v>
      </c>
      <c r="G5678">
        <v>15.9</v>
      </c>
      <c r="H5678">
        <v>0.67</v>
      </c>
      <c r="I5678">
        <v>0.416</v>
      </c>
      <c r="J5678">
        <v>19.63</v>
      </c>
      <c r="K5678">
        <v>24.37</v>
      </c>
      <c r="L5678">
        <v>16.81</v>
      </c>
      <c r="M5678">
        <v>0.78</v>
      </c>
      <c r="N5678">
        <v>1.684</v>
      </c>
      <c r="O5678">
        <v>19.76</v>
      </c>
      <c r="P5678">
        <v>23.91</v>
      </c>
      <c r="Q5678">
        <v>17.07</v>
      </c>
      <c r="R5678">
        <v>0.86</v>
      </c>
    </row>
    <row r="5679">
      <c r="A5679" s="9">
        <v>44210</v>
      </c>
      <c r="B5679" s="2" t="inlineStr">
        <is>
          <t xml:space="preserve">2021-01</t>
        </is>
      </c>
      <c r="C5679" s="2" t="inlineStr">
        <is>
          <t xml:space="preserve">2020/21</t>
        </is>
      </c>
      <c r="D5679">
        <v>0.0</v>
      </c>
      <c r="E5679">
        <v>18.3</v>
      </c>
      <c r="F5679">
        <v>22.5</v>
      </c>
      <c r="G5679">
        <v>15.78</v>
      </c>
      <c r="H5679">
        <v>0.52</v>
      </c>
      <c r="I5679">
        <v>0.416</v>
      </c>
      <c r="J5679">
        <v>19.77</v>
      </c>
      <c r="K5679">
        <v>24.71</v>
      </c>
      <c r="L5679">
        <v>16.45</v>
      </c>
      <c r="M5679">
        <v>0.58</v>
      </c>
      <c r="N5679">
        <v>1.682</v>
      </c>
      <c r="O5679">
        <v>19.42</v>
      </c>
      <c r="P5679">
        <v>24.08</v>
      </c>
      <c r="Q5679">
        <v>16.19</v>
      </c>
      <c r="R5679">
        <v>0.96</v>
      </c>
    </row>
    <row r="5680">
      <c r="A5680" s="9">
        <v>44211</v>
      </c>
      <c r="B5680" s="2" t="inlineStr">
        <is>
          <t xml:space="preserve">2021-01</t>
        </is>
      </c>
      <c r="C5680" s="2" t="inlineStr">
        <is>
          <t xml:space="preserve">2020/21</t>
        </is>
      </c>
      <c r="D5680">
        <v>0.0</v>
      </c>
      <c r="E5680">
        <v>19.15</v>
      </c>
      <c r="F5680">
        <v>24.08</v>
      </c>
      <c r="G5680">
        <v>15.64</v>
      </c>
      <c r="H5680">
        <v>0.65</v>
      </c>
      <c r="I5680">
        <v>0.0</v>
      </c>
      <c r="J5680">
        <v>19.95</v>
      </c>
      <c r="K5680">
        <v>24.31</v>
      </c>
      <c r="L5680">
        <v>16.34</v>
      </c>
      <c r="M5680">
        <v>0.33</v>
      </c>
      <c r="N5680">
        <v>0.0</v>
      </c>
      <c r="O5680">
        <v>20.08</v>
      </c>
      <c r="P5680">
        <v>24.73</v>
      </c>
      <c r="Q5680">
        <v>17.16</v>
      </c>
      <c r="R5680">
        <v>1.3</v>
      </c>
    </row>
    <row r="5681">
      <c r="A5681" s="9">
        <v>44212</v>
      </c>
      <c r="B5681" s="2" t="inlineStr">
        <is>
          <t xml:space="preserve">2021-01</t>
        </is>
      </c>
      <c r="C5681" s="2" t="inlineStr">
        <is>
          <t xml:space="preserve">2020/21</t>
        </is>
      </c>
      <c r="D5681">
        <v>0.833</v>
      </c>
      <c r="E5681">
        <v>19.25</v>
      </c>
      <c r="F5681">
        <v>23.95</v>
      </c>
      <c r="G5681">
        <v>16.39</v>
      </c>
      <c r="H5681">
        <v>9.22</v>
      </c>
      <c r="I5681">
        <v>1.177</v>
      </c>
      <c r="J5681">
        <v>18.41</v>
      </c>
      <c r="K5681">
        <v>20.8</v>
      </c>
      <c r="L5681">
        <v>16.02</v>
      </c>
      <c r="M5681">
        <v>2.99</v>
      </c>
      <c r="N5681">
        <v>4.372</v>
      </c>
      <c r="O5681">
        <v>18.42</v>
      </c>
      <c r="P5681">
        <v>19.81</v>
      </c>
      <c r="Q5681">
        <v>16.18</v>
      </c>
      <c r="R5681">
        <v>16.39</v>
      </c>
    </row>
    <row r="5682">
      <c r="A5682" s="9">
        <v>44213</v>
      </c>
      <c r="B5682" s="2" t="inlineStr">
        <is>
          <t xml:space="preserve">2021-01</t>
        </is>
      </c>
      <c r="C5682" s="2" t="inlineStr">
        <is>
          <t xml:space="preserve">2020/21</t>
        </is>
      </c>
      <c r="D5682">
        <v>0.314</v>
      </c>
      <c r="E5682">
        <v>18.69</v>
      </c>
      <c r="F5682">
        <v>23.61</v>
      </c>
      <c r="G5682">
        <v>15.41</v>
      </c>
      <c r="H5682">
        <v>4.57</v>
      </c>
      <c r="I5682">
        <v>0.349</v>
      </c>
      <c r="J5682">
        <v>17.87</v>
      </c>
      <c r="K5682">
        <v>22.79</v>
      </c>
      <c r="L5682">
        <v>14.62</v>
      </c>
      <c r="M5682">
        <v>0.98</v>
      </c>
      <c r="N5682">
        <v>1.271</v>
      </c>
      <c r="O5682">
        <v>17.56</v>
      </c>
      <c r="P5682">
        <v>21.37</v>
      </c>
      <c r="Q5682">
        <v>14.6</v>
      </c>
      <c r="R5682">
        <v>7.96</v>
      </c>
    </row>
    <row r="5683">
      <c r="A5683" s="9">
        <v>44214</v>
      </c>
      <c r="B5683" s="2" t="inlineStr">
        <is>
          <t xml:space="preserve">2021-01</t>
        </is>
      </c>
      <c r="C5683" s="2" t="inlineStr">
        <is>
          <t xml:space="preserve">2020/21</t>
        </is>
      </c>
      <c r="D5683">
        <v>0.03</v>
      </c>
      <c r="E5683">
        <v>18.74</v>
      </c>
      <c r="F5683">
        <v>22.56</v>
      </c>
      <c r="G5683">
        <v>16.17</v>
      </c>
      <c r="H5683">
        <v>2.51</v>
      </c>
      <c r="I5683">
        <v>1.084</v>
      </c>
      <c r="J5683">
        <v>19.48</v>
      </c>
      <c r="K5683">
        <v>24.43</v>
      </c>
      <c r="L5683">
        <v>15.91</v>
      </c>
      <c r="M5683">
        <v>2.24</v>
      </c>
      <c r="N5683">
        <v>4.538</v>
      </c>
      <c r="O5683">
        <v>19.84</v>
      </c>
      <c r="P5683">
        <v>23.9</v>
      </c>
      <c r="Q5683">
        <v>17.31</v>
      </c>
      <c r="R5683">
        <v>7.96</v>
      </c>
    </row>
    <row r="5684">
      <c r="A5684" s="9">
        <v>44215</v>
      </c>
      <c r="B5684" s="2" t="inlineStr">
        <is>
          <t xml:space="preserve">2021-01</t>
        </is>
      </c>
      <c r="C5684" s="2" t="inlineStr">
        <is>
          <t xml:space="preserve">2020/21</t>
        </is>
      </c>
      <c r="D5684">
        <v>0.26</v>
      </c>
      <c r="E5684">
        <v>19.33</v>
      </c>
      <c r="F5684">
        <v>24.07</v>
      </c>
      <c r="G5684">
        <v>15.99</v>
      </c>
      <c r="H5684">
        <v>0.21</v>
      </c>
      <c r="I5684">
        <v>0.125</v>
      </c>
      <c r="J5684">
        <v>20.52</v>
      </c>
      <c r="K5684">
        <v>26.04</v>
      </c>
      <c r="L5684">
        <v>16.81</v>
      </c>
      <c r="M5684">
        <v>0.32</v>
      </c>
      <c r="N5684">
        <v>0.846</v>
      </c>
      <c r="O5684">
        <v>20.69</v>
      </c>
      <c r="P5684">
        <v>25.23</v>
      </c>
      <c r="Q5684">
        <v>17.79</v>
      </c>
      <c r="R5684">
        <v>0.43</v>
      </c>
    </row>
    <row r="5685">
      <c r="A5685" s="9">
        <v>44216</v>
      </c>
      <c r="B5685" s="2" t="inlineStr">
        <is>
          <t xml:space="preserve">2021-01</t>
        </is>
      </c>
      <c r="C5685" s="2" t="inlineStr">
        <is>
          <t xml:space="preserve">2020/21</t>
        </is>
      </c>
      <c r="D5685">
        <v>0.0</v>
      </c>
      <c r="E5685">
        <v>19.29</v>
      </c>
      <c r="F5685">
        <v>24.09</v>
      </c>
      <c r="G5685">
        <v>15.89</v>
      </c>
      <c r="H5685">
        <v>113.71</v>
      </c>
      <c r="I5685">
        <v>0.0</v>
      </c>
      <c r="J5685">
        <v>19.94</v>
      </c>
      <c r="K5685">
        <v>25.0</v>
      </c>
      <c r="L5685">
        <v>16.23</v>
      </c>
      <c r="M5685">
        <v>7.1</v>
      </c>
      <c r="N5685">
        <v>0.084</v>
      </c>
      <c r="O5685">
        <v>20.25</v>
      </c>
      <c r="P5685">
        <v>24.34</v>
      </c>
      <c r="Q5685">
        <v>17.49</v>
      </c>
      <c r="R5685">
        <v>20.72</v>
      </c>
    </row>
    <row r="5686">
      <c r="A5686" s="9">
        <v>44217</v>
      </c>
      <c r="B5686" s="2" t="inlineStr">
        <is>
          <t xml:space="preserve">2021-01</t>
        </is>
      </c>
      <c r="C5686" s="2" t="inlineStr">
        <is>
          <t xml:space="preserve">2020/21</t>
        </is>
      </c>
      <c r="D5686">
        <v>1.1</v>
      </c>
      <c r="E5686">
        <v>18.7</v>
      </c>
      <c r="F5686">
        <v>22.9</v>
      </c>
      <c r="G5686">
        <v>16.2</v>
      </c>
      <c r="H5686">
        <v>88.45</v>
      </c>
      <c r="I5686">
        <v>3.481</v>
      </c>
      <c r="J5686">
        <v>19.84</v>
      </c>
      <c r="K5686">
        <v>24.92</v>
      </c>
      <c r="L5686">
        <v>16.26</v>
      </c>
      <c r="M5686">
        <v>27.77</v>
      </c>
      <c r="N5686">
        <v>4.508</v>
      </c>
      <c r="O5686">
        <v>20.05</v>
      </c>
      <c r="P5686">
        <v>24.13</v>
      </c>
      <c r="Q5686">
        <v>17.11</v>
      </c>
      <c r="R5686">
        <v>46.64</v>
      </c>
    </row>
    <row r="5687">
      <c r="A5687" s="9">
        <v>44218</v>
      </c>
      <c r="B5687" s="2" t="inlineStr">
        <is>
          <t xml:space="preserve">2021-01</t>
        </is>
      </c>
      <c r="C5687" s="2" t="inlineStr">
        <is>
          <t xml:space="preserve">2020/21</t>
        </is>
      </c>
      <c r="D5687">
        <v>0.0</v>
      </c>
      <c r="E5687">
        <v>19.26</v>
      </c>
      <c r="F5687">
        <v>24.34</v>
      </c>
      <c r="G5687">
        <v>15.4</v>
      </c>
      <c r="H5687">
        <v>0.0</v>
      </c>
      <c r="I5687">
        <v>0.0</v>
      </c>
      <c r="J5687">
        <v>19.93</v>
      </c>
      <c r="K5687">
        <v>26.06</v>
      </c>
      <c r="L5687">
        <v>15.17</v>
      </c>
      <c r="M5687">
        <v>0.0</v>
      </c>
      <c r="N5687">
        <v>0.0</v>
      </c>
      <c r="O5687">
        <v>20.18</v>
      </c>
      <c r="P5687">
        <v>25.31</v>
      </c>
      <c r="Q5687">
        <v>16.54</v>
      </c>
      <c r="R5687">
        <v>0.0</v>
      </c>
    </row>
    <row r="5688">
      <c r="A5688" s="9">
        <v>44219</v>
      </c>
      <c r="B5688" s="2" t="inlineStr">
        <is>
          <t xml:space="preserve">2021-01</t>
        </is>
      </c>
      <c r="C5688" s="2" t="inlineStr">
        <is>
          <t xml:space="preserve">2020/21</t>
        </is>
      </c>
      <c r="D5688">
        <v>0.0</v>
      </c>
      <c r="E5688">
        <v>19.23</v>
      </c>
      <c r="F5688">
        <v>24.43</v>
      </c>
      <c r="G5688">
        <v>15.33</v>
      </c>
      <c r="H5688">
        <v>0.0</v>
      </c>
      <c r="I5688">
        <v>0.0</v>
      </c>
      <c r="J5688">
        <v>21.04</v>
      </c>
      <c r="K5688">
        <v>26.67</v>
      </c>
      <c r="L5688">
        <v>16.69</v>
      </c>
      <c r="M5688">
        <v>0.0</v>
      </c>
      <c r="N5688">
        <v>0.0</v>
      </c>
      <c r="O5688">
        <v>21.11</v>
      </c>
      <c r="P5688">
        <v>26.06</v>
      </c>
      <c r="Q5688">
        <v>17.57</v>
      </c>
      <c r="R5688">
        <v>0.0</v>
      </c>
    </row>
    <row r="5689">
      <c r="A5689" s="9">
        <v>44220</v>
      </c>
      <c r="B5689" s="2" t="inlineStr">
        <is>
          <t xml:space="preserve">2021-01</t>
        </is>
      </c>
      <c r="C5689" s="2" t="inlineStr">
        <is>
          <t xml:space="preserve">2020/21</t>
        </is>
      </c>
      <c r="D5689">
        <v>0.0</v>
      </c>
      <c r="E5689">
        <v>18.62</v>
      </c>
      <c r="F5689">
        <v>24.27</v>
      </c>
      <c r="G5689">
        <v>14.54</v>
      </c>
      <c r="H5689">
        <v>0.07</v>
      </c>
      <c r="I5689">
        <v>0.0</v>
      </c>
      <c r="J5689">
        <v>20.9</v>
      </c>
      <c r="K5689">
        <v>26.43</v>
      </c>
      <c r="L5689">
        <v>16.46</v>
      </c>
      <c r="M5689">
        <v>0.01</v>
      </c>
      <c r="N5689">
        <v>0.0</v>
      </c>
      <c r="O5689">
        <v>20.83</v>
      </c>
      <c r="P5689">
        <v>25.6</v>
      </c>
      <c r="Q5689">
        <v>17.53</v>
      </c>
      <c r="R5689">
        <v>0.26</v>
      </c>
    </row>
    <row r="5690">
      <c r="A5690" s="9">
        <v>44221</v>
      </c>
      <c r="B5690" s="2" t="inlineStr">
        <is>
          <t xml:space="preserve">2021-01</t>
        </is>
      </c>
      <c r="C5690" s="2" t="inlineStr">
        <is>
          <t xml:space="preserve">2020/21</t>
        </is>
      </c>
      <c r="D5690">
        <v>0.0</v>
      </c>
      <c r="E5690">
        <v>18.51</v>
      </c>
      <c r="F5690">
        <v>23.31</v>
      </c>
      <c r="G5690">
        <v>14.7</v>
      </c>
      <c r="H5690">
        <v>5.57</v>
      </c>
      <c r="I5690">
        <v>0.0</v>
      </c>
      <c r="J5690">
        <v>21.34</v>
      </c>
      <c r="K5690">
        <v>27.11</v>
      </c>
      <c r="L5690">
        <v>16.68</v>
      </c>
      <c r="M5690">
        <v>0.72</v>
      </c>
      <c r="N5690">
        <v>0.0</v>
      </c>
      <c r="O5690">
        <v>21.02</v>
      </c>
      <c r="P5690">
        <v>26.37</v>
      </c>
      <c r="Q5690">
        <v>17.16</v>
      </c>
      <c r="R5690">
        <v>26.68</v>
      </c>
    </row>
    <row r="5691">
      <c r="A5691" s="9">
        <v>44222</v>
      </c>
      <c r="B5691" s="2" t="inlineStr">
        <is>
          <t xml:space="preserve">2021-01</t>
        </is>
      </c>
      <c r="C5691" s="2" t="inlineStr">
        <is>
          <t xml:space="preserve">2020/21</t>
        </is>
      </c>
      <c r="D5691">
        <v>0.0</v>
      </c>
      <c r="E5691">
        <v>19.09</v>
      </c>
      <c r="F5691">
        <v>24.73</v>
      </c>
      <c r="G5691">
        <v>14.79</v>
      </c>
      <c r="H5691">
        <v>6.99</v>
      </c>
      <c r="I5691">
        <v>0.0</v>
      </c>
      <c r="J5691">
        <v>21.87</v>
      </c>
      <c r="K5691">
        <v>27.64</v>
      </c>
      <c r="L5691">
        <v>16.97</v>
      </c>
      <c r="M5691">
        <v>0.91</v>
      </c>
      <c r="N5691">
        <v>0.0</v>
      </c>
      <c r="O5691">
        <v>21.15</v>
      </c>
      <c r="P5691">
        <v>26.99</v>
      </c>
      <c r="Q5691">
        <v>16.5</v>
      </c>
      <c r="R5691">
        <v>22.31</v>
      </c>
    </row>
    <row r="5692">
      <c r="A5692" s="9">
        <v>44223</v>
      </c>
      <c r="B5692" s="2" t="inlineStr">
        <is>
          <t xml:space="preserve">2021-01</t>
        </is>
      </c>
      <c r="C5692" s="2" t="inlineStr">
        <is>
          <t xml:space="preserve">2020/21</t>
        </is>
      </c>
      <c r="D5692">
        <v>0.0</v>
      </c>
      <c r="E5692">
        <v>18.75</v>
      </c>
      <c r="F5692">
        <v>24.59</v>
      </c>
      <c r="G5692">
        <v>14.09</v>
      </c>
      <c r="H5692">
        <v>0.0</v>
      </c>
      <c r="I5692">
        <v>0.0</v>
      </c>
      <c r="J5692">
        <v>21.49</v>
      </c>
      <c r="K5692">
        <v>27.37</v>
      </c>
      <c r="L5692">
        <v>17.38</v>
      </c>
      <c r="M5692">
        <v>0.04</v>
      </c>
      <c r="N5692">
        <v>0.0</v>
      </c>
      <c r="O5692">
        <v>20.68</v>
      </c>
      <c r="P5692">
        <v>26.12</v>
      </c>
      <c r="Q5692">
        <v>16.38</v>
      </c>
      <c r="R5692">
        <v>0.03</v>
      </c>
    </row>
    <row r="5693">
      <c r="A5693" s="9">
        <v>44224</v>
      </c>
      <c r="B5693" s="2" t="inlineStr">
        <is>
          <t xml:space="preserve">2021-01</t>
        </is>
      </c>
      <c r="C5693" s="2" t="inlineStr">
        <is>
          <t xml:space="preserve">2020/21</t>
        </is>
      </c>
      <c r="D5693">
        <v>0.0</v>
      </c>
      <c r="E5693">
        <v>18.44</v>
      </c>
      <c r="F5693">
        <v>23.25</v>
      </c>
      <c r="G5693">
        <v>15.11</v>
      </c>
      <c r="H5693">
        <v>0.02</v>
      </c>
      <c r="I5693">
        <v>0.06</v>
      </c>
      <c r="J5693">
        <v>19.41</v>
      </c>
      <c r="K5693">
        <v>23.72</v>
      </c>
      <c r="L5693">
        <v>16.62</v>
      </c>
      <c r="M5693">
        <v>0.21</v>
      </c>
      <c r="N5693">
        <v>0.668</v>
      </c>
      <c r="O5693">
        <v>19.72</v>
      </c>
      <c r="P5693">
        <v>23.63</v>
      </c>
      <c r="Q5693">
        <v>17.29</v>
      </c>
      <c r="R5693">
        <v>0.17</v>
      </c>
    </row>
    <row r="5694">
      <c r="A5694" s="9">
        <v>44225</v>
      </c>
      <c r="B5694" s="2" t="inlineStr">
        <is>
          <t xml:space="preserve">2021-01</t>
        </is>
      </c>
      <c r="C5694" s="2" t="inlineStr">
        <is>
          <t xml:space="preserve">2020/21</t>
        </is>
      </c>
      <c r="D5694">
        <v>0.0</v>
      </c>
      <c r="E5694">
        <v>17.39</v>
      </c>
      <c r="F5694">
        <v>21.51</v>
      </c>
      <c r="G5694">
        <v>14.34</v>
      </c>
      <c r="H5694">
        <v>0.27</v>
      </c>
      <c r="I5694">
        <v>0.0</v>
      </c>
      <c r="J5694">
        <v>18.23</v>
      </c>
      <c r="K5694">
        <v>22.2</v>
      </c>
      <c r="L5694">
        <v>15.7</v>
      </c>
      <c r="M5694">
        <v>0.44</v>
      </c>
      <c r="N5694">
        <v>0.0</v>
      </c>
      <c r="O5694">
        <v>18.72</v>
      </c>
      <c r="P5694">
        <v>22.07</v>
      </c>
      <c r="Q5694">
        <v>16.59</v>
      </c>
      <c r="R5694">
        <v>0.85</v>
      </c>
    </row>
    <row r="5695">
      <c r="A5695" s="9">
        <v>44226</v>
      </c>
      <c r="B5695" s="2" t="inlineStr">
        <is>
          <t xml:space="preserve">2021-01</t>
        </is>
      </c>
      <c r="C5695" s="2" t="inlineStr">
        <is>
          <t xml:space="preserve">2020/21</t>
        </is>
      </c>
      <c r="D5695">
        <v>0.0</v>
      </c>
      <c r="E5695">
        <v>18.71</v>
      </c>
      <c r="F5695">
        <v>24.16</v>
      </c>
      <c r="G5695">
        <v>14.93</v>
      </c>
      <c r="H5695">
        <v>1.1</v>
      </c>
      <c r="I5695">
        <v>1.425</v>
      </c>
      <c r="J5695">
        <v>19.74</v>
      </c>
      <c r="K5695">
        <v>25.43</v>
      </c>
      <c r="L5695">
        <v>16.08</v>
      </c>
      <c r="M5695">
        <v>2.48</v>
      </c>
      <c r="N5695">
        <v>5.863</v>
      </c>
      <c r="O5695">
        <v>19.81</v>
      </c>
      <c r="P5695">
        <v>24.05</v>
      </c>
      <c r="Q5695">
        <v>17.35</v>
      </c>
      <c r="R5695">
        <v>4.46</v>
      </c>
    </row>
    <row r="5696">
      <c r="A5696" s="9">
        <v>44227</v>
      </c>
      <c r="B5696" s="2" t="inlineStr">
        <is>
          <t xml:space="preserve">2021-01</t>
        </is>
      </c>
      <c r="C5696" s="2" t="inlineStr">
        <is>
          <t xml:space="preserve">2020/21</t>
        </is>
      </c>
      <c r="D5696">
        <v>0.0</v>
      </c>
      <c r="E5696">
        <v>18.8</v>
      </c>
      <c r="F5696">
        <v>24.34</v>
      </c>
      <c r="G5696">
        <v>14.43</v>
      </c>
      <c r="H5696">
        <v>0.47</v>
      </c>
      <c r="I5696">
        <v>0.0</v>
      </c>
      <c r="J5696">
        <v>20.49</v>
      </c>
      <c r="K5696">
        <v>26.69</v>
      </c>
      <c r="L5696">
        <v>15.89</v>
      </c>
      <c r="M5696">
        <v>0.11</v>
      </c>
      <c r="N5696">
        <v>0.0</v>
      </c>
      <c r="O5696">
        <v>20.49</v>
      </c>
      <c r="P5696">
        <v>25.64</v>
      </c>
      <c r="Q5696">
        <v>17.25</v>
      </c>
      <c r="R5696">
        <v>0.71</v>
      </c>
    </row>
    <row r="5697">
      <c r="A5697" s="9">
        <v>44228</v>
      </c>
      <c r="B5697" s="2" t="inlineStr">
        <is>
          <t xml:space="preserve">2021-02</t>
        </is>
      </c>
      <c r="C5697" s="2" t="inlineStr">
        <is>
          <t xml:space="preserve">2020/21</t>
        </is>
      </c>
      <c r="D5697">
        <v>0.404</v>
      </c>
      <c r="E5697">
        <v>18.86</v>
      </c>
      <c r="F5697">
        <v>23.34</v>
      </c>
      <c r="G5697">
        <v>15.72</v>
      </c>
      <c r="H5697">
        <v>5.53</v>
      </c>
      <c r="I5697">
        <v>1.414</v>
      </c>
      <c r="J5697">
        <v>19.94</v>
      </c>
      <c r="K5697">
        <v>24.34</v>
      </c>
      <c r="L5697">
        <v>16.48</v>
      </c>
      <c r="M5697">
        <v>5.21</v>
      </c>
      <c r="N5697">
        <v>5.741</v>
      </c>
      <c r="O5697">
        <v>19.99</v>
      </c>
      <c r="P5697">
        <v>23.93</v>
      </c>
      <c r="Q5697">
        <v>17.32</v>
      </c>
      <c r="R5697">
        <v>14.91</v>
      </c>
    </row>
    <row r="5698">
      <c r="A5698" s="9">
        <v>44229</v>
      </c>
      <c r="B5698" s="2" t="inlineStr">
        <is>
          <t xml:space="preserve">2021-02</t>
        </is>
      </c>
      <c r="C5698" s="2" t="inlineStr">
        <is>
          <t xml:space="preserve">2020/21</t>
        </is>
      </c>
      <c r="D5698">
        <v>0.514</v>
      </c>
      <c r="E5698">
        <v>16.28</v>
      </c>
      <c r="F5698">
        <v>20.44</v>
      </c>
      <c r="G5698">
        <v>11.29</v>
      </c>
      <c r="H5698">
        <v>2.5</v>
      </c>
      <c r="I5698">
        <v>1.962</v>
      </c>
      <c r="J5698">
        <v>16.15</v>
      </c>
      <c r="K5698">
        <v>19.98</v>
      </c>
      <c r="L5698">
        <v>12.56</v>
      </c>
      <c r="M5698">
        <v>1.86</v>
      </c>
      <c r="N5698">
        <v>7.778</v>
      </c>
      <c r="O5698">
        <v>16.14</v>
      </c>
      <c r="P5698">
        <v>19.08</v>
      </c>
      <c r="Q5698">
        <v>13.53</v>
      </c>
      <c r="R5698">
        <v>5.02</v>
      </c>
    </row>
    <row r="5699">
      <c r="A5699" s="9">
        <v>44230</v>
      </c>
      <c r="B5699" s="2" t="inlineStr">
        <is>
          <t xml:space="preserve">2021-02</t>
        </is>
      </c>
      <c r="C5699" s="2" t="inlineStr">
        <is>
          <t xml:space="preserve">2020/21</t>
        </is>
      </c>
      <c r="D5699">
        <v>0.0</v>
      </c>
      <c r="E5699">
        <v>14.92</v>
      </c>
      <c r="F5699">
        <v>20.83</v>
      </c>
      <c r="G5699">
        <v>9.75</v>
      </c>
      <c r="H5699">
        <v>0.14</v>
      </c>
      <c r="I5699">
        <v>0.0</v>
      </c>
      <c r="J5699">
        <v>15.12</v>
      </c>
      <c r="K5699">
        <v>21.43</v>
      </c>
      <c r="L5699">
        <v>11.12</v>
      </c>
      <c r="M5699">
        <v>0.0</v>
      </c>
      <c r="N5699">
        <v>0.0</v>
      </c>
      <c r="O5699">
        <v>15.38</v>
      </c>
      <c r="P5699">
        <v>20.42</v>
      </c>
      <c r="Q5699">
        <v>12.19</v>
      </c>
      <c r="R5699">
        <v>0.03</v>
      </c>
    </row>
    <row r="5700">
      <c r="A5700" s="9">
        <v>44231</v>
      </c>
      <c r="B5700" s="2" t="inlineStr">
        <is>
          <t xml:space="preserve">2021-02</t>
        </is>
      </c>
      <c r="C5700" s="2" t="inlineStr">
        <is>
          <t xml:space="preserve">2020/21</t>
        </is>
      </c>
      <c r="D5700">
        <v>0.0</v>
      </c>
      <c r="E5700">
        <v>17.42</v>
      </c>
      <c r="F5700">
        <v>23.96</v>
      </c>
      <c r="G5700">
        <v>12.03</v>
      </c>
      <c r="H5700">
        <v>0.0</v>
      </c>
      <c r="I5700">
        <v>0.0</v>
      </c>
      <c r="J5700">
        <v>17.7</v>
      </c>
      <c r="K5700">
        <v>25.27</v>
      </c>
      <c r="L5700">
        <v>11.42</v>
      </c>
      <c r="M5700">
        <v>0.0</v>
      </c>
      <c r="N5700">
        <v>0.0</v>
      </c>
      <c r="O5700">
        <v>17.61</v>
      </c>
      <c r="P5700">
        <v>23.83</v>
      </c>
      <c r="Q5700">
        <v>12.76</v>
      </c>
      <c r="R5700">
        <v>0.0</v>
      </c>
    </row>
    <row r="5701">
      <c r="A5701" s="9">
        <v>44232</v>
      </c>
      <c r="B5701" s="2" t="inlineStr">
        <is>
          <t xml:space="preserve">2021-02</t>
        </is>
      </c>
      <c r="C5701" s="2" t="inlineStr">
        <is>
          <t xml:space="preserve">2020/21</t>
        </is>
      </c>
      <c r="D5701">
        <v>0.0</v>
      </c>
      <c r="E5701">
        <v>18.95</v>
      </c>
      <c r="F5701">
        <v>25.62</v>
      </c>
      <c r="G5701">
        <v>12.82</v>
      </c>
      <c r="H5701">
        <v>0.0</v>
      </c>
      <c r="I5701">
        <v>0.0</v>
      </c>
      <c r="J5701">
        <v>19.14</v>
      </c>
      <c r="K5701">
        <v>26.09</v>
      </c>
      <c r="L5701">
        <v>14.1</v>
      </c>
      <c r="M5701">
        <v>0.0</v>
      </c>
      <c r="N5701">
        <v>0.0</v>
      </c>
      <c r="O5701">
        <v>19.97</v>
      </c>
      <c r="P5701">
        <v>26.62</v>
      </c>
      <c r="Q5701">
        <v>13.89</v>
      </c>
      <c r="R5701">
        <v>0.0</v>
      </c>
    </row>
    <row r="5702">
      <c r="A5702" s="9">
        <v>44233</v>
      </c>
      <c r="B5702" s="2" t="inlineStr">
        <is>
          <t xml:space="preserve">2021-02</t>
        </is>
      </c>
      <c r="C5702" s="2" t="inlineStr">
        <is>
          <t xml:space="preserve">2020/21</t>
        </is>
      </c>
      <c r="D5702">
        <v>0.0</v>
      </c>
      <c r="E5702">
        <v>20.35</v>
      </c>
      <c r="F5702">
        <v>26.99</v>
      </c>
      <c r="G5702">
        <v>14.64</v>
      </c>
      <c r="H5702">
        <v>0.0</v>
      </c>
      <c r="I5702">
        <v>0.0</v>
      </c>
      <c r="J5702">
        <v>20.0</v>
      </c>
      <c r="K5702">
        <v>27.29</v>
      </c>
      <c r="L5702">
        <v>14.32</v>
      </c>
      <c r="M5702">
        <v>0.0</v>
      </c>
      <c r="N5702">
        <v>0.0</v>
      </c>
      <c r="O5702">
        <v>20.77</v>
      </c>
      <c r="P5702">
        <v>27.72</v>
      </c>
      <c r="Q5702">
        <v>14.36</v>
      </c>
      <c r="R5702">
        <v>0.0</v>
      </c>
    </row>
    <row r="5703">
      <c r="A5703" s="9">
        <v>44234</v>
      </c>
      <c r="B5703" s="2" t="inlineStr">
        <is>
          <t xml:space="preserve">2021-02</t>
        </is>
      </c>
      <c r="C5703" s="2" t="inlineStr">
        <is>
          <t xml:space="preserve">2020/21</t>
        </is>
      </c>
      <c r="D5703">
        <v>0.0</v>
      </c>
      <c r="E5703">
        <v>20.68</v>
      </c>
      <c r="F5703">
        <v>26.94</v>
      </c>
      <c r="G5703">
        <v>15.84</v>
      </c>
      <c r="H5703">
        <v>0.0</v>
      </c>
      <c r="I5703">
        <v>0.0</v>
      </c>
      <c r="J5703">
        <v>20.57</v>
      </c>
      <c r="K5703">
        <v>27.73</v>
      </c>
      <c r="L5703">
        <v>14.8</v>
      </c>
      <c r="M5703">
        <v>0.0</v>
      </c>
      <c r="N5703">
        <v>0.0</v>
      </c>
      <c r="O5703">
        <v>20.92</v>
      </c>
      <c r="P5703">
        <v>26.61</v>
      </c>
      <c r="Q5703">
        <v>15.89</v>
      </c>
      <c r="R5703">
        <v>0.0</v>
      </c>
    </row>
    <row r="5704">
      <c r="A5704" s="9">
        <v>44235</v>
      </c>
      <c r="B5704" s="2" t="inlineStr">
        <is>
          <t xml:space="preserve">2021-02</t>
        </is>
      </c>
      <c r="C5704" s="2" t="inlineStr">
        <is>
          <t xml:space="preserve">2020/21</t>
        </is>
      </c>
      <c r="D5704">
        <v>0.0</v>
      </c>
      <c r="E5704">
        <v>19.79</v>
      </c>
      <c r="F5704">
        <v>25.06</v>
      </c>
      <c r="G5704">
        <v>15.74</v>
      </c>
      <c r="H5704">
        <v>0.0</v>
      </c>
      <c r="I5704">
        <v>0.0</v>
      </c>
      <c r="J5704">
        <v>21.4</v>
      </c>
      <c r="K5704">
        <v>27.54</v>
      </c>
      <c r="L5704">
        <v>17.0</v>
      </c>
      <c r="M5704">
        <v>0.0</v>
      </c>
      <c r="N5704">
        <v>0.0</v>
      </c>
      <c r="O5704">
        <v>21.21</v>
      </c>
      <c r="P5704">
        <v>26.23</v>
      </c>
      <c r="Q5704">
        <v>18.23</v>
      </c>
      <c r="R5704">
        <v>0.0</v>
      </c>
    </row>
    <row r="5705">
      <c r="A5705" s="9">
        <v>44236</v>
      </c>
      <c r="B5705" s="2" t="inlineStr">
        <is>
          <t xml:space="preserve">2021-02</t>
        </is>
      </c>
      <c r="C5705" s="2" t="inlineStr">
        <is>
          <t xml:space="preserve">2020/21</t>
        </is>
      </c>
      <c r="D5705">
        <v>0.0</v>
      </c>
      <c r="E5705">
        <v>18.89</v>
      </c>
      <c r="F5705">
        <v>24.74</v>
      </c>
      <c r="G5705">
        <v>13.94</v>
      </c>
      <c r="H5705">
        <v>0.0</v>
      </c>
      <c r="I5705">
        <v>0.0</v>
      </c>
      <c r="J5705">
        <v>20.96</v>
      </c>
      <c r="K5705">
        <v>26.92</v>
      </c>
      <c r="L5705">
        <v>16.41</v>
      </c>
      <c r="M5705">
        <v>0.0</v>
      </c>
      <c r="N5705">
        <v>0.0</v>
      </c>
      <c r="O5705">
        <v>20.88</v>
      </c>
      <c r="P5705">
        <v>25.88</v>
      </c>
      <c r="Q5705">
        <v>18.04</v>
      </c>
      <c r="R5705">
        <v>0.0</v>
      </c>
    </row>
    <row r="5706">
      <c r="A5706" s="9">
        <v>44237</v>
      </c>
      <c r="B5706" s="2" t="inlineStr">
        <is>
          <t xml:space="preserve">2021-02</t>
        </is>
      </c>
      <c r="C5706" s="2" t="inlineStr">
        <is>
          <t xml:space="preserve">2020/21</t>
        </is>
      </c>
      <c r="D5706">
        <v>0.0</v>
      </c>
      <c r="E5706">
        <v>18.19</v>
      </c>
      <c r="F5706">
        <v>23.88</v>
      </c>
      <c r="G5706">
        <v>14.27</v>
      </c>
      <c r="H5706">
        <v>0.0</v>
      </c>
      <c r="I5706">
        <v>0.0</v>
      </c>
      <c r="J5706">
        <v>21.08</v>
      </c>
      <c r="K5706">
        <v>26.92</v>
      </c>
      <c r="L5706">
        <v>16.77</v>
      </c>
      <c r="M5706">
        <v>0.0</v>
      </c>
      <c r="N5706">
        <v>0.0</v>
      </c>
      <c r="O5706">
        <v>20.48</v>
      </c>
      <c r="P5706">
        <v>25.55</v>
      </c>
      <c r="Q5706">
        <v>16.96</v>
      </c>
      <c r="R5706">
        <v>0.0</v>
      </c>
    </row>
    <row r="5707">
      <c r="A5707" s="9">
        <v>44238</v>
      </c>
      <c r="B5707" s="2" t="inlineStr">
        <is>
          <t xml:space="preserve">2021-02</t>
        </is>
      </c>
      <c r="C5707" s="2" t="inlineStr">
        <is>
          <t xml:space="preserve">2020/21</t>
        </is>
      </c>
      <c r="D5707">
        <v>0.0</v>
      </c>
      <c r="E5707">
        <v>18.13</v>
      </c>
      <c r="F5707">
        <v>24.45</v>
      </c>
      <c r="G5707">
        <v>12.93</v>
      </c>
      <c r="H5707">
        <v>0.0</v>
      </c>
      <c r="I5707">
        <v>0.0</v>
      </c>
      <c r="J5707">
        <v>20.93</v>
      </c>
      <c r="K5707">
        <v>27.16</v>
      </c>
      <c r="L5707">
        <v>15.74</v>
      </c>
      <c r="M5707">
        <v>0.0</v>
      </c>
      <c r="N5707">
        <v>0.0</v>
      </c>
      <c r="O5707">
        <v>20.53</v>
      </c>
      <c r="P5707">
        <v>26.11</v>
      </c>
      <c r="Q5707">
        <v>16.42</v>
      </c>
      <c r="R5707">
        <v>0.0</v>
      </c>
    </row>
    <row r="5708">
      <c r="A5708" s="9">
        <v>44239</v>
      </c>
      <c r="B5708" s="2" t="inlineStr">
        <is>
          <t xml:space="preserve">2021-02</t>
        </is>
      </c>
      <c r="C5708" s="2" t="inlineStr">
        <is>
          <t xml:space="preserve">2020/21</t>
        </is>
      </c>
      <c r="D5708">
        <v>0.0</v>
      </c>
      <c r="E5708">
        <v>19.28</v>
      </c>
      <c r="F5708">
        <v>25.52</v>
      </c>
      <c r="G5708">
        <v>13.84</v>
      </c>
      <c r="H5708">
        <v>0.0</v>
      </c>
      <c r="I5708">
        <v>0.0</v>
      </c>
      <c r="J5708">
        <v>21.11</v>
      </c>
      <c r="K5708">
        <v>26.79</v>
      </c>
      <c r="L5708">
        <v>16.53</v>
      </c>
      <c r="M5708">
        <v>0.0</v>
      </c>
      <c r="N5708">
        <v>0.0</v>
      </c>
      <c r="O5708">
        <v>21.09</v>
      </c>
      <c r="P5708">
        <v>27.01</v>
      </c>
      <c r="Q5708">
        <v>15.03</v>
      </c>
      <c r="R5708">
        <v>0.0</v>
      </c>
    </row>
    <row r="5709">
      <c r="A5709" s="9">
        <v>44240</v>
      </c>
      <c r="B5709" s="2" t="inlineStr">
        <is>
          <t xml:space="preserve">2021-02</t>
        </is>
      </c>
      <c r="C5709" s="2" t="inlineStr">
        <is>
          <t xml:space="preserve">2020/21</t>
        </is>
      </c>
      <c r="D5709">
        <v>0.0</v>
      </c>
      <c r="E5709">
        <v>20.58</v>
      </c>
      <c r="F5709">
        <v>26.71</v>
      </c>
      <c r="G5709">
        <v>14.63</v>
      </c>
      <c r="H5709">
        <v>0.12</v>
      </c>
      <c r="I5709">
        <v>0.0</v>
      </c>
      <c r="J5709">
        <v>21.1</v>
      </c>
      <c r="K5709">
        <v>27.37</v>
      </c>
      <c r="L5709">
        <v>16.88</v>
      </c>
      <c r="M5709">
        <v>0.0</v>
      </c>
      <c r="N5709">
        <v>0.0</v>
      </c>
      <c r="O5709">
        <v>21.63</v>
      </c>
      <c r="P5709">
        <v>27.12</v>
      </c>
      <c r="Q5709">
        <v>17.18</v>
      </c>
      <c r="R5709">
        <v>0.0</v>
      </c>
    </row>
    <row r="5710">
      <c r="A5710" s="9">
        <v>44241</v>
      </c>
      <c r="B5710" s="2" t="inlineStr">
        <is>
          <t xml:space="preserve">2021-02</t>
        </is>
      </c>
      <c r="C5710" s="2" t="inlineStr">
        <is>
          <t xml:space="preserve">2020/21</t>
        </is>
      </c>
      <c r="D5710">
        <v>0.118</v>
      </c>
      <c r="E5710">
        <v>21.47</v>
      </c>
      <c r="F5710">
        <v>27.24</v>
      </c>
      <c r="G5710">
        <v>16.49</v>
      </c>
      <c r="H5710">
        <v>0.08</v>
      </c>
      <c r="I5710">
        <v>0.0</v>
      </c>
      <c r="J5710">
        <v>21.13</v>
      </c>
      <c r="K5710">
        <v>28.09</v>
      </c>
      <c r="L5710">
        <v>15.13</v>
      </c>
      <c r="M5710">
        <v>0.0</v>
      </c>
      <c r="N5710">
        <v>0.0</v>
      </c>
      <c r="O5710">
        <v>21.82</v>
      </c>
      <c r="P5710">
        <v>27.5</v>
      </c>
      <c r="Q5710">
        <v>16.15</v>
      </c>
      <c r="R5710">
        <v>0.0</v>
      </c>
    </row>
    <row r="5711">
      <c r="A5711" s="9">
        <v>44242</v>
      </c>
      <c r="B5711" s="2" t="inlineStr">
        <is>
          <t xml:space="preserve">2021-02</t>
        </is>
      </c>
      <c r="C5711" s="2" t="inlineStr">
        <is>
          <t xml:space="preserve">2020/21</t>
        </is>
      </c>
      <c r="D5711">
        <v>0.0</v>
      </c>
      <c r="E5711">
        <v>21.51</v>
      </c>
      <c r="F5711">
        <v>27.6</v>
      </c>
      <c r="G5711">
        <v>15.78</v>
      </c>
      <c r="H5711">
        <v>0.44</v>
      </c>
      <c r="I5711">
        <v>0.0</v>
      </c>
      <c r="J5711">
        <v>21.57</v>
      </c>
      <c r="K5711">
        <v>29.02</v>
      </c>
      <c r="L5711">
        <v>14.69</v>
      </c>
      <c r="M5711">
        <v>0.0</v>
      </c>
      <c r="N5711">
        <v>0.0</v>
      </c>
      <c r="O5711">
        <v>21.75</v>
      </c>
      <c r="P5711">
        <v>27.88</v>
      </c>
      <c r="Q5711">
        <v>16.13</v>
      </c>
      <c r="R5711">
        <v>0.03</v>
      </c>
    </row>
    <row r="5712">
      <c r="A5712" s="9">
        <v>44243</v>
      </c>
      <c r="B5712" s="2" t="inlineStr">
        <is>
          <t xml:space="preserve">2021-02</t>
        </is>
      </c>
      <c r="C5712" s="2" t="inlineStr">
        <is>
          <t xml:space="preserve">2020/21</t>
        </is>
      </c>
      <c r="D5712">
        <v>0.636</v>
      </c>
      <c r="E5712">
        <v>20.51</v>
      </c>
      <c r="F5712">
        <v>25.38</v>
      </c>
      <c r="G5712">
        <v>16.72</v>
      </c>
      <c r="H5712">
        <v>0.94</v>
      </c>
      <c r="I5712">
        <v>0.0</v>
      </c>
      <c r="J5712">
        <v>20.98</v>
      </c>
      <c r="K5712">
        <v>26.96</v>
      </c>
      <c r="L5712">
        <v>15.6</v>
      </c>
      <c r="M5712">
        <v>0.01</v>
      </c>
      <c r="N5712">
        <v>0.0</v>
      </c>
      <c r="O5712">
        <v>20.68</v>
      </c>
      <c r="P5712">
        <v>25.63</v>
      </c>
      <c r="Q5712">
        <v>17.41</v>
      </c>
      <c r="R5712">
        <v>0.52</v>
      </c>
    </row>
    <row r="5713">
      <c r="A5713" s="9">
        <v>44244</v>
      </c>
      <c r="B5713" s="2" t="inlineStr">
        <is>
          <t xml:space="preserve">2021-02</t>
        </is>
      </c>
      <c r="C5713" s="2" t="inlineStr">
        <is>
          <t xml:space="preserve">2020/21</t>
        </is>
      </c>
      <c r="D5713">
        <v>0.0</v>
      </c>
      <c r="E5713">
        <v>20.75</v>
      </c>
      <c r="F5713">
        <v>26.15</v>
      </c>
      <c r="G5713">
        <v>16.51</v>
      </c>
      <c r="H5713">
        <v>0.06</v>
      </c>
      <c r="I5713">
        <v>0.0</v>
      </c>
      <c r="J5713">
        <v>21.99</v>
      </c>
      <c r="K5713">
        <v>27.83</v>
      </c>
      <c r="L5713">
        <v>17.68</v>
      </c>
      <c r="M5713">
        <v>0.01</v>
      </c>
      <c r="N5713">
        <v>0.0</v>
      </c>
      <c r="O5713">
        <v>22.17</v>
      </c>
      <c r="P5713">
        <v>27.28</v>
      </c>
      <c r="Q5713">
        <v>18.0</v>
      </c>
      <c r="R5713">
        <v>0.1</v>
      </c>
    </row>
    <row r="5714">
      <c r="A5714" s="9">
        <v>44245</v>
      </c>
      <c r="B5714" s="2" t="inlineStr">
        <is>
          <t xml:space="preserve">2021-02</t>
        </is>
      </c>
      <c r="C5714" s="2" t="inlineStr">
        <is>
          <t xml:space="preserve">2020/21</t>
        </is>
      </c>
      <c r="D5714">
        <v>0.0</v>
      </c>
      <c r="E5714">
        <v>21.36</v>
      </c>
      <c r="F5714">
        <v>27.05</v>
      </c>
      <c r="G5714">
        <v>16.47</v>
      </c>
      <c r="H5714">
        <v>0.8</v>
      </c>
      <c r="I5714">
        <v>0.0</v>
      </c>
      <c r="J5714">
        <v>22.15</v>
      </c>
      <c r="K5714">
        <v>28.46</v>
      </c>
      <c r="L5714">
        <v>17.12</v>
      </c>
      <c r="M5714">
        <v>0.49</v>
      </c>
      <c r="N5714">
        <v>0.0</v>
      </c>
      <c r="O5714">
        <v>22.47</v>
      </c>
      <c r="P5714">
        <v>28.27</v>
      </c>
      <c r="Q5714">
        <v>18.3</v>
      </c>
      <c r="R5714">
        <v>1.13</v>
      </c>
    </row>
    <row r="5715">
      <c r="A5715" s="9">
        <v>44246</v>
      </c>
      <c r="B5715" s="2" t="inlineStr">
        <is>
          <t xml:space="preserve">2021-02</t>
        </is>
      </c>
      <c r="C5715" s="2" t="inlineStr">
        <is>
          <t xml:space="preserve">2020/21</t>
        </is>
      </c>
      <c r="D5715">
        <v>1.045</v>
      </c>
      <c r="E5715">
        <v>19.36</v>
      </c>
      <c r="F5715">
        <v>24.57</v>
      </c>
      <c r="G5715">
        <v>15.6</v>
      </c>
      <c r="H5715">
        <v>1.79</v>
      </c>
      <c r="I5715">
        <v>8.864</v>
      </c>
      <c r="J5715">
        <v>20.41</v>
      </c>
      <c r="K5715">
        <v>25.18</v>
      </c>
      <c r="L5715">
        <v>16.76</v>
      </c>
      <c r="M5715">
        <v>10.9</v>
      </c>
      <c r="N5715">
        <v>11.215</v>
      </c>
      <c r="O5715">
        <v>20.69</v>
      </c>
      <c r="P5715">
        <v>24.79</v>
      </c>
      <c r="Q5715">
        <v>17.36</v>
      </c>
      <c r="R5715">
        <v>8.08</v>
      </c>
    </row>
    <row r="5716">
      <c r="A5716" s="9">
        <v>44247</v>
      </c>
      <c r="B5716" s="2" t="inlineStr">
        <is>
          <t xml:space="preserve">2021-02</t>
        </is>
      </c>
      <c r="C5716" s="2" t="inlineStr">
        <is>
          <t xml:space="preserve">2020/21</t>
        </is>
      </c>
      <c r="D5716">
        <v>4.879</v>
      </c>
      <c r="E5716">
        <v>18.56</v>
      </c>
      <c r="F5716">
        <v>23.56</v>
      </c>
      <c r="G5716">
        <v>15.64</v>
      </c>
      <c r="H5716">
        <v>8.98</v>
      </c>
      <c r="I5716">
        <v>7.27</v>
      </c>
      <c r="J5716">
        <v>17.8</v>
      </c>
      <c r="K5716">
        <v>22.26</v>
      </c>
      <c r="L5716">
        <v>14.76</v>
      </c>
      <c r="M5716">
        <v>5.73</v>
      </c>
      <c r="N5716">
        <v>9.021</v>
      </c>
      <c r="O5716">
        <v>17.83</v>
      </c>
      <c r="P5716">
        <v>21.0</v>
      </c>
      <c r="Q5716">
        <v>16.13</v>
      </c>
      <c r="R5716">
        <v>13.54</v>
      </c>
    </row>
    <row r="5717">
      <c r="A5717" s="9">
        <v>44248</v>
      </c>
      <c r="B5717" s="2" t="inlineStr">
        <is>
          <t xml:space="preserve">2021-02</t>
        </is>
      </c>
      <c r="C5717" s="2" t="inlineStr">
        <is>
          <t xml:space="preserve">2020/21</t>
        </is>
      </c>
      <c r="D5717">
        <v>0.029</v>
      </c>
      <c r="E5717">
        <v>18.97</v>
      </c>
      <c r="F5717">
        <v>24.15</v>
      </c>
      <c r="G5717">
        <v>15.13</v>
      </c>
      <c r="H5717">
        <v>0.3</v>
      </c>
      <c r="I5717">
        <v>0.039</v>
      </c>
      <c r="J5717">
        <v>19.08</v>
      </c>
      <c r="K5717">
        <v>24.97</v>
      </c>
      <c r="L5717">
        <v>14.48</v>
      </c>
      <c r="M5717">
        <v>0.12</v>
      </c>
      <c r="N5717">
        <v>0.431</v>
      </c>
      <c r="O5717">
        <v>18.66</v>
      </c>
      <c r="P5717">
        <v>23.56</v>
      </c>
      <c r="Q5717">
        <v>15.09</v>
      </c>
      <c r="R5717">
        <v>0.4</v>
      </c>
    </row>
    <row r="5718">
      <c r="A5718" s="9">
        <v>44249</v>
      </c>
      <c r="B5718" s="2" t="inlineStr">
        <is>
          <t xml:space="preserve">2021-02</t>
        </is>
      </c>
      <c r="C5718" s="2" t="inlineStr">
        <is>
          <t xml:space="preserve">2020/21</t>
        </is>
      </c>
      <c r="D5718">
        <v>0.0</v>
      </c>
      <c r="E5718">
        <v>19.33</v>
      </c>
      <c r="F5718">
        <v>24.34</v>
      </c>
      <c r="G5718">
        <v>15.44</v>
      </c>
      <c r="H5718">
        <v>0.04</v>
      </c>
      <c r="I5718">
        <v>0.0</v>
      </c>
      <c r="J5718">
        <v>20.17</v>
      </c>
      <c r="K5718">
        <v>25.15</v>
      </c>
      <c r="L5718">
        <v>16.53</v>
      </c>
      <c r="M5718">
        <v>0.01</v>
      </c>
      <c r="N5718">
        <v>0.0</v>
      </c>
      <c r="O5718">
        <v>19.9</v>
      </c>
      <c r="P5718">
        <v>24.24</v>
      </c>
      <c r="Q5718">
        <v>16.46</v>
      </c>
      <c r="R5718">
        <v>0.03</v>
      </c>
    </row>
    <row r="5719">
      <c r="A5719" s="9">
        <v>44250</v>
      </c>
      <c r="B5719" s="2" t="inlineStr">
        <is>
          <t xml:space="preserve">2021-02</t>
        </is>
      </c>
      <c r="C5719" s="2" t="inlineStr">
        <is>
          <t xml:space="preserve">2020/21</t>
        </is>
      </c>
      <c r="D5719">
        <v>0.035</v>
      </c>
      <c r="E5719">
        <v>19.01</v>
      </c>
      <c r="F5719">
        <v>23.85</v>
      </c>
      <c r="G5719">
        <v>15.38</v>
      </c>
      <c r="H5719">
        <v>0.1</v>
      </c>
      <c r="I5719">
        <v>0.0</v>
      </c>
      <c r="J5719">
        <v>19.76</v>
      </c>
      <c r="K5719">
        <v>25.12</v>
      </c>
      <c r="L5719">
        <v>15.71</v>
      </c>
      <c r="M5719">
        <v>0.12</v>
      </c>
      <c r="N5719">
        <v>0.0</v>
      </c>
      <c r="O5719">
        <v>19.71</v>
      </c>
      <c r="P5719">
        <v>24.32</v>
      </c>
      <c r="Q5719">
        <v>15.95</v>
      </c>
      <c r="R5719">
        <v>0.17</v>
      </c>
    </row>
    <row r="5720">
      <c r="A5720" s="9">
        <v>44251</v>
      </c>
      <c r="B5720" s="2" t="inlineStr">
        <is>
          <t xml:space="preserve">2021-02</t>
        </is>
      </c>
      <c r="C5720" s="2" t="inlineStr">
        <is>
          <t xml:space="preserve">2020/21</t>
        </is>
      </c>
      <c r="D5720">
        <v>0.256</v>
      </c>
      <c r="E5720">
        <v>19.37</v>
      </c>
      <c r="F5720">
        <v>24.35</v>
      </c>
      <c r="G5720">
        <v>15.44</v>
      </c>
      <c r="H5720">
        <v>0.27</v>
      </c>
      <c r="I5720">
        <v>0.224</v>
      </c>
      <c r="J5720">
        <v>20.38</v>
      </c>
      <c r="K5720">
        <v>26.18</v>
      </c>
      <c r="L5720">
        <v>16.09</v>
      </c>
      <c r="M5720">
        <v>0.35</v>
      </c>
      <c r="N5720">
        <v>0.766</v>
      </c>
      <c r="O5720">
        <v>20.24</v>
      </c>
      <c r="P5720">
        <v>24.81</v>
      </c>
      <c r="Q5720">
        <v>16.7</v>
      </c>
      <c r="R5720">
        <v>0.66</v>
      </c>
    </row>
    <row r="5721">
      <c r="A5721" s="9">
        <v>44252</v>
      </c>
      <c r="B5721" s="2" t="inlineStr">
        <is>
          <t xml:space="preserve">2021-02</t>
        </is>
      </c>
      <c r="C5721" s="2" t="inlineStr">
        <is>
          <t xml:space="preserve">2020/21</t>
        </is>
      </c>
      <c r="D5721">
        <v>0.0</v>
      </c>
      <c r="E5721">
        <v>19.26</v>
      </c>
      <c r="F5721">
        <v>24.4</v>
      </c>
      <c r="G5721">
        <v>15.27</v>
      </c>
      <c r="H5721">
        <v>0.56</v>
      </c>
      <c r="I5721">
        <v>0.0</v>
      </c>
      <c r="J5721">
        <v>20.87</v>
      </c>
      <c r="K5721">
        <v>26.14</v>
      </c>
      <c r="L5721">
        <v>17.19</v>
      </c>
      <c r="M5721">
        <v>0.27</v>
      </c>
      <c r="N5721">
        <v>0.121</v>
      </c>
      <c r="O5721">
        <v>20.41</v>
      </c>
      <c r="P5721">
        <v>24.61</v>
      </c>
      <c r="Q5721">
        <v>17.48</v>
      </c>
      <c r="R5721">
        <v>1.84</v>
      </c>
    </row>
    <row r="5722">
      <c r="A5722" s="9">
        <v>44253</v>
      </c>
      <c r="B5722" s="2" t="inlineStr">
        <is>
          <t xml:space="preserve">2021-02</t>
        </is>
      </c>
      <c r="C5722" s="2" t="inlineStr">
        <is>
          <t xml:space="preserve">2020/21</t>
        </is>
      </c>
      <c r="D5722">
        <v>0.0</v>
      </c>
      <c r="E5722">
        <v>19.35</v>
      </c>
      <c r="F5722">
        <v>24.68</v>
      </c>
      <c r="G5722">
        <v>15.5</v>
      </c>
      <c r="H5722">
        <v>0.1</v>
      </c>
      <c r="I5722">
        <v>0.167</v>
      </c>
      <c r="J5722">
        <v>20.93</v>
      </c>
      <c r="K5722">
        <v>26.59</v>
      </c>
      <c r="L5722">
        <v>16.22</v>
      </c>
      <c r="M5722">
        <v>0.24</v>
      </c>
      <c r="N5722">
        <v>0.675</v>
      </c>
      <c r="O5722">
        <v>20.46</v>
      </c>
      <c r="P5722">
        <v>25.52</v>
      </c>
      <c r="Q5722">
        <v>16.73</v>
      </c>
      <c r="R5722">
        <v>0.49</v>
      </c>
    </row>
    <row r="5723">
      <c r="A5723" s="9">
        <v>44254</v>
      </c>
      <c r="B5723" s="2" t="inlineStr">
        <is>
          <t xml:space="preserve">2021-02</t>
        </is>
      </c>
      <c r="C5723" s="2" t="inlineStr">
        <is>
          <t xml:space="preserve">2020/21</t>
        </is>
      </c>
      <c r="D5723">
        <v>0.0</v>
      </c>
      <c r="E5723">
        <v>19.43</v>
      </c>
      <c r="F5723">
        <v>25.35</v>
      </c>
      <c r="G5723">
        <v>14.69</v>
      </c>
      <c r="H5723">
        <v>0.02</v>
      </c>
      <c r="I5723">
        <v>0.0</v>
      </c>
      <c r="J5723">
        <v>21.85</v>
      </c>
      <c r="K5723">
        <v>28.41</v>
      </c>
      <c r="L5723">
        <v>16.89</v>
      </c>
      <c r="M5723">
        <v>0.0</v>
      </c>
      <c r="N5723">
        <v>0.0</v>
      </c>
      <c r="O5723">
        <v>20.96</v>
      </c>
      <c r="P5723">
        <v>26.22</v>
      </c>
      <c r="Q5723">
        <v>17.3</v>
      </c>
      <c r="R5723">
        <v>0.0</v>
      </c>
    </row>
    <row r="5724">
      <c r="A5724" s="9">
        <v>44255</v>
      </c>
      <c r="B5724" s="2" t="inlineStr">
        <is>
          <t xml:space="preserve">2021-02</t>
        </is>
      </c>
      <c r="C5724" s="2" t="inlineStr">
        <is>
          <t xml:space="preserve">2020/21</t>
        </is>
      </c>
      <c r="D5724">
        <v>0.0</v>
      </c>
      <c r="E5724">
        <v>19.61</v>
      </c>
      <c r="F5724">
        <v>25.93</v>
      </c>
      <c r="G5724">
        <v>13.64</v>
      </c>
      <c r="H5724">
        <v>0.14</v>
      </c>
      <c r="I5724">
        <v>0.0</v>
      </c>
      <c r="J5724">
        <v>22.09</v>
      </c>
      <c r="K5724">
        <v>28.5</v>
      </c>
      <c r="L5724">
        <v>16.88</v>
      </c>
      <c r="M5724">
        <v>0.0</v>
      </c>
      <c r="N5724">
        <v>0.0</v>
      </c>
      <c r="O5724">
        <v>21.36</v>
      </c>
      <c r="P5724">
        <v>26.45</v>
      </c>
      <c r="Q5724">
        <v>17.5</v>
      </c>
      <c r="R5724">
        <v>0.0</v>
      </c>
    </row>
    <row r="5725">
      <c r="A5725" s="9">
        <v>44256</v>
      </c>
      <c r="B5725" s="2" t="inlineStr">
        <is>
          <t xml:space="preserve">2021-03</t>
        </is>
      </c>
      <c r="C5725" s="2" t="inlineStr">
        <is>
          <t xml:space="preserve">2020/21</t>
        </is>
      </c>
      <c r="D5725">
        <v>0.0</v>
      </c>
      <c r="E5725">
        <v>18.35</v>
      </c>
      <c r="F5725">
        <v>24.41</v>
      </c>
      <c r="G5725">
        <v>13.05</v>
      </c>
      <c r="H5725">
        <v>0.1</v>
      </c>
      <c r="I5725">
        <v>0.0</v>
      </c>
      <c r="J5725">
        <v>22.16</v>
      </c>
      <c r="K5725">
        <v>28.94</v>
      </c>
      <c r="L5725">
        <v>16.53</v>
      </c>
      <c r="M5725">
        <v>0.0</v>
      </c>
      <c r="N5725">
        <v>0.0</v>
      </c>
      <c r="O5725">
        <v>20.84</v>
      </c>
      <c r="P5725">
        <v>25.85</v>
      </c>
      <c r="Q5725">
        <v>17.47</v>
      </c>
      <c r="R5725">
        <v>0.0</v>
      </c>
    </row>
    <row r="5726">
      <c r="A5726" s="9">
        <v>44257</v>
      </c>
      <c r="B5726" s="2" t="inlineStr">
        <is>
          <t xml:space="preserve">2021-03</t>
        </is>
      </c>
      <c r="C5726" s="2" t="inlineStr">
        <is>
          <t xml:space="preserve">2020/21</t>
        </is>
      </c>
      <c r="D5726">
        <v>0.0</v>
      </c>
      <c r="E5726">
        <v>19.58</v>
      </c>
      <c r="F5726">
        <v>25.98</v>
      </c>
      <c r="G5726">
        <v>14.13</v>
      </c>
      <c r="H5726">
        <v>0.01</v>
      </c>
      <c r="I5726">
        <v>0.0</v>
      </c>
      <c r="J5726">
        <v>20.88</v>
      </c>
      <c r="K5726">
        <v>27.96</v>
      </c>
      <c r="L5726">
        <v>15.35</v>
      </c>
      <c r="M5726">
        <v>0.0</v>
      </c>
      <c r="N5726">
        <v>0.0</v>
      </c>
      <c r="O5726">
        <v>20.52</v>
      </c>
      <c r="P5726">
        <v>25.92</v>
      </c>
      <c r="Q5726">
        <v>16.34</v>
      </c>
      <c r="R5726">
        <v>0.0</v>
      </c>
    </row>
    <row r="5727">
      <c r="A5727" s="9">
        <v>44258</v>
      </c>
      <c r="B5727" s="2" t="inlineStr">
        <is>
          <t xml:space="preserve">2021-03</t>
        </is>
      </c>
      <c r="C5727" s="2" t="inlineStr">
        <is>
          <t xml:space="preserve">2020/21</t>
        </is>
      </c>
      <c r="D5727">
        <v>0.0</v>
      </c>
      <c r="E5727">
        <v>18.77</v>
      </c>
      <c r="F5727">
        <v>24.74</v>
      </c>
      <c r="G5727">
        <v>14.44</v>
      </c>
      <c r="H5727">
        <v>0.0</v>
      </c>
      <c r="I5727">
        <v>0.0</v>
      </c>
      <c r="J5727">
        <v>20.59</v>
      </c>
      <c r="K5727">
        <v>27.2</v>
      </c>
      <c r="L5727">
        <v>14.76</v>
      </c>
      <c r="M5727">
        <v>0.02</v>
      </c>
      <c r="N5727">
        <v>0.0</v>
      </c>
      <c r="O5727">
        <v>20.01</v>
      </c>
      <c r="P5727">
        <v>25.18</v>
      </c>
      <c r="Q5727">
        <v>15.93</v>
      </c>
      <c r="R5727">
        <v>0.0</v>
      </c>
    </row>
    <row r="5728">
      <c r="A5728" s="9">
        <v>44259</v>
      </c>
      <c r="B5728" s="2" t="inlineStr">
        <is>
          <t xml:space="preserve">2021-03</t>
        </is>
      </c>
      <c r="C5728" s="2" t="inlineStr">
        <is>
          <t xml:space="preserve">2020/21</t>
        </is>
      </c>
      <c r="D5728">
        <v>0.0</v>
      </c>
      <c r="E5728">
        <v>19.7</v>
      </c>
      <c r="F5728">
        <v>25.47</v>
      </c>
      <c r="G5728">
        <v>14.89</v>
      </c>
      <c r="H5728">
        <v>0.0</v>
      </c>
      <c r="I5728">
        <v>0.0</v>
      </c>
      <c r="J5728">
        <v>19.66</v>
      </c>
      <c r="K5728">
        <v>27.07</v>
      </c>
      <c r="L5728">
        <v>13.28</v>
      </c>
      <c r="M5728">
        <v>0.0</v>
      </c>
      <c r="N5728">
        <v>0.0</v>
      </c>
      <c r="O5728">
        <v>19.37</v>
      </c>
      <c r="P5728">
        <v>25.38</v>
      </c>
      <c r="Q5728">
        <v>14.57</v>
      </c>
      <c r="R5728">
        <v>0.0</v>
      </c>
    </row>
    <row r="5729">
      <c r="A5729" s="9">
        <v>44260</v>
      </c>
      <c r="B5729" s="2" t="inlineStr">
        <is>
          <t xml:space="preserve">2021-03</t>
        </is>
      </c>
      <c r="C5729" s="2" t="inlineStr">
        <is>
          <t xml:space="preserve">2020/21</t>
        </is>
      </c>
      <c r="D5729">
        <v>0.0</v>
      </c>
      <c r="E5729">
        <v>19.78</v>
      </c>
      <c r="F5729">
        <v>25.33</v>
      </c>
      <c r="G5729">
        <v>15.61</v>
      </c>
      <c r="H5729">
        <v>0.0</v>
      </c>
      <c r="I5729">
        <v>0.0</v>
      </c>
      <c r="J5729">
        <v>21.25</v>
      </c>
      <c r="K5729">
        <v>28.25</v>
      </c>
      <c r="L5729">
        <v>15.1</v>
      </c>
      <c r="M5729">
        <v>0.0</v>
      </c>
      <c r="N5729">
        <v>0.0</v>
      </c>
      <c r="O5729">
        <v>20.0</v>
      </c>
      <c r="P5729">
        <v>25.62</v>
      </c>
      <c r="Q5729">
        <v>15.84</v>
      </c>
      <c r="R5729">
        <v>0.0</v>
      </c>
    </row>
    <row r="5730">
      <c r="A5730" s="9">
        <v>44261</v>
      </c>
      <c r="B5730" s="2" t="inlineStr">
        <is>
          <t xml:space="preserve">2021-03</t>
        </is>
      </c>
      <c r="C5730" s="2" t="inlineStr">
        <is>
          <t xml:space="preserve">2020/21</t>
        </is>
      </c>
      <c r="D5730">
        <v>0.0</v>
      </c>
      <c r="E5730">
        <v>19.82</v>
      </c>
      <c r="F5730">
        <v>26.26</v>
      </c>
      <c r="G5730">
        <v>13.88</v>
      </c>
      <c r="H5730">
        <v>0.0</v>
      </c>
      <c r="I5730">
        <v>0.0</v>
      </c>
      <c r="J5730">
        <v>21.72</v>
      </c>
      <c r="K5730">
        <v>29.11</v>
      </c>
      <c r="L5730">
        <v>16.15</v>
      </c>
      <c r="M5730">
        <v>0.0</v>
      </c>
      <c r="N5730">
        <v>0.0</v>
      </c>
      <c r="O5730">
        <v>20.48</v>
      </c>
      <c r="P5730">
        <v>26.33</v>
      </c>
      <c r="Q5730">
        <v>16.43</v>
      </c>
      <c r="R5730">
        <v>0.0</v>
      </c>
    </row>
    <row r="5731">
      <c r="A5731" s="9">
        <v>44262</v>
      </c>
      <c r="B5731" s="2" t="inlineStr">
        <is>
          <t xml:space="preserve">2021-03</t>
        </is>
      </c>
      <c r="C5731" s="2" t="inlineStr">
        <is>
          <t xml:space="preserve">2020/21</t>
        </is>
      </c>
      <c r="D5731">
        <v>0.0</v>
      </c>
      <c r="E5731">
        <v>19.53</v>
      </c>
      <c r="F5731">
        <v>24.45</v>
      </c>
      <c r="G5731">
        <v>14.93</v>
      </c>
      <c r="H5731">
        <v>0.63</v>
      </c>
      <c r="I5731">
        <v>0.0</v>
      </c>
      <c r="J5731">
        <v>21.05</v>
      </c>
      <c r="K5731">
        <v>27.57</v>
      </c>
      <c r="L5731">
        <v>15.81</v>
      </c>
      <c r="M5731">
        <v>1.06</v>
      </c>
      <c r="N5731">
        <v>0.0</v>
      </c>
      <c r="O5731">
        <v>19.87</v>
      </c>
      <c r="P5731">
        <v>24.68</v>
      </c>
      <c r="Q5731">
        <v>15.88</v>
      </c>
      <c r="R5731">
        <v>1.8</v>
      </c>
    </row>
    <row r="5732">
      <c r="A5732" s="9">
        <v>44263</v>
      </c>
      <c r="B5732" s="2" t="inlineStr">
        <is>
          <t xml:space="preserve">2021-03</t>
        </is>
      </c>
      <c r="C5732" s="2" t="inlineStr">
        <is>
          <t xml:space="preserve">2020/21</t>
        </is>
      </c>
      <c r="D5732">
        <v>0.11</v>
      </c>
      <c r="E5732">
        <v>19.43</v>
      </c>
      <c r="F5732">
        <v>24.61</v>
      </c>
      <c r="G5732">
        <v>16.17</v>
      </c>
      <c r="H5732">
        <v>2.44</v>
      </c>
      <c r="I5732">
        <v>1.918</v>
      </c>
      <c r="J5732">
        <v>19.82</v>
      </c>
      <c r="K5732">
        <v>25.31</v>
      </c>
      <c r="L5732">
        <v>16.13</v>
      </c>
      <c r="M5732">
        <v>3.04</v>
      </c>
      <c r="N5732">
        <v>7.861</v>
      </c>
      <c r="O5732">
        <v>19.25</v>
      </c>
      <c r="P5732">
        <v>23.55</v>
      </c>
      <c r="Q5732">
        <v>16.17</v>
      </c>
      <c r="R5732">
        <v>5.55</v>
      </c>
    </row>
    <row r="5733">
      <c r="A5733" s="9">
        <v>44264</v>
      </c>
      <c r="B5733" s="2" t="inlineStr">
        <is>
          <t xml:space="preserve">2021-03</t>
        </is>
      </c>
      <c r="C5733" s="2" t="inlineStr">
        <is>
          <t xml:space="preserve">2020/21</t>
        </is>
      </c>
      <c r="D5733">
        <v>0.149</v>
      </c>
      <c r="E5733">
        <v>19.36</v>
      </c>
      <c r="F5733">
        <v>25.07</v>
      </c>
      <c r="G5733">
        <v>15.42</v>
      </c>
      <c r="H5733">
        <v>1.47</v>
      </c>
      <c r="I5733">
        <v>0.434</v>
      </c>
      <c r="J5733">
        <v>19.32</v>
      </c>
      <c r="K5733">
        <v>24.95</v>
      </c>
      <c r="L5733">
        <v>15.01</v>
      </c>
      <c r="M5733">
        <v>0.92</v>
      </c>
      <c r="N5733">
        <v>1.711</v>
      </c>
      <c r="O5733">
        <v>18.78</v>
      </c>
      <c r="P5733">
        <v>23.37</v>
      </c>
      <c r="Q5733">
        <v>14.92</v>
      </c>
      <c r="R5733">
        <v>2.48</v>
      </c>
    </row>
    <row r="5734">
      <c r="A5734" s="9">
        <v>44265</v>
      </c>
      <c r="B5734" s="2" t="inlineStr">
        <is>
          <t xml:space="preserve">2021-03</t>
        </is>
      </c>
      <c r="C5734" s="2" t="inlineStr">
        <is>
          <t xml:space="preserve">2020/21</t>
        </is>
      </c>
      <c r="D5734">
        <v>0.224</v>
      </c>
      <c r="E5734">
        <v>20.17</v>
      </c>
      <c r="F5734">
        <v>25.5</v>
      </c>
      <c r="G5734">
        <v>16.43</v>
      </c>
      <c r="H5734">
        <v>1.86</v>
      </c>
      <c r="I5734">
        <v>0.209</v>
      </c>
      <c r="J5734">
        <v>21.35</v>
      </c>
      <c r="K5734">
        <v>27.77</v>
      </c>
      <c r="L5734">
        <v>17.29</v>
      </c>
      <c r="M5734">
        <v>0.89</v>
      </c>
      <c r="N5734">
        <v>1.031</v>
      </c>
      <c r="O5734">
        <v>20.53</v>
      </c>
      <c r="P5734">
        <v>24.7</v>
      </c>
      <c r="Q5734">
        <v>18.03</v>
      </c>
      <c r="R5734">
        <v>3.89</v>
      </c>
    </row>
    <row r="5735">
      <c r="A5735" s="9">
        <v>44266</v>
      </c>
      <c r="B5735" s="2" t="inlineStr">
        <is>
          <t xml:space="preserve">2021-03</t>
        </is>
      </c>
      <c r="C5735" s="2" t="inlineStr">
        <is>
          <t xml:space="preserve">2020/21</t>
        </is>
      </c>
      <c r="D5735">
        <v>0.26</v>
      </c>
      <c r="E5735">
        <v>20.27</v>
      </c>
      <c r="F5735">
        <v>25.63</v>
      </c>
      <c r="G5735">
        <v>16.28</v>
      </c>
      <c r="H5735">
        <v>0.53</v>
      </c>
      <c r="I5735">
        <v>0.474</v>
      </c>
      <c r="J5735">
        <v>21.63</v>
      </c>
      <c r="K5735">
        <v>27.97</v>
      </c>
      <c r="L5735">
        <v>17.55</v>
      </c>
      <c r="M5735">
        <v>0.71</v>
      </c>
      <c r="N5735">
        <v>1.778</v>
      </c>
      <c r="O5735">
        <v>20.85</v>
      </c>
      <c r="P5735">
        <v>25.64</v>
      </c>
      <c r="Q5735">
        <v>17.86</v>
      </c>
      <c r="R5735">
        <v>1.35</v>
      </c>
    </row>
    <row r="5736">
      <c r="A5736" s="9">
        <v>44267</v>
      </c>
      <c r="B5736" s="2" t="inlineStr">
        <is>
          <t xml:space="preserve">2021-03</t>
        </is>
      </c>
      <c r="C5736" s="2" t="inlineStr">
        <is>
          <t xml:space="preserve">2020/21</t>
        </is>
      </c>
      <c r="D5736">
        <v>0.07</v>
      </c>
      <c r="E5736">
        <v>20.3</v>
      </c>
      <c r="F5736">
        <v>25.7</v>
      </c>
      <c r="G5736">
        <v>16.05</v>
      </c>
      <c r="H5736">
        <v>0.21</v>
      </c>
      <c r="I5736">
        <v>0.0</v>
      </c>
      <c r="J5736">
        <v>22.0</v>
      </c>
      <c r="K5736">
        <v>28.56</v>
      </c>
      <c r="L5736">
        <v>16.47</v>
      </c>
      <c r="M5736">
        <v>0.03</v>
      </c>
      <c r="N5736">
        <v>0.0</v>
      </c>
      <c r="O5736">
        <v>20.89</v>
      </c>
      <c r="P5736">
        <v>26.25</v>
      </c>
      <c r="Q5736">
        <v>16.69</v>
      </c>
      <c r="R5736">
        <v>0.28</v>
      </c>
    </row>
    <row r="5737">
      <c r="A5737" s="9">
        <v>44268</v>
      </c>
      <c r="B5737" s="2" t="inlineStr">
        <is>
          <t xml:space="preserve">2021-03</t>
        </is>
      </c>
      <c r="C5737" s="2" t="inlineStr">
        <is>
          <t xml:space="preserve">2020/21</t>
        </is>
      </c>
      <c r="D5737">
        <v>0.053</v>
      </c>
      <c r="E5737">
        <v>19.87</v>
      </c>
      <c r="F5737">
        <v>25.17</v>
      </c>
      <c r="G5737">
        <v>15.66</v>
      </c>
      <c r="H5737">
        <v>0.07</v>
      </c>
      <c r="I5737">
        <v>0.0</v>
      </c>
      <c r="J5737">
        <v>21.59</v>
      </c>
      <c r="K5737">
        <v>27.76</v>
      </c>
      <c r="L5737">
        <v>16.7</v>
      </c>
      <c r="M5737">
        <v>0.01</v>
      </c>
      <c r="N5737">
        <v>0.0</v>
      </c>
      <c r="O5737">
        <v>20.43</v>
      </c>
      <c r="P5737">
        <v>25.09</v>
      </c>
      <c r="Q5737">
        <v>17.1</v>
      </c>
      <c r="R5737">
        <v>0.03</v>
      </c>
    </row>
    <row r="5738">
      <c r="A5738" s="9">
        <v>44269</v>
      </c>
      <c r="B5738" s="2" t="inlineStr">
        <is>
          <t xml:space="preserve">2021-03</t>
        </is>
      </c>
      <c r="C5738" s="2" t="inlineStr">
        <is>
          <t xml:space="preserve">2020/21</t>
        </is>
      </c>
      <c r="D5738">
        <v>0.0</v>
      </c>
      <c r="E5738">
        <v>20.07</v>
      </c>
      <c r="F5738">
        <v>26.27</v>
      </c>
      <c r="G5738">
        <v>15.15</v>
      </c>
      <c r="H5738">
        <v>0.0</v>
      </c>
      <c r="I5738">
        <v>0.0</v>
      </c>
      <c r="J5738">
        <v>22.52</v>
      </c>
      <c r="K5738">
        <v>29.88</v>
      </c>
      <c r="L5738">
        <v>16.25</v>
      </c>
      <c r="M5738">
        <v>0.0</v>
      </c>
      <c r="N5738">
        <v>0.0</v>
      </c>
      <c r="O5738">
        <v>20.75</v>
      </c>
      <c r="P5738">
        <v>26.75</v>
      </c>
      <c r="Q5738">
        <v>16.32</v>
      </c>
      <c r="R5738">
        <v>0.0</v>
      </c>
    </row>
    <row r="5739">
      <c r="A5739" s="9">
        <v>44270</v>
      </c>
      <c r="B5739" s="2" t="inlineStr">
        <is>
          <t xml:space="preserve">2021-03</t>
        </is>
      </c>
      <c r="C5739" s="2" t="inlineStr">
        <is>
          <t xml:space="preserve">2020/21</t>
        </is>
      </c>
      <c r="D5739">
        <v>0.0</v>
      </c>
      <c r="E5739">
        <v>20.27</v>
      </c>
      <c r="F5739">
        <v>26.8</v>
      </c>
      <c r="G5739">
        <v>14.62</v>
      </c>
      <c r="H5739">
        <v>51.83</v>
      </c>
      <c r="I5739">
        <v>0.0</v>
      </c>
      <c r="J5739">
        <v>23.71</v>
      </c>
      <c r="K5739">
        <v>30.58</v>
      </c>
      <c r="L5739">
        <v>17.41</v>
      </c>
      <c r="M5739">
        <v>19.49</v>
      </c>
      <c r="N5739">
        <v>0.0</v>
      </c>
      <c r="O5739">
        <v>21.7</v>
      </c>
      <c r="P5739">
        <v>27.54</v>
      </c>
      <c r="Q5739">
        <v>17.31</v>
      </c>
      <c r="R5739">
        <v>36.8</v>
      </c>
    </row>
    <row r="5740">
      <c r="A5740" s="9">
        <v>44271</v>
      </c>
      <c r="B5740" s="2" t="inlineStr">
        <is>
          <t xml:space="preserve">2021-03</t>
        </is>
      </c>
      <c r="C5740" s="2" t="inlineStr">
        <is>
          <t xml:space="preserve">2020/21</t>
        </is>
      </c>
      <c r="D5740">
        <v>0.0</v>
      </c>
      <c r="E5740">
        <v>19.51</v>
      </c>
      <c r="F5740">
        <v>25.58</v>
      </c>
      <c r="G5740">
        <v>13.91</v>
      </c>
      <c r="H5740">
        <v>98.74</v>
      </c>
      <c r="I5740">
        <v>0.0</v>
      </c>
      <c r="J5740">
        <v>22.56</v>
      </c>
      <c r="K5740">
        <v>28.03</v>
      </c>
      <c r="L5740">
        <v>18.64</v>
      </c>
      <c r="M5740">
        <v>73.47</v>
      </c>
      <c r="N5740">
        <v>0.0</v>
      </c>
      <c r="O5740">
        <v>21.48</v>
      </c>
      <c r="P5740">
        <v>27.33</v>
      </c>
      <c r="Q5740">
        <v>17.52</v>
      </c>
      <c r="R5740">
        <v>119.34</v>
      </c>
    </row>
    <row r="5741">
      <c r="A5741" s="9">
        <v>44272</v>
      </c>
      <c r="B5741" s="2" t="inlineStr">
        <is>
          <t xml:space="preserve">2021-03</t>
        </is>
      </c>
      <c r="C5741" s="2" t="inlineStr">
        <is>
          <t xml:space="preserve">2020/21</t>
        </is>
      </c>
      <c r="D5741">
        <v>0.0</v>
      </c>
      <c r="E5741">
        <v>20.46</v>
      </c>
      <c r="F5741">
        <v>26.16</v>
      </c>
      <c r="G5741">
        <v>14.78</v>
      </c>
      <c r="H5741">
        <v>120.11</v>
      </c>
      <c r="I5741">
        <v>0.0</v>
      </c>
      <c r="J5741">
        <v>21.42</v>
      </c>
      <c r="K5741">
        <v>27.3</v>
      </c>
      <c r="L5741">
        <v>16.71</v>
      </c>
      <c r="M5741">
        <v>84.61</v>
      </c>
      <c r="N5741">
        <v>0.0</v>
      </c>
      <c r="O5741">
        <v>21.62</v>
      </c>
      <c r="P5741">
        <v>28.25</v>
      </c>
      <c r="Q5741">
        <v>15.58</v>
      </c>
      <c r="R5741">
        <v>108.43</v>
      </c>
    </row>
    <row r="5742">
      <c r="A5742" s="9">
        <v>44273</v>
      </c>
      <c r="B5742" s="2" t="inlineStr">
        <is>
          <t xml:space="preserve">2021-03</t>
        </is>
      </c>
      <c r="C5742" s="2" t="inlineStr">
        <is>
          <t xml:space="preserve">2020/21</t>
        </is>
      </c>
      <c r="D5742">
        <v>0.0</v>
      </c>
      <c r="E5742">
        <v>21.08</v>
      </c>
      <c r="F5742">
        <v>26.64</v>
      </c>
      <c r="G5742">
        <v>15.71</v>
      </c>
      <c r="H5742">
        <v>1.83</v>
      </c>
      <c r="I5742">
        <v>0.0</v>
      </c>
      <c r="J5742">
        <v>22.0</v>
      </c>
      <c r="K5742">
        <v>28.53</v>
      </c>
      <c r="L5742">
        <v>16.48</v>
      </c>
      <c r="M5742">
        <v>0.66</v>
      </c>
      <c r="N5742">
        <v>0.0</v>
      </c>
      <c r="O5742">
        <v>21.94</v>
      </c>
      <c r="P5742">
        <v>27.29</v>
      </c>
      <c r="Q5742">
        <v>17.49</v>
      </c>
      <c r="R5742">
        <v>0.97</v>
      </c>
    </row>
    <row r="5743">
      <c r="A5743" s="9">
        <v>44274</v>
      </c>
      <c r="B5743" s="2" t="inlineStr">
        <is>
          <t xml:space="preserve">2021-03</t>
        </is>
      </c>
      <c r="C5743" s="2" t="inlineStr">
        <is>
          <t xml:space="preserve">2020/21</t>
        </is>
      </c>
      <c r="D5743">
        <v>1.592</v>
      </c>
      <c r="E5743">
        <v>20.58</v>
      </c>
      <c r="F5743">
        <v>25.61</v>
      </c>
      <c r="G5743">
        <v>17.24</v>
      </c>
      <c r="H5743">
        <v>0.94</v>
      </c>
      <c r="I5743">
        <v>1.896</v>
      </c>
      <c r="J5743">
        <v>21.37</v>
      </c>
      <c r="K5743">
        <v>26.92</v>
      </c>
      <c r="L5743">
        <v>18.07</v>
      </c>
      <c r="M5743">
        <v>3.03</v>
      </c>
      <c r="N5743">
        <v>7.015</v>
      </c>
      <c r="O5743">
        <v>21.25</v>
      </c>
      <c r="P5743">
        <v>25.86</v>
      </c>
      <c r="Q5743">
        <v>18.66</v>
      </c>
      <c r="R5743">
        <v>2.53</v>
      </c>
    </row>
    <row r="5744">
      <c r="A5744" s="9">
        <v>44275</v>
      </c>
      <c r="B5744" s="2" t="inlineStr">
        <is>
          <t xml:space="preserve">2021-03</t>
        </is>
      </c>
      <c r="C5744" s="2" t="inlineStr">
        <is>
          <t xml:space="preserve">2020/21</t>
        </is>
      </c>
      <c r="D5744">
        <v>0.481</v>
      </c>
      <c r="E5744">
        <v>19.66</v>
      </c>
      <c r="F5744">
        <v>24.68</v>
      </c>
      <c r="G5744">
        <v>16.57</v>
      </c>
      <c r="H5744">
        <v>1.55</v>
      </c>
      <c r="I5744">
        <v>1.172</v>
      </c>
      <c r="J5744">
        <v>20.19</v>
      </c>
      <c r="K5744">
        <v>25.29</v>
      </c>
      <c r="L5744">
        <v>16.96</v>
      </c>
      <c r="M5744">
        <v>1.99</v>
      </c>
      <c r="N5744">
        <v>2.142</v>
      </c>
      <c r="O5744">
        <v>20.06</v>
      </c>
      <c r="P5744">
        <v>24.53</v>
      </c>
      <c r="Q5744">
        <v>17.14</v>
      </c>
      <c r="R5744">
        <v>2.03</v>
      </c>
    </row>
    <row r="5745">
      <c r="A5745" s="9">
        <v>44276</v>
      </c>
      <c r="B5745" s="2" t="inlineStr">
        <is>
          <t xml:space="preserve">2021-03</t>
        </is>
      </c>
      <c r="C5745" s="2" t="inlineStr">
        <is>
          <t xml:space="preserve">2020/21</t>
        </is>
      </c>
      <c r="D5745">
        <v>0.279</v>
      </c>
      <c r="E5745">
        <v>18.68</v>
      </c>
      <c r="F5745">
        <v>23.93</v>
      </c>
      <c r="G5745">
        <v>14.87</v>
      </c>
      <c r="H5745">
        <v>0.8</v>
      </c>
      <c r="I5745">
        <v>0.853</v>
      </c>
      <c r="J5745">
        <v>19.87</v>
      </c>
      <c r="K5745">
        <v>25.52</v>
      </c>
      <c r="L5745">
        <v>15.75</v>
      </c>
      <c r="M5745">
        <v>1.37</v>
      </c>
      <c r="N5745">
        <v>3.331</v>
      </c>
      <c r="O5745">
        <v>19.39</v>
      </c>
      <c r="P5745">
        <v>24.24</v>
      </c>
      <c r="Q5745">
        <v>15.97</v>
      </c>
      <c r="R5745">
        <v>2.08</v>
      </c>
    </row>
    <row r="5746">
      <c r="A5746" s="9">
        <v>44277</v>
      </c>
      <c r="B5746" s="2" t="inlineStr">
        <is>
          <t xml:space="preserve">2021-03</t>
        </is>
      </c>
      <c r="C5746" s="2" t="inlineStr">
        <is>
          <t xml:space="preserve">2020/21</t>
        </is>
      </c>
      <c r="D5746">
        <v>0.0</v>
      </c>
      <c r="E5746">
        <v>19.48</v>
      </c>
      <c r="F5746">
        <v>25.62</v>
      </c>
      <c r="G5746">
        <v>14.6</v>
      </c>
      <c r="H5746">
        <v>0.19</v>
      </c>
      <c r="I5746">
        <v>0.0</v>
      </c>
      <c r="J5746">
        <v>21.03</v>
      </c>
      <c r="K5746">
        <v>27.75</v>
      </c>
      <c r="L5746">
        <v>15.23</v>
      </c>
      <c r="M5746">
        <v>0.02</v>
      </c>
      <c r="N5746">
        <v>0.0</v>
      </c>
      <c r="O5746">
        <v>20.17</v>
      </c>
      <c r="P5746">
        <v>26.09</v>
      </c>
      <c r="Q5746">
        <v>15.7</v>
      </c>
      <c r="R5746">
        <v>0.33</v>
      </c>
    </row>
    <row r="5747">
      <c r="A5747" s="9">
        <v>44278</v>
      </c>
      <c r="B5747" s="2" t="inlineStr">
        <is>
          <t xml:space="preserve">2021-03</t>
        </is>
      </c>
      <c r="C5747" s="2" t="inlineStr">
        <is>
          <t xml:space="preserve">2020/21</t>
        </is>
      </c>
      <c r="D5747">
        <v>0.0</v>
      </c>
      <c r="E5747">
        <v>20.82</v>
      </c>
      <c r="F5747">
        <v>27.13</v>
      </c>
      <c r="G5747">
        <v>14.52</v>
      </c>
      <c r="H5747">
        <v>0.0</v>
      </c>
      <c r="I5747">
        <v>0.071</v>
      </c>
      <c r="J5747">
        <v>21.81</v>
      </c>
      <c r="K5747">
        <v>28.46</v>
      </c>
      <c r="L5747">
        <v>16.54</v>
      </c>
      <c r="M5747">
        <v>0.02</v>
      </c>
      <c r="N5747">
        <v>0.0</v>
      </c>
      <c r="O5747">
        <v>22.04</v>
      </c>
      <c r="P5747">
        <v>28.32</v>
      </c>
      <c r="Q5747">
        <v>16.03</v>
      </c>
      <c r="R5747">
        <v>0.0</v>
      </c>
    </row>
    <row r="5748">
      <c r="A5748" s="9">
        <v>44279</v>
      </c>
      <c r="B5748" s="2" t="inlineStr">
        <is>
          <t xml:space="preserve">2021-03</t>
        </is>
      </c>
      <c r="C5748" s="2" t="inlineStr">
        <is>
          <t xml:space="preserve">2020/21</t>
        </is>
      </c>
      <c r="D5748">
        <v>0.0</v>
      </c>
      <c r="E5748">
        <v>21.86</v>
      </c>
      <c r="F5748">
        <v>28.35</v>
      </c>
      <c r="G5748">
        <v>15.79</v>
      </c>
      <c r="H5748">
        <v>0.0</v>
      </c>
      <c r="I5748">
        <v>0.0</v>
      </c>
      <c r="J5748">
        <v>21.71</v>
      </c>
      <c r="K5748">
        <v>29.11</v>
      </c>
      <c r="L5748">
        <v>16.13</v>
      </c>
      <c r="M5748">
        <v>0.0</v>
      </c>
      <c r="N5748">
        <v>0.0</v>
      </c>
      <c r="O5748">
        <v>22.48</v>
      </c>
      <c r="P5748">
        <v>29.08</v>
      </c>
      <c r="Q5748">
        <v>16.85</v>
      </c>
      <c r="R5748">
        <v>0.0</v>
      </c>
    </row>
    <row r="5749">
      <c r="A5749" s="9">
        <v>44280</v>
      </c>
      <c r="B5749" s="2" t="inlineStr">
        <is>
          <t xml:space="preserve">2021-03</t>
        </is>
      </c>
      <c r="C5749" s="2" t="inlineStr">
        <is>
          <t xml:space="preserve">2020/21</t>
        </is>
      </c>
      <c r="D5749">
        <v>0.0</v>
      </c>
      <c r="E5749">
        <v>22.47</v>
      </c>
      <c r="F5749">
        <v>28.59</v>
      </c>
      <c r="G5749">
        <v>17.04</v>
      </c>
      <c r="H5749">
        <v>0.0</v>
      </c>
      <c r="I5749">
        <v>0.0</v>
      </c>
      <c r="J5749">
        <v>22.13</v>
      </c>
      <c r="K5749">
        <v>29.56</v>
      </c>
      <c r="L5749">
        <v>15.78</v>
      </c>
      <c r="M5749">
        <v>0.0</v>
      </c>
      <c r="N5749">
        <v>0.0</v>
      </c>
      <c r="O5749">
        <v>23.23</v>
      </c>
      <c r="P5749">
        <v>29.79</v>
      </c>
      <c r="Q5749">
        <v>17.0</v>
      </c>
      <c r="R5749">
        <v>0.0</v>
      </c>
    </row>
    <row r="5750">
      <c r="A5750" s="9">
        <v>44281</v>
      </c>
      <c r="B5750" s="2" t="inlineStr">
        <is>
          <t xml:space="preserve">2021-03</t>
        </is>
      </c>
      <c r="C5750" s="2" t="inlineStr">
        <is>
          <t xml:space="preserve">2020/21</t>
        </is>
      </c>
      <c r="D5750">
        <v>0.0</v>
      </c>
      <c r="E5750">
        <v>21.32</v>
      </c>
      <c r="F5750">
        <v>27.71</v>
      </c>
      <c r="G5750">
        <v>15.23</v>
      </c>
      <c r="H5750">
        <v>0.0</v>
      </c>
      <c r="I5750">
        <v>0.0</v>
      </c>
      <c r="J5750">
        <v>23.14</v>
      </c>
      <c r="K5750">
        <v>29.68</v>
      </c>
      <c r="L5750">
        <v>16.76</v>
      </c>
      <c r="M5750">
        <v>0.0</v>
      </c>
      <c r="N5750">
        <v>0.0</v>
      </c>
      <c r="O5750">
        <v>22.91</v>
      </c>
      <c r="P5750">
        <v>28.82</v>
      </c>
      <c r="Q5750">
        <v>17.79</v>
      </c>
      <c r="R5750">
        <v>0.0</v>
      </c>
    </row>
    <row r="5751">
      <c r="A5751" s="9">
        <v>44282</v>
      </c>
      <c r="B5751" s="2" t="inlineStr">
        <is>
          <t xml:space="preserve">2021-03</t>
        </is>
      </c>
      <c r="C5751" s="2" t="inlineStr">
        <is>
          <t xml:space="preserve">2020/21</t>
        </is>
      </c>
      <c r="D5751">
        <v>0.0</v>
      </c>
      <c r="E5751">
        <v>20.71</v>
      </c>
      <c r="F5751">
        <v>27.13</v>
      </c>
      <c r="G5751">
        <v>15.15</v>
      </c>
      <c r="H5751">
        <v>0.0</v>
      </c>
      <c r="I5751">
        <v>0.0</v>
      </c>
      <c r="J5751">
        <v>22.93</v>
      </c>
      <c r="K5751">
        <v>29.35</v>
      </c>
      <c r="L5751">
        <v>18.08</v>
      </c>
      <c r="M5751">
        <v>0.0</v>
      </c>
      <c r="N5751">
        <v>0.0</v>
      </c>
      <c r="O5751">
        <v>22.35</v>
      </c>
      <c r="P5751">
        <v>27.6</v>
      </c>
      <c r="Q5751">
        <v>18.62</v>
      </c>
      <c r="R5751">
        <v>0.0</v>
      </c>
    </row>
    <row r="5752">
      <c r="A5752" s="9">
        <v>44283</v>
      </c>
      <c r="B5752" s="2" t="inlineStr">
        <is>
          <t xml:space="preserve">2021-03</t>
        </is>
      </c>
      <c r="C5752" s="2" t="inlineStr">
        <is>
          <t xml:space="preserve">2020/21</t>
        </is>
      </c>
      <c r="D5752">
        <v>0.0</v>
      </c>
      <c r="E5752">
        <v>20.27</v>
      </c>
      <c r="F5752">
        <v>26.48</v>
      </c>
      <c r="G5752">
        <v>13.67</v>
      </c>
      <c r="H5752">
        <v>0.01</v>
      </c>
      <c r="I5752">
        <v>0.0</v>
      </c>
      <c r="J5752">
        <v>22.64</v>
      </c>
      <c r="K5752">
        <v>29.11</v>
      </c>
      <c r="L5752">
        <v>18.13</v>
      </c>
      <c r="M5752">
        <v>0.0</v>
      </c>
      <c r="N5752">
        <v>0.0</v>
      </c>
      <c r="O5752">
        <v>22.06</v>
      </c>
      <c r="P5752">
        <v>27.06</v>
      </c>
      <c r="Q5752">
        <v>18.74</v>
      </c>
      <c r="R5752">
        <v>0.01</v>
      </c>
    </row>
    <row r="5753">
      <c r="A5753" s="9">
        <v>44284</v>
      </c>
      <c r="B5753" s="2" t="inlineStr">
        <is>
          <t xml:space="preserve">2021-03</t>
        </is>
      </c>
      <c r="C5753" s="2" t="inlineStr">
        <is>
          <t xml:space="preserve">2020/21</t>
        </is>
      </c>
      <c r="D5753">
        <v>0.0</v>
      </c>
      <c r="E5753">
        <v>20.8</v>
      </c>
      <c r="F5753">
        <v>26.35</v>
      </c>
      <c r="G5753">
        <v>15.65</v>
      </c>
      <c r="H5753">
        <v>0.02</v>
      </c>
      <c r="I5753">
        <v>0.0</v>
      </c>
      <c r="J5753">
        <v>22.14</v>
      </c>
      <c r="K5753">
        <v>28.17</v>
      </c>
      <c r="L5753">
        <v>18.38</v>
      </c>
      <c r="M5753">
        <v>0.02</v>
      </c>
      <c r="N5753">
        <v>0.0</v>
      </c>
      <c r="O5753">
        <v>21.9</v>
      </c>
      <c r="P5753">
        <v>26.04</v>
      </c>
      <c r="Q5753">
        <v>19.3</v>
      </c>
      <c r="R5753">
        <v>0.01</v>
      </c>
    </row>
    <row r="5754">
      <c r="A5754" s="9">
        <v>44285</v>
      </c>
      <c r="B5754" s="2" t="inlineStr">
        <is>
          <t xml:space="preserve">2021-03</t>
        </is>
      </c>
      <c r="C5754" s="2" t="inlineStr">
        <is>
          <t xml:space="preserve">2020/21</t>
        </is>
      </c>
      <c r="D5754">
        <v>0.0</v>
      </c>
      <c r="E5754">
        <v>20.6</v>
      </c>
      <c r="F5754">
        <v>26.92</v>
      </c>
      <c r="G5754">
        <v>14.63</v>
      </c>
      <c r="H5754">
        <v>0.0</v>
      </c>
      <c r="I5754">
        <v>0.0</v>
      </c>
      <c r="J5754">
        <v>22.16</v>
      </c>
      <c r="K5754">
        <v>28.36</v>
      </c>
      <c r="L5754">
        <v>18.42</v>
      </c>
      <c r="M5754">
        <v>0.05</v>
      </c>
      <c r="N5754">
        <v>0.0</v>
      </c>
      <c r="O5754">
        <v>21.68</v>
      </c>
      <c r="P5754">
        <v>26.23</v>
      </c>
      <c r="Q5754">
        <v>18.69</v>
      </c>
      <c r="R5754">
        <v>0.01</v>
      </c>
    </row>
    <row r="5755">
      <c r="A5755" s="9">
        <v>44286</v>
      </c>
      <c r="B5755" s="2" t="inlineStr">
        <is>
          <t xml:space="preserve">2021-03</t>
        </is>
      </c>
      <c r="C5755" s="2" t="inlineStr">
        <is>
          <t xml:space="preserve">2020/21</t>
        </is>
      </c>
      <c r="D5755">
        <v>0.0</v>
      </c>
      <c r="E5755">
        <v>21.61</v>
      </c>
      <c r="F5755">
        <v>27.82</v>
      </c>
      <c r="G5755">
        <v>16.22</v>
      </c>
      <c r="H5755">
        <v>0.61</v>
      </c>
      <c r="I5755">
        <v>0.0</v>
      </c>
      <c r="J5755">
        <v>22.91</v>
      </c>
      <c r="K5755">
        <v>29.88</v>
      </c>
      <c r="L5755">
        <v>17.58</v>
      </c>
      <c r="M5755">
        <v>0.3</v>
      </c>
      <c r="N5755">
        <v>0.0</v>
      </c>
      <c r="O5755">
        <v>22.14</v>
      </c>
      <c r="P5755">
        <v>27.63</v>
      </c>
      <c r="Q5755">
        <v>18.02</v>
      </c>
      <c r="R5755">
        <v>0.53</v>
      </c>
    </row>
    <row r="5756">
      <c r="A5756" s="9">
        <v>44287</v>
      </c>
      <c r="B5756" s="2" t="inlineStr">
        <is>
          <t xml:space="preserve">2021-04</t>
        </is>
      </c>
      <c r="C5756" s="2" t="inlineStr">
        <is>
          <t xml:space="preserve">2020/21</t>
        </is>
      </c>
      <c r="D5756">
        <v>2.809</v>
      </c>
      <c r="E5756">
        <v>20.65</v>
      </c>
      <c r="F5756">
        <v>25.97</v>
      </c>
      <c r="G5756">
        <v>16.98</v>
      </c>
      <c r="H5756">
        <v>1.4</v>
      </c>
      <c r="I5756">
        <v>1.134</v>
      </c>
      <c r="J5756">
        <v>21.88</v>
      </c>
      <c r="K5756">
        <v>27.06</v>
      </c>
      <c r="L5756">
        <v>18.22</v>
      </c>
      <c r="M5756">
        <v>0.93</v>
      </c>
      <c r="N5756">
        <v>0.983</v>
      </c>
      <c r="O5756">
        <v>21.28</v>
      </c>
      <c r="P5756">
        <v>25.47</v>
      </c>
      <c r="Q5756">
        <v>18.36</v>
      </c>
      <c r="R5756">
        <v>2.11</v>
      </c>
    </row>
    <row r="5757">
      <c r="A5757" s="9">
        <v>44288</v>
      </c>
      <c r="B5757" s="2" t="inlineStr">
        <is>
          <t xml:space="preserve">2021-04</t>
        </is>
      </c>
      <c r="C5757" s="2" t="inlineStr">
        <is>
          <t xml:space="preserve">2020/21</t>
        </is>
      </c>
      <c r="D5757">
        <v>0.305</v>
      </c>
      <c r="E5757">
        <v>19.82</v>
      </c>
      <c r="F5757">
        <v>25.16</v>
      </c>
      <c r="G5757">
        <v>15.8</v>
      </c>
      <c r="H5757">
        <v>2.61</v>
      </c>
      <c r="I5757">
        <v>0.7</v>
      </c>
      <c r="J5757">
        <v>20.98</v>
      </c>
      <c r="K5757">
        <v>26.63</v>
      </c>
      <c r="L5757">
        <v>17.62</v>
      </c>
      <c r="M5757">
        <v>2.09</v>
      </c>
      <c r="N5757">
        <v>2.787</v>
      </c>
      <c r="O5757">
        <v>20.43</v>
      </c>
      <c r="P5757">
        <v>25.0</v>
      </c>
      <c r="Q5757">
        <v>17.89</v>
      </c>
      <c r="R5757">
        <v>4.45</v>
      </c>
    </row>
    <row r="5758">
      <c r="A5758" s="9">
        <v>44289</v>
      </c>
      <c r="B5758" s="2" t="inlineStr">
        <is>
          <t xml:space="preserve">2021-04</t>
        </is>
      </c>
      <c r="C5758" s="2" t="inlineStr">
        <is>
          <t xml:space="preserve">2020/21</t>
        </is>
      </c>
      <c r="D5758">
        <v>0.533</v>
      </c>
      <c r="E5758">
        <v>19.91</v>
      </c>
      <c r="F5758">
        <v>25.23</v>
      </c>
      <c r="G5758">
        <v>17.12</v>
      </c>
      <c r="H5758">
        <v>4.56</v>
      </c>
      <c r="I5758">
        <v>1.684</v>
      </c>
      <c r="J5758">
        <v>20.28</v>
      </c>
      <c r="K5758">
        <v>25.83</v>
      </c>
      <c r="L5758">
        <v>17.0</v>
      </c>
      <c r="M5758">
        <v>2.63</v>
      </c>
      <c r="N5758">
        <v>6.783</v>
      </c>
      <c r="O5758">
        <v>19.67</v>
      </c>
      <c r="P5758">
        <v>24.37</v>
      </c>
      <c r="Q5758">
        <v>17.16</v>
      </c>
      <c r="R5758">
        <v>4.26</v>
      </c>
    </row>
    <row r="5759">
      <c r="A5759" s="9">
        <v>44290</v>
      </c>
      <c r="B5759" s="2" t="inlineStr">
        <is>
          <t xml:space="preserve">2021-04</t>
        </is>
      </c>
      <c r="C5759" s="2" t="inlineStr">
        <is>
          <t xml:space="preserve">2020/21</t>
        </is>
      </c>
      <c r="D5759">
        <v>0.105</v>
      </c>
      <c r="E5759">
        <v>19.32</v>
      </c>
      <c r="F5759">
        <v>23.72</v>
      </c>
      <c r="G5759">
        <v>16.57</v>
      </c>
      <c r="H5759">
        <v>3.91</v>
      </c>
      <c r="I5759">
        <v>0.235</v>
      </c>
      <c r="J5759">
        <v>19.7</v>
      </c>
      <c r="K5759">
        <v>24.34</v>
      </c>
      <c r="L5759">
        <v>16.87</v>
      </c>
      <c r="M5759">
        <v>1.08</v>
      </c>
      <c r="N5759">
        <v>1.185</v>
      </c>
      <c r="O5759">
        <v>19.27</v>
      </c>
      <c r="P5759">
        <v>22.73</v>
      </c>
      <c r="Q5759">
        <v>17.25</v>
      </c>
      <c r="R5759">
        <v>5.39</v>
      </c>
    </row>
    <row r="5760">
      <c r="A5760" s="9">
        <v>44291</v>
      </c>
      <c r="B5760" s="2" t="inlineStr">
        <is>
          <t xml:space="preserve">2021-04</t>
        </is>
      </c>
      <c r="C5760" s="2" t="inlineStr">
        <is>
          <t xml:space="preserve">2020/21</t>
        </is>
      </c>
      <c r="D5760">
        <v>0.0</v>
      </c>
      <c r="E5760">
        <v>19.18</v>
      </c>
      <c r="F5760">
        <v>23.98</v>
      </c>
      <c r="G5760">
        <v>15.8</v>
      </c>
      <c r="H5760">
        <v>1.79</v>
      </c>
      <c r="I5760">
        <v>0.293</v>
      </c>
      <c r="J5760">
        <v>19.8</v>
      </c>
      <c r="K5760">
        <v>24.69</v>
      </c>
      <c r="L5760">
        <v>16.61</v>
      </c>
      <c r="M5760">
        <v>0.45</v>
      </c>
      <c r="N5760">
        <v>1.196</v>
      </c>
      <c r="O5760">
        <v>19.21</v>
      </c>
      <c r="P5760">
        <v>22.75</v>
      </c>
      <c r="Q5760">
        <v>16.99</v>
      </c>
      <c r="R5760">
        <v>1.43</v>
      </c>
    </row>
    <row r="5761">
      <c r="A5761" s="9">
        <v>44292</v>
      </c>
      <c r="B5761" s="2" t="inlineStr">
        <is>
          <t xml:space="preserve">2021-04</t>
        </is>
      </c>
      <c r="C5761" s="2" t="inlineStr">
        <is>
          <t xml:space="preserve">2020/21</t>
        </is>
      </c>
      <c r="D5761">
        <v>6.001</v>
      </c>
      <c r="E5761">
        <v>20.96</v>
      </c>
      <c r="F5761">
        <v>26.74</v>
      </c>
      <c r="G5761">
        <v>16.08</v>
      </c>
      <c r="H5761">
        <v>1.76</v>
      </c>
      <c r="I5761">
        <v>0.0</v>
      </c>
      <c r="J5761">
        <v>21.54</v>
      </c>
      <c r="K5761">
        <v>27.26</v>
      </c>
      <c r="L5761">
        <v>16.61</v>
      </c>
      <c r="M5761">
        <v>0.12</v>
      </c>
      <c r="N5761">
        <v>0.156</v>
      </c>
      <c r="O5761">
        <v>21.05</v>
      </c>
      <c r="P5761">
        <v>26.7</v>
      </c>
      <c r="Q5761">
        <v>16.58</v>
      </c>
      <c r="R5761">
        <v>0.7</v>
      </c>
    </row>
    <row r="5762">
      <c r="A5762" s="9">
        <v>44293</v>
      </c>
      <c r="B5762" s="2" t="inlineStr">
        <is>
          <t xml:space="preserve">2021-04</t>
        </is>
      </c>
      <c r="C5762" s="2" t="inlineStr">
        <is>
          <t xml:space="preserve">2020/21</t>
        </is>
      </c>
      <c r="D5762">
        <v>0.0</v>
      </c>
      <c r="E5762">
        <v>21.58</v>
      </c>
      <c r="F5762">
        <v>26.13</v>
      </c>
      <c r="G5762">
        <v>17.92</v>
      </c>
      <c r="H5762">
        <v>0.3</v>
      </c>
      <c r="I5762">
        <v>0.0</v>
      </c>
      <c r="J5762">
        <v>22.27</v>
      </c>
      <c r="K5762">
        <v>25.95</v>
      </c>
      <c r="L5762">
        <v>19.02</v>
      </c>
      <c r="M5762">
        <v>0.23</v>
      </c>
      <c r="N5762">
        <v>0.0</v>
      </c>
      <c r="O5762">
        <v>21.74</v>
      </c>
      <c r="P5762">
        <v>25.79</v>
      </c>
      <c r="Q5762">
        <v>18.99</v>
      </c>
      <c r="R5762">
        <v>0.39</v>
      </c>
    </row>
    <row r="5763">
      <c r="A5763" s="9">
        <v>44294</v>
      </c>
      <c r="B5763" s="2" t="inlineStr">
        <is>
          <t xml:space="preserve">2021-04</t>
        </is>
      </c>
      <c r="C5763" s="2" t="inlineStr">
        <is>
          <t xml:space="preserve">2020/21</t>
        </is>
      </c>
      <c r="D5763">
        <v>1.519</v>
      </c>
      <c r="E5763">
        <v>22.63</v>
      </c>
      <c r="F5763">
        <v>27.71</v>
      </c>
      <c r="G5763">
        <v>18.2</v>
      </c>
      <c r="H5763">
        <v>3.75</v>
      </c>
      <c r="I5763">
        <v>0.178</v>
      </c>
      <c r="J5763">
        <v>23.8</v>
      </c>
      <c r="K5763">
        <v>29.82</v>
      </c>
      <c r="L5763">
        <v>19.59</v>
      </c>
      <c r="M5763">
        <v>4.02</v>
      </c>
      <c r="N5763">
        <v>0.56</v>
      </c>
      <c r="O5763">
        <v>23.75</v>
      </c>
      <c r="P5763">
        <v>28.84</v>
      </c>
      <c r="Q5763">
        <v>20.21</v>
      </c>
      <c r="R5763">
        <v>4.73</v>
      </c>
    </row>
    <row r="5764">
      <c r="A5764" s="9">
        <v>44295</v>
      </c>
      <c r="B5764" s="2" t="inlineStr">
        <is>
          <t xml:space="preserve">2021-04</t>
        </is>
      </c>
      <c r="C5764" s="2" t="inlineStr">
        <is>
          <t xml:space="preserve">2020/21</t>
        </is>
      </c>
      <c r="D5764">
        <v>31.926</v>
      </c>
      <c r="E5764">
        <v>21.88</v>
      </c>
      <c r="F5764">
        <v>26.27</v>
      </c>
      <c r="G5764">
        <v>18.16</v>
      </c>
      <c r="H5764">
        <v>14.16</v>
      </c>
      <c r="I5764">
        <v>4.028</v>
      </c>
      <c r="J5764">
        <v>23.06</v>
      </c>
      <c r="K5764">
        <v>28.95</v>
      </c>
      <c r="L5764">
        <v>19.05</v>
      </c>
      <c r="M5764">
        <v>4.09</v>
      </c>
      <c r="N5764">
        <v>13.122</v>
      </c>
      <c r="O5764">
        <v>23.24</v>
      </c>
      <c r="P5764">
        <v>28.07</v>
      </c>
      <c r="Q5764">
        <v>19.0</v>
      </c>
      <c r="R5764">
        <v>6.18</v>
      </c>
    </row>
    <row r="5765">
      <c r="A5765" s="9">
        <v>44296</v>
      </c>
      <c r="B5765" s="2" t="inlineStr">
        <is>
          <t xml:space="preserve">2021-04</t>
        </is>
      </c>
      <c r="C5765" s="2" t="inlineStr">
        <is>
          <t xml:space="preserve">2020/21</t>
        </is>
      </c>
      <c r="D5765">
        <v>0.117</v>
      </c>
      <c r="E5765">
        <v>21.89</v>
      </c>
      <c r="F5765">
        <v>26.47</v>
      </c>
      <c r="G5765">
        <v>18.77</v>
      </c>
      <c r="H5765">
        <v>0.66</v>
      </c>
      <c r="I5765">
        <v>0.0</v>
      </c>
      <c r="J5765">
        <v>23.23</v>
      </c>
      <c r="K5765">
        <v>29.28</v>
      </c>
      <c r="L5765">
        <v>19.09</v>
      </c>
      <c r="M5765">
        <v>0.02</v>
      </c>
      <c r="N5765">
        <v>0.0</v>
      </c>
      <c r="O5765">
        <v>23.61</v>
      </c>
      <c r="P5765">
        <v>28.83</v>
      </c>
      <c r="Q5765">
        <v>19.75</v>
      </c>
      <c r="R5765">
        <v>0.36</v>
      </c>
    </row>
    <row r="5766">
      <c r="A5766" s="9">
        <v>44297</v>
      </c>
      <c r="B5766" s="2" t="inlineStr">
        <is>
          <t xml:space="preserve">2021-04</t>
        </is>
      </c>
      <c r="C5766" s="2" t="inlineStr">
        <is>
          <t xml:space="preserve">2020/21</t>
        </is>
      </c>
      <c r="D5766">
        <v>0.163</v>
      </c>
      <c r="E5766">
        <v>23.24</v>
      </c>
      <c r="F5766">
        <v>29.37</v>
      </c>
      <c r="G5766">
        <v>17.3</v>
      </c>
      <c r="H5766">
        <v>1.41</v>
      </c>
      <c r="I5766">
        <v>0.0</v>
      </c>
      <c r="J5766">
        <v>23.77</v>
      </c>
      <c r="K5766">
        <v>31.62</v>
      </c>
      <c r="L5766">
        <v>18.1</v>
      </c>
      <c r="M5766">
        <v>0.03</v>
      </c>
      <c r="N5766">
        <v>0.02</v>
      </c>
      <c r="O5766">
        <v>23.86</v>
      </c>
      <c r="P5766">
        <v>30.39</v>
      </c>
      <c r="Q5766">
        <v>18.37</v>
      </c>
      <c r="R5766">
        <v>0.24</v>
      </c>
    </row>
    <row r="5767">
      <c r="A5767" s="9">
        <v>44298</v>
      </c>
      <c r="B5767" s="2" t="inlineStr">
        <is>
          <t xml:space="preserve">2021-04</t>
        </is>
      </c>
      <c r="C5767" s="2" t="inlineStr">
        <is>
          <t xml:space="preserve">2020/21</t>
        </is>
      </c>
      <c r="D5767">
        <v>2.568</v>
      </c>
      <c r="E5767">
        <v>24.07</v>
      </c>
      <c r="F5767">
        <v>29.75</v>
      </c>
      <c r="G5767">
        <v>18.31</v>
      </c>
      <c r="H5767">
        <v>13.55</v>
      </c>
      <c r="I5767">
        <v>0.0</v>
      </c>
      <c r="J5767">
        <v>25.0</v>
      </c>
      <c r="K5767">
        <v>32.91</v>
      </c>
      <c r="L5767">
        <v>17.73</v>
      </c>
      <c r="M5767">
        <v>2.37</v>
      </c>
      <c r="N5767">
        <v>0.0</v>
      </c>
      <c r="O5767">
        <v>24.43</v>
      </c>
      <c r="P5767">
        <v>30.93</v>
      </c>
      <c r="Q5767">
        <v>18.18</v>
      </c>
      <c r="R5767">
        <v>4.43</v>
      </c>
    </row>
    <row r="5768">
      <c r="A5768" s="9">
        <v>44299</v>
      </c>
      <c r="B5768" s="2" t="inlineStr">
        <is>
          <t xml:space="preserve">2021-04</t>
        </is>
      </c>
      <c r="C5768" s="2" t="inlineStr">
        <is>
          <t xml:space="preserve">2020/21</t>
        </is>
      </c>
      <c r="D5768">
        <v>26.749</v>
      </c>
      <c r="E5768">
        <v>23.73</v>
      </c>
      <c r="F5768">
        <v>28.81</v>
      </c>
      <c r="G5768">
        <v>19.1</v>
      </c>
      <c r="H5768">
        <v>8.84</v>
      </c>
      <c r="I5768">
        <v>4.662</v>
      </c>
      <c r="J5768">
        <v>25.35</v>
      </c>
      <c r="K5768">
        <v>30.48</v>
      </c>
      <c r="L5768">
        <v>21.1</v>
      </c>
      <c r="M5768">
        <v>7.47</v>
      </c>
      <c r="N5768">
        <v>14.551</v>
      </c>
      <c r="O5768">
        <v>24.52</v>
      </c>
      <c r="P5768">
        <v>28.92</v>
      </c>
      <c r="Q5768">
        <v>21.85</v>
      </c>
      <c r="R5768">
        <v>8.36</v>
      </c>
    </row>
    <row r="5769">
      <c r="A5769" s="9">
        <v>44300</v>
      </c>
      <c r="B5769" s="2" t="inlineStr">
        <is>
          <t xml:space="preserve">2021-04</t>
        </is>
      </c>
      <c r="C5769" s="2" t="inlineStr">
        <is>
          <t xml:space="preserve">2020/21</t>
        </is>
      </c>
      <c r="D5769">
        <v>24.93</v>
      </c>
      <c r="E5769">
        <v>22.41</v>
      </c>
      <c r="F5769">
        <v>27.22</v>
      </c>
      <c r="G5769">
        <v>18.14</v>
      </c>
      <c r="H5769">
        <v>7.98</v>
      </c>
      <c r="I5769">
        <v>3.262</v>
      </c>
      <c r="J5769">
        <v>23.82</v>
      </c>
      <c r="K5769">
        <v>27.85</v>
      </c>
      <c r="L5769">
        <v>20.83</v>
      </c>
      <c r="M5769">
        <v>2.2</v>
      </c>
      <c r="N5769">
        <v>1.14</v>
      </c>
      <c r="O5769">
        <v>23.08</v>
      </c>
      <c r="P5769">
        <v>26.65</v>
      </c>
      <c r="Q5769">
        <v>20.74</v>
      </c>
      <c r="R5769">
        <v>2.87</v>
      </c>
    </row>
    <row r="5770">
      <c r="A5770" s="9">
        <v>44301</v>
      </c>
      <c r="B5770" s="2" t="inlineStr">
        <is>
          <t xml:space="preserve">2021-04</t>
        </is>
      </c>
      <c r="C5770" s="2" t="inlineStr">
        <is>
          <t xml:space="preserve">2020/21</t>
        </is>
      </c>
      <c r="D5770">
        <v>21.193</v>
      </c>
      <c r="E5770">
        <v>22.18</v>
      </c>
      <c r="F5770">
        <v>26.27</v>
      </c>
      <c r="G5770">
        <v>18.26</v>
      </c>
      <c r="H5770">
        <v>7.91</v>
      </c>
      <c r="I5770">
        <v>1.517</v>
      </c>
      <c r="J5770">
        <v>23.77</v>
      </c>
      <c r="K5770">
        <v>28.59</v>
      </c>
      <c r="L5770">
        <v>20.0</v>
      </c>
      <c r="M5770">
        <v>1.08</v>
      </c>
      <c r="N5770">
        <v>0.411</v>
      </c>
      <c r="O5770">
        <v>23.7</v>
      </c>
      <c r="P5770">
        <v>28.05</v>
      </c>
      <c r="Q5770">
        <v>20.19</v>
      </c>
      <c r="R5770">
        <v>2.37</v>
      </c>
    </row>
    <row r="5771">
      <c r="A5771" s="9">
        <v>44302</v>
      </c>
      <c r="B5771" s="2" t="inlineStr">
        <is>
          <t xml:space="preserve">2021-04</t>
        </is>
      </c>
      <c r="C5771" s="2" t="inlineStr">
        <is>
          <t xml:space="preserve">2020/21</t>
        </is>
      </c>
      <c r="D5771">
        <v>0.0</v>
      </c>
      <c r="E5771">
        <v>23.06</v>
      </c>
      <c r="F5771">
        <v>28.09</v>
      </c>
      <c r="G5771">
        <v>18.06</v>
      </c>
      <c r="H5771">
        <v>0.22</v>
      </c>
      <c r="I5771">
        <v>0.625</v>
      </c>
      <c r="J5771">
        <v>24.14</v>
      </c>
      <c r="K5771">
        <v>29.64</v>
      </c>
      <c r="L5771">
        <v>20.17</v>
      </c>
      <c r="M5771">
        <v>0.69</v>
      </c>
      <c r="N5771">
        <v>2.526</v>
      </c>
      <c r="O5771">
        <v>24.41</v>
      </c>
      <c r="P5771">
        <v>29.2</v>
      </c>
      <c r="Q5771">
        <v>20.61</v>
      </c>
      <c r="R5771">
        <v>0.57</v>
      </c>
    </row>
    <row r="5772">
      <c r="A5772" s="9">
        <v>44303</v>
      </c>
      <c r="B5772" s="2" t="inlineStr">
        <is>
          <t xml:space="preserve">2021-04</t>
        </is>
      </c>
      <c r="C5772" s="2" t="inlineStr">
        <is>
          <t xml:space="preserve">2020/21</t>
        </is>
      </c>
      <c r="D5772">
        <v>1.516</v>
      </c>
      <c r="E5772">
        <v>22.47</v>
      </c>
      <c r="F5772">
        <v>26.99</v>
      </c>
      <c r="G5772">
        <v>18.59</v>
      </c>
      <c r="H5772">
        <v>4.53</v>
      </c>
      <c r="I5772">
        <v>0.0</v>
      </c>
      <c r="J5772">
        <v>23.45</v>
      </c>
      <c r="K5772">
        <v>28.82</v>
      </c>
      <c r="L5772">
        <v>18.92</v>
      </c>
      <c r="M5772">
        <v>1.65</v>
      </c>
      <c r="N5772">
        <v>0.0</v>
      </c>
      <c r="O5772">
        <v>24.16</v>
      </c>
      <c r="P5772">
        <v>29.66</v>
      </c>
      <c r="Q5772">
        <v>19.62</v>
      </c>
      <c r="R5772">
        <v>2.16</v>
      </c>
    </row>
    <row r="5773">
      <c r="A5773" s="9">
        <v>44304</v>
      </c>
      <c r="B5773" s="2" t="inlineStr">
        <is>
          <t xml:space="preserve">2021-04</t>
        </is>
      </c>
      <c r="C5773" s="2" t="inlineStr">
        <is>
          <t xml:space="preserve">2020/21</t>
        </is>
      </c>
      <c r="D5773">
        <v>9.577</v>
      </c>
      <c r="E5773">
        <v>21.95</v>
      </c>
      <c r="F5773">
        <v>26.46</v>
      </c>
      <c r="G5773">
        <v>18.88</v>
      </c>
      <c r="H5773">
        <v>11.97</v>
      </c>
      <c r="I5773">
        <v>3.73</v>
      </c>
      <c r="J5773">
        <v>23.22</v>
      </c>
      <c r="K5773">
        <v>27.86</v>
      </c>
      <c r="L5773">
        <v>19.87</v>
      </c>
      <c r="M5773">
        <v>8.93</v>
      </c>
      <c r="N5773">
        <v>10.551</v>
      </c>
      <c r="O5773">
        <v>24.04</v>
      </c>
      <c r="P5773">
        <v>28.69</v>
      </c>
      <c r="Q5773">
        <v>20.2</v>
      </c>
      <c r="R5773">
        <v>12.27</v>
      </c>
    </row>
    <row r="5774">
      <c r="A5774" s="9">
        <v>44305</v>
      </c>
      <c r="B5774" s="2" t="inlineStr">
        <is>
          <t xml:space="preserve">2021-04</t>
        </is>
      </c>
      <c r="C5774" s="2" t="inlineStr">
        <is>
          <t xml:space="preserve">2020/21</t>
        </is>
      </c>
      <c r="D5774">
        <v>14.582</v>
      </c>
      <c r="E5774">
        <v>22.81</v>
      </c>
      <c r="F5774">
        <v>28.06</v>
      </c>
      <c r="G5774">
        <v>18.22</v>
      </c>
      <c r="H5774">
        <v>13.21</v>
      </c>
      <c r="I5774">
        <v>12.46</v>
      </c>
      <c r="J5774">
        <v>23.1</v>
      </c>
      <c r="K5774">
        <v>27.13</v>
      </c>
      <c r="L5774">
        <v>19.93</v>
      </c>
      <c r="M5774">
        <v>20.04</v>
      </c>
      <c r="N5774">
        <v>48.493</v>
      </c>
      <c r="O5774">
        <v>23.76</v>
      </c>
      <c r="P5774">
        <v>28.18</v>
      </c>
      <c r="Q5774">
        <v>20.54</v>
      </c>
      <c r="R5774">
        <v>21.92</v>
      </c>
    </row>
    <row r="5775">
      <c r="A5775" s="9">
        <v>44306</v>
      </c>
      <c r="B5775" s="2" t="inlineStr">
        <is>
          <t xml:space="preserve">2021-04</t>
        </is>
      </c>
      <c r="C5775" s="2" t="inlineStr">
        <is>
          <t xml:space="preserve">2020/21</t>
        </is>
      </c>
      <c r="D5775">
        <v>37.658</v>
      </c>
      <c r="E5775">
        <v>22.84</v>
      </c>
      <c r="F5775">
        <v>27.36</v>
      </c>
      <c r="G5775">
        <v>19.39</v>
      </c>
      <c r="H5775">
        <v>15.25</v>
      </c>
      <c r="I5775">
        <v>0.0</v>
      </c>
      <c r="J5775">
        <v>23.71</v>
      </c>
      <c r="K5775">
        <v>27.42</v>
      </c>
      <c r="L5775">
        <v>20.62</v>
      </c>
      <c r="M5775">
        <v>1.88</v>
      </c>
      <c r="N5775">
        <v>0.396</v>
      </c>
      <c r="O5775">
        <v>23.75</v>
      </c>
      <c r="P5775">
        <v>27.97</v>
      </c>
      <c r="Q5775">
        <v>21.02</v>
      </c>
      <c r="R5775">
        <v>2.23</v>
      </c>
    </row>
    <row r="5776">
      <c r="A5776" s="9">
        <v>44307</v>
      </c>
      <c r="B5776" s="2" t="inlineStr">
        <is>
          <t xml:space="preserve">2021-04</t>
        </is>
      </c>
      <c r="C5776" s="2" t="inlineStr">
        <is>
          <t xml:space="preserve">2020/21</t>
        </is>
      </c>
      <c r="D5776">
        <v>3.366</v>
      </c>
      <c r="E5776">
        <v>22.22</v>
      </c>
      <c r="F5776">
        <v>26.44</v>
      </c>
      <c r="G5776">
        <v>19.66</v>
      </c>
      <c r="H5776">
        <v>1.55</v>
      </c>
      <c r="I5776">
        <v>4.992</v>
      </c>
      <c r="J5776">
        <v>23.03</v>
      </c>
      <c r="K5776">
        <v>27.83</v>
      </c>
      <c r="L5776">
        <v>19.64</v>
      </c>
      <c r="M5776">
        <v>1.65</v>
      </c>
      <c r="N5776">
        <v>0.189</v>
      </c>
      <c r="O5776">
        <v>22.89</v>
      </c>
      <c r="P5776">
        <v>26.78</v>
      </c>
      <c r="Q5776">
        <v>20.05</v>
      </c>
      <c r="R5776">
        <v>0.32</v>
      </c>
    </row>
    <row r="5777">
      <c r="A5777" s="9">
        <v>44308</v>
      </c>
      <c r="B5777" s="2" t="inlineStr">
        <is>
          <t xml:space="preserve">2021-04</t>
        </is>
      </c>
      <c r="C5777" s="2" t="inlineStr">
        <is>
          <t xml:space="preserve">2020/21</t>
        </is>
      </c>
      <c r="D5777">
        <v>0.545</v>
      </c>
      <c r="E5777">
        <v>21.97</v>
      </c>
      <c r="F5777">
        <v>27.68</v>
      </c>
      <c r="G5777">
        <v>17.36</v>
      </c>
      <c r="H5777">
        <v>0.1</v>
      </c>
      <c r="I5777">
        <v>0.0</v>
      </c>
      <c r="J5777">
        <v>23.29</v>
      </c>
      <c r="K5777">
        <v>29.19</v>
      </c>
      <c r="L5777">
        <v>18.6</v>
      </c>
      <c r="M5777">
        <v>0.05</v>
      </c>
      <c r="N5777">
        <v>0.0</v>
      </c>
      <c r="O5777">
        <v>22.66</v>
      </c>
      <c r="P5777">
        <v>27.58</v>
      </c>
      <c r="Q5777">
        <v>19.14</v>
      </c>
      <c r="R5777">
        <v>0.02</v>
      </c>
    </row>
    <row r="5778">
      <c r="A5778" s="9">
        <v>44309</v>
      </c>
      <c r="B5778" s="2" t="inlineStr">
        <is>
          <t xml:space="preserve">2021-04</t>
        </is>
      </c>
      <c r="C5778" s="2" t="inlineStr">
        <is>
          <t xml:space="preserve">2020/21</t>
        </is>
      </c>
      <c r="D5778">
        <v>0.0</v>
      </c>
      <c r="E5778">
        <v>22.0</v>
      </c>
      <c r="F5778">
        <v>27.62</v>
      </c>
      <c r="G5778">
        <v>16.55</v>
      </c>
      <c r="H5778">
        <v>0.0</v>
      </c>
      <c r="I5778">
        <v>0.0</v>
      </c>
      <c r="J5778">
        <v>23.76</v>
      </c>
      <c r="K5778">
        <v>30.14</v>
      </c>
      <c r="L5778">
        <v>17.87</v>
      </c>
      <c r="M5778">
        <v>0.01</v>
      </c>
      <c r="N5778">
        <v>0.0</v>
      </c>
      <c r="O5778">
        <v>22.84</v>
      </c>
      <c r="P5778">
        <v>28.47</v>
      </c>
      <c r="Q5778">
        <v>18.88</v>
      </c>
      <c r="R5778">
        <v>0.0</v>
      </c>
    </row>
    <row r="5779">
      <c r="A5779" s="9">
        <v>44310</v>
      </c>
      <c r="B5779" s="2" t="inlineStr">
        <is>
          <t xml:space="preserve">2021-04</t>
        </is>
      </c>
      <c r="C5779" s="2" t="inlineStr">
        <is>
          <t xml:space="preserve">2020/21</t>
        </is>
      </c>
      <c r="D5779">
        <v>0.0</v>
      </c>
      <c r="E5779">
        <v>22.85</v>
      </c>
      <c r="F5779">
        <v>28.63</v>
      </c>
      <c r="G5779">
        <v>16.63</v>
      </c>
      <c r="H5779">
        <v>0.0</v>
      </c>
      <c r="I5779">
        <v>0.0</v>
      </c>
      <c r="J5779">
        <v>23.9</v>
      </c>
      <c r="K5779">
        <v>30.4</v>
      </c>
      <c r="L5779">
        <v>18.54</v>
      </c>
      <c r="M5779">
        <v>0.0</v>
      </c>
      <c r="N5779">
        <v>0.0</v>
      </c>
      <c r="O5779">
        <v>23.86</v>
      </c>
      <c r="P5779">
        <v>30.01</v>
      </c>
      <c r="Q5779">
        <v>17.58</v>
      </c>
      <c r="R5779">
        <v>0.0</v>
      </c>
    </row>
    <row r="5780">
      <c r="A5780" s="9">
        <v>44311</v>
      </c>
      <c r="B5780" s="2" t="inlineStr">
        <is>
          <t xml:space="preserve">2021-04</t>
        </is>
      </c>
      <c r="C5780" s="2" t="inlineStr">
        <is>
          <t xml:space="preserve">2020/21</t>
        </is>
      </c>
      <c r="D5780">
        <v>0.0</v>
      </c>
      <c r="E5780">
        <v>23.1</v>
      </c>
      <c r="F5780">
        <v>29.38</v>
      </c>
      <c r="G5780">
        <v>17.35</v>
      </c>
      <c r="H5780">
        <v>0.0</v>
      </c>
      <c r="I5780">
        <v>0.0</v>
      </c>
      <c r="J5780">
        <v>24.38</v>
      </c>
      <c r="K5780">
        <v>31.11</v>
      </c>
      <c r="L5780">
        <v>19.19</v>
      </c>
      <c r="M5780">
        <v>0.0</v>
      </c>
      <c r="N5780">
        <v>0.0</v>
      </c>
      <c r="O5780">
        <v>23.72</v>
      </c>
      <c r="P5780">
        <v>29.02</v>
      </c>
      <c r="Q5780">
        <v>19.65</v>
      </c>
      <c r="R5780">
        <v>0.0</v>
      </c>
    </row>
    <row r="5781">
      <c r="A5781" s="9">
        <v>44312</v>
      </c>
      <c r="B5781" s="2" t="inlineStr">
        <is>
          <t xml:space="preserve">2021-04</t>
        </is>
      </c>
      <c r="C5781" s="2" t="inlineStr">
        <is>
          <t xml:space="preserve">2020/21</t>
        </is>
      </c>
      <c r="D5781">
        <v>0.0</v>
      </c>
      <c r="E5781">
        <v>22.51</v>
      </c>
      <c r="F5781">
        <v>28.61</v>
      </c>
      <c r="G5781">
        <v>16.99</v>
      </c>
      <c r="H5781">
        <v>0.0</v>
      </c>
      <c r="I5781">
        <v>0.0</v>
      </c>
      <c r="J5781">
        <v>23.9</v>
      </c>
      <c r="K5781">
        <v>30.91</v>
      </c>
      <c r="L5781">
        <v>17.83</v>
      </c>
      <c r="M5781">
        <v>0.0</v>
      </c>
      <c r="N5781">
        <v>0.0</v>
      </c>
      <c r="O5781">
        <v>23.03</v>
      </c>
      <c r="P5781">
        <v>28.41</v>
      </c>
      <c r="Q5781">
        <v>19.11</v>
      </c>
      <c r="R5781">
        <v>0.0</v>
      </c>
    </row>
    <row r="5782">
      <c r="A5782" s="9">
        <v>44313</v>
      </c>
      <c r="B5782" s="2" t="inlineStr">
        <is>
          <t xml:space="preserve">2021-04</t>
        </is>
      </c>
      <c r="C5782" s="2" t="inlineStr">
        <is>
          <t xml:space="preserve">2020/21</t>
        </is>
      </c>
      <c r="D5782">
        <v>0.0</v>
      </c>
      <c r="E5782">
        <v>22.42</v>
      </c>
      <c r="F5782">
        <v>28.67</v>
      </c>
      <c r="G5782">
        <v>16.39</v>
      </c>
      <c r="H5782">
        <v>0.17</v>
      </c>
      <c r="I5782">
        <v>0.0</v>
      </c>
      <c r="J5782">
        <v>24.46</v>
      </c>
      <c r="K5782">
        <v>30.91</v>
      </c>
      <c r="L5782">
        <v>18.94</v>
      </c>
      <c r="M5782">
        <v>0.0</v>
      </c>
      <c r="N5782">
        <v>0.0</v>
      </c>
      <c r="O5782">
        <v>23.11</v>
      </c>
      <c r="P5782">
        <v>28.41</v>
      </c>
      <c r="Q5782">
        <v>19.0</v>
      </c>
      <c r="R5782">
        <v>0.0</v>
      </c>
    </row>
    <row r="5783">
      <c r="A5783" s="9">
        <v>44314</v>
      </c>
      <c r="B5783" s="2" t="inlineStr">
        <is>
          <t xml:space="preserve">2021-04</t>
        </is>
      </c>
      <c r="C5783" s="2" t="inlineStr">
        <is>
          <t xml:space="preserve">2020/21</t>
        </is>
      </c>
      <c r="D5783">
        <v>0.244</v>
      </c>
      <c r="E5783">
        <v>23.05</v>
      </c>
      <c r="F5783">
        <v>27.7</v>
      </c>
      <c r="G5783">
        <v>18.87</v>
      </c>
      <c r="H5783">
        <v>0.16</v>
      </c>
      <c r="I5783">
        <v>0.0</v>
      </c>
      <c r="J5783">
        <v>24.96</v>
      </c>
      <c r="K5783">
        <v>31.37</v>
      </c>
      <c r="L5783">
        <v>19.68</v>
      </c>
      <c r="M5783">
        <v>0.0</v>
      </c>
      <c r="N5783">
        <v>0.0</v>
      </c>
      <c r="O5783">
        <v>23.65</v>
      </c>
      <c r="P5783">
        <v>28.52</v>
      </c>
      <c r="Q5783">
        <v>19.77</v>
      </c>
      <c r="R5783">
        <v>0.01</v>
      </c>
    </row>
    <row r="5784">
      <c r="A5784" s="9">
        <v>44315</v>
      </c>
      <c r="B5784" s="2" t="inlineStr">
        <is>
          <t xml:space="preserve">2021-04</t>
        </is>
      </c>
      <c r="C5784" s="2" t="inlineStr">
        <is>
          <t xml:space="preserve">2020/21</t>
        </is>
      </c>
      <c r="D5784">
        <v>0.0</v>
      </c>
      <c r="E5784">
        <v>23.6</v>
      </c>
      <c r="F5784">
        <v>29.27</v>
      </c>
      <c r="G5784">
        <v>18.24</v>
      </c>
      <c r="H5784">
        <v>0.26</v>
      </c>
      <c r="I5784">
        <v>0.0</v>
      </c>
      <c r="J5784">
        <v>24.43</v>
      </c>
      <c r="K5784">
        <v>30.46</v>
      </c>
      <c r="L5784">
        <v>20.45</v>
      </c>
      <c r="M5784">
        <v>1.28</v>
      </c>
      <c r="N5784">
        <v>0.0</v>
      </c>
      <c r="O5784">
        <v>24.62</v>
      </c>
      <c r="P5784">
        <v>30.19</v>
      </c>
      <c r="Q5784">
        <v>20.29</v>
      </c>
      <c r="R5784">
        <v>1.58</v>
      </c>
    </row>
    <row r="5785">
      <c r="A5785" s="9">
        <v>44316</v>
      </c>
      <c r="B5785" s="2" t="inlineStr">
        <is>
          <t xml:space="preserve">2021-04</t>
        </is>
      </c>
      <c r="C5785" s="2" t="inlineStr">
        <is>
          <t xml:space="preserve">2020/21</t>
        </is>
      </c>
      <c r="D5785">
        <v>0.0</v>
      </c>
      <c r="E5785">
        <v>23.1</v>
      </c>
      <c r="F5785">
        <v>28.77</v>
      </c>
      <c r="G5785">
        <v>17.65</v>
      </c>
      <c r="H5785">
        <v>0.29</v>
      </c>
      <c r="I5785">
        <v>2.086</v>
      </c>
      <c r="J5785">
        <v>23.83</v>
      </c>
      <c r="K5785">
        <v>29.27</v>
      </c>
      <c r="L5785">
        <v>20.31</v>
      </c>
      <c r="M5785">
        <v>2.82</v>
      </c>
      <c r="N5785">
        <v>8.421</v>
      </c>
      <c r="O5785">
        <v>23.95</v>
      </c>
      <c r="P5785">
        <v>28.7</v>
      </c>
      <c r="Q5785">
        <v>21.07</v>
      </c>
      <c r="R5785">
        <v>1.9</v>
      </c>
    </row>
    <row r="5786">
      <c r="A5786" s="9">
        <v>44317</v>
      </c>
      <c r="B5786" s="2" t="inlineStr">
        <is>
          <t xml:space="preserve">2021-05</t>
        </is>
      </c>
      <c r="C5786" s="2" t="inlineStr">
        <is>
          <t xml:space="preserve">2020/21</t>
        </is>
      </c>
      <c r="D5786">
        <v>0.119</v>
      </c>
      <c r="E5786">
        <v>23.81</v>
      </c>
      <c r="F5786">
        <v>29.5</v>
      </c>
      <c r="G5786">
        <v>18.45</v>
      </c>
      <c r="H5786">
        <v>0.68</v>
      </c>
      <c r="I5786">
        <v>2.311</v>
      </c>
      <c r="J5786">
        <v>24.31</v>
      </c>
      <c r="K5786">
        <v>30.69</v>
      </c>
      <c r="L5786">
        <v>20.17</v>
      </c>
      <c r="M5786">
        <v>4.46</v>
      </c>
      <c r="N5786">
        <v>0.426</v>
      </c>
      <c r="O5786">
        <v>24.93</v>
      </c>
      <c r="P5786">
        <v>30.44</v>
      </c>
      <c r="Q5786">
        <v>20.81</v>
      </c>
      <c r="R5786">
        <v>1.82</v>
      </c>
    </row>
    <row r="5787">
      <c r="A5787" s="9">
        <v>44318</v>
      </c>
      <c r="B5787" s="2" t="inlineStr">
        <is>
          <t xml:space="preserve">2021-05</t>
        </is>
      </c>
      <c r="C5787" s="2" t="inlineStr">
        <is>
          <t xml:space="preserve">2020/21</t>
        </is>
      </c>
      <c r="D5787">
        <v>5.528</v>
      </c>
      <c r="E5787">
        <v>23.06</v>
      </c>
      <c r="F5787">
        <v>28.64</v>
      </c>
      <c r="G5787">
        <v>18.29</v>
      </c>
      <c r="H5787">
        <v>4.3</v>
      </c>
      <c r="I5787">
        <v>15.81</v>
      </c>
      <c r="J5787">
        <v>23.34</v>
      </c>
      <c r="K5787">
        <v>29.12</v>
      </c>
      <c r="L5787">
        <v>19.01</v>
      </c>
      <c r="M5787">
        <v>10.33</v>
      </c>
      <c r="N5787">
        <v>5.945</v>
      </c>
      <c r="O5787">
        <v>24.32</v>
      </c>
      <c r="P5787">
        <v>29.66</v>
      </c>
      <c r="Q5787">
        <v>19.39</v>
      </c>
      <c r="R5787">
        <v>2.75</v>
      </c>
    </row>
    <row r="5788">
      <c r="A5788" s="9">
        <v>44319</v>
      </c>
      <c r="B5788" s="2" t="inlineStr">
        <is>
          <t xml:space="preserve">2021-05</t>
        </is>
      </c>
      <c r="C5788" s="2" t="inlineStr">
        <is>
          <t xml:space="preserve">2020/21</t>
        </is>
      </c>
      <c r="D5788">
        <v>0.061</v>
      </c>
      <c r="E5788">
        <v>22.64</v>
      </c>
      <c r="F5788">
        <v>27.41</v>
      </c>
      <c r="G5788">
        <v>19.34</v>
      </c>
      <c r="H5788">
        <v>2.46</v>
      </c>
      <c r="I5788">
        <v>0.184</v>
      </c>
      <c r="J5788">
        <v>23.14</v>
      </c>
      <c r="K5788">
        <v>28.28</v>
      </c>
      <c r="L5788">
        <v>19.65</v>
      </c>
      <c r="M5788">
        <v>0.26</v>
      </c>
      <c r="N5788">
        <v>0.0</v>
      </c>
      <c r="O5788">
        <v>23.57</v>
      </c>
      <c r="P5788">
        <v>28.3</v>
      </c>
      <c r="Q5788">
        <v>20.29</v>
      </c>
      <c r="R5788">
        <v>0.48</v>
      </c>
    </row>
    <row r="5789">
      <c r="A5789" s="9">
        <v>44320</v>
      </c>
      <c r="B5789" s="2" t="inlineStr">
        <is>
          <t xml:space="preserve">2021-05</t>
        </is>
      </c>
      <c r="C5789" s="2" t="inlineStr">
        <is>
          <t xml:space="preserve">2020/21</t>
        </is>
      </c>
      <c r="D5789">
        <v>1.628</v>
      </c>
      <c r="E5789">
        <v>22.23</v>
      </c>
      <c r="F5789">
        <v>27.81</v>
      </c>
      <c r="G5789">
        <v>17.7</v>
      </c>
      <c r="H5789">
        <v>1.38</v>
      </c>
      <c r="I5789">
        <v>0.0</v>
      </c>
      <c r="J5789">
        <v>23.35</v>
      </c>
      <c r="K5789">
        <v>29.63</v>
      </c>
      <c r="L5789">
        <v>18.82</v>
      </c>
      <c r="M5789">
        <v>0.18</v>
      </c>
      <c r="N5789">
        <v>0.0</v>
      </c>
      <c r="O5789">
        <v>23.78</v>
      </c>
      <c r="P5789">
        <v>29.53</v>
      </c>
      <c r="Q5789">
        <v>19.28</v>
      </c>
      <c r="R5789">
        <v>0.19</v>
      </c>
    </row>
    <row r="5790">
      <c r="A5790" s="9">
        <v>44321</v>
      </c>
      <c r="B5790" s="2" t="inlineStr">
        <is>
          <t xml:space="preserve">2021-05</t>
        </is>
      </c>
      <c r="C5790" s="2" t="inlineStr">
        <is>
          <t xml:space="preserve">2020/21</t>
        </is>
      </c>
      <c r="D5790">
        <v>3.728</v>
      </c>
      <c r="E5790">
        <v>22.17</v>
      </c>
      <c r="F5790">
        <v>25.71</v>
      </c>
      <c r="G5790">
        <v>19.27</v>
      </c>
      <c r="H5790">
        <v>5.09</v>
      </c>
      <c r="I5790">
        <v>0.119</v>
      </c>
      <c r="J5790">
        <v>23.99</v>
      </c>
      <c r="K5790">
        <v>30.56</v>
      </c>
      <c r="L5790">
        <v>19.07</v>
      </c>
      <c r="M5790">
        <v>0.73</v>
      </c>
      <c r="N5790">
        <v>0.372</v>
      </c>
      <c r="O5790">
        <v>24.18</v>
      </c>
      <c r="P5790">
        <v>29.9</v>
      </c>
      <c r="Q5790">
        <v>19.69</v>
      </c>
      <c r="R5790">
        <v>1.33</v>
      </c>
    </row>
    <row r="5791">
      <c r="A5791" s="9">
        <v>44322</v>
      </c>
      <c r="B5791" s="2" t="inlineStr">
        <is>
          <t xml:space="preserve">2021-05</t>
        </is>
      </c>
      <c r="C5791" s="2" t="inlineStr">
        <is>
          <t xml:space="preserve">2020/21</t>
        </is>
      </c>
      <c r="D5791">
        <v>5.03</v>
      </c>
      <c r="E5791">
        <v>21.46</v>
      </c>
      <c r="F5791">
        <v>25.21</v>
      </c>
      <c r="G5791">
        <v>18.63</v>
      </c>
      <c r="H5791">
        <v>5.8</v>
      </c>
      <c r="I5791">
        <v>4.634</v>
      </c>
      <c r="J5791">
        <v>22.08</v>
      </c>
      <c r="K5791">
        <v>24.07</v>
      </c>
      <c r="L5791">
        <v>20.3</v>
      </c>
      <c r="M5791">
        <v>11.29</v>
      </c>
      <c r="N5791">
        <v>17.337</v>
      </c>
      <c r="O5791">
        <v>22.38</v>
      </c>
      <c r="P5791">
        <v>24.43</v>
      </c>
      <c r="Q5791">
        <v>20.73</v>
      </c>
      <c r="R5791">
        <v>10.23</v>
      </c>
    </row>
    <row r="5792">
      <c r="A5792" s="9">
        <v>44323</v>
      </c>
      <c r="B5792" s="2" t="inlineStr">
        <is>
          <t xml:space="preserve">2021-05</t>
        </is>
      </c>
      <c r="C5792" s="2" t="inlineStr">
        <is>
          <t xml:space="preserve">2020/21</t>
        </is>
      </c>
      <c r="D5792">
        <v>18.781</v>
      </c>
      <c r="E5792">
        <v>21.01</v>
      </c>
      <c r="F5792">
        <v>24.95</v>
      </c>
      <c r="G5792">
        <v>18.41</v>
      </c>
      <c r="H5792">
        <v>7.61</v>
      </c>
      <c r="I5792">
        <v>2.248</v>
      </c>
      <c r="J5792">
        <v>22.65</v>
      </c>
      <c r="K5792">
        <v>27.73</v>
      </c>
      <c r="L5792">
        <v>18.75</v>
      </c>
      <c r="M5792">
        <v>1.31</v>
      </c>
      <c r="N5792">
        <v>4.567</v>
      </c>
      <c r="O5792">
        <v>21.9</v>
      </c>
      <c r="P5792">
        <v>25.31</v>
      </c>
      <c r="Q5792">
        <v>19.99</v>
      </c>
      <c r="R5792">
        <v>4.97</v>
      </c>
    </row>
    <row r="5793">
      <c r="A5793" s="9">
        <v>44324</v>
      </c>
      <c r="B5793" s="2" t="inlineStr">
        <is>
          <t xml:space="preserve">2021-05</t>
        </is>
      </c>
      <c r="C5793" s="2" t="inlineStr">
        <is>
          <t xml:space="preserve">2020/21</t>
        </is>
      </c>
      <c r="D5793">
        <v>0.0</v>
      </c>
      <c r="E5793">
        <v>22.57</v>
      </c>
      <c r="F5793">
        <v>28.54</v>
      </c>
      <c r="G5793">
        <v>17.92</v>
      </c>
      <c r="H5793">
        <v>0.03</v>
      </c>
      <c r="I5793">
        <v>0.23</v>
      </c>
      <c r="J5793">
        <v>23.22</v>
      </c>
      <c r="K5793">
        <v>28.66</v>
      </c>
      <c r="L5793">
        <v>18.92</v>
      </c>
      <c r="M5793">
        <v>0.53</v>
      </c>
      <c r="N5793">
        <v>0.0</v>
      </c>
      <c r="O5793">
        <v>22.72</v>
      </c>
      <c r="P5793">
        <v>27.49</v>
      </c>
      <c r="Q5793">
        <v>19.2</v>
      </c>
      <c r="R5793">
        <v>0.09</v>
      </c>
    </row>
    <row r="5794">
      <c r="A5794" s="9">
        <v>44325</v>
      </c>
      <c r="B5794" s="2" t="inlineStr">
        <is>
          <t xml:space="preserve">2021-05</t>
        </is>
      </c>
      <c r="C5794" s="2" t="inlineStr">
        <is>
          <t xml:space="preserve">2020/21</t>
        </is>
      </c>
      <c r="D5794">
        <v>0.0</v>
      </c>
      <c r="E5794">
        <v>23.0</v>
      </c>
      <c r="F5794">
        <v>28.92</v>
      </c>
      <c r="G5794">
        <v>17.34</v>
      </c>
      <c r="H5794">
        <v>0.01</v>
      </c>
      <c r="I5794">
        <v>1.761</v>
      </c>
      <c r="J5794">
        <v>24.22</v>
      </c>
      <c r="K5794">
        <v>30.31</v>
      </c>
      <c r="L5794">
        <v>19.1</v>
      </c>
      <c r="M5794">
        <v>0.61</v>
      </c>
      <c r="N5794">
        <v>0.067</v>
      </c>
      <c r="O5794">
        <v>23.36</v>
      </c>
      <c r="P5794">
        <v>29.07</v>
      </c>
      <c r="Q5794">
        <v>19.27</v>
      </c>
      <c r="R5794">
        <v>0.1</v>
      </c>
    </row>
    <row r="5795">
      <c r="A5795" s="9">
        <v>44326</v>
      </c>
      <c r="B5795" s="2" t="inlineStr">
        <is>
          <t xml:space="preserve">2021-05</t>
        </is>
      </c>
      <c r="C5795" s="2" t="inlineStr">
        <is>
          <t xml:space="preserve">2020/21</t>
        </is>
      </c>
      <c r="D5795">
        <v>0.0</v>
      </c>
      <c r="E5795">
        <v>23.11</v>
      </c>
      <c r="F5795">
        <v>29.79</v>
      </c>
      <c r="G5795">
        <v>16.26</v>
      </c>
      <c r="H5795">
        <v>0.01</v>
      </c>
      <c r="I5795">
        <v>0.0</v>
      </c>
      <c r="J5795">
        <v>24.97</v>
      </c>
      <c r="K5795">
        <v>32.12</v>
      </c>
      <c r="L5795">
        <v>18.59</v>
      </c>
      <c r="M5795">
        <v>0.0</v>
      </c>
      <c r="N5795">
        <v>0.0</v>
      </c>
      <c r="O5795">
        <v>23.99</v>
      </c>
      <c r="P5795">
        <v>30.09</v>
      </c>
      <c r="Q5795">
        <v>19.93</v>
      </c>
      <c r="R5795">
        <v>0.0</v>
      </c>
    </row>
    <row r="5796">
      <c r="A5796" s="9">
        <v>44327</v>
      </c>
      <c r="B5796" s="2" t="inlineStr">
        <is>
          <t xml:space="preserve">2021-05</t>
        </is>
      </c>
      <c r="C5796" s="2" t="inlineStr">
        <is>
          <t xml:space="preserve">2020/21</t>
        </is>
      </c>
      <c r="D5796">
        <v>0.198</v>
      </c>
      <c r="E5796">
        <v>23.8</v>
      </c>
      <c r="F5796">
        <v>29.52</v>
      </c>
      <c r="G5796">
        <v>18.15</v>
      </c>
      <c r="H5796">
        <v>2.52</v>
      </c>
      <c r="I5796">
        <v>0.0</v>
      </c>
      <c r="J5796">
        <v>25.5</v>
      </c>
      <c r="K5796">
        <v>31.91</v>
      </c>
      <c r="L5796">
        <v>20.15</v>
      </c>
      <c r="M5796">
        <v>1.78</v>
      </c>
      <c r="N5796">
        <v>0.0</v>
      </c>
      <c r="O5796">
        <v>24.22</v>
      </c>
      <c r="P5796">
        <v>29.69</v>
      </c>
      <c r="Q5796">
        <v>20.13</v>
      </c>
      <c r="R5796">
        <v>2.46</v>
      </c>
    </row>
    <row r="5797">
      <c r="A5797" s="9">
        <v>44328</v>
      </c>
      <c r="B5797" s="2" t="inlineStr">
        <is>
          <t xml:space="preserve">2021-05</t>
        </is>
      </c>
      <c r="C5797" s="2" t="inlineStr">
        <is>
          <t xml:space="preserve">2020/21</t>
        </is>
      </c>
      <c r="D5797">
        <v>11.346</v>
      </c>
      <c r="E5797">
        <v>23.39</v>
      </c>
      <c r="F5797">
        <v>29.64</v>
      </c>
      <c r="G5797">
        <v>17.45</v>
      </c>
      <c r="H5797">
        <v>4.24</v>
      </c>
      <c r="I5797">
        <v>2.304</v>
      </c>
      <c r="J5797">
        <v>25.76</v>
      </c>
      <c r="K5797">
        <v>31.96</v>
      </c>
      <c r="L5797">
        <v>20.57</v>
      </c>
      <c r="M5797">
        <v>2.56</v>
      </c>
      <c r="N5797">
        <v>8.753</v>
      </c>
      <c r="O5797">
        <v>24.66</v>
      </c>
      <c r="P5797">
        <v>30.18</v>
      </c>
      <c r="Q5797">
        <v>20.9</v>
      </c>
      <c r="R5797">
        <v>2.84</v>
      </c>
    </row>
    <row r="5798">
      <c r="A5798" s="9">
        <v>44329</v>
      </c>
      <c r="B5798" s="2" t="inlineStr">
        <is>
          <t xml:space="preserve">2021-05</t>
        </is>
      </c>
      <c r="C5798" s="2" t="inlineStr">
        <is>
          <t xml:space="preserve">2020/21</t>
        </is>
      </c>
      <c r="D5798">
        <v>0.101</v>
      </c>
      <c r="E5798">
        <v>22.99</v>
      </c>
      <c r="F5798">
        <v>29.33</v>
      </c>
      <c r="G5798">
        <v>17.3</v>
      </c>
      <c r="H5798">
        <v>0.43</v>
      </c>
      <c r="I5798">
        <v>0.0</v>
      </c>
      <c r="J5798">
        <v>24.49</v>
      </c>
      <c r="K5798">
        <v>30.29</v>
      </c>
      <c r="L5798">
        <v>20.52</v>
      </c>
      <c r="M5798">
        <v>0.17</v>
      </c>
      <c r="N5798">
        <v>0.0</v>
      </c>
      <c r="O5798">
        <v>23.7</v>
      </c>
      <c r="P5798">
        <v>28.37</v>
      </c>
      <c r="Q5798">
        <v>20.58</v>
      </c>
      <c r="R5798">
        <v>1.47</v>
      </c>
    </row>
    <row r="5799">
      <c r="A5799" s="9">
        <v>44330</v>
      </c>
      <c r="B5799" s="2" t="inlineStr">
        <is>
          <t xml:space="preserve">2021-05</t>
        </is>
      </c>
      <c r="C5799" s="2" t="inlineStr">
        <is>
          <t xml:space="preserve">2020/21</t>
        </is>
      </c>
      <c r="D5799">
        <v>0.0</v>
      </c>
      <c r="E5799">
        <v>23.34</v>
      </c>
      <c r="F5799">
        <v>29.12</v>
      </c>
      <c r="G5799">
        <v>19.31</v>
      </c>
      <c r="H5799">
        <v>0.98</v>
      </c>
      <c r="I5799">
        <v>0.0</v>
      </c>
      <c r="J5799">
        <v>23.54</v>
      </c>
      <c r="K5799">
        <v>29.35</v>
      </c>
      <c r="L5799">
        <v>19.53</v>
      </c>
      <c r="M5799">
        <v>2.58</v>
      </c>
      <c r="N5799">
        <v>0.29</v>
      </c>
      <c r="O5799">
        <v>22.62</v>
      </c>
      <c r="P5799">
        <v>27.39</v>
      </c>
      <c r="Q5799">
        <v>19.58</v>
      </c>
      <c r="R5799">
        <v>3.07</v>
      </c>
    </row>
    <row r="5800">
      <c r="A5800" s="9">
        <v>44331</v>
      </c>
      <c r="B5800" s="2" t="inlineStr">
        <is>
          <t xml:space="preserve">2021-05</t>
        </is>
      </c>
      <c r="C5800" s="2" t="inlineStr">
        <is>
          <t xml:space="preserve">2020/21</t>
        </is>
      </c>
      <c r="D5800">
        <v>0.0</v>
      </c>
      <c r="E5800">
        <v>23.31</v>
      </c>
      <c r="F5800">
        <v>29.54</v>
      </c>
      <c r="G5800">
        <v>18.36</v>
      </c>
      <c r="H5800">
        <v>0.04</v>
      </c>
      <c r="I5800">
        <v>20.215</v>
      </c>
      <c r="J5800">
        <v>23.21</v>
      </c>
      <c r="K5800">
        <v>28.19</v>
      </c>
      <c r="L5800">
        <v>19.72</v>
      </c>
      <c r="M5800">
        <v>8.69</v>
      </c>
      <c r="N5800">
        <v>0.968</v>
      </c>
      <c r="O5800">
        <v>23.15</v>
      </c>
      <c r="P5800">
        <v>27.65</v>
      </c>
      <c r="Q5800">
        <v>20.33</v>
      </c>
      <c r="R5800">
        <v>1.3</v>
      </c>
    </row>
    <row r="5801">
      <c r="A5801" s="9">
        <v>44332</v>
      </c>
      <c r="B5801" s="2" t="inlineStr">
        <is>
          <t xml:space="preserve">2021-05</t>
        </is>
      </c>
      <c r="C5801" s="2" t="inlineStr">
        <is>
          <t xml:space="preserve">2020/21</t>
        </is>
      </c>
      <c r="D5801">
        <v>0.0</v>
      </c>
      <c r="E5801">
        <v>23.75</v>
      </c>
      <c r="F5801">
        <v>30.17</v>
      </c>
      <c r="G5801">
        <v>18.94</v>
      </c>
      <c r="H5801">
        <v>0.0</v>
      </c>
      <c r="I5801">
        <v>0.0</v>
      </c>
      <c r="J5801">
        <v>24.19</v>
      </c>
      <c r="K5801">
        <v>29.96</v>
      </c>
      <c r="L5801">
        <v>19.09</v>
      </c>
      <c r="M5801">
        <v>0.05</v>
      </c>
      <c r="N5801">
        <v>0.0</v>
      </c>
      <c r="O5801">
        <v>23.55</v>
      </c>
      <c r="P5801">
        <v>28.81</v>
      </c>
      <c r="Q5801">
        <v>19.67</v>
      </c>
      <c r="R5801">
        <v>0.01</v>
      </c>
    </row>
    <row r="5802">
      <c r="A5802" s="9">
        <v>44333</v>
      </c>
      <c r="B5802" s="2" t="inlineStr">
        <is>
          <t xml:space="preserve">2021-05</t>
        </is>
      </c>
      <c r="C5802" s="2" t="inlineStr">
        <is>
          <t xml:space="preserve">2020/21</t>
        </is>
      </c>
      <c r="D5802">
        <v>0.0</v>
      </c>
      <c r="E5802">
        <v>23.95</v>
      </c>
      <c r="F5802">
        <v>29.43</v>
      </c>
      <c r="G5802">
        <v>19.22</v>
      </c>
      <c r="H5802">
        <v>0.01</v>
      </c>
      <c r="I5802">
        <v>0.023</v>
      </c>
      <c r="J5802">
        <v>24.99</v>
      </c>
      <c r="K5802">
        <v>31.41</v>
      </c>
      <c r="L5802">
        <v>19.57</v>
      </c>
      <c r="M5802">
        <v>0.08</v>
      </c>
      <c r="N5802">
        <v>0.251</v>
      </c>
      <c r="O5802">
        <v>24.28</v>
      </c>
      <c r="P5802">
        <v>29.82</v>
      </c>
      <c r="Q5802">
        <v>20.37</v>
      </c>
      <c r="R5802">
        <v>0.07</v>
      </c>
    </row>
    <row r="5803">
      <c r="A5803" s="9">
        <v>44334</v>
      </c>
      <c r="B5803" s="2" t="inlineStr">
        <is>
          <t xml:space="preserve">2021-05</t>
        </is>
      </c>
      <c r="C5803" s="2" t="inlineStr">
        <is>
          <t xml:space="preserve">2020/21</t>
        </is>
      </c>
      <c r="D5803">
        <v>0.0</v>
      </c>
      <c r="E5803">
        <v>24.07</v>
      </c>
      <c r="F5803">
        <v>29.4</v>
      </c>
      <c r="G5803">
        <v>18.34</v>
      </c>
      <c r="H5803">
        <v>0.0</v>
      </c>
      <c r="I5803">
        <v>0.0</v>
      </c>
      <c r="J5803">
        <v>24.81</v>
      </c>
      <c r="K5803">
        <v>30.62</v>
      </c>
      <c r="L5803">
        <v>20.48</v>
      </c>
      <c r="M5803">
        <v>0.0</v>
      </c>
      <c r="N5803">
        <v>0.0</v>
      </c>
      <c r="O5803">
        <v>24.46</v>
      </c>
      <c r="P5803">
        <v>29.57</v>
      </c>
      <c r="Q5803">
        <v>19.8</v>
      </c>
      <c r="R5803">
        <v>0.0</v>
      </c>
    </row>
    <row r="5804">
      <c r="A5804" s="9">
        <v>44335</v>
      </c>
      <c r="B5804" s="2" t="inlineStr">
        <is>
          <t xml:space="preserve">2021-05</t>
        </is>
      </c>
      <c r="C5804" s="2" t="inlineStr">
        <is>
          <t xml:space="preserve">2020/21</t>
        </is>
      </c>
      <c r="D5804">
        <v>0.0</v>
      </c>
      <c r="E5804">
        <v>24.71</v>
      </c>
      <c r="F5804">
        <v>29.99</v>
      </c>
      <c r="G5804">
        <v>19.28</v>
      </c>
      <c r="H5804">
        <v>0.55</v>
      </c>
      <c r="I5804">
        <v>0.0</v>
      </c>
      <c r="J5804">
        <v>25.2</v>
      </c>
      <c r="K5804">
        <v>31.8</v>
      </c>
      <c r="L5804">
        <v>20.0</v>
      </c>
      <c r="M5804">
        <v>1.12</v>
      </c>
      <c r="N5804">
        <v>0.0</v>
      </c>
      <c r="O5804">
        <v>25.47</v>
      </c>
      <c r="P5804">
        <v>31.33</v>
      </c>
      <c r="Q5804">
        <v>20.31</v>
      </c>
      <c r="R5804">
        <v>1.32</v>
      </c>
    </row>
    <row r="5805">
      <c r="A5805" s="9">
        <v>44336</v>
      </c>
      <c r="B5805" s="2" t="inlineStr">
        <is>
          <t xml:space="preserve">2021-05</t>
        </is>
      </c>
      <c r="C5805" s="2" t="inlineStr">
        <is>
          <t xml:space="preserve">2020/21</t>
        </is>
      </c>
      <c r="D5805">
        <v>1.808</v>
      </c>
      <c r="E5805">
        <v>25.08</v>
      </c>
      <c r="F5805">
        <v>31.13</v>
      </c>
      <c r="G5805">
        <v>19.57</v>
      </c>
      <c r="H5805">
        <v>1.27</v>
      </c>
      <c r="I5805">
        <v>1.656</v>
      </c>
      <c r="J5805">
        <v>25.63</v>
      </c>
      <c r="K5805">
        <v>32.05</v>
      </c>
      <c r="L5805">
        <v>19.9</v>
      </c>
      <c r="M5805">
        <v>3.36</v>
      </c>
      <c r="N5805">
        <v>5.699</v>
      </c>
      <c r="O5805">
        <v>25.24</v>
      </c>
      <c r="P5805">
        <v>31.23</v>
      </c>
      <c r="Q5805">
        <v>20.0</v>
      </c>
      <c r="R5805">
        <v>2.99</v>
      </c>
    </row>
    <row r="5806">
      <c r="A5806" s="9">
        <v>44337</v>
      </c>
      <c r="B5806" s="2" t="inlineStr">
        <is>
          <t xml:space="preserve">2021-05</t>
        </is>
      </c>
      <c r="C5806" s="2" t="inlineStr">
        <is>
          <t xml:space="preserve">2020/21</t>
        </is>
      </c>
      <c r="D5806">
        <v>4.183</v>
      </c>
      <c r="E5806">
        <v>22.35</v>
      </c>
      <c r="F5806">
        <v>25.53</v>
      </c>
      <c r="G5806">
        <v>19.93</v>
      </c>
      <c r="H5806">
        <v>9.4</v>
      </c>
      <c r="I5806">
        <v>3.054</v>
      </c>
      <c r="J5806">
        <v>23.52</v>
      </c>
      <c r="K5806">
        <v>27.42</v>
      </c>
      <c r="L5806">
        <v>20.45</v>
      </c>
      <c r="M5806">
        <v>4.5</v>
      </c>
      <c r="N5806">
        <v>10.451</v>
      </c>
      <c r="O5806">
        <v>22.79</v>
      </c>
      <c r="P5806">
        <v>24.95</v>
      </c>
      <c r="Q5806">
        <v>20.49</v>
      </c>
      <c r="R5806">
        <v>7.34</v>
      </c>
    </row>
    <row r="5807">
      <c r="A5807" s="9">
        <v>44338</v>
      </c>
      <c r="B5807" s="2" t="inlineStr">
        <is>
          <t xml:space="preserve">2021-05</t>
        </is>
      </c>
      <c r="C5807" s="2" t="inlineStr">
        <is>
          <t xml:space="preserve">2020/21</t>
        </is>
      </c>
      <c r="D5807">
        <v>1.639</v>
      </c>
      <c r="E5807">
        <v>22.96</v>
      </c>
      <c r="F5807">
        <v>27.79</v>
      </c>
      <c r="G5807">
        <v>19.1</v>
      </c>
      <c r="H5807">
        <v>0.66</v>
      </c>
      <c r="I5807">
        <v>0.153</v>
      </c>
      <c r="J5807">
        <v>24.24</v>
      </c>
      <c r="K5807">
        <v>30.5</v>
      </c>
      <c r="L5807">
        <v>19.53</v>
      </c>
      <c r="M5807">
        <v>3.48</v>
      </c>
      <c r="N5807">
        <v>1.706</v>
      </c>
      <c r="O5807">
        <v>23.52</v>
      </c>
      <c r="P5807">
        <v>28.61</v>
      </c>
      <c r="Q5807">
        <v>19.98</v>
      </c>
      <c r="R5807">
        <v>1.0</v>
      </c>
    </row>
    <row r="5808">
      <c r="A5808" s="9">
        <v>44339</v>
      </c>
      <c r="B5808" s="2" t="inlineStr">
        <is>
          <t xml:space="preserve">2021-05</t>
        </is>
      </c>
      <c r="C5808" s="2" t="inlineStr">
        <is>
          <t xml:space="preserve">2020/21</t>
        </is>
      </c>
      <c r="D5808">
        <v>0.0</v>
      </c>
      <c r="E5808">
        <v>23.17</v>
      </c>
      <c r="F5808">
        <v>28.07</v>
      </c>
      <c r="G5808">
        <v>19.08</v>
      </c>
      <c r="H5808">
        <v>0.03</v>
      </c>
      <c r="I5808">
        <v>31.234</v>
      </c>
      <c r="J5808">
        <v>22.79</v>
      </c>
      <c r="K5808">
        <v>26.34</v>
      </c>
      <c r="L5808">
        <v>20.45</v>
      </c>
      <c r="M5808">
        <v>13.96</v>
      </c>
      <c r="N5808">
        <v>1.178</v>
      </c>
      <c r="O5808">
        <v>23.27</v>
      </c>
      <c r="P5808">
        <v>27.41</v>
      </c>
      <c r="Q5808">
        <v>20.75</v>
      </c>
      <c r="R5808">
        <v>1.17</v>
      </c>
    </row>
    <row r="5809">
      <c r="A5809" s="9">
        <v>44340</v>
      </c>
      <c r="B5809" s="2" t="inlineStr">
        <is>
          <t xml:space="preserve">2021-05</t>
        </is>
      </c>
      <c r="C5809" s="2" t="inlineStr">
        <is>
          <t xml:space="preserve">2020/21</t>
        </is>
      </c>
      <c r="D5809">
        <v>0.0</v>
      </c>
      <c r="E5809">
        <v>23.46</v>
      </c>
      <c r="F5809">
        <v>29.31</v>
      </c>
      <c r="G5809">
        <v>18.96</v>
      </c>
      <c r="H5809">
        <v>0.31</v>
      </c>
      <c r="I5809">
        <v>15.916</v>
      </c>
      <c r="J5809">
        <v>22.99</v>
      </c>
      <c r="K5809">
        <v>26.48</v>
      </c>
      <c r="L5809">
        <v>20.38</v>
      </c>
      <c r="M5809">
        <v>8.08</v>
      </c>
      <c r="N5809">
        <v>0.605</v>
      </c>
      <c r="O5809">
        <v>23.22</v>
      </c>
      <c r="P5809">
        <v>26.99</v>
      </c>
      <c r="Q5809">
        <v>20.7</v>
      </c>
      <c r="R5809">
        <v>0.57</v>
      </c>
    </row>
    <row r="5810">
      <c r="A5810" s="9">
        <v>44341</v>
      </c>
      <c r="B5810" s="2" t="inlineStr">
        <is>
          <t xml:space="preserve">2021-05</t>
        </is>
      </c>
      <c r="C5810" s="2" t="inlineStr">
        <is>
          <t xml:space="preserve">2020/21</t>
        </is>
      </c>
      <c r="D5810">
        <v>0.03</v>
      </c>
      <c r="E5810">
        <v>23.29</v>
      </c>
      <c r="F5810">
        <v>29.4</v>
      </c>
      <c r="G5810">
        <v>18.54</v>
      </c>
      <c r="H5810">
        <v>4.55</v>
      </c>
      <c r="I5810">
        <v>9.161</v>
      </c>
      <c r="J5810">
        <v>23.3</v>
      </c>
      <c r="K5810">
        <v>27.64</v>
      </c>
      <c r="L5810">
        <v>20.32</v>
      </c>
      <c r="M5810">
        <v>6.1</v>
      </c>
      <c r="N5810">
        <v>0.325</v>
      </c>
      <c r="O5810">
        <v>23.63</v>
      </c>
      <c r="P5810">
        <v>28.56</v>
      </c>
      <c r="Q5810">
        <v>20.25</v>
      </c>
      <c r="R5810">
        <v>2.77</v>
      </c>
    </row>
    <row r="5811">
      <c r="A5811" s="9">
        <v>44342</v>
      </c>
      <c r="B5811" s="2" t="inlineStr">
        <is>
          <t xml:space="preserve">2021-05</t>
        </is>
      </c>
      <c r="C5811" s="2" t="inlineStr">
        <is>
          <t xml:space="preserve">2020/21</t>
        </is>
      </c>
      <c r="D5811">
        <v>7.078</v>
      </c>
      <c r="E5811">
        <v>23.44</v>
      </c>
      <c r="F5811">
        <v>29.2</v>
      </c>
      <c r="G5811">
        <v>18.81</v>
      </c>
      <c r="H5811">
        <v>0.63</v>
      </c>
      <c r="I5811">
        <v>10.354</v>
      </c>
      <c r="J5811">
        <v>23.13</v>
      </c>
      <c r="K5811">
        <v>26.69</v>
      </c>
      <c r="L5811">
        <v>20.47</v>
      </c>
      <c r="M5811">
        <v>6.96</v>
      </c>
      <c r="N5811">
        <v>6.415</v>
      </c>
      <c r="O5811">
        <v>23.56</v>
      </c>
      <c r="P5811">
        <v>28.11</v>
      </c>
      <c r="Q5811">
        <v>21.14</v>
      </c>
      <c r="R5811">
        <v>1.78</v>
      </c>
    </row>
    <row r="5812">
      <c r="A5812" s="9">
        <v>44343</v>
      </c>
      <c r="B5812" s="2" t="inlineStr">
        <is>
          <t xml:space="preserve">2021-05</t>
        </is>
      </c>
      <c r="C5812" s="2" t="inlineStr">
        <is>
          <t xml:space="preserve">2020/21</t>
        </is>
      </c>
      <c r="D5812">
        <v>0.0</v>
      </c>
      <c r="E5812">
        <v>23.5</v>
      </c>
      <c r="F5812">
        <v>30.82</v>
      </c>
      <c r="G5812">
        <v>16.75</v>
      </c>
      <c r="H5812">
        <v>32.31</v>
      </c>
      <c r="I5812">
        <v>2.74</v>
      </c>
      <c r="J5812">
        <v>24.01</v>
      </c>
      <c r="K5812">
        <v>30.14</v>
      </c>
      <c r="L5812">
        <v>19.44</v>
      </c>
      <c r="M5812">
        <v>163.85</v>
      </c>
      <c r="N5812">
        <v>0.133</v>
      </c>
      <c r="O5812">
        <v>23.88</v>
      </c>
      <c r="P5812">
        <v>29.49</v>
      </c>
      <c r="Q5812">
        <v>20.17</v>
      </c>
      <c r="R5812">
        <v>169.6</v>
      </c>
    </row>
    <row r="5813">
      <c r="A5813" s="9">
        <v>44344</v>
      </c>
      <c r="B5813" s="2" t="inlineStr">
        <is>
          <t xml:space="preserve">2021-05</t>
        </is>
      </c>
      <c r="C5813" s="2" t="inlineStr">
        <is>
          <t xml:space="preserve">2020/21</t>
        </is>
      </c>
      <c r="D5813">
        <v>0.0</v>
      </c>
      <c r="E5813">
        <v>23.08</v>
      </c>
      <c r="F5813">
        <v>28.6</v>
      </c>
      <c r="G5813">
        <v>17.66</v>
      </c>
      <c r="H5813">
        <v>10.23</v>
      </c>
      <c r="I5813">
        <v>13.278</v>
      </c>
      <c r="J5813">
        <v>23.45</v>
      </c>
      <c r="K5813">
        <v>27.68</v>
      </c>
      <c r="L5813">
        <v>19.53</v>
      </c>
      <c r="M5813">
        <v>176.85</v>
      </c>
      <c r="N5813">
        <v>3.072</v>
      </c>
      <c r="O5813">
        <v>23.41</v>
      </c>
      <c r="P5813">
        <v>27.91</v>
      </c>
      <c r="Q5813">
        <v>20.44</v>
      </c>
      <c r="R5813">
        <v>121.57</v>
      </c>
    </row>
    <row r="5814">
      <c r="A5814" s="9">
        <v>44345</v>
      </c>
      <c r="B5814" s="2" t="inlineStr">
        <is>
          <t xml:space="preserve">2021-05</t>
        </is>
      </c>
      <c r="C5814" s="2" t="inlineStr">
        <is>
          <t xml:space="preserve">2020/21</t>
        </is>
      </c>
      <c r="D5814">
        <v>17.128</v>
      </c>
      <c r="E5814">
        <v>23.74</v>
      </c>
      <c r="F5814">
        <v>29.41</v>
      </c>
      <c r="G5814">
        <v>19.15</v>
      </c>
      <c r="H5814">
        <v>12.82</v>
      </c>
      <c r="I5814">
        <v>0.631</v>
      </c>
      <c r="J5814">
        <v>24.27</v>
      </c>
      <c r="K5814">
        <v>28.84</v>
      </c>
      <c r="L5814">
        <v>20.18</v>
      </c>
      <c r="M5814">
        <v>3.64</v>
      </c>
      <c r="N5814">
        <v>2.005</v>
      </c>
      <c r="O5814">
        <v>23.72</v>
      </c>
      <c r="P5814">
        <v>28.83</v>
      </c>
      <c r="Q5814">
        <v>20.02</v>
      </c>
      <c r="R5814">
        <v>6.77</v>
      </c>
    </row>
    <row r="5815">
      <c r="A5815" s="9">
        <v>44346</v>
      </c>
      <c r="B5815" s="2" t="inlineStr">
        <is>
          <t xml:space="preserve">2021-05</t>
        </is>
      </c>
      <c r="C5815" s="2" t="inlineStr">
        <is>
          <t xml:space="preserve">2020/21</t>
        </is>
      </c>
      <c r="D5815">
        <v>18.857</v>
      </c>
      <c r="E5815">
        <v>22.95</v>
      </c>
      <c r="F5815">
        <v>27.48</v>
      </c>
      <c r="G5815">
        <v>19.29</v>
      </c>
      <c r="H5815">
        <v>11.53</v>
      </c>
      <c r="I5815">
        <v>2.601</v>
      </c>
      <c r="J5815">
        <v>23.65</v>
      </c>
      <c r="K5815">
        <v>27.65</v>
      </c>
      <c r="L5815">
        <v>20.31</v>
      </c>
      <c r="M5815">
        <v>5.22</v>
      </c>
      <c r="N5815">
        <v>3.333</v>
      </c>
      <c r="O5815">
        <v>23.49</v>
      </c>
      <c r="P5815">
        <v>27.72</v>
      </c>
      <c r="Q5815">
        <v>20.38</v>
      </c>
      <c r="R5815">
        <v>7.32</v>
      </c>
    </row>
    <row r="5816">
      <c r="A5816" s="9">
        <v>44347</v>
      </c>
      <c r="B5816" s="2" t="inlineStr">
        <is>
          <t xml:space="preserve">2021-05</t>
        </is>
      </c>
      <c r="C5816" s="2" t="inlineStr">
        <is>
          <t xml:space="preserve">2020/21</t>
        </is>
      </c>
      <c r="D5816">
        <v>7.405</v>
      </c>
      <c r="E5816">
        <v>23.46</v>
      </c>
      <c r="F5816">
        <v>29.07</v>
      </c>
      <c r="G5816">
        <v>19.3</v>
      </c>
      <c r="H5816">
        <v>2.81</v>
      </c>
      <c r="I5816">
        <v>3.815</v>
      </c>
      <c r="J5816">
        <v>23.68</v>
      </c>
      <c r="K5816">
        <v>28.29</v>
      </c>
      <c r="L5816">
        <v>20.09</v>
      </c>
      <c r="M5816">
        <v>0.57</v>
      </c>
      <c r="N5816">
        <v>1.296</v>
      </c>
      <c r="O5816">
        <v>23.44</v>
      </c>
      <c r="P5816">
        <v>27.71</v>
      </c>
      <c r="Q5816">
        <v>20.21</v>
      </c>
      <c r="R5816">
        <v>1.52</v>
      </c>
    </row>
    <row r="5817">
      <c r="A5817" s="9">
        <v>44348</v>
      </c>
      <c r="B5817" s="2" t="inlineStr">
        <is>
          <t xml:space="preserve">2021-06</t>
        </is>
      </c>
      <c r="C5817" s="2" t="inlineStr">
        <is>
          <t xml:space="preserve">2020/21</t>
        </is>
      </c>
      <c r="D5817">
        <v>0.0</v>
      </c>
      <c r="E5817">
        <v>23.17</v>
      </c>
      <c r="F5817">
        <v>28.69</v>
      </c>
      <c r="G5817">
        <v>18.79</v>
      </c>
      <c r="H5817">
        <v>0.83</v>
      </c>
      <c r="I5817">
        <v>0.0</v>
      </c>
      <c r="J5817">
        <v>23.17</v>
      </c>
      <c r="K5817">
        <v>28.33</v>
      </c>
      <c r="L5817">
        <v>19.0</v>
      </c>
      <c r="M5817">
        <v>7.43</v>
      </c>
      <c r="N5817">
        <v>0.0</v>
      </c>
      <c r="O5817">
        <v>23.12</v>
      </c>
      <c r="P5817">
        <v>28.04</v>
      </c>
      <c r="Q5817">
        <v>19.8</v>
      </c>
      <c r="R5817">
        <v>2.16</v>
      </c>
    </row>
    <row r="5818">
      <c r="A5818" s="9">
        <v>44349</v>
      </c>
      <c r="B5818" s="2" t="inlineStr">
        <is>
          <t xml:space="preserve">2021-06</t>
        </is>
      </c>
      <c r="C5818" s="2" t="inlineStr">
        <is>
          <t xml:space="preserve">2020/21</t>
        </is>
      </c>
      <c r="D5818">
        <v>4.933</v>
      </c>
      <c r="E5818">
        <v>23.03</v>
      </c>
      <c r="F5818">
        <v>28.27</v>
      </c>
      <c r="G5818">
        <v>18.96</v>
      </c>
      <c r="H5818">
        <v>2.58</v>
      </c>
      <c r="I5818">
        <v>21.596</v>
      </c>
      <c r="J5818">
        <v>22.86</v>
      </c>
      <c r="K5818">
        <v>27.31</v>
      </c>
      <c r="L5818">
        <v>19.45</v>
      </c>
      <c r="M5818">
        <v>11.69</v>
      </c>
      <c r="N5818">
        <v>2.179</v>
      </c>
      <c r="O5818">
        <v>22.69</v>
      </c>
      <c r="P5818">
        <v>27.21</v>
      </c>
      <c r="Q5818">
        <v>19.77</v>
      </c>
      <c r="R5818">
        <v>6.17</v>
      </c>
    </row>
    <row r="5819">
      <c r="A5819" s="9">
        <v>44350</v>
      </c>
      <c r="B5819" s="2" t="inlineStr">
        <is>
          <t xml:space="preserve">2021-06</t>
        </is>
      </c>
      <c r="C5819" s="2" t="inlineStr">
        <is>
          <t xml:space="preserve">2020/21</t>
        </is>
      </c>
      <c r="D5819">
        <v>1.41</v>
      </c>
      <c r="E5819">
        <v>22.71</v>
      </c>
      <c r="F5819">
        <v>26.41</v>
      </c>
      <c r="G5819">
        <v>20.17</v>
      </c>
      <c r="H5819">
        <v>4.61</v>
      </c>
      <c r="I5819">
        <v>10.662</v>
      </c>
      <c r="J5819">
        <v>23.32</v>
      </c>
      <c r="K5819">
        <v>28.02</v>
      </c>
      <c r="L5819">
        <v>19.04</v>
      </c>
      <c r="M5819">
        <v>12.72</v>
      </c>
      <c r="N5819">
        <v>33.343</v>
      </c>
      <c r="O5819">
        <v>22.43</v>
      </c>
      <c r="P5819">
        <v>25.43</v>
      </c>
      <c r="Q5819">
        <v>19.68</v>
      </c>
      <c r="R5819">
        <v>11.49</v>
      </c>
    </row>
    <row r="5820">
      <c r="A5820" s="9">
        <v>44351</v>
      </c>
      <c r="B5820" s="2" t="inlineStr">
        <is>
          <t xml:space="preserve">2021-06</t>
        </is>
      </c>
      <c r="C5820" s="2" t="inlineStr">
        <is>
          <t xml:space="preserve">2020/21</t>
        </is>
      </c>
      <c r="D5820">
        <v>4.209</v>
      </c>
      <c r="E5820">
        <v>23.66</v>
      </c>
      <c r="F5820">
        <v>29.18</v>
      </c>
      <c r="G5820">
        <v>20.07</v>
      </c>
      <c r="H5820">
        <v>3.43</v>
      </c>
      <c r="I5820">
        <v>8.511</v>
      </c>
      <c r="J5820">
        <v>23.89</v>
      </c>
      <c r="K5820">
        <v>28.15</v>
      </c>
      <c r="L5820">
        <v>19.93</v>
      </c>
      <c r="M5820">
        <v>7.72</v>
      </c>
      <c r="N5820">
        <v>12.987</v>
      </c>
      <c r="O5820">
        <v>23.37</v>
      </c>
      <c r="P5820">
        <v>27.46</v>
      </c>
      <c r="Q5820">
        <v>20.18</v>
      </c>
      <c r="R5820">
        <v>5.71</v>
      </c>
    </row>
    <row r="5821">
      <c r="A5821" s="9">
        <v>44352</v>
      </c>
      <c r="B5821" s="2" t="inlineStr">
        <is>
          <t xml:space="preserve">2021-06</t>
        </is>
      </c>
      <c r="C5821" s="2" t="inlineStr">
        <is>
          <t xml:space="preserve">2020/21</t>
        </is>
      </c>
      <c r="D5821">
        <v>8.166</v>
      </c>
      <c r="E5821">
        <v>24.05</v>
      </c>
      <c r="F5821">
        <v>30.1</v>
      </c>
      <c r="G5821">
        <v>19.12</v>
      </c>
      <c r="H5821">
        <v>3.07</v>
      </c>
      <c r="I5821">
        <v>0.756</v>
      </c>
      <c r="J5821">
        <v>24.6</v>
      </c>
      <c r="K5821">
        <v>29.05</v>
      </c>
      <c r="L5821">
        <v>20.99</v>
      </c>
      <c r="M5821">
        <v>0.22</v>
      </c>
      <c r="N5821">
        <v>0.088</v>
      </c>
      <c r="O5821">
        <v>24.43</v>
      </c>
      <c r="P5821">
        <v>29.31</v>
      </c>
      <c r="Q5821">
        <v>20.7</v>
      </c>
      <c r="R5821">
        <v>0.45</v>
      </c>
    </row>
    <row r="5822">
      <c r="A5822" s="9">
        <v>44353</v>
      </c>
      <c r="B5822" s="2" t="inlineStr">
        <is>
          <t xml:space="preserve">2021-06</t>
        </is>
      </c>
      <c r="C5822" s="2" t="inlineStr">
        <is>
          <t xml:space="preserve">2020/21</t>
        </is>
      </c>
      <c r="D5822">
        <v>0.0</v>
      </c>
      <c r="E5822">
        <v>24.51</v>
      </c>
      <c r="F5822">
        <v>30.61</v>
      </c>
      <c r="G5822">
        <v>19.29</v>
      </c>
      <c r="H5822">
        <v>2.35</v>
      </c>
      <c r="I5822">
        <v>0.874</v>
      </c>
      <c r="J5822">
        <v>23.89</v>
      </c>
      <c r="K5822">
        <v>27.29</v>
      </c>
      <c r="L5822">
        <v>20.76</v>
      </c>
      <c r="M5822">
        <v>1.65</v>
      </c>
      <c r="N5822">
        <v>0.0</v>
      </c>
      <c r="O5822">
        <v>23.59</v>
      </c>
      <c r="P5822">
        <v>27.46</v>
      </c>
      <c r="Q5822">
        <v>20.5</v>
      </c>
      <c r="R5822">
        <v>1.67</v>
      </c>
    </row>
    <row r="5823">
      <c r="A5823" s="9">
        <v>44354</v>
      </c>
      <c r="B5823" s="2" t="inlineStr">
        <is>
          <t xml:space="preserve">2021-06</t>
        </is>
      </c>
      <c r="C5823" s="2" t="inlineStr">
        <is>
          <t xml:space="preserve">2020/21</t>
        </is>
      </c>
      <c r="D5823">
        <v>7.998</v>
      </c>
      <c r="E5823">
        <v>24.06</v>
      </c>
      <c r="F5823">
        <v>29.94</v>
      </c>
      <c r="G5823">
        <v>18.66</v>
      </c>
      <c r="H5823">
        <v>3.61</v>
      </c>
      <c r="I5823">
        <v>8.318</v>
      </c>
      <c r="J5823">
        <v>24.03</v>
      </c>
      <c r="K5823">
        <v>28.13</v>
      </c>
      <c r="L5823">
        <v>20.39</v>
      </c>
      <c r="M5823">
        <v>6.91</v>
      </c>
      <c r="N5823">
        <v>3.82</v>
      </c>
      <c r="O5823">
        <v>24.27</v>
      </c>
      <c r="P5823">
        <v>28.91</v>
      </c>
      <c r="Q5823">
        <v>21.03</v>
      </c>
      <c r="R5823">
        <v>2.69</v>
      </c>
    </row>
    <row r="5824">
      <c r="A5824" s="9">
        <v>44355</v>
      </c>
      <c r="B5824" s="2" t="inlineStr">
        <is>
          <t xml:space="preserve">2021-06</t>
        </is>
      </c>
      <c r="C5824" s="2" t="inlineStr">
        <is>
          <t xml:space="preserve">2020/21</t>
        </is>
      </c>
      <c r="D5824">
        <v>6.009</v>
      </c>
      <c r="E5824">
        <v>23.77</v>
      </c>
      <c r="F5824">
        <v>29.58</v>
      </c>
      <c r="G5824">
        <v>19.01</v>
      </c>
      <c r="H5824">
        <v>3.83</v>
      </c>
      <c r="I5824">
        <v>17.656</v>
      </c>
      <c r="J5824">
        <v>23.56</v>
      </c>
      <c r="K5824">
        <v>26.74</v>
      </c>
      <c r="L5824">
        <v>21.28</v>
      </c>
      <c r="M5824">
        <v>7.26</v>
      </c>
      <c r="N5824">
        <v>1.057</v>
      </c>
      <c r="O5824">
        <v>24.07</v>
      </c>
      <c r="P5824">
        <v>28.57</v>
      </c>
      <c r="Q5824">
        <v>21.14</v>
      </c>
      <c r="R5824">
        <v>1.43</v>
      </c>
    </row>
    <row r="5825">
      <c r="A5825" s="9">
        <v>44356</v>
      </c>
      <c r="B5825" s="2" t="inlineStr">
        <is>
          <t xml:space="preserve">2021-06</t>
        </is>
      </c>
      <c r="C5825" s="2" t="inlineStr">
        <is>
          <t xml:space="preserve">2020/21</t>
        </is>
      </c>
      <c r="D5825">
        <v>10.101</v>
      </c>
      <c r="E5825">
        <v>22.71</v>
      </c>
      <c r="F5825">
        <v>27.25</v>
      </c>
      <c r="G5825">
        <v>19.8</v>
      </c>
      <c r="H5825">
        <v>10.12</v>
      </c>
      <c r="I5825">
        <v>4.896</v>
      </c>
      <c r="J5825">
        <v>22.36</v>
      </c>
      <c r="K5825">
        <v>24.14</v>
      </c>
      <c r="L5825">
        <v>20.89</v>
      </c>
      <c r="M5825">
        <v>18.84</v>
      </c>
      <c r="N5825">
        <v>0.521</v>
      </c>
      <c r="O5825">
        <v>23.03</v>
      </c>
      <c r="P5825">
        <v>25.58</v>
      </c>
      <c r="Q5825">
        <v>21.66</v>
      </c>
      <c r="R5825">
        <v>14.85</v>
      </c>
    </row>
    <row r="5826">
      <c r="A5826" s="9">
        <v>44357</v>
      </c>
      <c r="B5826" s="2" t="inlineStr">
        <is>
          <t xml:space="preserve">2021-06</t>
        </is>
      </c>
      <c r="C5826" s="2" t="inlineStr">
        <is>
          <t xml:space="preserve">2020/21</t>
        </is>
      </c>
      <c r="D5826">
        <v>19.111</v>
      </c>
      <c r="E5826">
        <v>22.5</v>
      </c>
      <c r="F5826">
        <v>27.52</v>
      </c>
      <c r="G5826">
        <v>19.36</v>
      </c>
      <c r="H5826">
        <v>8.44</v>
      </c>
      <c r="I5826">
        <v>30.407</v>
      </c>
      <c r="J5826">
        <v>22.16</v>
      </c>
      <c r="K5826">
        <v>24.89</v>
      </c>
      <c r="L5826">
        <v>20.11</v>
      </c>
      <c r="M5826">
        <v>25.24</v>
      </c>
      <c r="N5826">
        <v>60.712</v>
      </c>
      <c r="O5826">
        <v>22.84</v>
      </c>
      <c r="P5826">
        <v>25.98</v>
      </c>
      <c r="Q5826">
        <v>21.06</v>
      </c>
      <c r="R5826">
        <v>18.12</v>
      </c>
    </row>
    <row r="5827">
      <c r="A5827" s="9">
        <v>44358</v>
      </c>
      <c r="B5827" s="2" t="inlineStr">
        <is>
          <t xml:space="preserve">2021-06</t>
        </is>
      </c>
      <c r="C5827" s="2" t="inlineStr">
        <is>
          <t xml:space="preserve">2020/21</t>
        </is>
      </c>
      <c r="D5827">
        <v>5.85</v>
      </c>
      <c r="E5827">
        <v>22.81</v>
      </c>
      <c r="F5827">
        <v>27.65</v>
      </c>
      <c r="G5827">
        <v>19.14</v>
      </c>
      <c r="H5827">
        <v>8.17</v>
      </c>
      <c r="I5827">
        <v>3.913</v>
      </c>
      <c r="J5827">
        <v>22.92</v>
      </c>
      <c r="K5827">
        <v>27.04</v>
      </c>
      <c r="L5827">
        <v>19.83</v>
      </c>
      <c r="M5827">
        <v>13.91</v>
      </c>
      <c r="N5827">
        <v>13.282</v>
      </c>
      <c r="O5827">
        <v>23.09</v>
      </c>
      <c r="P5827">
        <v>26.62</v>
      </c>
      <c r="Q5827">
        <v>20.69</v>
      </c>
      <c r="R5827">
        <v>12.08</v>
      </c>
    </row>
    <row r="5828">
      <c r="A5828" s="9">
        <v>44359</v>
      </c>
      <c r="B5828" s="2" t="inlineStr">
        <is>
          <t xml:space="preserve">2021-06</t>
        </is>
      </c>
      <c r="C5828" s="2" t="inlineStr">
        <is>
          <t xml:space="preserve">2020/21</t>
        </is>
      </c>
      <c r="D5828">
        <v>6.013</v>
      </c>
      <c r="E5828">
        <v>21.92</v>
      </c>
      <c r="F5828">
        <v>24.31</v>
      </c>
      <c r="G5828">
        <v>19.83</v>
      </c>
      <c r="H5828">
        <v>4.36</v>
      </c>
      <c r="I5828">
        <v>17.677</v>
      </c>
      <c r="J5828">
        <v>22.84</v>
      </c>
      <c r="K5828">
        <v>26.28</v>
      </c>
      <c r="L5828">
        <v>20.15</v>
      </c>
      <c r="M5828">
        <v>10.64</v>
      </c>
      <c r="N5828">
        <v>25.144</v>
      </c>
      <c r="O5828">
        <v>22.76</v>
      </c>
      <c r="P5828">
        <v>24.78</v>
      </c>
      <c r="Q5828">
        <v>21.09</v>
      </c>
      <c r="R5828">
        <v>10.77</v>
      </c>
    </row>
    <row r="5829">
      <c r="A5829" s="9">
        <v>44360</v>
      </c>
      <c r="B5829" s="2" t="inlineStr">
        <is>
          <t xml:space="preserve">2021-06</t>
        </is>
      </c>
      <c r="C5829" s="2" t="inlineStr">
        <is>
          <t xml:space="preserve">2020/21</t>
        </is>
      </c>
      <c r="D5829">
        <v>4.335</v>
      </c>
      <c r="E5829">
        <v>21.58</v>
      </c>
      <c r="F5829">
        <v>25.22</v>
      </c>
      <c r="G5829">
        <v>19.19</v>
      </c>
      <c r="H5829">
        <v>8.0</v>
      </c>
      <c r="I5829">
        <v>1.995</v>
      </c>
      <c r="J5829">
        <v>22.51</v>
      </c>
      <c r="K5829">
        <v>25.3</v>
      </c>
      <c r="L5829">
        <v>20.71</v>
      </c>
      <c r="M5829">
        <v>10.12</v>
      </c>
      <c r="N5829">
        <v>5.94</v>
      </c>
      <c r="O5829">
        <v>22.98</v>
      </c>
      <c r="P5829">
        <v>26.98</v>
      </c>
      <c r="Q5829">
        <v>20.94</v>
      </c>
      <c r="R5829">
        <v>7.14</v>
      </c>
    </row>
    <row r="5830">
      <c r="A5830" s="9">
        <v>44361</v>
      </c>
      <c r="B5830" s="2" t="inlineStr">
        <is>
          <t xml:space="preserve">2021-06</t>
        </is>
      </c>
      <c r="C5830" s="2" t="inlineStr">
        <is>
          <t xml:space="preserve">2020/21</t>
        </is>
      </c>
      <c r="D5830">
        <v>9.711</v>
      </c>
      <c r="E5830">
        <v>20.83</v>
      </c>
      <c r="F5830">
        <v>23.17</v>
      </c>
      <c r="G5830">
        <v>18.78</v>
      </c>
      <c r="H5830">
        <v>13.75</v>
      </c>
      <c r="I5830">
        <v>14.846</v>
      </c>
      <c r="J5830">
        <v>22.83</v>
      </c>
      <c r="K5830">
        <v>26.24</v>
      </c>
      <c r="L5830">
        <v>20.54</v>
      </c>
      <c r="M5830">
        <v>12.43</v>
      </c>
      <c r="N5830">
        <v>29.586</v>
      </c>
      <c r="O5830">
        <v>22.72</v>
      </c>
      <c r="P5830">
        <v>26.14</v>
      </c>
      <c r="Q5830">
        <v>20.12</v>
      </c>
      <c r="R5830">
        <v>14.67</v>
      </c>
    </row>
    <row r="5831">
      <c r="A5831" s="9">
        <v>44362</v>
      </c>
      <c r="B5831" s="2" t="inlineStr">
        <is>
          <t xml:space="preserve">2021-06</t>
        </is>
      </c>
      <c r="C5831" s="2" t="inlineStr">
        <is>
          <t xml:space="preserve">2020/21</t>
        </is>
      </c>
      <c r="D5831">
        <v>2.962</v>
      </c>
      <c r="E5831">
        <v>21.58</v>
      </c>
      <c r="F5831">
        <v>25.6</v>
      </c>
      <c r="G5831">
        <v>18.89</v>
      </c>
      <c r="H5831">
        <v>6.35</v>
      </c>
      <c r="I5831">
        <v>0.575</v>
      </c>
      <c r="J5831">
        <v>21.78</v>
      </c>
      <c r="K5831">
        <v>24.89</v>
      </c>
      <c r="L5831">
        <v>19.27</v>
      </c>
      <c r="M5831">
        <v>2.37</v>
      </c>
      <c r="N5831">
        <v>0.757</v>
      </c>
      <c r="O5831">
        <v>22.2</v>
      </c>
      <c r="P5831">
        <v>25.15</v>
      </c>
      <c r="Q5831">
        <v>20.09</v>
      </c>
      <c r="R5831">
        <v>4.71</v>
      </c>
    </row>
    <row r="5832">
      <c r="A5832" s="9">
        <v>44363</v>
      </c>
      <c r="B5832" s="2" t="inlineStr">
        <is>
          <t xml:space="preserve">2021-06</t>
        </is>
      </c>
      <c r="C5832" s="2" t="inlineStr">
        <is>
          <t xml:space="preserve">2020/21</t>
        </is>
      </c>
      <c r="D5832">
        <v>3.795</v>
      </c>
      <c r="E5832">
        <v>21.95</v>
      </c>
      <c r="F5832">
        <v>26.07</v>
      </c>
      <c r="G5832">
        <v>18.3</v>
      </c>
      <c r="H5832">
        <v>4.94</v>
      </c>
      <c r="I5832">
        <v>13.782</v>
      </c>
      <c r="J5832">
        <v>21.58</v>
      </c>
      <c r="K5832">
        <v>25.73</v>
      </c>
      <c r="L5832">
        <v>18.78</v>
      </c>
      <c r="M5832">
        <v>7.0</v>
      </c>
      <c r="N5832">
        <v>1.79</v>
      </c>
      <c r="O5832">
        <v>22.35</v>
      </c>
      <c r="P5832">
        <v>25.98</v>
      </c>
      <c r="Q5832">
        <v>19.28</v>
      </c>
      <c r="R5832">
        <v>7.25</v>
      </c>
    </row>
    <row r="5833">
      <c r="A5833" s="9">
        <v>44364</v>
      </c>
      <c r="B5833" s="2" t="inlineStr">
        <is>
          <t xml:space="preserve">2021-06</t>
        </is>
      </c>
      <c r="C5833" s="2" t="inlineStr">
        <is>
          <t xml:space="preserve">2020/21</t>
        </is>
      </c>
      <c r="D5833">
        <v>1.705</v>
      </c>
      <c r="E5833">
        <v>22.13</v>
      </c>
      <c r="F5833">
        <v>25.18</v>
      </c>
      <c r="G5833">
        <v>19.56</v>
      </c>
      <c r="H5833">
        <v>4.48</v>
      </c>
      <c r="I5833">
        <v>0.217</v>
      </c>
      <c r="J5833">
        <v>22.16</v>
      </c>
      <c r="K5833">
        <v>26.17</v>
      </c>
      <c r="L5833">
        <v>19.04</v>
      </c>
      <c r="M5833">
        <v>1.43</v>
      </c>
      <c r="N5833">
        <v>2.536</v>
      </c>
      <c r="O5833">
        <v>22.91</v>
      </c>
      <c r="P5833">
        <v>27.03</v>
      </c>
      <c r="Q5833">
        <v>19.36</v>
      </c>
      <c r="R5833">
        <v>3.78</v>
      </c>
    </row>
    <row r="5834">
      <c r="A5834" s="9">
        <v>44365</v>
      </c>
      <c r="B5834" s="2" t="inlineStr">
        <is>
          <t xml:space="preserve">2021-06</t>
        </is>
      </c>
      <c r="C5834" s="2" t="inlineStr">
        <is>
          <t xml:space="preserve">2020/21</t>
        </is>
      </c>
      <c r="D5834">
        <v>4.374</v>
      </c>
      <c r="E5834">
        <v>23.29</v>
      </c>
      <c r="F5834">
        <v>28.62</v>
      </c>
      <c r="G5834">
        <v>19.38</v>
      </c>
      <c r="H5834">
        <v>5.67</v>
      </c>
      <c r="I5834">
        <v>0.446</v>
      </c>
      <c r="J5834">
        <v>23.01</v>
      </c>
      <c r="K5834">
        <v>26.82</v>
      </c>
      <c r="L5834">
        <v>19.65</v>
      </c>
      <c r="M5834">
        <v>1.98</v>
      </c>
      <c r="N5834">
        <v>1.404</v>
      </c>
      <c r="O5834">
        <v>23.81</v>
      </c>
      <c r="P5834">
        <v>28.3</v>
      </c>
      <c r="Q5834">
        <v>20.51</v>
      </c>
      <c r="R5834">
        <v>2.78</v>
      </c>
    </row>
    <row r="5835">
      <c r="A5835" s="9">
        <v>44366</v>
      </c>
      <c r="B5835" s="2" t="inlineStr">
        <is>
          <t xml:space="preserve">2021-06</t>
        </is>
      </c>
      <c r="C5835" s="2" t="inlineStr">
        <is>
          <t xml:space="preserve">2020/21</t>
        </is>
      </c>
      <c r="D5835">
        <v>11.627</v>
      </c>
      <c r="E5835">
        <v>22.61</v>
      </c>
      <c r="F5835">
        <v>27.44</v>
      </c>
      <c r="G5835">
        <v>18.3</v>
      </c>
      <c r="H5835">
        <v>5.66</v>
      </c>
      <c r="I5835">
        <v>1.313</v>
      </c>
      <c r="J5835">
        <v>23.86</v>
      </c>
      <c r="K5835">
        <v>27.82</v>
      </c>
      <c r="L5835">
        <v>20.83</v>
      </c>
      <c r="M5835">
        <v>8.47</v>
      </c>
      <c r="N5835">
        <v>0.722</v>
      </c>
      <c r="O5835">
        <v>24.41</v>
      </c>
      <c r="P5835">
        <v>29.22</v>
      </c>
      <c r="Q5835">
        <v>20.56</v>
      </c>
      <c r="R5835">
        <v>7.44</v>
      </c>
    </row>
    <row r="5836">
      <c r="A5836" s="9">
        <v>44367</v>
      </c>
      <c r="B5836" s="2" t="inlineStr">
        <is>
          <t xml:space="preserve">2021-06</t>
        </is>
      </c>
      <c r="C5836" s="2" t="inlineStr">
        <is>
          <t xml:space="preserve">2020/21</t>
        </is>
      </c>
      <c r="D5836">
        <v>9.597</v>
      </c>
      <c r="E5836">
        <v>23.2</v>
      </c>
      <c r="F5836">
        <v>27.61</v>
      </c>
      <c r="G5836">
        <v>18.76</v>
      </c>
      <c r="H5836">
        <v>7.63</v>
      </c>
      <c r="I5836">
        <v>18.758</v>
      </c>
      <c r="J5836">
        <v>23.99</v>
      </c>
      <c r="K5836">
        <v>28.08</v>
      </c>
      <c r="L5836">
        <v>20.69</v>
      </c>
      <c r="M5836">
        <v>32.63</v>
      </c>
      <c r="N5836">
        <v>54.016</v>
      </c>
      <c r="O5836">
        <v>24.09</v>
      </c>
      <c r="P5836">
        <v>27.8</v>
      </c>
      <c r="Q5836">
        <v>20.83</v>
      </c>
      <c r="R5836">
        <v>25.99</v>
      </c>
    </row>
    <row r="5837">
      <c r="A5837" s="9">
        <v>44368</v>
      </c>
      <c r="B5837" s="2" t="inlineStr">
        <is>
          <t xml:space="preserve">2021-06</t>
        </is>
      </c>
      <c r="C5837" s="2" t="inlineStr">
        <is>
          <t xml:space="preserve">2020/21</t>
        </is>
      </c>
      <c r="D5837">
        <v>4.172</v>
      </c>
      <c r="E5837">
        <v>22.95</v>
      </c>
      <c r="F5837">
        <v>28.03</v>
      </c>
      <c r="G5837">
        <v>18.82</v>
      </c>
      <c r="H5837">
        <v>3.87</v>
      </c>
      <c r="I5837">
        <v>10.12</v>
      </c>
      <c r="J5837">
        <v>23.1</v>
      </c>
      <c r="K5837">
        <v>26.2</v>
      </c>
      <c r="L5837">
        <v>21.04</v>
      </c>
      <c r="M5837">
        <v>8.48</v>
      </c>
      <c r="N5837">
        <v>39.633</v>
      </c>
      <c r="O5837">
        <v>24.25</v>
      </c>
      <c r="P5837">
        <v>28.02</v>
      </c>
      <c r="Q5837">
        <v>21.5</v>
      </c>
      <c r="R5837">
        <v>7.61</v>
      </c>
    </row>
    <row r="5838">
      <c r="A5838" s="9">
        <v>44369</v>
      </c>
      <c r="B5838" s="2" t="inlineStr">
        <is>
          <t xml:space="preserve">2021-06</t>
        </is>
      </c>
      <c r="C5838" s="2" t="inlineStr">
        <is>
          <t xml:space="preserve">2020/21</t>
        </is>
      </c>
      <c r="D5838">
        <v>2.058</v>
      </c>
      <c r="E5838">
        <v>22.88</v>
      </c>
      <c r="F5838">
        <v>27.66</v>
      </c>
      <c r="G5838">
        <v>18.65</v>
      </c>
      <c r="H5838">
        <v>1.57</v>
      </c>
      <c r="I5838">
        <v>12.607</v>
      </c>
      <c r="J5838">
        <v>23.04</v>
      </c>
      <c r="K5838">
        <v>26.86</v>
      </c>
      <c r="L5838">
        <v>19.9</v>
      </c>
      <c r="M5838">
        <v>7.87</v>
      </c>
      <c r="N5838">
        <v>6.738</v>
      </c>
      <c r="O5838">
        <v>24.36</v>
      </c>
      <c r="P5838">
        <v>28.55</v>
      </c>
      <c r="Q5838">
        <v>20.43</v>
      </c>
      <c r="R5838">
        <v>2.5</v>
      </c>
    </row>
    <row r="5839">
      <c r="A5839" s="9">
        <v>44370</v>
      </c>
      <c r="B5839" s="2" t="inlineStr">
        <is>
          <t xml:space="preserve">2021-06</t>
        </is>
      </c>
      <c r="C5839" s="2" t="inlineStr">
        <is>
          <t xml:space="preserve">2020/21</t>
        </is>
      </c>
      <c r="D5839">
        <v>7.416</v>
      </c>
      <c r="E5839">
        <v>22.8</v>
      </c>
      <c r="F5839">
        <v>27.38</v>
      </c>
      <c r="G5839">
        <v>19.24</v>
      </c>
      <c r="H5839">
        <v>6.45</v>
      </c>
      <c r="I5839">
        <v>14.196</v>
      </c>
      <c r="J5839">
        <v>22.56</v>
      </c>
      <c r="K5839">
        <v>26.02</v>
      </c>
      <c r="L5839">
        <v>19.98</v>
      </c>
      <c r="M5839">
        <v>8.9</v>
      </c>
      <c r="N5839">
        <v>1.054</v>
      </c>
      <c r="O5839">
        <v>23.82</v>
      </c>
      <c r="P5839">
        <v>27.26</v>
      </c>
      <c r="Q5839">
        <v>20.91</v>
      </c>
      <c r="R5839">
        <v>3.64</v>
      </c>
    </row>
    <row r="5840">
      <c r="A5840" s="9">
        <v>44371</v>
      </c>
      <c r="B5840" s="2" t="inlineStr">
        <is>
          <t xml:space="preserve">2021-06</t>
        </is>
      </c>
      <c r="C5840" s="2" t="inlineStr">
        <is>
          <t xml:space="preserve">2020/21</t>
        </is>
      </c>
      <c r="D5840">
        <v>10.91</v>
      </c>
      <c r="E5840">
        <v>22.2</v>
      </c>
      <c r="F5840">
        <v>26.68</v>
      </c>
      <c r="G5840">
        <v>18.43</v>
      </c>
      <c r="H5840">
        <v>9.01</v>
      </c>
      <c r="I5840">
        <v>8.39</v>
      </c>
      <c r="J5840">
        <v>22.57</v>
      </c>
      <c r="K5840">
        <v>26.37</v>
      </c>
      <c r="L5840">
        <v>19.12</v>
      </c>
      <c r="M5840">
        <v>5.94</v>
      </c>
      <c r="N5840">
        <v>7.052</v>
      </c>
      <c r="O5840">
        <v>22.83</v>
      </c>
      <c r="P5840">
        <v>25.75</v>
      </c>
      <c r="Q5840">
        <v>20.86</v>
      </c>
      <c r="R5840">
        <v>3.74</v>
      </c>
    </row>
    <row r="5841">
      <c r="A5841" s="9">
        <v>44372</v>
      </c>
      <c r="B5841" s="2" t="inlineStr">
        <is>
          <t xml:space="preserve">2021-06</t>
        </is>
      </c>
      <c r="C5841" s="2" t="inlineStr">
        <is>
          <t xml:space="preserve">2020/21</t>
        </is>
      </c>
      <c r="D5841">
        <v>1.754</v>
      </c>
      <c r="E5841">
        <v>22.29</v>
      </c>
      <c r="F5841">
        <v>27.12</v>
      </c>
      <c r="G5841">
        <v>18.1</v>
      </c>
      <c r="H5841">
        <v>2.91</v>
      </c>
      <c r="I5841">
        <v>10.594</v>
      </c>
      <c r="J5841">
        <v>22.58</v>
      </c>
      <c r="K5841">
        <v>26.27</v>
      </c>
      <c r="L5841">
        <v>19.28</v>
      </c>
      <c r="M5841">
        <v>5.92</v>
      </c>
      <c r="N5841">
        <v>0.964</v>
      </c>
      <c r="O5841">
        <v>22.41</v>
      </c>
      <c r="P5841">
        <v>26.09</v>
      </c>
      <c r="Q5841">
        <v>19.85</v>
      </c>
      <c r="R5841">
        <v>1.56</v>
      </c>
    </row>
    <row r="5842">
      <c r="A5842" s="9">
        <v>44373</v>
      </c>
      <c r="B5842" s="2" t="inlineStr">
        <is>
          <t xml:space="preserve">2021-06</t>
        </is>
      </c>
      <c r="C5842" s="2" t="inlineStr">
        <is>
          <t xml:space="preserve">2020/21</t>
        </is>
      </c>
      <c r="D5842">
        <v>16.38</v>
      </c>
      <c r="E5842">
        <v>20.95</v>
      </c>
      <c r="F5842">
        <v>23.97</v>
      </c>
      <c r="G5842">
        <v>18.43</v>
      </c>
      <c r="H5842">
        <v>10.16</v>
      </c>
      <c r="I5842">
        <v>9.153</v>
      </c>
      <c r="J5842">
        <v>21.67</v>
      </c>
      <c r="K5842">
        <v>24.08</v>
      </c>
      <c r="L5842">
        <v>19.63</v>
      </c>
      <c r="M5842">
        <v>7.61</v>
      </c>
      <c r="N5842">
        <v>0.757</v>
      </c>
      <c r="O5842">
        <v>22.05</v>
      </c>
      <c r="P5842">
        <v>24.63</v>
      </c>
      <c r="Q5842">
        <v>20.21</v>
      </c>
      <c r="R5842">
        <v>7.52</v>
      </c>
    </row>
    <row r="5843">
      <c r="A5843" s="9">
        <v>44374</v>
      </c>
      <c r="B5843" s="2" t="inlineStr">
        <is>
          <t xml:space="preserve">2021-06</t>
        </is>
      </c>
      <c r="C5843" s="2" t="inlineStr">
        <is>
          <t xml:space="preserve">2020/21</t>
        </is>
      </c>
      <c r="D5843">
        <v>9.786</v>
      </c>
      <c r="E5843">
        <v>21.79</v>
      </c>
      <c r="F5843">
        <v>27.03</v>
      </c>
      <c r="G5843">
        <v>16.23</v>
      </c>
      <c r="H5843">
        <v>12.08</v>
      </c>
      <c r="I5843">
        <v>15.266</v>
      </c>
      <c r="J5843">
        <v>21.96</v>
      </c>
      <c r="K5843">
        <v>26.03</v>
      </c>
      <c r="L5843">
        <v>18.94</v>
      </c>
      <c r="M5843">
        <v>28.55</v>
      </c>
      <c r="N5843">
        <v>30.008</v>
      </c>
      <c r="O5843">
        <v>22.39</v>
      </c>
      <c r="P5843">
        <v>26.63</v>
      </c>
      <c r="Q5843">
        <v>19.25</v>
      </c>
      <c r="R5843">
        <v>19.58</v>
      </c>
    </row>
    <row r="5844">
      <c r="A5844" s="9">
        <v>44375</v>
      </c>
      <c r="B5844" s="2" t="inlineStr">
        <is>
          <t xml:space="preserve">2021-06</t>
        </is>
      </c>
      <c r="C5844" s="2" t="inlineStr">
        <is>
          <t xml:space="preserve">2020/21</t>
        </is>
      </c>
      <c r="D5844">
        <v>11.981</v>
      </c>
      <c r="E5844">
        <v>22.39</v>
      </c>
      <c r="F5844">
        <v>26.78</v>
      </c>
      <c r="G5844">
        <v>18.12</v>
      </c>
      <c r="H5844">
        <v>18.59</v>
      </c>
      <c r="I5844">
        <v>24.192</v>
      </c>
      <c r="J5844">
        <v>22.48</v>
      </c>
      <c r="K5844">
        <v>26.23</v>
      </c>
      <c r="L5844">
        <v>19.67</v>
      </c>
      <c r="M5844">
        <v>37.36</v>
      </c>
      <c r="N5844">
        <v>89.519</v>
      </c>
      <c r="O5844">
        <v>22.97</v>
      </c>
      <c r="P5844">
        <v>26.69</v>
      </c>
      <c r="Q5844">
        <v>20.14</v>
      </c>
      <c r="R5844">
        <v>38.23</v>
      </c>
    </row>
    <row r="5845">
      <c r="A5845" s="9">
        <v>44376</v>
      </c>
      <c r="B5845" s="2" t="inlineStr">
        <is>
          <t xml:space="preserve">2021-06</t>
        </is>
      </c>
      <c r="C5845" s="2" t="inlineStr">
        <is>
          <t xml:space="preserve">2020/21</t>
        </is>
      </c>
      <c r="D5845">
        <v>27.045</v>
      </c>
      <c r="E5845">
        <v>21.71</v>
      </c>
      <c r="F5845">
        <v>24.86</v>
      </c>
      <c r="G5845">
        <v>19.41</v>
      </c>
      <c r="H5845">
        <v>23.79</v>
      </c>
      <c r="I5845">
        <v>20.823</v>
      </c>
      <c r="J5845">
        <v>22.37</v>
      </c>
      <c r="K5845">
        <v>25.76</v>
      </c>
      <c r="L5845">
        <v>19.69</v>
      </c>
      <c r="M5845">
        <v>12.17</v>
      </c>
      <c r="N5845">
        <v>13.003</v>
      </c>
      <c r="O5845">
        <v>22.87</v>
      </c>
      <c r="P5845">
        <v>25.9</v>
      </c>
      <c r="Q5845">
        <v>21.1</v>
      </c>
      <c r="R5845">
        <v>10.6</v>
      </c>
    </row>
    <row r="5846">
      <c r="A5846" s="9">
        <v>44377</v>
      </c>
      <c r="B5846" s="2" t="inlineStr">
        <is>
          <t xml:space="preserve">2021-06</t>
        </is>
      </c>
      <c r="C5846" s="2" t="inlineStr">
        <is>
          <t xml:space="preserve">2020/21</t>
        </is>
      </c>
      <c r="D5846">
        <v>13.664</v>
      </c>
      <c r="E5846">
        <v>21.9</v>
      </c>
      <c r="F5846">
        <v>25.68</v>
      </c>
      <c r="G5846">
        <v>19.09</v>
      </c>
      <c r="H5846">
        <v>10.56</v>
      </c>
      <c r="I5846">
        <v>5.315</v>
      </c>
      <c r="J5846">
        <v>22.25</v>
      </c>
      <c r="K5846">
        <v>25.01</v>
      </c>
      <c r="L5846">
        <v>19.82</v>
      </c>
      <c r="M5846">
        <v>11.85</v>
      </c>
      <c r="N5846">
        <v>11.824</v>
      </c>
      <c r="O5846">
        <v>22.84</v>
      </c>
      <c r="P5846">
        <v>25.26</v>
      </c>
      <c r="Q5846">
        <v>21.14</v>
      </c>
      <c r="R5846">
        <v>15.17</v>
      </c>
    </row>
    <row r="5847">
      <c r="A5847" s="9">
        <v>44378</v>
      </c>
      <c r="B5847" s="2" t="inlineStr">
        <is>
          <t xml:space="preserve">2021-07</t>
        </is>
      </c>
      <c r="C5847" s="2" t="inlineStr">
        <is>
          <t xml:space="preserve">2021/22</t>
        </is>
      </c>
      <c r="D5847">
        <v>1.191</v>
      </c>
      <c r="E5847">
        <v>22.18</v>
      </c>
      <c r="F5847">
        <v>26.51</v>
      </c>
      <c r="G5847">
        <v>18.4</v>
      </c>
      <c r="H5847">
        <v>3.88</v>
      </c>
      <c r="I5847">
        <v>10.24</v>
      </c>
      <c r="J5847">
        <v>22.75</v>
      </c>
      <c r="K5847">
        <v>26.45</v>
      </c>
      <c r="L5847">
        <v>20.37</v>
      </c>
      <c r="M5847">
        <v>8.28</v>
      </c>
      <c r="N5847">
        <v>24.43</v>
      </c>
      <c r="O5847">
        <v>23.05</v>
      </c>
      <c r="P5847">
        <v>26.02</v>
      </c>
      <c r="Q5847">
        <v>21.17</v>
      </c>
      <c r="R5847">
        <v>6.54</v>
      </c>
    </row>
    <row r="5848">
      <c r="A5848" s="9">
        <v>44379</v>
      </c>
      <c r="B5848" s="2" t="inlineStr">
        <is>
          <t xml:space="preserve">2021-07</t>
        </is>
      </c>
      <c r="C5848" s="2" t="inlineStr">
        <is>
          <t xml:space="preserve">2021/22</t>
        </is>
      </c>
      <c r="D5848">
        <v>10.531</v>
      </c>
      <c r="E5848">
        <v>22.65</v>
      </c>
      <c r="F5848">
        <v>27.67</v>
      </c>
      <c r="G5848">
        <v>18.16</v>
      </c>
      <c r="H5848">
        <v>2.85</v>
      </c>
      <c r="I5848">
        <v>8.888</v>
      </c>
      <c r="J5848">
        <v>21.88</v>
      </c>
      <c r="K5848">
        <v>23.99</v>
      </c>
      <c r="L5848">
        <v>20.04</v>
      </c>
      <c r="M5848">
        <v>4.16</v>
      </c>
      <c r="N5848">
        <v>1.099</v>
      </c>
      <c r="O5848">
        <v>23.29</v>
      </c>
      <c r="P5848">
        <v>27.47</v>
      </c>
      <c r="Q5848">
        <v>20.55</v>
      </c>
      <c r="R5848">
        <v>1.06</v>
      </c>
    </row>
    <row r="5849">
      <c r="A5849" s="9">
        <v>44380</v>
      </c>
      <c r="B5849" s="2" t="inlineStr">
        <is>
          <t xml:space="preserve">2021-07</t>
        </is>
      </c>
      <c r="C5849" s="2" t="inlineStr">
        <is>
          <t xml:space="preserve">2021/22</t>
        </is>
      </c>
      <c r="D5849">
        <v>6.024</v>
      </c>
      <c r="E5849">
        <v>22.63</v>
      </c>
      <c r="F5849">
        <v>26.9</v>
      </c>
      <c r="G5849">
        <v>18.94</v>
      </c>
      <c r="H5849">
        <v>4.79</v>
      </c>
      <c r="I5849">
        <v>0.72</v>
      </c>
      <c r="J5849">
        <v>23.15</v>
      </c>
      <c r="K5849">
        <v>27.21</v>
      </c>
      <c r="L5849">
        <v>18.94</v>
      </c>
      <c r="M5849">
        <v>2.12</v>
      </c>
      <c r="N5849">
        <v>0.06</v>
      </c>
      <c r="O5849">
        <v>23.41</v>
      </c>
      <c r="P5849">
        <v>27.02</v>
      </c>
      <c r="Q5849">
        <v>20.66</v>
      </c>
      <c r="R5849">
        <v>3.02</v>
      </c>
    </row>
    <row r="5850">
      <c r="A5850" s="9">
        <v>44381</v>
      </c>
      <c r="B5850" s="2" t="inlineStr">
        <is>
          <t xml:space="preserve">2021-07</t>
        </is>
      </c>
      <c r="C5850" s="2" t="inlineStr">
        <is>
          <t xml:space="preserve">2021/22</t>
        </is>
      </c>
      <c r="D5850">
        <v>7.264</v>
      </c>
      <c r="E5850">
        <v>22.35</v>
      </c>
      <c r="F5850">
        <v>26.49</v>
      </c>
      <c r="G5850">
        <v>19.03</v>
      </c>
      <c r="H5850">
        <v>10.92</v>
      </c>
      <c r="I5850">
        <v>2.768</v>
      </c>
      <c r="J5850">
        <v>23.18</v>
      </c>
      <c r="K5850">
        <v>26.2</v>
      </c>
      <c r="L5850">
        <v>20.42</v>
      </c>
      <c r="M5850">
        <v>4.62</v>
      </c>
      <c r="N5850">
        <v>8.691</v>
      </c>
      <c r="O5850">
        <v>23.31</v>
      </c>
      <c r="P5850">
        <v>26.58</v>
      </c>
      <c r="Q5850">
        <v>20.97</v>
      </c>
      <c r="R5850">
        <v>6.84</v>
      </c>
    </row>
    <row r="5851">
      <c r="A5851" s="9">
        <v>44382</v>
      </c>
      <c r="B5851" s="2" t="inlineStr">
        <is>
          <t xml:space="preserve">2021-07</t>
        </is>
      </c>
      <c r="C5851" s="2" t="inlineStr">
        <is>
          <t xml:space="preserve">2021/22</t>
        </is>
      </c>
      <c r="D5851">
        <v>8.932</v>
      </c>
      <c r="E5851">
        <v>21.98</v>
      </c>
      <c r="F5851">
        <v>25.6</v>
      </c>
      <c r="G5851">
        <v>18.9</v>
      </c>
      <c r="H5851">
        <v>13.81</v>
      </c>
      <c r="I5851">
        <v>7.514</v>
      </c>
      <c r="J5851">
        <v>22.58</v>
      </c>
      <c r="K5851">
        <v>25.23</v>
      </c>
      <c r="L5851">
        <v>20.52</v>
      </c>
      <c r="M5851">
        <v>8.68</v>
      </c>
      <c r="N5851">
        <v>13.633</v>
      </c>
      <c r="O5851">
        <v>23.35</v>
      </c>
      <c r="P5851">
        <v>26.23</v>
      </c>
      <c r="Q5851">
        <v>21.18</v>
      </c>
      <c r="R5851">
        <v>8.69</v>
      </c>
    </row>
    <row r="5852">
      <c r="A5852" s="9">
        <v>44383</v>
      </c>
      <c r="B5852" s="2" t="inlineStr">
        <is>
          <t xml:space="preserve">2021-07</t>
        </is>
      </c>
      <c r="C5852" s="2" t="inlineStr">
        <is>
          <t xml:space="preserve">2021/22</t>
        </is>
      </c>
      <c r="D5852">
        <v>1.249</v>
      </c>
      <c r="E5852">
        <v>22.56</v>
      </c>
      <c r="F5852">
        <v>26.74</v>
      </c>
      <c r="G5852">
        <v>19.09</v>
      </c>
      <c r="H5852">
        <v>1.06</v>
      </c>
      <c r="I5852">
        <v>0.09</v>
      </c>
      <c r="J5852">
        <v>22.74</v>
      </c>
      <c r="K5852">
        <v>26.14</v>
      </c>
      <c r="L5852">
        <v>19.81</v>
      </c>
      <c r="M5852">
        <v>0.3</v>
      </c>
      <c r="N5852">
        <v>0.359</v>
      </c>
      <c r="O5852">
        <v>23.83</v>
      </c>
      <c r="P5852">
        <v>27.77</v>
      </c>
      <c r="Q5852">
        <v>20.93</v>
      </c>
      <c r="R5852">
        <v>0.93</v>
      </c>
    </row>
    <row r="5853">
      <c r="A5853" s="9">
        <v>44384</v>
      </c>
      <c r="B5853" s="2" t="inlineStr">
        <is>
          <t xml:space="preserve">2021-07</t>
        </is>
      </c>
      <c r="C5853" s="2" t="inlineStr">
        <is>
          <t xml:space="preserve">2021/22</t>
        </is>
      </c>
      <c r="D5853">
        <v>0.0</v>
      </c>
      <c r="E5853">
        <v>22.8</v>
      </c>
      <c r="F5853">
        <v>27.86</v>
      </c>
      <c r="G5853">
        <v>18.66</v>
      </c>
      <c r="H5853">
        <v>0.0</v>
      </c>
      <c r="I5853">
        <v>0.0</v>
      </c>
      <c r="J5853">
        <v>23.23</v>
      </c>
      <c r="K5853">
        <v>27.34</v>
      </c>
      <c r="L5853">
        <v>19.69</v>
      </c>
      <c r="M5853">
        <v>0.02</v>
      </c>
      <c r="N5853">
        <v>0.0</v>
      </c>
      <c r="O5853">
        <v>23.92</v>
      </c>
      <c r="P5853">
        <v>28.23</v>
      </c>
      <c r="Q5853">
        <v>20.98</v>
      </c>
      <c r="R5853">
        <v>0.0</v>
      </c>
    </row>
    <row r="5854">
      <c r="A5854" s="9">
        <v>44385</v>
      </c>
      <c r="B5854" s="2" t="inlineStr">
        <is>
          <t xml:space="preserve">2021-07</t>
        </is>
      </c>
      <c r="C5854" s="2" t="inlineStr">
        <is>
          <t xml:space="preserve">2021/22</t>
        </is>
      </c>
      <c r="D5854">
        <v>0.0</v>
      </c>
      <c r="E5854">
        <v>21.98</v>
      </c>
      <c r="F5854">
        <v>27.13</v>
      </c>
      <c r="G5854">
        <v>16.0</v>
      </c>
      <c r="H5854">
        <v>0.29</v>
      </c>
      <c r="I5854">
        <v>0.0</v>
      </c>
      <c r="J5854">
        <v>23.77</v>
      </c>
      <c r="K5854">
        <v>28.36</v>
      </c>
      <c r="L5854">
        <v>19.21</v>
      </c>
      <c r="M5854">
        <v>0.13</v>
      </c>
      <c r="N5854">
        <v>0.0</v>
      </c>
      <c r="O5854">
        <v>23.88</v>
      </c>
      <c r="P5854">
        <v>28.57</v>
      </c>
      <c r="Q5854">
        <v>20.47</v>
      </c>
      <c r="R5854">
        <v>0.26</v>
      </c>
    </row>
    <row r="5855">
      <c r="A5855" s="9">
        <v>44386</v>
      </c>
      <c r="B5855" s="2" t="inlineStr">
        <is>
          <t xml:space="preserve">2021-07</t>
        </is>
      </c>
      <c r="C5855" s="2" t="inlineStr">
        <is>
          <t xml:space="preserve">2021/22</t>
        </is>
      </c>
      <c r="D5855">
        <v>0.782</v>
      </c>
      <c r="E5855">
        <v>21.9</v>
      </c>
      <c r="F5855">
        <v>26.05</v>
      </c>
      <c r="G5855">
        <v>18.0</v>
      </c>
      <c r="H5855">
        <v>0.24</v>
      </c>
      <c r="I5855">
        <v>0.09</v>
      </c>
      <c r="J5855">
        <v>23.44</v>
      </c>
      <c r="K5855">
        <v>27.37</v>
      </c>
      <c r="L5855">
        <v>20.34</v>
      </c>
      <c r="M5855">
        <v>0.4</v>
      </c>
      <c r="N5855">
        <v>0.285</v>
      </c>
      <c r="O5855">
        <v>23.73</v>
      </c>
      <c r="P5855">
        <v>27.44</v>
      </c>
      <c r="Q5855">
        <v>21.17</v>
      </c>
      <c r="R5855">
        <v>0.27</v>
      </c>
    </row>
    <row r="5856">
      <c r="A5856" s="9">
        <v>44387</v>
      </c>
      <c r="B5856" s="2" t="inlineStr">
        <is>
          <t xml:space="preserve">2021-07</t>
        </is>
      </c>
      <c r="C5856" s="2" t="inlineStr">
        <is>
          <t xml:space="preserve">2021/22</t>
        </is>
      </c>
      <c r="D5856">
        <v>0.0</v>
      </c>
      <c r="E5856">
        <v>21.53</v>
      </c>
      <c r="F5856">
        <v>27.01</v>
      </c>
      <c r="G5856">
        <v>16.81</v>
      </c>
      <c r="H5856">
        <v>0.37</v>
      </c>
      <c r="I5856">
        <v>0.225</v>
      </c>
      <c r="J5856">
        <v>22.66</v>
      </c>
      <c r="K5856">
        <v>26.3</v>
      </c>
      <c r="L5856">
        <v>19.81</v>
      </c>
      <c r="M5856">
        <v>1.12</v>
      </c>
      <c r="N5856">
        <v>0.0</v>
      </c>
      <c r="O5856">
        <v>23.15</v>
      </c>
      <c r="P5856">
        <v>26.7</v>
      </c>
      <c r="Q5856">
        <v>20.88</v>
      </c>
      <c r="R5856">
        <v>1.19</v>
      </c>
    </row>
    <row r="5857">
      <c r="A5857" s="9">
        <v>44388</v>
      </c>
      <c r="B5857" s="2" t="inlineStr">
        <is>
          <t xml:space="preserve">2021-07</t>
        </is>
      </c>
      <c r="C5857" s="2" t="inlineStr">
        <is>
          <t xml:space="preserve">2021/22</t>
        </is>
      </c>
      <c r="D5857">
        <v>0.094</v>
      </c>
      <c r="E5857">
        <v>21.05</v>
      </c>
      <c r="F5857">
        <v>26.52</v>
      </c>
      <c r="G5857">
        <v>16.39</v>
      </c>
      <c r="H5857">
        <v>4.25</v>
      </c>
      <c r="I5857">
        <v>2.69</v>
      </c>
      <c r="J5857">
        <v>22.55</v>
      </c>
      <c r="K5857">
        <v>27.09</v>
      </c>
      <c r="L5857">
        <v>19.21</v>
      </c>
      <c r="M5857">
        <v>13.18</v>
      </c>
      <c r="N5857">
        <v>6.875</v>
      </c>
      <c r="O5857">
        <v>22.65</v>
      </c>
      <c r="P5857">
        <v>26.88</v>
      </c>
      <c r="Q5857">
        <v>20.1</v>
      </c>
      <c r="R5857">
        <v>4.91</v>
      </c>
    </row>
    <row r="5858">
      <c r="A5858" s="9">
        <v>44389</v>
      </c>
      <c r="B5858" s="2" t="inlineStr">
        <is>
          <t xml:space="preserve">2021-07</t>
        </is>
      </c>
      <c r="C5858" s="2" t="inlineStr">
        <is>
          <t xml:space="preserve">2021/22</t>
        </is>
      </c>
      <c r="D5858">
        <v>4.094</v>
      </c>
      <c r="E5858">
        <v>21.12</v>
      </c>
      <c r="F5858">
        <v>25.78</v>
      </c>
      <c r="G5858">
        <v>17.07</v>
      </c>
      <c r="H5858">
        <v>1.78</v>
      </c>
      <c r="I5858">
        <v>27.573</v>
      </c>
      <c r="J5858">
        <v>22.43</v>
      </c>
      <c r="K5858">
        <v>26.8</v>
      </c>
      <c r="L5858">
        <v>19.5</v>
      </c>
      <c r="M5858">
        <v>9.76</v>
      </c>
      <c r="N5858">
        <v>8.782</v>
      </c>
      <c r="O5858">
        <v>22.62</v>
      </c>
      <c r="P5858">
        <v>26.69</v>
      </c>
      <c r="Q5858">
        <v>20.26</v>
      </c>
      <c r="R5858">
        <v>2.69</v>
      </c>
    </row>
    <row r="5859">
      <c r="A5859" s="9">
        <v>44390</v>
      </c>
      <c r="B5859" s="2" t="inlineStr">
        <is>
          <t xml:space="preserve">2021-07</t>
        </is>
      </c>
      <c r="C5859" s="2" t="inlineStr">
        <is>
          <t xml:space="preserve">2021/22</t>
        </is>
      </c>
      <c r="D5859">
        <v>6.539</v>
      </c>
      <c r="E5859">
        <v>20.57</v>
      </c>
      <c r="F5859">
        <v>25.55</v>
      </c>
      <c r="G5859">
        <v>16.82</v>
      </c>
      <c r="H5859">
        <v>5.94</v>
      </c>
      <c r="I5859">
        <v>14.845</v>
      </c>
      <c r="J5859">
        <v>22.32</v>
      </c>
      <c r="K5859">
        <v>26.15</v>
      </c>
      <c r="L5859">
        <v>18.94</v>
      </c>
      <c r="M5859">
        <v>13.38</v>
      </c>
      <c r="N5859">
        <v>4.49</v>
      </c>
      <c r="O5859">
        <v>22.55</v>
      </c>
      <c r="P5859">
        <v>26.62</v>
      </c>
      <c r="Q5859">
        <v>19.63</v>
      </c>
      <c r="R5859">
        <v>5.96</v>
      </c>
    </row>
    <row r="5860">
      <c r="A5860" s="9">
        <v>44391</v>
      </c>
      <c r="B5860" s="2" t="inlineStr">
        <is>
          <t xml:space="preserve">2021-07</t>
        </is>
      </c>
      <c r="C5860" s="2" t="inlineStr">
        <is>
          <t xml:space="preserve">2021/22</t>
        </is>
      </c>
      <c r="D5860">
        <v>8.254</v>
      </c>
      <c r="E5860">
        <v>20.75</v>
      </c>
      <c r="F5860">
        <v>25.36</v>
      </c>
      <c r="G5860">
        <v>17.14</v>
      </c>
      <c r="H5860">
        <v>5.62</v>
      </c>
      <c r="I5860">
        <v>9.157</v>
      </c>
      <c r="J5860">
        <v>22.39</v>
      </c>
      <c r="K5860">
        <v>26.06</v>
      </c>
      <c r="L5860">
        <v>19.11</v>
      </c>
      <c r="M5860">
        <v>4.42</v>
      </c>
      <c r="N5860">
        <v>5.528</v>
      </c>
      <c r="O5860">
        <v>22.57</v>
      </c>
      <c r="P5860">
        <v>25.93</v>
      </c>
      <c r="Q5860">
        <v>19.93</v>
      </c>
      <c r="R5860">
        <v>3.19</v>
      </c>
    </row>
    <row r="5861">
      <c r="A5861" s="9">
        <v>44392</v>
      </c>
      <c r="B5861" s="2" t="inlineStr">
        <is>
          <t xml:space="preserve">2021-07</t>
        </is>
      </c>
      <c r="C5861" s="2" t="inlineStr">
        <is>
          <t xml:space="preserve">2021/22</t>
        </is>
      </c>
      <c r="D5861">
        <v>0.0</v>
      </c>
      <c r="E5861">
        <v>21.92</v>
      </c>
      <c r="F5861">
        <v>27.6</v>
      </c>
      <c r="G5861">
        <v>17.21</v>
      </c>
      <c r="H5861">
        <v>0.06</v>
      </c>
      <c r="I5861">
        <v>0.0</v>
      </c>
      <c r="J5861">
        <v>22.74</v>
      </c>
      <c r="K5861">
        <v>27.66</v>
      </c>
      <c r="L5861">
        <v>19.21</v>
      </c>
      <c r="M5861">
        <v>0.05</v>
      </c>
      <c r="N5861">
        <v>0.0</v>
      </c>
      <c r="O5861">
        <v>23.07</v>
      </c>
      <c r="P5861">
        <v>27.48</v>
      </c>
      <c r="Q5861">
        <v>20.21</v>
      </c>
      <c r="R5861">
        <v>0.26</v>
      </c>
    </row>
    <row r="5862">
      <c r="A5862" s="9">
        <v>44393</v>
      </c>
      <c r="B5862" s="2" t="inlineStr">
        <is>
          <t xml:space="preserve">2021-07</t>
        </is>
      </c>
      <c r="C5862" s="2" t="inlineStr">
        <is>
          <t xml:space="preserve">2021/22</t>
        </is>
      </c>
      <c r="D5862">
        <v>0.0</v>
      </c>
      <c r="E5862">
        <v>21.78</v>
      </c>
      <c r="F5862">
        <v>26.19</v>
      </c>
      <c r="G5862">
        <v>17.8</v>
      </c>
      <c r="H5862">
        <v>1.18</v>
      </c>
      <c r="I5862">
        <v>0.0</v>
      </c>
      <c r="J5862">
        <v>22.16</v>
      </c>
      <c r="K5862">
        <v>26.6</v>
      </c>
      <c r="L5862">
        <v>17.99</v>
      </c>
      <c r="M5862">
        <v>2.34</v>
      </c>
      <c r="N5862">
        <v>0.0</v>
      </c>
      <c r="O5862">
        <v>22.18</v>
      </c>
      <c r="P5862">
        <v>26.29</v>
      </c>
      <c r="Q5862">
        <v>18.9</v>
      </c>
      <c r="R5862">
        <v>1.06</v>
      </c>
    </row>
    <row r="5863">
      <c r="A5863" s="9">
        <v>44394</v>
      </c>
      <c r="B5863" s="2" t="inlineStr">
        <is>
          <t xml:space="preserve">2021-07</t>
        </is>
      </c>
      <c r="C5863" s="2" t="inlineStr">
        <is>
          <t xml:space="preserve">2021/22</t>
        </is>
      </c>
      <c r="D5863">
        <v>2.515</v>
      </c>
      <c r="E5863">
        <v>22.66</v>
      </c>
      <c r="F5863">
        <v>28.0</v>
      </c>
      <c r="G5863">
        <v>18.26</v>
      </c>
      <c r="H5863">
        <v>1.03</v>
      </c>
      <c r="I5863">
        <v>6.676</v>
      </c>
      <c r="J5863">
        <v>22.03</v>
      </c>
      <c r="K5863">
        <v>26.14</v>
      </c>
      <c r="L5863">
        <v>18.82</v>
      </c>
      <c r="M5863">
        <v>2.94</v>
      </c>
      <c r="N5863">
        <v>1.207</v>
      </c>
      <c r="O5863">
        <v>22.5</v>
      </c>
      <c r="P5863">
        <v>26.34</v>
      </c>
      <c r="Q5863">
        <v>20.07</v>
      </c>
      <c r="R5863">
        <v>1.85</v>
      </c>
    </row>
    <row r="5864">
      <c r="A5864" s="9">
        <v>44395</v>
      </c>
      <c r="B5864" s="2" t="inlineStr">
        <is>
          <t xml:space="preserve">2021-07</t>
        </is>
      </c>
      <c r="C5864" s="2" t="inlineStr">
        <is>
          <t xml:space="preserve">2021/22</t>
        </is>
      </c>
      <c r="D5864">
        <v>0.772</v>
      </c>
      <c r="E5864">
        <v>22.03</v>
      </c>
      <c r="F5864">
        <v>26.64</v>
      </c>
      <c r="G5864">
        <v>17.97</v>
      </c>
      <c r="H5864">
        <v>0.78</v>
      </c>
      <c r="I5864">
        <v>0.169</v>
      </c>
      <c r="J5864">
        <v>22.41</v>
      </c>
      <c r="K5864">
        <v>26.39</v>
      </c>
      <c r="L5864">
        <v>19.03</v>
      </c>
      <c r="M5864">
        <v>0.4</v>
      </c>
      <c r="N5864">
        <v>0.285</v>
      </c>
      <c r="O5864">
        <v>23.17</v>
      </c>
      <c r="P5864">
        <v>27.27</v>
      </c>
      <c r="Q5864">
        <v>20.07</v>
      </c>
      <c r="R5864">
        <v>0.67</v>
      </c>
    </row>
    <row r="5865">
      <c r="A5865" s="9">
        <v>44396</v>
      </c>
      <c r="B5865" s="2" t="inlineStr">
        <is>
          <t xml:space="preserve">2021-07</t>
        </is>
      </c>
      <c r="C5865" s="2" t="inlineStr">
        <is>
          <t xml:space="preserve">2021/22</t>
        </is>
      </c>
      <c r="D5865">
        <v>0.0</v>
      </c>
      <c r="E5865">
        <v>21.89</v>
      </c>
      <c r="F5865">
        <v>27.91</v>
      </c>
      <c r="G5865">
        <v>16.98</v>
      </c>
      <c r="H5865">
        <v>0.54</v>
      </c>
      <c r="I5865">
        <v>0.0</v>
      </c>
      <c r="J5865">
        <v>22.77</v>
      </c>
      <c r="K5865">
        <v>27.55</v>
      </c>
      <c r="L5865">
        <v>19.29</v>
      </c>
      <c r="M5865">
        <v>0.13</v>
      </c>
      <c r="N5865">
        <v>0.0</v>
      </c>
      <c r="O5865">
        <v>22.93</v>
      </c>
      <c r="P5865">
        <v>26.83</v>
      </c>
      <c r="Q5865">
        <v>20.29</v>
      </c>
      <c r="R5865">
        <v>0.32</v>
      </c>
    </row>
    <row r="5866">
      <c r="A5866" s="9">
        <v>44397</v>
      </c>
      <c r="B5866" s="2" t="inlineStr">
        <is>
          <t xml:space="preserve">2021-07</t>
        </is>
      </c>
      <c r="C5866" s="2" t="inlineStr">
        <is>
          <t xml:space="preserve">2021/22</t>
        </is>
      </c>
      <c r="D5866">
        <v>1.03</v>
      </c>
      <c r="E5866">
        <v>22.17</v>
      </c>
      <c r="F5866">
        <v>26.78</v>
      </c>
      <c r="G5866">
        <v>18.6</v>
      </c>
      <c r="H5866">
        <v>0.99</v>
      </c>
      <c r="I5866">
        <v>0.119</v>
      </c>
      <c r="J5866">
        <v>22.37</v>
      </c>
      <c r="K5866">
        <v>26.74</v>
      </c>
      <c r="L5866">
        <v>18.72</v>
      </c>
      <c r="M5866">
        <v>0.67</v>
      </c>
      <c r="N5866">
        <v>0.377</v>
      </c>
      <c r="O5866">
        <v>22.46</v>
      </c>
      <c r="P5866">
        <v>25.54</v>
      </c>
      <c r="Q5866">
        <v>19.91</v>
      </c>
      <c r="R5866">
        <v>0.92</v>
      </c>
    </row>
    <row r="5867">
      <c r="A5867" s="9">
        <v>44398</v>
      </c>
      <c r="B5867" s="2" t="inlineStr">
        <is>
          <t xml:space="preserve">2021-07</t>
        </is>
      </c>
      <c r="C5867" s="2" t="inlineStr">
        <is>
          <t xml:space="preserve">2021/22</t>
        </is>
      </c>
      <c r="D5867">
        <v>0.263</v>
      </c>
      <c r="E5867">
        <v>22.32</v>
      </c>
      <c r="F5867">
        <v>27.62</v>
      </c>
      <c r="G5867">
        <v>18.19</v>
      </c>
      <c r="H5867">
        <v>1.44</v>
      </c>
      <c r="I5867">
        <v>1.069</v>
      </c>
      <c r="J5867">
        <v>22.85</v>
      </c>
      <c r="K5867">
        <v>27.47</v>
      </c>
      <c r="L5867">
        <v>19.53</v>
      </c>
      <c r="M5867">
        <v>4.51</v>
      </c>
      <c r="N5867">
        <v>0.578</v>
      </c>
      <c r="O5867">
        <v>23.17</v>
      </c>
      <c r="P5867">
        <v>27.02</v>
      </c>
      <c r="Q5867">
        <v>20.49</v>
      </c>
      <c r="R5867">
        <v>4.13</v>
      </c>
    </row>
    <row r="5868">
      <c r="A5868" s="9">
        <v>44399</v>
      </c>
      <c r="B5868" s="2" t="inlineStr">
        <is>
          <t xml:space="preserve">2021-07</t>
        </is>
      </c>
      <c r="C5868" s="2" t="inlineStr">
        <is>
          <t xml:space="preserve">2021/22</t>
        </is>
      </c>
      <c r="D5868">
        <v>0.095</v>
      </c>
      <c r="E5868">
        <v>22.1</v>
      </c>
      <c r="F5868">
        <v>27.57</v>
      </c>
      <c r="G5868">
        <v>18.7</v>
      </c>
      <c r="H5868">
        <v>1.34</v>
      </c>
      <c r="I5868">
        <v>13.592</v>
      </c>
      <c r="J5868">
        <v>22.35</v>
      </c>
      <c r="K5868">
        <v>26.08</v>
      </c>
      <c r="L5868">
        <v>20.26</v>
      </c>
      <c r="M5868">
        <v>6.91</v>
      </c>
      <c r="N5868">
        <v>6.093</v>
      </c>
      <c r="O5868">
        <v>22.7</v>
      </c>
      <c r="P5868">
        <v>26.41</v>
      </c>
      <c r="Q5868">
        <v>20.79</v>
      </c>
      <c r="R5868">
        <v>7.03</v>
      </c>
    </row>
    <row r="5869">
      <c r="A5869" s="9">
        <v>44400</v>
      </c>
      <c r="B5869" s="2" t="inlineStr">
        <is>
          <t xml:space="preserve">2021-07</t>
        </is>
      </c>
      <c r="C5869" s="2" t="inlineStr">
        <is>
          <t xml:space="preserve">2021/22</t>
        </is>
      </c>
      <c r="D5869">
        <v>0.0</v>
      </c>
      <c r="E5869">
        <v>21.88</v>
      </c>
      <c r="F5869">
        <v>27.69</v>
      </c>
      <c r="G5869">
        <v>17.36</v>
      </c>
      <c r="H5869">
        <v>0.32</v>
      </c>
      <c r="I5869">
        <v>0.091</v>
      </c>
      <c r="J5869">
        <v>21.89</v>
      </c>
      <c r="K5869">
        <v>25.92</v>
      </c>
      <c r="L5869">
        <v>19.2</v>
      </c>
      <c r="M5869">
        <v>1.36</v>
      </c>
      <c r="N5869">
        <v>1.71</v>
      </c>
      <c r="O5869">
        <v>22.24</v>
      </c>
      <c r="P5869">
        <v>25.89</v>
      </c>
      <c r="Q5869">
        <v>19.94</v>
      </c>
      <c r="R5869">
        <v>3.08</v>
      </c>
    </row>
    <row r="5870">
      <c r="A5870" s="9">
        <v>44401</v>
      </c>
      <c r="B5870" s="2" t="inlineStr">
        <is>
          <t xml:space="preserve">2021-07</t>
        </is>
      </c>
      <c r="C5870" s="2" t="inlineStr">
        <is>
          <t xml:space="preserve">2021/22</t>
        </is>
      </c>
      <c r="D5870">
        <v>0.0</v>
      </c>
      <c r="E5870">
        <v>22.68</v>
      </c>
      <c r="F5870">
        <v>28.82</v>
      </c>
      <c r="G5870">
        <v>18.46</v>
      </c>
      <c r="H5870">
        <v>0.01</v>
      </c>
      <c r="I5870">
        <v>0.026</v>
      </c>
      <c r="J5870">
        <v>21.59</v>
      </c>
      <c r="K5870">
        <v>25.86</v>
      </c>
      <c r="L5870">
        <v>18.63</v>
      </c>
      <c r="M5870">
        <v>0.24</v>
      </c>
      <c r="N5870">
        <v>0.275</v>
      </c>
      <c r="O5870">
        <v>21.98</v>
      </c>
      <c r="P5870">
        <v>25.91</v>
      </c>
      <c r="Q5870">
        <v>19.26</v>
      </c>
      <c r="R5870">
        <v>0.11</v>
      </c>
    </row>
    <row r="5871">
      <c r="A5871" s="9">
        <v>44402</v>
      </c>
      <c r="B5871" s="2" t="inlineStr">
        <is>
          <t xml:space="preserve">2021-07</t>
        </is>
      </c>
      <c r="C5871" s="2" t="inlineStr">
        <is>
          <t xml:space="preserve">2021/22</t>
        </is>
      </c>
      <c r="D5871">
        <v>0.0</v>
      </c>
      <c r="E5871">
        <v>22.81</v>
      </c>
      <c r="F5871">
        <v>28.76</v>
      </c>
      <c r="G5871">
        <v>18.24</v>
      </c>
      <c r="H5871">
        <v>2.06</v>
      </c>
      <c r="I5871">
        <v>0.0</v>
      </c>
      <c r="J5871">
        <v>22.2</v>
      </c>
      <c r="K5871">
        <v>27.43</v>
      </c>
      <c r="L5871">
        <v>17.74</v>
      </c>
      <c r="M5871">
        <v>0.65</v>
      </c>
      <c r="N5871">
        <v>0.0</v>
      </c>
      <c r="O5871">
        <v>22.55</v>
      </c>
      <c r="P5871">
        <v>27.59</v>
      </c>
      <c r="Q5871">
        <v>19.0</v>
      </c>
      <c r="R5871">
        <v>0.49</v>
      </c>
    </row>
    <row r="5872">
      <c r="A5872" s="9">
        <v>44403</v>
      </c>
      <c r="B5872" s="2" t="inlineStr">
        <is>
          <t xml:space="preserve">2021-07</t>
        </is>
      </c>
      <c r="C5872" s="2" t="inlineStr">
        <is>
          <t xml:space="preserve">2021/22</t>
        </is>
      </c>
      <c r="D5872">
        <v>6.298</v>
      </c>
      <c r="E5872">
        <v>22.92</v>
      </c>
      <c r="F5872">
        <v>28.81</v>
      </c>
      <c r="G5872">
        <v>17.76</v>
      </c>
      <c r="H5872">
        <v>1.94</v>
      </c>
      <c r="I5872">
        <v>1.169</v>
      </c>
      <c r="J5872">
        <v>22.65</v>
      </c>
      <c r="K5872">
        <v>27.64</v>
      </c>
      <c r="L5872">
        <v>18.17</v>
      </c>
      <c r="M5872">
        <v>0.85</v>
      </c>
      <c r="N5872">
        <v>0.494</v>
      </c>
      <c r="O5872">
        <v>23.16</v>
      </c>
      <c r="P5872">
        <v>28.57</v>
      </c>
      <c r="Q5872">
        <v>18.64</v>
      </c>
      <c r="R5872">
        <v>0.93</v>
      </c>
    </row>
    <row r="5873">
      <c r="A5873" s="9">
        <v>44404</v>
      </c>
      <c r="B5873" s="2" t="inlineStr">
        <is>
          <t xml:space="preserve">2021-07</t>
        </is>
      </c>
      <c r="C5873" s="2" t="inlineStr">
        <is>
          <t xml:space="preserve">2021/22</t>
        </is>
      </c>
      <c r="D5873">
        <v>1.314</v>
      </c>
      <c r="E5873">
        <v>23.07</v>
      </c>
      <c r="F5873">
        <v>29.0</v>
      </c>
      <c r="G5873">
        <v>18.36</v>
      </c>
      <c r="H5873">
        <v>6.61</v>
      </c>
      <c r="I5873">
        <v>1.298</v>
      </c>
      <c r="J5873">
        <v>23.1</v>
      </c>
      <c r="K5873">
        <v>27.67</v>
      </c>
      <c r="L5873">
        <v>19.13</v>
      </c>
      <c r="M5873">
        <v>6.53</v>
      </c>
      <c r="N5873">
        <v>0.105</v>
      </c>
      <c r="O5873">
        <v>23.41</v>
      </c>
      <c r="P5873">
        <v>28.07</v>
      </c>
      <c r="Q5873">
        <v>20.1</v>
      </c>
      <c r="R5873">
        <v>2.19</v>
      </c>
    </row>
    <row r="5874">
      <c r="A5874" s="9">
        <v>44405</v>
      </c>
      <c r="B5874" s="2" t="inlineStr">
        <is>
          <t xml:space="preserve">2021-07</t>
        </is>
      </c>
      <c r="C5874" s="2" t="inlineStr">
        <is>
          <t xml:space="preserve">2021/22</t>
        </is>
      </c>
      <c r="D5874">
        <v>21.172</v>
      </c>
      <c r="E5874">
        <v>21.51</v>
      </c>
      <c r="F5874">
        <v>25.69</v>
      </c>
      <c r="G5874">
        <v>18.7</v>
      </c>
      <c r="H5874">
        <v>21.14</v>
      </c>
      <c r="I5874">
        <v>26.679</v>
      </c>
      <c r="J5874">
        <v>22.43</v>
      </c>
      <c r="K5874">
        <v>25.45</v>
      </c>
      <c r="L5874">
        <v>20.25</v>
      </c>
      <c r="M5874">
        <v>24.76</v>
      </c>
      <c r="N5874">
        <v>6.954</v>
      </c>
      <c r="O5874">
        <v>22.77</v>
      </c>
      <c r="P5874">
        <v>25.96</v>
      </c>
      <c r="Q5874">
        <v>20.84</v>
      </c>
      <c r="R5874">
        <v>17.54</v>
      </c>
    </row>
    <row r="5875">
      <c r="A5875" s="9">
        <v>44406</v>
      </c>
      <c r="B5875" s="2" t="inlineStr">
        <is>
          <t xml:space="preserve">2021-07</t>
        </is>
      </c>
      <c r="C5875" s="2" t="inlineStr">
        <is>
          <t xml:space="preserve">2021/22</t>
        </is>
      </c>
      <c r="D5875">
        <v>21.185</v>
      </c>
      <c r="E5875">
        <v>21.73</v>
      </c>
      <c r="F5875">
        <v>26.44</v>
      </c>
      <c r="G5875">
        <v>18.29</v>
      </c>
      <c r="H5875">
        <v>4.24</v>
      </c>
      <c r="I5875">
        <v>21.329</v>
      </c>
      <c r="J5875">
        <v>22.87</v>
      </c>
      <c r="K5875">
        <v>27.41</v>
      </c>
      <c r="L5875">
        <v>20.09</v>
      </c>
      <c r="M5875">
        <v>7.03</v>
      </c>
      <c r="N5875">
        <v>22.733</v>
      </c>
      <c r="O5875">
        <v>22.48</v>
      </c>
      <c r="P5875">
        <v>26.14</v>
      </c>
      <c r="Q5875">
        <v>20.14</v>
      </c>
      <c r="R5875">
        <v>5.94</v>
      </c>
    </row>
    <row r="5876">
      <c r="A5876" s="9">
        <v>44407</v>
      </c>
      <c r="B5876" s="2" t="inlineStr">
        <is>
          <t xml:space="preserve">2021-07</t>
        </is>
      </c>
      <c r="C5876" s="2" t="inlineStr">
        <is>
          <t xml:space="preserve">2021/22</t>
        </is>
      </c>
      <c r="D5876">
        <v>0.0</v>
      </c>
      <c r="E5876">
        <v>22.39</v>
      </c>
      <c r="F5876">
        <v>27.91</v>
      </c>
      <c r="G5876">
        <v>18.19</v>
      </c>
      <c r="H5876">
        <v>0.86</v>
      </c>
      <c r="I5876">
        <v>0.926</v>
      </c>
      <c r="J5876">
        <v>22.78</v>
      </c>
      <c r="K5876">
        <v>27.08</v>
      </c>
      <c r="L5876">
        <v>19.5</v>
      </c>
      <c r="M5876">
        <v>0.76</v>
      </c>
      <c r="N5876">
        <v>0.046</v>
      </c>
      <c r="O5876">
        <v>22.93</v>
      </c>
      <c r="P5876">
        <v>27.08</v>
      </c>
      <c r="Q5876">
        <v>20.45</v>
      </c>
      <c r="R5876">
        <v>1.38</v>
      </c>
    </row>
    <row r="5877">
      <c r="A5877" s="9">
        <v>44408</v>
      </c>
      <c r="B5877" s="2" t="inlineStr">
        <is>
          <t xml:space="preserve">2021-07</t>
        </is>
      </c>
      <c r="C5877" s="2" t="inlineStr">
        <is>
          <t xml:space="preserve">2021/22</t>
        </is>
      </c>
      <c r="D5877">
        <v>0.02</v>
      </c>
      <c r="E5877">
        <v>22.52</v>
      </c>
      <c r="F5877">
        <v>27.36</v>
      </c>
      <c r="G5877">
        <v>18.69</v>
      </c>
      <c r="H5877">
        <v>1.92</v>
      </c>
      <c r="I5877">
        <v>3.016</v>
      </c>
      <c r="J5877">
        <v>23.01</v>
      </c>
      <c r="K5877">
        <v>27.39</v>
      </c>
      <c r="L5877">
        <v>19.1</v>
      </c>
      <c r="M5877">
        <v>2.42</v>
      </c>
      <c r="N5877">
        <v>0.202</v>
      </c>
      <c r="O5877">
        <v>23.36</v>
      </c>
      <c r="P5877">
        <v>27.42</v>
      </c>
      <c r="Q5877">
        <v>20.43</v>
      </c>
      <c r="R5877">
        <v>3.06</v>
      </c>
    </row>
    <row r="5878">
      <c r="A5878" s="9">
        <v>44409</v>
      </c>
      <c r="B5878" s="2" t="inlineStr">
        <is>
          <t xml:space="preserve">2021-08</t>
        </is>
      </c>
      <c r="C5878" s="2" t="inlineStr">
        <is>
          <t xml:space="preserve">2021/22</t>
        </is>
      </c>
      <c r="D5878">
        <v>0.0</v>
      </c>
      <c r="E5878">
        <v>23.03</v>
      </c>
      <c r="F5878">
        <v>28.94</v>
      </c>
      <c r="G5878">
        <v>18.5</v>
      </c>
      <c r="H5878">
        <v>1.32</v>
      </c>
      <c r="I5878">
        <v>2.202</v>
      </c>
      <c r="J5878">
        <v>23.3</v>
      </c>
      <c r="K5878">
        <v>27.74</v>
      </c>
      <c r="L5878">
        <v>20.11</v>
      </c>
      <c r="M5878">
        <v>0.58</v>
      </c>
      <c r="N5878">
        <v>0.151</v>
      </c>
      <c r="O5878">
        <v>23.63</v>
      </c>
      <c r="P5878">
        <v>28.11</v>
      </c>
      <c r="Q5878">
        <v>20.97</v>
      </c>
      <c r="R5878">
        <v>1.26</v>
      </c>
    </row>
    <row r="5879">
      <c r="A5879" s="9">
        <v>44410</v>
      </c>
      <c r="B5879" s="2" t="inlineStr">
        <is>
          <t xml:space="preserve">2021-08</t>
        </is>
      </c>
      <c r="C5879" s="2" t="inlineStr">
        <is>
          <t xml:space="preserve">2021/22</t>
        </is>
      </c>
      <c r="D5879">
        <v>1.022</v>
      </c>
      <c r="E5879">
        <v>22.27</v>
      </c>
      <c r="F5879">
        <v>27.81</v>
      </c>
      <c r="G5879">
        <v>17.83</v>
      </c>
      <c r="H5879">
        <v>4.86</v>
      </c>
      <c r="I5879">
        <v>0.09</v>
      </c>
      <c r="J5879">
        <v>22.89</v>
      </c>
      <c r="K5879">
        <v>27.42</v>
      </c>
      <c r="L5879">
        <v>19.2</v>
      </c>
      <c r="M5879">
        <v>9.7</v>
      </c>
      <c r="N5879">
        <v>0.293</v>
      </c>
      <c r="O5879">
        <v>23.05</v>
      </c>
      <c r="P5879">
        <v>27.09</v>
      </c>
      <c r="Q5879">
        <v>20.41</v>
      </c>
      <c r="R5879">
        <v>8.27</v>
      </c>
    </row>
    <row r="5880">
      <c r="A5880" s="9">
        <v>44411</v>
      </c>
      <c r="B5880" s="2" t="inlineStr">
        <is>
          <t xml:space="preserve">2021-08</t>
        </is>
      </c>
      <c r="C5880" s="2" t="inlineStr">
        <is>
          <t xml:space="preserve">2021/22</t>
        </is>
      </c>
      <c r="D5880">
        <v>6.767</v>
      </c>
      <c r="E5880">
        <v>21.84</v>
      </c>
      <c r="F5880">
        <v>26.31</v>
      </c>
      <c r="G5880">
        <v>18.95</v>
      </c>
      <c r="H5880">
        <v>8.47</v>
      </c>
      <c r="I5880">
        <v>14.703</v>
      </c>
      <c r="J5880">
        <v>22.71</v>
      </c>
      <c r="K5880">
        <v>26.75</v>
      </c>
      <c r="L5880">
        <v>19.67</v>
      </c>
      <c r="M5880">
        <v>11.4</v>
      </c>
      <c r="N5880">
        <v>32.867</v>
      </c>
      <c r="O5880">
        <v>23.07</v>
      </c>
      <c r="P5880">
        <v>26.81</v>
      </c>
      <c r="Q5880">
        <v>20.72</v>
      </c>
      <c r="R5880">
        <v>11.85</v>
      </c>
    </row>
    <row r="5881">
      <c r="A5881" s="9">
        <v>44412</v>
      </c>
      <c r="B5881" s="2" t="inlineStr">
        <is>
          <t xml:space="preserve">2021-08</t>
        </is>
      </c>
      <c r="C5881" s="2" t="inlineStr">
        <is>
          <t xml:space="preserve">2021/22</t>
        </is>
      </c>
      <c r="D5881">
        <v>11.423</v>
      </c>
      <c r="E5881">
        <v>22.01</v>
      </c>
      <c r="F5881">
        <v>27.78</v>
      </c>
      <c r="G5881">
        <v>17.0</v>
      </c>
      <c r="H5881">
        <v>12.06</v>
      </c>
      <c r="I5881">
        <v>3.827</v>
      </c>
      <c r="J5881">
        <v>22.46</v>
      </c>
      <c r="K5881">
        <v>24.7</v>
      </c>
      <c r="L5881">
        <v>20.69</v>
      </c>
      <c r="M5881">
        <v>8.77</v>
      </c>
      <c r="N5881">
        <v>13.498</v>
      </c>
      <c r="O5881">
        <v>23.83</v>
      </c>
      <c r="P5881">
        <v>27.62</v>
      </c>
      <c r="Q5881">
        <v>20.84</v>
      </c>
      <c r="R5881">
        <v>10.51</v>
      </c>
    </row>
    <row r="5882">
      <c r="A5882" s="9">
        <v>44413</v>
      </c>
      <c r="B5882" s="2" t="inlineStr">
        <is>
          <t xml:space="preserve">2021-08</t>
        </is>
      </c>
      <c r="C5882" s="2" t="inlineStr">
        <is>
          <t xml:space="preserve">2021/22</t>
        </is>
      </c>
      <c r="D5882">
        <v>17.414</v>
      </c>
      <c r="E5882">
        <v>22.06</v>
      </c>
      <c r="F5882">
        <v>25.72</v>
      </c>
      <c r="G5882">
        <v>19.29</v>
      </c>
      <c r="H5882">
        <v>12.66</v>
      </c>
      <c r="I5882">
        <v>10.266</v>
      </c>
      <c r="J5882">
        <v>22.12</v>
      </c>
      <c r="K5882">
        <v>25.06</v>
      </c>
      <c r="L5882">
        <v>19.76</v>
      </c>
      <c r="M5882">
        <v>18.75</v>
      </c>
      <c r="N5882">
        <v>24.944</v>
      </c>
      <c r="O5882">
        <v>23.28</v>
      </c>
      <c r="P5882">
        <v>26.07</v>
      </c>
      <c r="Q5882">
        <v>21.53</v>
      </c>
      <c r="R5882">
        <v>19.51</v>
      </c>
    </row>
    <row r="5883">
      <c r="A5883" s="9">
        <v>44414</v>
      </c>
      <c r="B5883" s="2" t="inlineStr">
        <is>
          <t xml:space="preserve">2021-08</t>
        </is>
      </c>
      <c r="C5883" s="2" t="inlineStr">
        <is>
          <t xml:space="preserve">2021/22</t>
        </is>
      </c>
      <c r="D5883">
        <v>33.355</v>
      </c>
      <c r="E5883">
        <v>21.52</v>
      </c>
      <c r="F5883">
        <v>25.64</v>
      </c>
      <c r="G5883">
        <v>18.82</v>
      </c>
      <c r="H5883">
        <v>20.63</v>
      </c>
      <c r="I5883">
        <v>22.578</v>
      </c>
      <c r="J5883">
        <v>22.57</v>
      </c>
      <c r="K5883">
        <v>26.35</v>
      </c>
      <c r="L5883">
        <v>19.81</v>
      </c>
      <c r="M5883">
        <v>27.74</v>
      </c>
      <c r="N5883">
        <v>41.149</v>
      </c>
      <c r="O5883">
        <v>23.02</v>
      </c>
      <c r="P5883">
        <v>26.44</v>
      </c>
      <c r="Q5883">
        <v>20.61</v>
      </c>
      <c r="R5883">
        <v>19.87</v>
      </c>
    </row>
    <row r="5884">
      <c r="A5884" s="9">
        <v>44415</v>
      </c>
      <c r="B5884" s="2" t="inlineStr">
        <is>
          <t xml:space="preserve">2021-08</t>
        </is>
      </c>
      <c r="C5884" s="2" t="inlineStr">
        <is>
          <t xml:space="preserve">2021/22</t>
        </is>
      </c>
      <c r="D5884">
        <v>25.795</v>
      </c>
      <c r="E5884">
        <v>21.62</v>
      </c>
      <c r="F5884">
        <v>26.08</v>
      </c>
      <c r="G5884">
        <v>17.59</v>
      </c>
      <c r="H5884">
        <v>7.3</v>
      </c>
      <c r="I5884">
        <v>13.563</v>
      </c>
      <c r="J5884">
        <v>23.16</v>
      </c>
      <c r="K5884">
        <v>27.55</v>
      </c>
      <c r="L5884">
        <v>19.53</v>
      </c>
      <c r="M5884">
        <v>5.26</v>
      </c>
      <c r="N5884">
        <v>12.779</v>
      </c>
      <c r="O5884">
        <v>22.57</v>
      </c>
      <c r="P5884">
        <v>26.18</v>
      </c>
      <c r="Q5884">
        <v>20.06</v>
      </c>
      <c r="R5884">
        <v>5.58</v>
      </c>
    </row>
    <row r="5885">
      <c r="A5885" s="9">
        <v>44416</v>
      </c>
      <c r="B5885" s="2" t="inlineStr">
        <is>
          <t xml:space="preserve">2021-08</t>
        </is>
      </c>
      <c r="C5885" s="2" t="inlineStr">
        <is>
          <t xml:space="preserve">2021/22</t>
        </is>
      </c>
      <c r="D5885">
        <v>2.744</v>
      </c>
      <c r="E5885">
        <v>21.27</v>
      </c>
      <c r="F5885">
        <v>25.25</v>
      </c>
      <c r="G5885">
        <v>18.26</v>
      </c>
      <c r="H5885">
        <v>2.19</v>
      </c>
      <c r="I5885">
        <v>1.142</v>
      </c>
      <c r="J5885">
        <v>22.65</v>
      </c>
      <c r="K5885">
        <v>26.64</v>
      </c>
      <c r="L5885">
        <v>19.7</v>
      </c>
      <c r="M5885">
        <v>1.22</v>
      </c>
      <c r="N5885">
        <v>0.085</v>
      </c>
      <c r="O5885">
        <v>22.23</v>
      </c>
      <c r="P5885">
        <v>25.24</v>
      </c>
      <c r="Q5885">
        <v>20.21</v>
      </c>
      <c r="R5885">
        <v>4.33</v>
      </c>
    </row>
    <row r="5886">
      <c r="A5886" s="9">
        <v>44417</v>
      </c>
      <c r="B5886" s="2" t="inlineStr">
        <is>
          <t xml:space="preserve">2021-08</t>
        </is>
      </c>
      <c r="C5886" s="2" t="inlineStr">
        <is>
          <t xml:space="preserve">2021/22</t>
        </is>
      </c>
      <c r="D5886">
        <v>0.428</v>
      </c>
      <c r="E5886">
        <v>21.54</v>
      </c>
      <c r="F5886">
        <v>26.9</v>
      </c>
      <c r="G5886">
        <v>16.83</v>
      </c>
      <c r="H5886">
        <v>0.15</v>
      </c>
      <c r="I5886">
        <v>1.084</v>
      </c>
      <c r="J5886">
        <v>22.68</v>
      </c>
      <c r="K5886">
        <v>27.62</v>
      </c>
      <c r="L5886">
        <v>18.76</v>
      </c>
      <c r="M5886">
        <v>0.64</v>
      </c>
      <c r="N5886">
        <v>0.074</v>
      </c>
      <c r="O5886">
        <v>22.43</v>
      </c>
      <c r="P5886">
        <v>26.65</v>
      </c>
      <c r="Q5886">
        <v>19.63</v>
      </c>
      <c r="R5886">
        <v>1.22</v>
      </c>
    </row>
    <row r="5887">
      <c r="A5887" s="9">
        <v>44418</v>
      </c>
      <c r="B5887" s="2" t="inlineStr">
        <is>
          <t xml:space="preserve">2021-08</t>
        </is>
      </c>
      <c r="C5887" s="2" t="inlineStr">
        <is>
          <t xml:space="preserve">2021/22</t>
        </is>
      </c>
      <c r="D5887">
        <v>0.0</v>
      </c>
      <c r="E5887">
        <v>22.07</v>
      </c>
      <c r="F5887">
        <v>27.54</v>
      </c>
      <c r="G5887">
        <v>18.03</v>
      </c>
      <c r="H5887">
        <v>1.05</v>
      </c>
      <c r="I5887">
        <v>0.0</v>
      </c>
      <c r="J5887">
        <v>22.14</v>
      </c>
      <c r="K5887">
        <v>26.53</v>
      </c>
      <c r="L5887">
        <v>19.21</v>
      </c>
      <c r="M5887">
        <v>0.85</v>
      </c>
      <c r="N5887">
        <v>0.593</v>
      </c>
      <c r="O5887">
        <v>22.27</v>
      </c>
      <c r="P5887">
        <v>26.43</v>
      </c>
      <c r="Q5887">
        <v>19.99</v>
      </c>
      <c r="R5887">
        <v>2.74</v>
      </c>
    </row>
    <row r="5888">
      <c r="A5888" s="9">
        <v>44419</v>
      </c>
      <c r="B5888" s="2" t="inlineStr">
        <is>
          <t xml:space="preserve">2021-08</t>
        </is>
      </c>
      <c r="C5888" s="2" t="inlineStr">
        <is>
          <t xml:space="preserve">2021/22</t>
        </is>
      </c>
      <c r="D5888">
        <v>0.206</v>
      </c>
      <c r="E5888">
        <v>22.14</v>
      </c>
      <c r="F5888">
        <v>27.22</v>
      </c>
      <c r="G5888">
        <v>18.47</v>
      </c>
      <c r="H5888">
        <v>3.48</v>
      </c>
      <c r="I5888">
        <v>0.063</v>
      </c>
      <c r="J5888">
        <v>22.32</v>
      </c>
      <c r="K5888">
        <v>26.47</v>
      </c>
      <c r="L5888">
        <v>18.45</v>
      </c>
      <c r="M5888">
        <v>1.06</v>
      </c>
      <c r="N5888">
        <v>0.602</v>
      </c>
      <c r="O5888">
        <v>22.7</v>
      </c>
      <c r="P5888">
        <v>26.84</v>
      </c>
      <c r="Q5888">
        <v>19.38</v>
      </c>
      <c r="R5888">
        <v>1.29</v>
      </c>
    </row>
    <row r="5889">
      <c r="A5889" s="9">
        <v>44420</v>
      </c>
      <c r="B5889" s="2" t="inlineStr">
        <is>
          <t xml:space="preserve">2021-08</t>
        </is>
      </c>
      <c r="C5889" s="2" t="inlineStr">
        <is>
          <t xml:space="preserve">2021/22</t>
        </is>
      </c>
      <c r="D5889">
        <v>2.485</v>
      </c>
      <c r="E5889">
        <v>22.38</v>
      </c>
      <c r="F5889">
        <v>27.85</v>
      </c>
      <c r="G5889">
        <v>17.72</v>
      </c>
      <c r="H5889">
        <v>0.17</v>
      </c>
      <c r="I5889">
        <v>8.876</v>
      </c>
      <c r="J5889">
        <v>22.72</v>
      </c>
      <c r="K5889">
        <v>26.91</v>
      </c>
      <c r="L5889">
        <v>19.93</v>
      </c>
      <c r="M5889">
        <v>3.71</v>
      </c>
      <c r="N5889">
        <v>0.394</v>
      </c>
      <c r="O5889">
        <v>23.34</v>
      </c>
      <c r="P5889">
        <v>27.85</v>
      </c>
      <c r="Q5889">
        <v>20.58</v>
      </c>
      <c r="R5889">
        <v>0.31</v>
      </c>
    </row>
    <row r="5890">
      <c r="A5890" s="9">
        <v>44421</v>
      </c>
      <c r="B5890" s="2" t="inlineStr">
        <is>
          <t xml:space="preserve">2021-08</t>
        </is>
      </c>
      <c r="C5890" s="2" t="inlineStr">
        <is>
          <t xml:space="preserve">2021/22</t>
        </is>
      </c>
      <c r="D5890">
        <v>0.0</v>
      </c>
      <c r="E5890">
        <v>22.96</v>
      </c>
      <c r="F5890">
        <v>28.73</v>
      </c>
      <c r="G5890">
        <v>18.24</v>
      </c>
      <c r="H5890">
        <v>0.76</v>
      </c>
      <c r="I5890">
        <v>0.143</v>
      </c>
      <c r="J5890">
        <v>22.55</v>
      </c>
      <c r="K5890">
        <v>26.74</v>
      </c>
      <c r="L5890">
        <v>19.79</v>
      </c>
      <c r="M5890">
        <v>0.11</v>
      </c>
      <c r="N5890">
        <v>0.0</v>
      </c>
      <c r="O5890">
        <v>23.2</v>
      </c>
      <c r="P5890">
        <v>27.45</v>
      </c>
      <c r="Q5890">
        <v>20.4</v>
      </c>
      <c r="R5890">
        <v>0.0</v>
      </c>
    </row>
    <row r="5891">
      <c r="A5891" s="9">
        <v>44422</v>
      </c>
      <c r="B5891" s="2" t="inlineStr">
        <is>
          <t xml:space="preserve">2021-08</t>
        </is>
      </c>
      <c r="C5891" s="2" t="inlineStr">
        <is>
          <t xml:space="preserve">2021/22</t>
        </is>
      </c>
      <c r="D5891">
        <v>0.246</v>
      </c>
      <c r="E5891">
        <v>22.9</v>
      </c>
      <c r="F5891">
        <v>27.65</v>
      </c>
      <c r="G5891">
        <v>19.55</v>
      </c>
      <c r="H5891">
        <v>3.16</v>
      </c>
      <c r="I5891">
        <v>0.0</v>
      </c>
      <c r="J5891">
        <v>22.22</v>
      </c>
      <c r="K5891">
        <v>27.09</v>
      </c>
      <c r="L5891">
        <v>17.9</v>
      </c>
      <c r="M5891">
        <v>1.35</v>
      </c>
      <c r="N5891">
        <v>0.0</v>
      </c>
      <c r="O5891">
        <v>22.66</v>
      </c>
      <c r="P5891">
        <v>27.06</v>
      </c>
      <c r="Q5891">
        <v>19.65</v>
      </c>
      <c r="R5891">
        <v>0.2</v>
      </c>
    </row>
    <row r="5892">
      <c r="A5892" s="9">
        <v>44423</v>
      </c>
      <c r="B5892" s="2" t="inlineStr">
        <is>
          <t xml:space="preserve">2021-08</t>
        </is>
      </c>
      <c r="C5892" s="2" t="inlineStr">
        <is>
          <t xml:space="preserve">2021/22</t>
        </is>
      </c>
      <c r="D5892">
        <v>3.812</v>
      </c>
      <c r="E5892">
        <v>23.09</v>
      </c>
      <c r="F5892">
        <v>28.43</v>
      </c>
      <c r="G5892">
        <v>18.43</v>
      </c>
      <c r="H5892">
        <v>1.46</v>
      </c>
      <c r="I5892">
        <v>8.915</v>
      </c>
      <c r="J5892">
        <v>22.29</v>
      </c>
      <c r="K5892">
        <v>26.29</v>
      </c>
      <c r="L5892">
        <v>19.16</v>
      </c>
      <c r="M5892">
        <v>8.31</v>
      </c>
      <c r="N5892">
        <v>6.437</v>
      </c>
      <c r="O5892">
        <v>22.93</v>
      </c>
      <c r="P5892">
        <v>27.5</v>
      </c>
      <c r="Q5892">
        <v>19.08</v>
      </c>
      <c r="R5892">
        <v>3.58</v>
      </c>
    </row>
    <row r="5893">
      <c r="A5893" s="9">
        <v>44424</v>
      </c>
      <c r="B5893" s="2" t="inlineStr">
        <is>
          <t xml:space="preserve">2021-08</t>
        </is>
      </c>
      <c r="C5893" s="2" t="inlineStr">
        <is>
          <t xml:space="preserve">2021/22</t>
        </is>
      </c>
      <c r="D5893">
        <v>2.435</v>
      </c>
      <c r="E5893">
        <v>23.31</v>
      </c>
      <c r="F5893">
        <v>29.38</v>
      </c>
      <c r="G5893">
        <v>17.92</v>
      </c>
      <c r="H5893">
        <v>1.53</v>
      </c>
      <c r="I5893">
        <v>0.0</v>
      </c>
      <c r="J5893">
        <v>23.1</v>
      </c>
      <c r="K5893">
        <v>27.93</v>
      </c>
      <c r="L5893">
        <v>19.19</v>
      </c>
      <c r="M5893">
        <v>1.2</v>
      </c>
      <c r="N5893">
        <v>0.0</v>
      </c>
      <c r="O5893">
        <v>24.02</v>
      </c>
      <c r="P5893">
        <v>29.23</v>
      </c>
      <c r="Q5893">
        <v>19.83</v>
      </c>
      <c r="R5893">
        <v>0.49</v>
      </c>
    </row>
    <row r="5894">
      <c r="A5894" s="9">
        <v>44425</v>
      </c>
      <c r="B5894" s="2" t="inlineStr">
        <is>
          <t xml:space="preserve">2021-08</t>
        </is>
      </c>
      <c r="C5894" s="2" t="inlineStr">
        <is>
          <t xml:space="preserve">2021/22</t>
        </is>
      </c>
      <c r="D5894">
        <v>5.195</v>
      </c>
      <c r="E5894">
        <v>22.94</v>
      </c>
      <c r="F5894">
        <v>27.88</v>
      </c>
      <c r="G5894">
        <v>19.36</v>
      </c>
      <c r="H5894">
        <v>4.79</v>
      </c>
      <c r="I5894">
        <v>7.769</v>
      </c>
      <c r="J5894">
        <v>23.32</v>
      </c>
      <c r="K5894">
        <v>27.08</v>
      </c>
      <c r="L5894">
        <v>20.28</v>
      </c>
      <c r="M5894">
        <v>3.0</v>
      </c>
      <c r="N5894">
        <v>0.315</v>
      </c>
      <c r="O5894">
        <v>23.8</v>
      </c>
      <c r="P5894">
        <v>27.91</v>
      </c>
      <c r="Q5894">
        <v>21.24</v>
      </c>
      <c r="R5894">
        <v>1.29</v>
      </c>
    </row>
    <row r="5895">
      <c r="A5895" s="9">
        <v>44426</v>
      </c>
      <c r="B5895" s="2" t="inlineStr">
        <is>
          <t xml:space="preserve">2021-08</t>
        </is>
      </c>
      <c r="C5895" s="2" t="inlineStr">
        <is>
          <t xml:space="preserve">2021/22</t>
        </is>
      </c>
      <c r="D5895">
        <v>4.915</v>
      </c>
      <c r="E5895">
        <v>23.08</v>
      </c>
      <c r="F5895">
        <v>28.33</v>
      </c>
      <c r="G5895">
        <v>18.95</v>
      </c>
      <c r="H5895">
        <v>4.47</v>
      </c>
      <c r="I5895">
        <v>0.0</v>
      </c>
      <c r="J5895">
        <v>23.49</v>
      </c>
      <c r="K5895">
        <v>28.01</v>
      </c>
      <c r="L5895">
        <v>20.28</v>
      </c>
      <c r="M5895">
        <v>0.71</v>
      </c>
      <c r="N5895">
        <v>0.101</v>
      </c>
      <c r="O5895">
        <v>23.61</v>
      </c>
      <c r="P5895">
        <v>28.02</v>
      </c>
      <c r="Q5895">
        <v>20.62</v>
      </c>
      <c r="R5895">
        <v>0.67</v>
      </c>
    </row>
    <row r="5896">
      <c r="A5896" s="9">
        <v>44427</v>
      </c>
      <c r="B5896" s="2" t="inlineStr">
        <is>
          <t xml:space="preserve">2021-08</t>
        </is>
      </c>
      <c r="C5896" s="2" t="inlineStr">
        <is>
          <t xml:space="preserve">2021/22</t>
        </is>
      </c>
      <c r="D5896">
        <v>6.775</v>
      </c>
      <c r="E5896">
        <v>22.69</v>
      </c>
      <c r="F5896">
        <v>28.02</v>
      </c>
      <c r="G5896">
        <v>18.33</v>
      </c>
      <c r="H5896">
        <v>8.29</v>
      </c>
      <c r="I5896">
        <v>2.447</v>
      </c>
      <c r="J5896">
        <v>22.29</v>
      </c>
      <c r="K5896">
        <v>25.83</v>
      </c>
      <c r="L5896">
        <v>18.91</v>
      </c>
      <c r="M5896">
        <v>4.17</v>
      </c>
      <c r="N5896">
        <v>3.035</v>
      </c>
      <c r="O5896">
        <v>23.15</v>
      </c>
      <c r="P5896">
        <v>26.88</v>
      </c>
      <c r="Q5896">
        <v>19.83</v>
      </c>
      <c r="R5896">
        <v>4.41</v>
      </c>
    </row>
    <row r="5897">
      <c r="A5897" s="9">
        <v>44428</v>
      </c>
      <c r="B5897" s="2" t="inlineStr">
        <is>
          <t xml:space="preserve">2021-08</t>
        </is>
      </c>
      <c r="C5897" s="2" t="inlineStr">
        <is>
          <t xml:space="preserve">2021/22</t>
        </is>
      </c>
      <c r="D5897">
        <v>12.831</v>
      </c>
      <c r="E5897">
        <v>22.16</v>
      </c>
      <c r="F5897">
        <v>26.81</v>
      </c>
      <c r="G5897">
        <v>18.93</v>
      </c>
      <c r="H5897">
        <v>13.19</v>
      </c>
      <c r="I5897">
        <v>6.43</v>
      </c>
      <c r="J5897">
        <v>22.5</v>
      </c>
      <c r="K5897">
        <v>26.51</v>
      </c>
      <c r="L5897">
        <v>19.18</v>
      </c>
      <c r="M5897">
        <v>13.23</v>
      </c>
      <c r="N5897">
        <v>21.943</v>
      </c>
      <c r="O5897">
        <v>22.56</v>
      </c>
      <c r="P5897">
        <v>25.83</v>
      </c>
      <c r="Q5897">
        <v>20.69</v>
      </c>
      <c r="R5897">
        <v>14.46</v>
      </c>
    </row>
    <row r="5898">
      <c r="A5898" s="9">
        <v>44429</v>
      </c>
      <c r="B5898" s="2" t="inlineStr">
        <is>
          <t xml:space="preserve">2021-08</t>
        </is>
      </c>
      <c r="C5898" s="2" t="inlineStr">
        <is>
          <t xml:space="preserve">2021/22</t>
        </is>
      </c>
      <c r="D5898">
        <v>8.743</v>
      </c>
      <c r="E5898">
        <v>21.11</v>
      </c>
      <c r="F5898">
        <v>26.1</v>
      </c>
      <c r="G5898">
        <v>17.9</v>
      </c>
      <c r="H5898">
        <v>4.36</v>
      </c>
      <c r="I5898">
        <v>7.928</v>
      </c>
      <c r="J5898">
        <v>22.3</v>
      </c>
      <c r="K5898">
        <v>26.5</v>
      </c>
      <c r="L5898">
        <v>18.78</v>
      </c>
      <c r="M5898">
        <v>9.71</v>
      </c>
      <c r="N5898">
        <v>19.997</v>
      </c>
      <c r="O5898">
        <v>22.65</v>
      </c>
      <c r="P5898">
        <v>27.02</v>
      </c>
      <c r="Q5898">
        <v>19.81</v>
      </c>
      <c r="R5898">
        <v>8.54</v>
      </c>
    </row>
    <row r="5899">
      <c r="A5899" s="9">
        <v>44430</v>
      </c>
      <c r="B5899" s="2" t="inlineStr">
        <is>
          <t xml:space="preserve">2021-08</t>
        </is>
      </c>
      <c r="C5899" s="2" t="inlineStr">
        <is>
          <t xml:space="preserve">2021/22</t>
        </is>
      </c>
      <c r="D5899">
        <v>12.906</v>
      </c>
      <c r="E5899">
        <v>21.31</v>
      </c>
      <c r="F5899">
        <v>26.11</v>
      </c>
      <c r="G5899">
        <v>16.94</v>
      </c>
      <c r="H5899">
        <v>16.35</v>
      </c>
      <c r="I5899">
        <v>2.547</v>
      </c>
      <c r="J5899">
        <v>22.59</v>
      </c>
      <c r="K5899">
        <v>26.88</v>
      </c>
      <c r="L5899">
        <v>18.64</v>
      </c>
      <c r="M5899">
        <v>14.31</v>
      </c>
      <c r="N5899">
        <v>2.779</v>
      </c>
      <c r="O5899">
        <v>22.76</v>
      </c>
      <c r="P5899">
        <v>26.32</v>
      </c>
      <c r="Q5899">
        <v>19.72</v>
      </c>
      <c r="R5899">
        <v>14.17</v>
      </c>
    </row>
    <row r="5900">
      <c r="A5900" s="9">
        <v>44431</v>
      </c>
      <c r="B5900" s="2" t="inlineStr">
        <is>
          <t xml:space="preserve">2021-08</t>
        </is>
      </c>
      <c r="C5900" s="2" t="inlineStr">
        <is>
          <t xml:space="preserve">2021/22</t>
        </is>
      </c>
      <c r="D5900">
        <v>28.672</v>
      </c>
      <c r="E5900">
        <v>21.57</v>
      </c>
      <c r="F5900">
        <v>25.42</v>
      </c>
      <c r="G5900">
        <v>18.26</v>
      </c>
      <c r="H5900">
        <v>16.24</v>
      </c>
      <c r="I5900">
        <v>18.654</v>
      </c>
      <c r="J5900">
        <v>22.72</v>
      </c>
      <c r="K5900">
        <v>26.68</v>
      </c>
      <c r="L5900">
        <v>20.1</v>
      </c>
      <c r="M5900">
        <v>33.55</v>
      </c>
      <c r="N5900">
        <v>50.301</v>
      </c>
      <c r="O5900">
        <v>22.61</v>
      </c>
      <c r="P5900">
        <v>26.07</v>
      </c>
      <c r="Q5900">
        <v>20.51</v>
      </c>
      <c r="R5900">
        <v>30.24</v>
      </c>
    </row>
    <row r="5901">
      <c r="A5901" s="9">
        <v>44432</v>
      </c>
      <c r="B5901" s="2" t="inlineStr">
        <is>
          <t xml:space="preserve">2021-08</t>
        </is>
      </c>
      <c r="C5901" s="2" t="inlineStr">
        <is>
          <t xml:space="preserve">2021/22</t>
        </is>
      </c>
      <c r="D5901">
        <v>17.557</v>
      </c>
      <c r="E5901">
        <v>21.59</v>
      </c>
      <c r="F5901">
        <v>26.59</v>
      </c>
      <c r="G5901">
        <v>17.56</v>
      </c>
      <c r="H5901">
        <v>15.05</v>
      </c>
      <c r="I5901">
        <v>28.691</v>
      </c>
      <c r="J5901">
        <v>22.67</v>
      </c>
      <c r="K5901">
        <v>26.47</v>
      </c>
      <c r="L5901">
        <v>20.17</v>
      </c>
      <c r="M5901">
        <v>30.59</v>
      </c>
      <c r="N5901">
        <v>92.436</v>
      </c>
      <c r="O5901">
        <v>22.69</v>
      </c>
      <c r="P5901">
        <v>26.32</v>
      </c>
      <c r="Q5901">
        <v>20.51</v>
      </c>
      <c r="R5901">
        <v>30.41</v>
      </c>
    </row>
    <row r="5902">
      <c r="A5902" s="9">
        <v>44433</v>
      </c>
      <c r="B5902" s="2" t="inlineStr">
        <is>
          <t xml:space="preserve">2021-08</t>
        </is>
      </c>
      <c r="C5902" s="2" t="inlineStr">
        <is>
          <t xml:space="preserve">2021/22</t>
        </is>
      </c>
      <c r="D5902">
        <v>4.379</v>
      </c>
      <c r="E5902">
        <v>21.31</v>
      </c>
      <c r="F5902">
        <v>26.07</v>
      </c>
      <c r="G5902">
        <v>17.67</v>
      </c>
      <c r="H5902">
        <v>2.03</v>
      </c>
      <c r="I5902">
        <v>17.375</v>
      </c>
      <c r="J5902">
        <v>22.33</v>
      </c>
      <c r="K5902">
        <v>26.02</v>
      </c>
      <c r="L5902">
        <v>19.72</v>
      </c>
      <c r="M5902">
        <v>8.56</v>
      </c>
      <c r="N5902">
        <v>3.062</v>
      </c>
      <c r="O5902">
        <v>22.3</v>
      </c>
      <c r="P5902">
        <v>26.06</v>
      </c>
      <c r="Q5902">
        <v>20.2</v>
      </c>
      <c r="R5902">
        <v>2.46</v>
      </c>
    </row>
    <row r="5903">
      <c r="A5903" s="9">
        <v>44434</v>
      </c>
      <c r="B5903" s="2" t="inlineStr">
        <is>
          <t xml:space="preserve">2021-08</t>
        </is>
      </c>
      <c r="C5903" s="2" t="inlineStr">
        <is>
          <t xml:space="preserve">2021/22</t>
        </is>
      </c>
      <c r="D5903">
        <v>0.118</v>
      </c>
      <c r="E5903">
        <v>21.42</v>
      </c>
      <c r="F5903">
        <v>26.45</v>
      </c>
      <c r="G5903">
        <v>17.84</v>
      </c>
      <c r="H5903">
        <v>0.12</v>
      </c>
      <c r="I5903">
        <v>3.129</v>
      </c>
      <c r="J5903">
        <v>21.89</v>
      </c>
      <c r="K5903">
        <v>26.51</v>
      </c>
      <c r="L5903">
        <v>18.06</v>
      </c>
      <c r="M5903">
        <v>1.38</v>
      </c>
      <c r="N5903">
        <v>0.167</v>
      </c>
      <c r="O5903">
        <v>22.28</v>
      </c>
      <c r="P5903">
        <v>26.81</v>
      </c>
      <c r="Q5903">
        <v>19.18</v>
      </c>
      <c r="R5903">
        <v>0.25</v>
      </c>
    </row>
    <row r="5904">
      <c r="A5904" s="9">
        <v>44435</v>
      </c>
      <c r="B5904" s="2" t="inlineStr">
        <is>
          <t xml:space="preserve">2021-08</t>
        </is>
      </c>
      <c r="C5904" s="2" t="inlineStr">
        <is>
          <t xml:space="preserve">2021/22</t>
        </is>
      </c>
      <c r="D5904">
        <v>0.051</v>
      </c>
      <c r="E5904">
        <v>21.39</v>
      </c>
      <c r="F5904">
        <v>26.34</v>
      </c>
      <c r="G5904">
        <v>16.92</v>
      </c>
      <c r="H5904">
        <v>0.99</v>
      </c>
      <c r="I5904">
        <v>1.137</v>
      </c>
      <c r="J5904">
        <v>22.46</v>
      </c>
      <c r="K5904">
        <v>27.26</v>
      </c>
      <c r="L5904">
        <v>18.12</v>
      </c>
      <c r="M5904">
        <v>1.52</v>
      </c>
      <c r="N5904">
        <v>0.246</v>
      </c>
      <c r="O5904">
        <v>22.73</v>
      </c>
      <c r="P5904">
        <v>27.53</v>
      </c>
      <c r="Q5904">
        <v>19.0</v>
      </c>
      <c r="R5904">
        <v>1.7</v>
      </c>
    </row>
    <row r="5905">
      <c r="A5905" s="9">
        <v>44436</v>
      </c>
      <c r="B5905" s="2" t="inlineStr">
        <is>
          <t xml:space="preserve">2021-08</t>
        </is>
      </c>
      <c r="C5905" s="2" t="inlineStr">
        <is>
          <t xml:space="preserve">2021/22</t>
        </is>
      </c>
      <c r="D5905">
        <v>5.822</v>
      </c>
      <c r="E5905">
        <v>22.02</v>
      </c>
      <c r="F5905">
        <v>26.34</v>
      </c>
      <c r="G5905">
        <v>18.38</v>
      </c>
      <c r="H5905">
        <v>10.33</v>
      </c>
      <c r="I5905">
        <v>3.478</v>
      </c>
      <c r="J5905">
        <v>22.88</v>
      </c>
      <c r="K5905">
        <v>27.5</v>
      </c>
      <c r="L5905">
        <v>18.97</v>
      </c>
      <c r="M5905">
        <v>12.43</v>
      </c>
      <c r="N5905">
        <v>13.149</v>
      </c>
      <c r="O5905">
        <v>23.59</v>
      </c>
      <c r="P5905">
        <v>27.69</v>
      </c>
      <c r="Q5905">
        <v>20.76</v>
      </c>
      <c r="R5905">
        <v>13.63</v>
      </c>
    </row>
    <row r="5906">
      <c r="A5906" s="9">
        <v>44437</v>
      </c>
      <c r="B5906" s="2" t="inlineStr">
        <is>
          <t xml:space="preserve">2021-08</t>
        </is>
      </c>
      <c r="C5906" s="2" t="inlineStr">
        <is>
          <t xml:space="preserve">2021/22</t>
        </is>
      </c>
      <c r="D5906">
        <v>9.919</v>
      </c>
      <c r="E5906">
        <v>22.83</v>
      </c>
      <c r="F5906">
        <v>28.31</v>
      </c>
      <c r="G5906">
        <v>18.53</v>
      </c>
      <c r="H5906">
        <v>1.4</v>
      </c>
      <c r="I5906">
        <v>8.931</v>
      </c>
      <c r="J5906">
        <v>23.68</v>
      </c>
      <c r="K5906">
        <v>27.57</v>
      </c>
      <c r="L5906">
        <v>20.98</v>
      </c>
      <c r="M5906">
        <v>6.56</v>
      </c>
      <c r="N5906">
        <v>28.086</v>
      </c>
      <c r="O5906">
        <v>23.86</v>
      </c>
      <c r="P5906">
        <v>27.87</v>
      </c>
      <c r="Q5906">
        <v>21.09</v>
      </c>
      <c r="R5906">
        <v>5.6</v>
      </c>
    </row>
    <row r="5907">
      <c r="A5907" s="9">
        <v>44438</v>
      </c>
      <c r="B5907" s="2" t="inlineStr">
        <is>
          <t xml:space="preserve">2021-08</t>
        </is>
      </c>
      <c r="C5907" s="2" t="inlineStr">
        <is>
          <t xml:space="preserve">2021/22</t>
        </is>
      </c>
      <c r="D5907">
        <v>0.0</v>
      </c>
      <c r="E5907">
        <v>22.46</v>
      </c>
      <c r="F5907">
        <v>27.66</v>
      </c>
      <c r="G5907">
        <v>17.98</v>
      </c>
      <c r="H5907">
        <v>1.71</v>
      </c>
      <c r="I5907">
        <v>0.0</v>
      </c>
      <c r="J5907">
        <v>23.17</v>
      </c>
      <c r="K5907">
        <v>27.29</v>
      </c>
      <c r="L5907">
        <v>20.31</v>
      </c>
      <c r="M5907">
        <v>5.47</v>
      </c>
      <c r="N5907">
        <v>0.0</v>
      </c>
      <c r="O5907">
        <v>23.58</v>
      </c>
      <c r="P5907">
        <v>27.82</v>
      </c>
      <c r="Q5907">
        <v>20.17</v>
      </c>
      <c r="R5907">
        <v>1.41</v>
      </c>
    </row>
    <row r="5908">
      <c r="A5908" s="9">
        <v>44439</v>
      </c>
      <c r="B5908" s="2" t="inlineStr">
        <is>
          <t xml:space="preserve">2021-08</t>
        </is>
      </c>
      <c r="C5908" s="2" t="inlineStr">
        <is>
          <t xml:space="preserve">2021/22</t>
        </is>
      </c>
      <c r="D5908">
        <v>6.269</v>
      </c>
      <c r="E5908">
        <v>21.29</v>
      </c>
      <c r="F5908">
        <v>26.53</v>
      </c>
      <c r="G5908">
        <v>18.02</v>
      </c>
      <c r="H5908">
        <v>7.28</v>
      </c>
      <c r="I5908">
        <v>33.285</v>
      </c>
      <c r="J5908">
        <v>20.98</v>
      </c>
      <c r="K5908">
        <v>22.9</v>
      </c>
      <c r="L5908">
        <v>18.55</v>
      </c>
      <c r="M5908">
        <v>17.13</v>
      </c>
      <c r="N5908">
        <v>4.595</v>
      </c>
      <c r="O5908">
        <v>22.54</v>
      </c>
      <c r="P5908">
        <v>26.05</v>
      </c>
      <c r="Q5908">
        <v>19.82</v>
      </c>
      <c r="R5908">
        <v>5.62</v>
      </c>
    </row>
    <row r="5909">
      <c r="A5909" s="9">
        <v>44440</v>
      </c>
      <c r="B5909" s="2" t="inlineStr">
        <is>
          <t xml:space="preserve">2021-09</t>
        </is>
      </c>
      <c r="C5909" s="2" t="inlineStr">
        <is>
          <t xml:space="preserve">2021/22</t>
        </is>
      </c>
      <c r="D5909">
        <v>7.853</v>
      </c>
      <c r="E5909">
        <v>21.08</v>
      </c>
      <c r="F5909">
        <v>27.11</v>
      </c>
      <c r="G5909">
        <v>15.44</v>
      </c>
      <c r="H5909">
        <v>4.54</v>
      </c>
      <c r="I5909">
        <v>3.251</v>
      </c>
      <c r="J5909">
        <v>21.88</v>
      </c>
      <c r="K5909">
        <v>26.48</v>
      </c>
      <c r="L5909">
        <v>17.96</v>
      </c>
      <c r="M5909">
        <v>1.45</v>
      </c>
      <c r="N5909">
        <v>3.87</v>
      </c>
      <c r="O5909">
        <v>23.01</v>
      </c>
      <c r="P5909">
        <v>28.4</v>
      </c>
      <c r="Q5909">
        <v>18.36</v>
      </c>
      <c r="R5909">
        <v>1.22</v>
      </c>
    </row>
    <row r="5910">
      <c r="A5910" s="9">
        <v>44441</v>
      </c>
      <c r="B5910" s="2" t="inlineStr">
        <is>
          <t xml:space="preserve">2021-09</t>
        </is>
      </c>
      <c r="C5910" s="2" t="inlineStr">
        <is>
          <t xml:space="preserve">2021/22</t>
        </is>
      </c>
      <c r="D5910">
        <v>10.121</v>
      </c>
      <c r="E5910">
        <v>21.04</v>
      </c>
      <c r="F5910">
        <v>25.18</v>
      </c>
      <c r="G5910">
        <v>17.52</v>
      </c>
      <c r="H5910">
        <v>9.0</v>
      </c>
      <c r="I5910">
        <v>2.746</v>
      </c>
      <c r="J5910">
        <v>22.43</v>
      </c>
      <c r="K5910">
        <v>26.27</v>
      </c>
      <c r="L5910">
        <v>19.27</v>
      </c>
      <c r="M5910">
        <v>5.37</v>
      </c>
      <c r="N5910">
        <v>7.753</v>
      </c>
      <c r="O5910">
        <v>23.17</v>
      </c>
      <c r="P5910">
        <v>27.71</v>
      </c>
      <c r="Q5910">
        <v>19.0</v>
      </c>
      <c r="R5910">
        <v>5.86</v>
      </c>
    </row>
    <row r="5911">
      <c r="A5911" s="9">
        <v>44442</v>
      </c>
      <c r="B5911" s="2" t="inlineStr">
        <is>
          <t xml:space="preserve">2021-09</t>
        </is>
      </c>
      <c r="C5911" s="2" t="inlineStr">
        <is>
          <t xml:space="preserve">2021/22</t>
        </is>
      </c>
      <c r="D5911">
        <v>3.658</v>
      </c>
      <c r="E5911">
        <v>22.03</v>
      </c>
      <c r="F5911">
        <v>26.24</v>
      </c>
      <c r="G5911">
        <v>17.92</v>
      </c>
      <c r="H5911">
        <v>8.49</v>
      </c>
      <c r="I5911">
        <v>0.562</v>
      </c>
      <c r="J5911">
        <v>22.71</v>
      </c>
      <c r="K5911">
        <v>26.74</v>
      </c>
      <c r="L5911">
        <v>20.34</v>
      </c>
      <c r="M5911">
        <v>4.84</v>
      </c>
      <c r="N5911">
        <v>2.325</v>
      </c>
      <c r="O5911">
        <v>23.16</v>
      </c>
      <c r="P5911">
        <v>26.89</v>
      </c>
      <c r="Q5911">
        <v>20.52</v>
      </c>
      <c r="R5911">
        <v>4.44</v>
      </c>
    </row>
    <row r="5912">
      <c r="A5912" s="9">
        <v>44443</v>
      </c>
      <c r="B5912" s="2" t="inlineStr">
        <is>
          <t xml:space="preserve">2021-09</t>
        </is>
      </c>
      <c r="C5912" s="2" t="inlineStr">
        <is>
          <t xml:space="preserve">2021/22</t>
        </is>
      </c>
      <c r="D5912">
        <v>11.419</v>
      </c>
      <c r="E5912">
        <v>22.53</v>
      </c>
      <c r="F5912">
        <v>26.67</v>
      </c>
      <c r="G5912">
        <v>19.65</v>
      </c>
      <c r="H5912">
        <v>8.26</v>
      </c>
      <c r="I5912">
        <v>1.903</v>
      </c>
      <c r="J5912">
        <v>22.7</v>
      </c>
      <c r="K5912">
        <v>26.42</v>
      </c>
      <c r="L5912">
        <v>19.56</v>
      </c>
      <c r="M5912">
        <v>4.57</v>
      </c>
      <c r="N5912">
        <v>4.026</v>
      </c>
      <c r="O5912">
        <v>23.21</v>
      </c>
      <c r="P5912">
        <v>27.11</v>
      </c>
      <c r="Q5912">
        <v>20.42</v>
      </c>
      <c r="R5912">
        <v>7.99</v>
      </c>
    </row>
    <row r="5913">
      <c r="A5913" s="9">
        <v>44444</v>
      </c>
      <c r="B5913" s="2" t="inlineStr">
        <is>
          <t xml:space="preserve">2021-09</t>
        </is>
      </c>
      <c r="C5913" s="2" t="inlineStr">
        <is>
          <t xml:space="preserve">2021/22</t>
        </is>
      </c>
      <c r="D5913">
        <v>13.039</v>
      </c>
      <c r="E5913">
        <v>22.39</v>
      </c>
      <c r="F5913">
        <v>26.84</v>
      </c>
      <c r="G5913">
        <v>18.74</v>
      </c>
      <c r="H5913">
        <v>5.34</v>
      </c>
      <c r="I5913">
        <v>1.555</v>
      </c>
      <c r="J5913">
        <v>23.07</v>
      </c>
      <c r="K5913">
        <v>26.74</v>
      </c>
      <c r="L5913">
        <v>19.69</v>
      </c>
      <c r="M5913">
        <v>1.74</v>
      </c>
      <c r="N5913">
        <v>4.995</v>
      </c>
      <c r="O5913">
        <v>23.09</v>
      </c>
      <c r="P5913">
        <v>26.71</v>
      </c>
      <c r="Q5913">
        <v>20.38</v>
      </c>
      <c r="R5913">
        <v>2.11</v>
      </c>
    </row>
    <row r="5914">
      <c r="A5914" s="9">
        <v>44445</v>
      </c>
      <c r="B5914" s="2" t="inlineStr">
        <is>
          <t xml:space="preserve">2021-09</t>
        </is>
      </c>
      <c r="C5914" s="2" t="inlineStr">
        <is>
          <t xml:space="preserve">2021/22</t>
        </is>
      </c>
      <c r="D5914">
        <v>0.0</v>
      </c>
      <c r="E5914">
        <v>22.4</v>
      </c>
      <c r="F5914">
        <v>27.05</v>
      </c>
      <c r="G5914">
        <v>18.01</v>
      </c>
      <c r="H5914">
        <v>6.68</v>
      </c>
      <c r="I5914">
        <v>0.0</v>
      </c>
      <c r="J5914">
        <v>23.31</v>
      </c>
      <c r="K5914">
        <v>27.31</v>
      </c>
      <c r="L5914">
        <v>20.48</v>
      </c>
      <c r="M5914">
        <v>2.45</v>
      </c>
      <c r="N5914">
        <v>0.0</v>
      </c>
      <c r="O5914">
        <v>23.29</v>
      </c>
      <c r="P5914">
        <v>27.2</v>
      </c>
      <c r="Q5914">
        <v>20.55</v>
      </c>
      <c r="R5914">
        <v>3.15</v>
      </c>
    </row>
    <row r="5915">
      <c r="A5915" s="9">
        <v>44446</v>
      </c>
      <c r="B5915" s="2" t="inlineStr">
        <is>
          <t xml:space="preserve">2021-09</t>
        </is>
      </c>
      <c r="C5915" s="2" t="inlineStr">
        <is>
          <t xml:space="preserve">2021/22</t>
        </is>
      </c>
      <c r="D5915">
        <v>18.044</v>
      </c>
      <c r="E5915">
        <v>21.96</v>
      </c>
      <c r="F5915">
        <v>25.16</v>
      </c>
      <c r="G5915">
        <v>19.05</v>
      </c>
      <c r="H5915">
        <v>4.16</v>
      </c>
      <c r="I5915">
        <v>14.763</v>
      </c>
      <c r="J5915">
        <v>22.46</v>
      </c>
      <c r="K5915">
        <v>25.32</v>
      </c>
      <c r="L5915">
        <v>20.25</v>
      </c>
      <c r="M5915">
        <v>8.81</v>
      </c>
      <c r="N5915">
        <v>3.387</v>
      </c>
      <c r="O5915">
        <v>23.07</v>
      </c>
      <c r="P5915">
        <v>26.27</v>
      </c>
      <c r="Q5915">
        <v>20.89</v>
      </c>
      <c r="R5915">
        <v>4.69</v>
      </c>
    </row>
    <row r="5916">
      <c r="A5916" s="9">
        <v>44447</v>
      </c>
      <c r="B5916" s="2" t="inlineStr">
        <is>
          <t xml:space="preserve">2021-09</t>
        </is>
      </c>
      <c r="C5916" s="2" t="inlineStr">
        <is>
          <t xml:space="preserve">2021/22</t>
        </is>
      </c>
      <c r="D5916">
        <v>0.144</v>
      </c>
      <c r="E5916">
        <v>22.63</v>
      </c>
      <c r="F5916">
        <v>27.53</v>
      </c>
      <c r="G5916">
        <v>19.07</v>
      </c>
      <c r="H5916">
        <v>0.67</v>
      </c>
      <c r="I5916">
        <v>0.175</v>
      </c>
      <c r="J5916">
        <v>22.69</v>
      </c>
      <c r="K5916">
        <v>25.95</v>
      </c>
      <c r="L5916">
        <v>20.26</v>
      </c>
      <c r="M5916">
        <v>0.69</v>
      </c>
      <c r="N5916">
        <v>0.0</v>
      </c>
      <c r="O5916">
        <v>23.77</v>
      </c>
      <c r="P5916">
        <v>27.64</v>
      </c>
      <c r="Q5916">
        <v>20.86</v>
      </c>
      <c r="R5916">
        <v>0.83</v>
      </c>
    </row>
    <row r="5917">
      <c r="A5917" s="9">
        <v>44448</v>
      </c>
      <c r="B5917" s="2" t="inlineStr">
        <is>
          <t xml:space="preserve">2021-09</t>
        </is>
      </c>
      <c r="C5917" s="2" t="inlineStr">
        <is>
          <t xml:space="preserve">2021/22</t>
        </is>
      </c>
      <c r="D5917">
        <v>2.934</v>
      </c>
      <c r="E5917">
        <v>22.35</v>
      </c>
      <c r="F5917">
        <v>27.07</v>
      </c>
      <c r="G5917">
        <v>18.85</v>
      </c>
      <c r="H5917">
        <v>17.61</v>
      </c>
      <c r="I5917">
        <v>2.213</v>
      </c>
      <c r="J5917">
        <v>22.12</v>
      </c>
      <c r="K5917">
        <v>24.71</v>
      </c>
      <c r="L5917">
        <v>20.41</v>
      </c>
      <c r="M5917">
        <v>9.57</v>
      </c>
      <c r="N5917">
        <v>0.288</v>
      </c>
      <c r="O5917">
        <v>23.26</v>
      </c>
      <c r="P5917">
        <v>26.8</v>
      </c>
      <c r="Q5917">
        <v>21.16</v>
      </c>
      <c r="R5917">
        <v>13.97</v>
      </c>
    </row>
    <row r="5918">
      <c r="A5918" s="9">
        <v>44449</v>
      </c>
      <c r="B5918" s="2" t="inlineStr">
        <is>
          <t xml:space="preserve">2021-09</t>
        </is>
      </c>
      <c r="C5918" s="2" t="inlineStr">
        <is>
          <t xml:space="preserve">2021/22</t>
        </is>
      </c>
      <c r="D5918">
        <v>34.449</v>
      </c>
      <c r="E5918">
        <v>21.76</v>
      </c>
      <c r="F5918">
        <v>25.31</v>
      </c>
      <c r="G5918">
        <v>19.32</v>
      </c>
      <c r="H5918">
        <v>15.35</v>
      </c>
      <c r="I5918">
        <v>11.062</v>
      </c>
      <c r="J5918">
        <v>21.94</v>
      </c>
      <c r="K5918">
        <v>25.54</v>
      </c>
      <c r="L5918">
        <v>19.8</v>
      </c>
      <c r="M5918">
        <v>20.29</v>
      </c>
      <c r="N5918">
        <v>35.529</v>
      </c>
      <c r="O5918">
        <v>22.92</v>
      </c>
      <c r="P5918">
        <v>26.04</v>
      </c>
      <c r="Q5918">
        <v>21.05</v>
      </c>
      <c r="R5918">
        <v>21.57</v>
      </c>
    </row>
    <row r="5919">
      <c r="A5919" s="9">
        <v>44450</v>
      </c>
      <c r="B5919" s="2" t="inlineStr">
        <is>
          <t xml:space="preserve">2021-09</t>
        </is>
      </c>
      <c r="C5919" s="2" t="inlineStr">
        <is>
          <t xml:space="preserve">2021/22</t>
        </is>
      </c>
      <c r="D5919">
        <v>4.182</v>
      </c>
      <c r="E5919">
        <v>22.15</v>
      </c>
      <c r="F5919">
        <v>27.08</v>
      </c>
      <c r="G5919">
        <v>18.38</v>
      </c>
      <c r="H5919">
        <v>5.62</v>
      </c>
      <c r="I5919">
        <v>24.263</v>
      </c>
      <c r="J5919">
        <v>21.7</v>
      </c>
      <c r="K5919">
        <v>24.72</v>
      </c>
      <c r="L5919">
        <v>19.95</v>
      </c>
      <c r="M5919">
        <v>11.3</v>
      </c>
      <c r="N5919">
        <v>19.484</v>
      </c>
      <c r="O5919">
        <v>23.16</v>
      </c>
      <c r="P5919">
        <v>28.14</v>
      </c>
      <c r="Q5919">
        <v>19.85</v>
      </c>
      <c r="R5919">
        <v>6.57</v>
      </c>
    </row>
    <row r="5920">
      <c r="A5920" s="9">
        <v>44451</v>
      </c>
      <c r="B5920" s="2" t="inlineStr">
        <is>
          <t xml:space="preserve">2021-09</t>
        </is>
      </c>
      <c r="C5920" s="2" t="inlineStr">
        <is>
          <t xml:space="preserve">2021/22</t>
        </is>
      </c>
      <c r="D5920">
        <v>1.011</v>
      </c>
      <c r="E5920">
        <v>22.27</v>
      </c>
      <c r="F5920">
        <v>26.72</v>
      </c>
      <c r="G5920">
        <v>18.21</v>
      </c>
      <c r="H5920">
        <v>2.64</v>
      </c>
      <c r="I5920">
        <v>0.154</v>
      </c>
      <c r="J5920">
        <v>22.78</v>
      </c>
      <c r="K5920">
        <v>27.25</v>
      </c>
      <c r="L5920">
        <v>19.14</v>
      </c>
      <c r="M5920">
        <v>0.59</v>
      </c>
      <c r="N5920">
        <v>0.929</v>
      </c>
      <c r="O5920">
        <v>23.45</v>
      </c>
      <c r="P5920">
        <v>28.33</v>
      </c>
      <c r="Q5920">
        <v>19.5</v>
      </c>
      <c r="R5920">
        <v>1.03</v>
      </c>
    </row>
    <row r="5921">
      <c r="A5921" s="9">
        <v>44452</v>
      </c>
      <c r="B5921" s="2" t="inlineStr">
        <is>
          <t xml:space="preserve">2021-09</t>
        </is>
      </c>
      <c r="C5921" s="2" t="inlineStr">
        <is>
          <t xml:space="preserve">2021/22</t>
        </is>
      </c>
      <c r="D5921">
        <v>5.953</v>
      </c>
      <c r="E5921">
        <v>22.26</v>
      </c>
      <c r="F5921">
        <v>27.39</v>
      </c>
      <c r="G5921">
        <v>17.57</v>
      </c>
      <c r="H5921">
        <v>1.61</v>
      </c>
      <c r="I5921">
        <v>0.424</v>
      </c>
      <c r="J5921">
        <v>23.68</v>
      </c>
      <c r="K5921">
        <v>28.78</v>
      </c>
      <c r="L5921">
        <v>20.26</v>
      </c>
      <c r="M5921">
        <v>2.24</v>
      </c>
      <c r="N5921">
        <v>0.188</v>
      </c>
      <c r="O5921">
        <v>23.71</v>
      </c>
      <c r="P5921">
        <v>28.4</v>
      </c>
      <c r="Q5921">
        <v>20.4</v>
      </c>
      <c r="R5921">
        <v>1.24</v>
      </c>
    </row>
    <row r="5922">
      <c r="A5922" s="9">
        <v>44453</v>
      </c>
      <c r="B5922" s="2" t="inlineStr">
        <is>
          <t xml:space="preserve">2021-09</t>
        </is>
      </c>
      <c r="C5922" s="2" t="inlineStr">
        <is>
          <t xml:space="preserve">2021/22</t>
        </is>
      </c>
      <c r="D5922">
        <v>2.086</v>
      </c>
      <c r="E5922">
        <v>22.34</v>
      </c>
      <c r="F5922">
        <v>27.14</v>
      </c>
      <c r="G5922">
        <v>18.35</v>
      </c>
      <c r="H5922">
        <v>4.86</v>
      </c>
      <c r="I5922">
        <v>25.29</v>
      </c>
      <c r="J5922">
        <v>22.87</v>
      </c>
      <c r="K5922">
        <v>27.36</v>
      </c>
      <c r="L5922">
        <v>19.76</v>
      </c>
      <c r="M5922">
        <v>20.4</v>
      </c>
      <c r="N5922">
        <v>13.073</v>
      </c>
      <c r="O5922">
        <v>23.8</v>
      </c>
      <c r="P5922">
        <v>28.41</v>
      </c>
      <c r="Q5922">
        <v>20.92</v>
      </c>
      <c r="R5922">
        <v>10.65</v>
      </c>
    </row>
    <row r="5923">
      <c r="A5923" s="9">
        <v>44454</v>
      </c>
      <c r="B5923" s="2" t="inlineStr">
        <is>
          <t xml:space="preserve">2021-09</t>
        </is>
      </c>
      <c r="C5923" s="2" t="inlineStr">
        <is>
          <t xml:space="preserve">2021/22</t>
        </is>
      </c>
      <c r="D5923">
        <v>2.461</v>
      </c>
      <c r="E5923">
        <v>21.99</v>
      </c>
      <c r="F5923">
        <v>25.91</v>
      </c>
      <c r="G5923">
        <v>19.44</v>
      </c>
      <c r="H5923">
        <v>5.33</v>
      </c>
      <c r="I5923">
        <v>4.354</v>
      </c>
      <c r="J5923">
        <v>22.36</v>
      </c>
      <c r="K5923">
        <v>26.64</v>
      </c>
      <c r="L5923">
        <v>19.28</v>
      </c>
      <c r="M5923">
        <v>1.48</v>
      </c>
      <c r="N5923">
        <v>16.015</v>
      </c>
      <c r="O5923">
        <v>23.46</v>
      </c>
      <c r="P5923">
        <v>28.2</v>
      </c>
      <c r="Q5923">
        <v>19.92</v>
      </c>
      <c r="R5923">
        <v>2.79</v>
      </c>
    </row>
    <row r="5924">
      <c r="A5924" s="9">
        <v>44455</v>
      </c>
      <c r="B5924" s="2" t="inlineStr">
        <is>
          <t xml:space="preserve">2021-09</t>
        </is>
      </c>
      <c r="C5924" s="2" t="inlineStr">
        <is>
          <t xml:space="preserve">2021/22</t>
        </is>
      </c>
      <c r="D5924">
        <v>4.325</v>
      </c>
      <c r="E5924">
        <v>22.29</v>
      </c>
      <c r="F5924">
        <v>26.38</v>
      </c>
      <c r="G5924">
        <v>19.73</v>
      </c>
      <c r="H5924">
        <v>3.08</v>
      </c>
      <c r="I5924">
        <v>0.0</v>
      </c>
      <c r="J5924">
        <v>22.13</v>
      </c>
      <c r="K5924">
        <v>26.0</v>
      </c>
      <c r="L5924">
        <v>19.12</v>
      </c>
      <c r="M5924">
        <v>1.99</v>
      </c>
      <c r="N5924">
        <v>0.144</v>
      </c>
      <c r="O5924">
        <v>22.75</v>
      </c>
      <c r="P5924">
        <v>26.8</v>
      </c>
      <c r="Q5924">
        <v>19.89</v>
      </c>
      <c r="R5924">
        <v>3.28</v>
      </c>
    </row>
    <row r="5925">
      <c r="A5925" s="9">
        <v>44456</v>
      </c>
      <c r="B5925" s="2" t="inlineStr">
        <is>
          <t xml:space="preserve">2021-09</t>
        </is>
      </c>
      <c r="C5925" s="2" t="inlineStr">
        <is>
          <t xml:space="preserve">2021/22</t>
        </is>
      </c>
      <c r="D5925">
        <v>0.176</v>
      </c>
      <c r="E5925">
        <v>22.3</v>
      </c>
      <c r="F5925">
        <v>27.65</v>
      </c>
      <c r="G5925">
        <v>18.31</v>
      </c>
      <c r="H5925">
        <v>0.46</v>
      </c>
      <c r="I5925">
        <v>2.502</v>
      </c>
      <c r="J5925">
        <v>23.0</v>
      </c>
      <c r="K5925">
        <v>26.79</v>
      </c>
      <c r="L5925">
        <v>19.59</v>
      </c>
      <c r="M5925">
        <v>2.94</v>
      </c>
      <c r="N5925">
        <v>10.094</v>
      </c>
      <c r="O5925">
        <v>23.32</v>
      </c>
      <c r="P5925">
        <v>27.76</v>
      </c>
      <c r="Q5925">
        <v>20.15</v>
      </c>
      <c r="R5925">
        <v>2.81</v>
      </c>
    </row>
    <row r="5926">
      <c r="A5926" s="9">
        <v>44457</v>
      </c>
      <c r="B5926" s="2" t="inlineStr">
        <is>
          <t xml:space="preserve">2021-09</t>
        </is>
      </c>
      <c r="C5926" s="2" t="inlineStr">
        <is>
          <t xml:space="preserve">2021/22</t>
        </is>
      </c>
      <c r="D5926">
        <v>2.451</v>
      </c>
      <c r="E5926">
        <v>21.97</v>
      </c>
      <c r="F5926">
        <v>27.24</v>
      </c>
      <c r="G5926">
        <v>17.56</v>
      </c>
      <c r="H5926">
        <v>0.99</v>
      </c>
      <c r="I5926">
        <v>0.0</v>
      </c>
      <c r="J5926">
        <v>23.5</v>
      </c>
      <c r="K5926">
        <v>28.08</v>
      </c>
      <c r="L5926">
        <v>19.04</v>
      </c>
      <c r="M5926">
        <v>0.19</v>
      </c>
      <c r="N5926">
        <v>0.025</v>
      </c>
      <c r="O5926">
        <v>23.5</v>
      </c>
      <c r="P5926">
        <v>28.08</v>
      </c>
      <c r="Q5926">
        <v>20.66</v>
      </c>
      <c r="R5926">
        <v>0.2</v>
      </c>
    </row>
    <row r="5927">
      <c r="A5927" s="9">
        <v>44458</v>
      </c>
      <c r="B5927" s="2" t="inlineStr">
        <is>
          <t xml:space="preserve">2021-09</t>
        </is>
      </c>
      <c r="C5927" s="2" t="inlineStr">
        <is>
          <t xml:space="preserve">2021/22</t>
        </is>
      </c>
      <c r="D5927">
        <v>0.0</v>
      </c>
      <c r="E5927">
        <v>22.53</v>
      </c>
      <c r="F5927">
        <v>28.07</v>
      </c>
      <c r="G5927">
        <v>17.07</v>
      </c>
      <c r="H5927">
        <v>0.02</v>
      </c>
      <c r="I5927">
        <v>1.053</v>
      </c>
      <c r="J5927">
        <v>23.8</v>
      </c>
      <c r="K5927">
        <v>28.24</v>
      </c>
      <c r="L5927">
        <v>19.61</v>
      </c>
      <c r="M5927">
        <v>2.09</v>
      </c>
      <c r="N5927">
        <v>0.0</v>
      </c>
      <c r="O5927">
        <v>23.75</v>
      </c>
      <c r="P5927">
        <v>28.43</v>
      </c>
      <c r="Q5927">
        <v>20.44</v>
      </c>
      <c r="R5927">
        <v>0.19</v>
      </c>
    </row>
    <row r="5928">
      <c r="A5928" s="9">
        <v>44459</v>
      </c>
      <c r="B5928" s="2" t="inlineStr">
        <is>
          <t xml:space="preserve">2021-09</t>
        </is>
      </c>
      <c r="C5928" s="2" t="inlineStr">
        <is>
          <t xml:space="preserve">2021/22</t>
        </is>
      </c>
      <c r="D5928">
        <v>0.0</v>
      </c>
      <c r="E5928">
        <v>22.41</v>
      </c>
      <c r="F5928">
        <v>27.09</v>
      </c>
      <c r="G5928">
        <v>19.22</v>
      </c>
      <c r="H5928">
        <v>1.62</v>
      </c>
      <c r="I5928">
        <v>15.832</v>
      </c>
      <c r="J5928">
        <v>22.15</v>
      </c>
      <c r="K5928">
        <v>24.27</v>
      </c>
      <c r="L5928">
        <v>20.04</v>
      </c>
      <c r="M5928">
        <v>9.24</v>
      </c>
      <c r="N5928">
        <v>0.619</v>
      </c>
      <c r="O5928">
        <v>22.49</v>
      </c>
      <c r="P5928">
        <v>24.86</v>
      </c>
      <c r="Q5928">
        <v>21.0</v>
      </c>
      <c r="R5928">
        <v>1.92</v>
      </c>
    </row>
    <row r="5929">
      <c r="A5929" s="9">
        <v>44460</v>
      </c>
      <c r="B5929" s="2" t="inlineStr">
        <is>
          <t xml:space="preserve">2021-09</t>
        </is>
      </c>
      <c r="C5929" s="2" t="inlineStr">
        <is>
          <t xml:space="preserve">2021/22</t>
        </is>
      </c>
      <c r="D5929">
        <v>2.37</v>
      </c>
      <c r="E5929">
        <v>22.33</v>
      </c>
      <c r="F5929">
        <v>27.14</v>
      </c>
      <c r="G5929">
        <v>19.11</v>
      </c>
      <c r="H5929">
        <v>3.3</v>
      </c>
      <c r="I5929">
        <v>21.433</v>
      </c>
      <c r="J5929">
        <v>22.42</v>
      </c>
      <c r="K5929">
        <v>26.63</v>
      </c>
      <c r="L5929">
        <v>19.26</v>
      </c>
      <c r="M5929">
        <v>9.37</v>
      </c>
      <c r="N5929">
        <v>1.799</v>
      </c>
      <c r="O5929">
        <v>22.87</v>
      </c>
      <c r="P5929">
        <v>26.86</v>
      </c>
      <c r="Q5929">
        <v>20.46</v>
      </c>
      <c r="R5929">
        <v>3.69</v>
      </c>
    </row>
    <row r="5930">
      <c r="A5930" s="9">
        <v>44461</v>
      </c>
      <c r="B5930" s="2" t="inlineStr">
        <is>
          <t xml:space="preserve">2021-09</t>
        </is>
      </c>
      <c r="C5930" s="2" t="inlineStr">
        <is>
          <t xml:space="preserve">2021/22</t>
        </is>
      </c>
      <c r="D5930">
        <v>0.468</v>
      </c>
      <c r="E5930">
        <v>21.92</v>
      </c>
      <c r="F5930">
        <v>27.05</v>
      </c>
      <c r="G5930">
        <v>18.47</v>
      </c>
      <c r="H5930">
        <v>2.96</v>
      </c>
      <c r="I5930">
        <v>6.06</v>
      </c>
      <c r="J5930">
        <v>21.59</v>
      </c>
      <c r="K5930">
        <v>25.88</v>
      </c>
      <c r="L5930">
        <v>18.61</v>
      </c>
      <c r="M5930">
        <v>2.24</v>
      </c>
      <c r="N5930">
        <v>0.71</v>
      </c>
      <c r="O5930">
        <v>21.95</v>
      </c>
      <c r="P5930">
        <v>25.94</v>
      </c>
      <c r="Q5930">
        <v>19.42</v>
      </c>
      <c r="R5930">
        <v>2.59</v>
      </c>
    </row>
    <row r="5931">
      <c r="A5931" s="9">
        <v>44462</v>
      </c>
      <c r="B5931" s="2" t="inlineStr">
        <is>
          <t xml:space="preserve">2021-09</t>
        </is>
      </c>
      <c r="C5931" s="2" t="inlineStr">
        <is>
          <t xml:space="preserve">2021/22</t>
        </is>
      </c>
      <c r="D5931">
        <v>0.281</v>
      </c>
      <c r="E5931">
        <v>21.81</v>
      </c>
      <c r="F5931">
        <v>26.88</v>
      </c>
      <c r="G5931">
        <v>18.08</v>
      </c>
      <c r="H5931">
        <v>0.57</v>
      </c>
      <c r="I5931">
        <v>0.0</v>
      </c>
      <c r="J5931">
        <v>21.57</v>
      </c>
      <c r="K5931">
        <v>26.3</v>
      </c>
      <c r="L5931">
        <v>17.83</v>
      </c>
      <c r="M5931">
        <v>0.25</v>
      </c>
      <c r="N5931">
        <v>0.0</v>
      </c>
      <c r="O5931">
        <v>22.05</v>
      </c>
      <c r="P5931">
        <v>26.24</v>
      </c>
      <c r="Q5931">
        <v>19.32</v>
      </c>
      <c r="R5931">
        <v>0.65</v>
      </c>
    </row>
    <row r="5932">
      <c r="A5932" s="9">
        <v>44463</v>
      </c>
      <c r="B5932" s="2" t="inlineStr">
        <is>
          <t xml:space="preserve">2021-09</t>
        </is>
      </c>
      <c r="C5932" s="2" t="inlineStr">
        <is>
          <t xml:space="preserve">2021/22</t>
        </is>
      </c>
      <c r="D5932">
        <v>0.46</v>
      </c>
      <c r="E5932">
        <v>22.31</v>
      </c>
      <c r="F5932">
        <v>27.51</v>
      </c>
      <c r="G5932">
        <v>18.24</v>
      </c>
      <c r="H5932">
        <v>1.1</v>
      </c>
      <c r="I5932">
        <v>0.0</v>
      </c>
      <c r="J5932">
        <v>22.04</v>
      </c>
      <c r="K5932">
        <v>26.61</v>
      </c>
      <c r="L5932">
        <v>17.7</v>
      </c>
      <c r="M5932">
        <v>0.5</v>
      </c>
      <c r="N5932">
        <v>0.0</v>
      </c>
      <c r="O5932">
        <v>22.41</v>
      </c>
      <c r="P5932">
        <v>26.93</v>
      </c>
      <c r="Q5932">
        <v>19.33</v>
      </c>
      <c r="R5932">
        <v>0.37</v>
      </c>
    </row>
    <row r="5933">
      <c r="A5933" s="9">
        <v>44464</v>
      </c>
      <c r="B5933" s="2" t="inlineStr">
        <is>
          <t xml:space="preserve">2021-09</t>
        </is>
      </c>
      <c r="C5933" s="2" t="inlineStr">
        <is>
          <t xml:space="preserve">2021/22</t>
        </is>
      </c>
      <c r="D5933">
        <v>0.316</v>
      </c>
      <c r="E5933">
        <v>22.2</v>
      </c>
      <c r="F5933">
        <v>27.19</v>
      </c>
      <c r="G5933">
        <v>18.86</v>
      </c>
      <c r="H5933">
        <v>3.64</v>
      </c>
      <c r="I5933">
        <v>4.288</v>
      </c>
      <c r="J5933">
        <v>21.73</v>
      </c>
      <c r="K5933">
        <v>25.3</v>
      </c>
      <c r="L5933">
        <v>19.25</v>
      </c>
      <c r="M5933">
        <v>6.09</v>
      </c>
      <c r="N5933">
        <v>0.187</v>
      </c>
      <c r="O5933">
        <v>22.36</v>
      </c>
      <c r="P5933">
        <v>26.11</v>
      </c>
      <c r="Q5933">
        <v>19.73</v>
      </c>
      <c r="R5933">
        <v>2.31</v>
      </c>
    </row>
    <row r="5934">
      <c r="A5934" s="9">
        <v>44465</v>
      </c>
      <c r="B5934" s="2" t="inlineStr">
        <is>
          <t xml:space="preserve">2021-09</t>
        </is>
      </c>
      <c r="C5934" s="2" t="inlineStr">
        <is>
          <t xml:space="preserve">2021/22</t>
        </is>
      </c>
      <c r="D5934">
        <v>2.155</v>
      </c>
      <c r="E5934">
        <v>20.7</v>
      </c>
      <c r="F5934">
        <v>25.98</v>
      </c>
      <c r="G5934">
        <v>16.49</v>
      </c>
      <c r="H5934">
        <v>5.44</v>
      </c>
      <c r="I5934">
        <v>6.81</v>
      </c>
      <c r="J5934">
        <v>22.5</v>
      </c>
      <c r="K5934">
        <v>26.59</v>
      </c>
      <c r="L5934">
        <v>20.01</v>
      </c>
      <c r="M5934">
        <v>7.52</v>
      </c>
      <c r="N5934">
        <v>1.375</v>
      </c>
      <c r="O5934">
        <v>22.94</v>
      </c>
      <c r="P5934">
        <v>26.93</v>
      </c>
      <c r="Q5934">
        <v>20.58</v>
      </c>
      <c r="R5934">
        <v>5.26</v>
      </c>
    </row>
    <row r="5935">
      <c r="A5935" s="9">
        <v>44466</v>
      </c>
      <c r="B5935" s="2" t="inlineStr">
        <is>
          <t xml:space="preserve">2021-09</t>
        </is>
      </c>
      <c r="C5935" s="2" t="inlineStr">
        <is>
          <t xml:space="preserve">2021/22</t>
        </is>
      </c>
      <c r="D5935">
        <v>11.357</v>
      </c>
      <c r="E5935">
        <v>21.99</v>
      </c>
      <c r="F5935">
        <v>28.06</v>
      </c>
      <c r="G5935">
        <v>16.83</v>
      </c>
      <c r="H5935">
        <v>3.53</v>
      </c>
      <c r="I5935">
        <v>15.59</v>
      </c>
      <c r="J5935">
        <v>22.66</v>
      </c>
      <c r="K5935">
        <v>26.88</v>
      </c>
      <c r="L5935">
        <v>19.5</v>
      </c>
      <c r="M5935">
        <v>3.82</v>
      </c>
      <c r="N5935">
        <v>2.362</v>
      </c>
      <c r="O5935">
        <v>22.65</v>
      </c>
      <c r="P5935">
        <v>26.94</v>
      </c>
      <c r="Q5935">
        <v>20.09</v>
      </c>
      <c r="R5935">
        <v>2.45</v>
      </c>
    </row>
    <row r="5936">
      <c r="A5936" s="9">
        <v>44467</v>
      </c>
      <c r="B5936" s="2" t="inlineStr">
        <is>
          <t xml:space="preserve">2021-09</t>
        </is>
      </c>
      <c r="C5936" s="2" t="inlineStr">
        <is>
          <t xml:space="preserve">2021/22</t>
        </is>
      </c>
      <c r="D5936">
        <v>3.267</v>
      </c>
      <c r="E5936">
        <v>22.52</v>
      </c>
      <c r="F5936">
        <v>28.45</v>
      </c>
      <c r="G5936">
        <v>17.45</v>
      </c>
      <c r="H5936">
        <v>4.01</v>
      </c>
      <c r="I5936">
        <v>0.0</v>
      </c>
      <c r="J5936">
        <v>22.99</v>
      </c>
      <c r="K5936">
        <v>27.79</v>
      </c>
      <c r="L5936">
        <v>18.68</v>
      </c>
      <c r="M5936">
        <v>1.29</v>
      </c>
      <c r="N5936">
        <v>0.0</v>
      </c>
      <c r="O5936">
        <v>23.12</v>
      </c>
      <c r="P5936">
        <v>27.74</v>
      </c>
      <c r="Q5936">
        <v>20.15</v>
      </c>
      <c r="R5936">
        <v>2.44</v>
      </c>
    </row>
    <row r="5937">
      <c r="A5937" s="9">
        <v>44468</v>
      </c>
      <c r="B5937" s="2" t="inlineStr">
        <is>
          <t xml:space="preserve">2021-09</t>
        </is>
      </c>
      <c r="C5937" s="2" t="inlineStr">
        <is>
          <t xml:space="preserve">2021/22</t>
        </is>
      </c>
      <c r="D5937">
        <v>7.39</v>
      </c>
      <c r="E5937">
        <v>22.82</v>
      </c>
      <c r="F5937">
        <v>27.9</v>
      </c>
      <c r="G5937">
        <v>18.56</v>
      </c>
      <c r="H5937">
        <v>1.8</v>
      </c>
      <c r="I5937">
        <v>0.782</v>
      </c>
      <c r="J5937">
        <v>22.57</v>
      </c>
      <c r="K5937">
        <v>25.35</v>
      </c>
      <c r="L5937">
        <v>19.95</v>
      </c>
      <c r="M5937">
        <v>1.53</v>
      </c>
      <c r="N5937">
        <v>2.326</v>
      </c>
      <c r="O5937">
        <v>23.78</v>
      </c>
      <c r="P5937">
        <v>27.96</v>
      </c>
      <c r="Q5937">
        <v>20.39</v>
      </c>
      <c r="R5937">
        <v>1.92</v>
      </c>
    </row>
    <row r="5938">
      <c r="A5938" s="9">
        <v>44469</v>
      </c>
      <c r="B5938" s="2" t="inlineStr">
        <is>
          <t xml:space="preserve">2021-09</t>
        </is>
      </c>
      <c r="C5938" s="2" t="inlineStr">
        <is>
          <t xml:space="preserve">2021/22</t>
        </is>
      </c>
      <c r="D5938">
        <v>0.0</v>
      </c>
      <c r="E5938">
        <v>22.97</v>
      </c>
      <c r="F5938">
        <v>28.79</v>
      </c>
      <c r="G5938">
        <v>18.4</v>
      </c>
      <c r="H5938">
        <v>73.31</v>
      </c>
      <c r="I5938">
        <v>0.703</v>
      </c>
      <c r="J5938">
        <v>23.58</v>
      </c>
      <c r="K5938">
        <v>27.49</v>
      </c>
      <c r="L5938">
        <v>20.55</v>
      </c>
      <c r="M5938">
        <v>34.97</v>
      </c>
      <c r="N5938">
        <v>0.0</v>
      </c>
      <c r="O5938">
        <v>23.59</v>
      </c>
      <c r="P5938">
        <v>27.88</v>
      </c>
      <c r="Q5938">
        <v>20.8</v>
      </c>
      <c r="R5938">
        <v>51.07</v>
      </c>
    </row>
    <row r="5939">
      <c r="A5939" s="9">
        <v>44470</v>
      </c>
      <c r="B5939" s="2" t="inlineStr">
        <is>
          <t xml:space="preserve">2021-10</t>
        </is>
      </c>
      <c r="C5939" s="2" t="inlineStr">
        <is>
          <t xml:space="preserve">2021/22</t>
        </is>
      </c>
      <c r="D5939">
        <v>7.74</v>
      </c>
      <c r="E5939">
        <v>21.99</v>
      </c>
      <c r="F5939">
        <v>27.16</v>
      </c>
      <c r="G5939">
        <v>17.38</v>
      </c>
      <c r="H5939">
        <v>70.43</v>
      </c>
      <c r="I5939">
        <v>5.249</v>
      </c>
      <c r="J5939">
        <v>23.31</v>
      </c>
      <c r="K5939">
        <v>27.25</v>
      </c>
      <c r="L5939">
        <v>19.86</v>
      </c>
      <c r="M5939">
        <v>64.15</v>
      </c>
      <c r="N5939">
        <v>0.623</v>
      </c>
      <c r="O5939">
        <v>23.24</v>
      </c>
      <c r="P5939">
        <v>27.19</v>
      </c>
      <c r="Q5939">
        <v>20.77</v>
      </c>
      <c r="R5939">
        <v>84.78</v>
      </c>
    </row>
    <row r="5940">
      <c r="A5940" s="9">
        <v>44471</v>
      </c>
      <c r="B5940" s="2" t="inlineStr">
        <is>
          <t xml:space="preserve">2021-10</t>
        </is>
      </c>
      <c r="C5940" s="2" t="inlineStr">
        <is>
          <t xml:space="preserve">2021/22</t>
        </is>
      </c>
      <c r="D5940">
        <v>2.195</v>
      </c>
      <c r="E5940">
        <v>21.93</v>
      </c>
      <c r="F5940">
        <v>27.42</v>
      </c>
      <c r="G5940">
        <v>17.43</v>
      </c>
      <c r="H5940">
        <v>1.4</v>
      </c>
      <c r="I5940">
        <v>0.0</v>
      </c>
      <c r="J5940">
        <v>22.69</v>
      </c>
      <c r="K5940">
        <v>27.08</v>
      </c>
      <c r="L5940">
        <v>18.83</v>
      </c>
      <c r="M5940">
        <v>1.08</v>
      </c>
      <c r="N5940">
        <v>0.023</v>
      </c>
      <c r="O5940">
        <v>22.91</v>
      </c>
      <c r="P5940">
        <v>27.39</v>
      </c>
      <c r="Q5940">
        <v>19.94</v>
      </c>
      <c r="R5940">
        <v>0.69</v>
      </c>
    </row>
    <row r="5941">
      <c r="A5941" s="9">
        <v>44472</v>
      </c>
      <c r="B5941" s="2" t="inlineStr">
        <is>
          <t xml:space="preserve">2021-10</t>
        </is>
      </c>
      <c r="C5941" s="2" t="inlineStr">
        <is>
          <t xml:space="preserve">2021/22</t>
        </is>
      </c>
      <c r="D5941">
        <v>2.042</v>
      </c>
      <c r="E5941">
        <v>21.76</v>
      </c>
      <c r="F5941">
        <v>27.0</v>
      </c>
      <c r="G5941">
        <v>17.73</v>
      </c>
      <c r="H5941">
        <v>1.05</v>
      </c>
      <c r="I5941">
        <v>3.224</v>
      </c>
      <c r="J5941">
        <v>22.19</v>
      </c>
      <c r="K5941">
        <v>26.56</v>
      </c>
      <c r="L5941">
        <v>18.69</v>
      </c>
      <c r="M5941">
        <v>1.67</v>
      </c>
      <c r="N5941">
        <v>1.511</v>
      </c>
      <c r="O5941">
        <v>22.52</v>
      </c>
      <c r="P5941">
        <v>26.73</v>
      </c>
      <c r="Q5941">
        <v>19.68</v>
      </c>
      <c r="R5941">
        <v>1.29</v>
      </c>
    </row>
    <row r="5942">
      <c r="A5942" s="9">
        <v>44473</v>
      </c>
      <c r="B5942" s="2" t="inlineStr">
        <is>
          <t xml:space="preserve">2021-10</t>
        </is>
      </c>
      <c r="C5942" s="2" t="inlineStr">
        <is>
          <t xml:space="preserve">2021/22</t>
        </is>
      </c>
      <c r="D5942">
        <v>0.0</v>
      </c>
      <c r="E5942">
        <v>22.12</v>
      </c>
      <c r="F5942">
        <v>27.11</v>
      </c>
      <c r="G5942">
        <v>18.28</v>
      </c>
      <c r="H5942">
        <v>0.12</v>
      </c>
      <c r="I5942">
        <v>0.921</v>
      </c>
      <c r="J5942">
        <v>22.03</v>
      </c>
      <c r="K5942">
        <v>26.64</v>
      </c>
      <c r="L5942">
        <v>18.41</v>
      </c>
      <c r="M5942">
        <v>0.37</v>
      </c>
      <c r="N5942">
        <v>0.044</v>
      </c>
      <c r="O5942">
        <v>22.48</v>
      </c>
      <c r="P5942">
        <v>26.66</v>
      </c>
      <c r="Q5942">
        <v>19.36</v>
      </c>
      <c r="R5942">
        <v>0.1</v>
      </c>
    </row>
    <row r="5943">
      <c r="A5943" s="9">
        <v>44474</v>
      </c>
      <c r="B5943" s="2" t="inlineStr">
        <is>
          <t xml:space="preserve">2021-10</t>
        </is>
      </c>
      <c r="C5943" s="2" t="inlineStr">
        <is>
          <t xml:space="preserve">2021/22</t>
        </is>
      </c>
      <c r="D5943">
        <v>0.305</v>
      </c>
      <c r="E5943">
        <v>22.46</v>
      </c>
      <c r="F5943">
        <v>27.61</v>
      </c>
      <c r="G5943">
        <v>18.78</v>
      </c>
      <c r="H5943">
        <v>1.3</v>
      </c>
      <c r="I5943">
        <v>0.0</v>
      </c>
      <c r="J5943">
        <v>22.32</v>
      </c>
      <c r="K5943">
        <v>26.94</v>
      </c>
      <c r="L5943">
        <v>18.64</v>
      </c>
      <c r="M5943">
        <v>0.2</v>
      </c>
      <c r="N5943">
        <v>0.0</v>
      </c>
      <c r="O5943">
        <v>22.77</v>
      </c>
      <c r="P5943">
        <v>27.17</v>
      </c>
      <c r="Q5943">
        <v>19.46</v>
      </c>
      <c r="R5943">
        <v>0.61</v>
      </c>
    </row>
    <row r="5944">
      <c r="A5944" s="9">
        <v>44475</v>
      </c>
      <c r="B5944" s="2" t="inlineStr">
        <is>
          <t xml:space="preserve">2021-10</t>
        </is>
      </c>
      <c r="C5944" s="2" t="inlineStr">
        <is>
          <t xml:space="preserve">2021/22</t>
        </is>
      </c>
      <c r="D5944">
        <v>0.611</v>
      </c>
      <c r="E5944">
        <v>22.14</v>
      </c>
      <c r="F5944">
        <v>26.64</v>
      </c>
      <c r="G5944">
        <v>18.9</v>
      </c>
      <c r="H5944">
        <v>3.21</v>
      </c>
      <c r="I5944">
        <v>0.045</v>
      </c>
      <c r="J5944">
        <v>21.95</v>
      </c>
      <c r="K5944">
        <v>25.6</v>
      </c>
      <c r="L5944">
        <v>19.61</v>
      </c>
      <c r="M5944">
        <v>1.48</v>
      </c>
      <c r="N5944">
        <v>0.671</v>
      </c>
      <c r="O5944">
        <v>22.42</v>
      </c>
      <c r="P5944">
        <v>26.16</v>
      </c>
      <c r="Q5944">
        <v>20.56</v>
      </c>
      <c r="R5944">
        <v>4.33</v>
      </c>
    </row>
    <row r="5945">
      <c r="A5945" s="9">
        <v>44476</v>
      </c>
      <c r="B5945" s="2" t="inlineStr">
        <is>
          <t xml:space="preserve">2021-10</t>
        </is>
      </c>
      <c r="C5945" s="2" t="inlineStr">
        <is>
          <t xml:space="preserve">2021/22</t>
        </is>
      </c>
      <c r="D5945">
        <v>4.008</v>
      </c>
      <c r="E5945">
        <v>21.4</v>
      </c>
      <c r="F5945">
        <v>25.92</v>
      </c>
      <c r="G5945">
        <v>18.33</v>
      </c>
      <c r="H5945">
        <v>8.22</v>
      </c>
      <c r="I5945">
        <v>3.022</v>
      </c>
      <c r="J5945">
        <v>21.71</v>
      </c>
      <c r="K5945">
        <v>25.24</v>
      </c>
      <c r="L5945">
        <v>19.29</v>
      </c>
      <c r="M5945">
        <v>8.26</v>
      </c>
      <c r="N5945">
        <v>1.927</v>
      </c>
      <c r="O5945">
        <v>22.29</v>
      </c>
      <c r="P5945">
        <v>26.51</v>
      </c>
      <c r="Q5945">
        <v>20.01</v>
      </c>
      <c r="R5945">
        <v>6.39</v>
      </c>
    </row>
    <row r="5946">
      <c r="A5946" s="9">
        <v>44477</v>
      </c>
      <c r="B5946" s="2" t="inlineStr">
        <is>
          <t xml:space="preserve">2021-10</t>
        </is>
      </c>
      <c r="C5946" s="2" t="inlineStr">
        <is>
          <t xml:space="preserve">2021/22</t>
        </is>
      </c>
      <c r="D5946">
        <v>9.912</v>
      </c>
      <c r="E5946">
        <v>21.63</v>
      </c>
      <c r="F5946">
        <v>26.32</v>
      </c>
      <c r="G5946">
        <v>17.95</v>
      </c>
      <c r="H5946">
        <v>7.15</v>
      </c>
      <c r="I5946">
        <v>11.342</v>
      </c>
      <c r="J5946">
        <v>22.38</v>
      </c>
      <c r="K5946">
        <v>26.39</v>
      </c>
      <c r="L5946">
        <v>19.04</v>
      </c>
      <c r="M5946">
        <v>9.96</v>
      </c>
      <c r="N5946">
        <v>19.813</v>
      </c>
      <c r="O5946">
        <v>22.76</v>
      </c>
      <c r="P5946">
        <v>26.52</v>
      </c>
      <c r="Q5946">
        <v>20.16</v>
      </c>
      <c r="R5946">
        <v>8.66</v>
      </c>
    </row>
    <row r="5947">
      <c r="A5947" s="9">
        <v>44478</v>
      </c>
      <c r="B5947" s="2" t="inlineStr">
        <is>
          <t xml:space="preserve">2021-10</t>
        </is>
      </c>
      <c r="C5947" s="2" t="inlineStr">
        <is>
          <t xml:space="preserve">2021/22</t>
        </is>
      </c>
      <c r="D5947">
        <v>4.21</v>
      </c>
      <c r="E5947">
        <v>22.31</v>
      </c>
      <c r="F5947">
        <v>27.31</v>
      </c>
      <c r="G5947">
        <v>19.14</v>
      </c>
      <c r="H5947">
        <v>2.59</v>
      </c>
      <c r="I5947">
        <v>7.807</v>
      </c>
      <c r="J5947">
        <v>22.74</v>
      </c>
      <c r="K5947">
        <v>27.23</v>
      </c>
      <c r="L5947">
        <v>19.31</v>
      </c>
      <c r="M5947">
        <v>4.36</v>
      </c>
      <c r="N5947">
        <v>1.397</v>
      </c>
      <c r="O5947">
        <v>23.07</v>
      </c>
      <c r="P5947">
        <v>27.26</v>
      </c>
      <c r="Q5947">
        <v>20.65</v>
      </c>
      <c r="R5947">
        <v>2.29</v>
      </c>
    </row>
    <row r="5948">
      <c r="A5948" s="9">
        <v>44479</v>
      </c>
      <c r="B5948" s="2" t="inlineStr">
        <is>
          <t xml:space="preserve">2021-10</t>
        </is>
      </c>
      <c r="C5948" s="2" t="inlineStr">
        <is>
          <t xml:space="preserve">2021/22</t>
        </is>
      </c>
      <c r="D5948">
        <v>0.022</v>
      </c>
      <c r="E5948">
        <v>22.41</v>
      </c>
      <c r="F5948">
        <v>26.97</v>
      </c>
      <c r="G5948">
        <v>18.85</v>
      </c>
      <c r="H5948">
        <v>0.07</v>
      </c>
      <c r="I5948">
        <v>13.322</v>
      </c>
      <c r="J5948">
        <v>23.07</v>
      </c>
      <c r="K5948">
        <v>27.19</v>
      </c>
      <c r="L5948">
        <v>19.6</v>
      </c>
      <c r="M5948">
        <v>3.48</v>
      </c>
      <c r="N5948">
        <v>0.36</v>
      </c>
      <c r="O5948">
        <v>23.14</v>
      </c>
      <c r="P5948">
        <v>27.19</v>
      </c>
      <c r="Q5948">
        <v>20.31</v>
      </c>
      <c r="R5948">
        <v>0.3</v>
      </c>
    </row>
    <row r="5949">
      <c r="A5949" s="9">
        <v>44480</v>
      </c>
      <c r="B5949" s="2" t="inlineStr">
        <is>
          <t xml:space="preserve">2021-10</t>
        </is>
      </c>
      <c r="C5949" s="2" t="inlineStr">
        <is>
          <t xml:space="preserve">2021/22</t>
        </is>
      </c>
      <c r="D5949">
        <v>0.0</v>
      </c>
      <c r="E5949">
        <v>22.96</v>
      </c>
      <c r="F5949">
        <v>28.28</v>
      </c>
      <c r="G5949">
        <v>18.43</v>
      </c>
      <c r="H5949">
        <v>0.14</v>
      </c>
      <c r="I5949">
        <v>1.769</v>
      </c>
      <c r="J5949">
        <v>23.75</v>
      </c>
      <c r="K5949">
        <v>28.28</v>
      </c>
      <c r="L5949">
        <v>20.12</v>
      </c>
      <c r="M5949">
        <v>0.62</v>
      </c>
      <c r="N5949">
        <v>0.067</v>
      </c>
      <c r="O5949">
        <v>24.58</v>
      </c>
      <c r="P5949">
        <v>29.48</v>
      </c>
      <c r="Q5949">
        <v>20.72</v>
      </c>
      <c r="R5949">
        <v>0.05</v>
      </c>
    </row>
    <row r="5950">
      <c r="A5950" s="9">
        <v>44481</v>
      </c>
      <c r="B5950" s="2" t="inlineStr">
        <is>
          <t xml:space="preserve">2021-10</t>
        </is>
      </c>
      <c r="C5950" s="2" t="inlineStr">
        <is>
          <t xml:space="preserve">2021/22</t>
        </is>
      </c>
      <c r="D5950">
        <v>0.201</v>
      </c>
      <c r="E5950">
        <v>23.37</v>
      </c>
      <c r="F5950">
        <v>28.44</v>
      </c>
      <c r="G5950">
        <v>19.14</v>
      </c>
      <c r="H5950">
        <v>0.82</v>
      </c>
      <c r="I5950">
        <v>0.0</v>
      </c>
      <c r="J5950">
        <v>23.78</v>
      </c>
      <c r="K5950">
        <v>28.18</v>
      </c>
      <c r="L5950">
        <v>20.53</v>
      </c>
      <c r="M5950">
        <v>0.03</v>
      </c>
      <c r="N5950">
        <v>0.0</v>
      </c>
      <c r="O5950">
        <v>24.17</v>
      </c>
      <c r="P5950">
        <v>28.41</v>
      </c>
      <c r="Q5950">
        <v>21.28</v>
      </c>
      <c r="R5950">
        <v>0.07</v>
      </c>
    </row>
    <row r="5951">
      <c r="A5951" s="9">
        <v>44482</v>
      </c>
      <c r="B5951" s="2" t="inlineStr">
        <is>
          <t xml:space="preserve">2021-10</t>
        </is>
      </c>
      <c r="C5951" s="2" t="inlineStr">
        <is>
          <t xml:space="preserve">2021/22</t>
        </is>
      </c>
      <c r="D5951">
        <v>4.904</v>
      </c>
      <c r="E5951">
        <v>22.7</v>
      </c>
      <c r="F5951">
        <v>27.23</v>
      </c>
      <c r="G5951">
        <v>19.55</v>
      </c>
      <c r="H5951">
        <v>5.56</v>
      </c>
      <c r="I5951">
        <v>0.0</v>
      </c>
      <c r="J5951">
        <v>22.18</v>
      </c>
      <c r="K5951">
        <v>26.02</v>
      </c>
      <c r="L5951">
        <v>18.98</v>
      </c>
      <c r="M5951">
        <v>0.38</v>
      </c>
      <c r="N5951">
        <v>0.0</v>
      </c>
      <c r="O5951">
        <v>23.28</v>
      </c>
      <c r="P5951">
        <v>27.72</v>
      </c>
      <c r="Q5951">
        <v>20.09</v>
      </c>
      <c r="R5951">
        <v>0.19</v>
      </c>
    </row>
    <row r="5952">
      <c r="A5952" s="9">
        <v>44483</v>
      </c>
      <c r="B5952" s="2" t="inlineStr">
        <is>
          <t xml:space="preserve">2021-10</t>
        </is>
      </c>
      <c r="C5952" s="2" t="inlineStr">
        <is>
          <t xml:space="preserve">2021/22</t>
        </is>
      </c>
      <c r="D5952">
        <v>0.0</v>
      </c>
      <c r="E5952">
        <v>22.18</v>
      </c>
      <c r="F5952">
        <v>26.26</v>
      </c>
      <c r="G5952">
        <v>18.64</v>
      </c>
      <c r="H5952">
        <v>1.41</v>
      </c>
      <c r="I5952">
        <v>0.0</v>
      </c>
      <c r="J5952">
        <v>23.43</v>
      </c>
      <c r="K5952">
        <v>28.61</v>
      </c>
      <c r="L5952">
        <v>19.63</v>
      </c>
      <c r="M5952">
        <v>0.39</v>
      </c>
      <c r="N5952">
        <v>0.0</v>
      </c>
      <c r="O5952">
        <v>23.57</v>
      </c>
      <c r="P5952">
        <v>28.67</v>
      </c>
      <c r="Q5952">
        <v>20.34</v>
      </c>
      <c r="R5952">
        <v>0.05</v>
      </c>
    </row>
    <row r="5953">
      <c r="A5953" s="9">
        <v>44484</v>
      </c>
      <c r="B5953" s="2" t="inlineStr">
        <is>
          <t xml:space="preserve">2021-10</t>
        </is>
      </c>
      <c r="C5953" s="2" t="inlineStr">
        <is>
          <t xml:space="preserve">2021/22</t>
        </is>
      </c>
      <c r="D5953">
        <v>1.504</v>
      </c>
      <c r="E5953">
        <v>22.41</v>
      </c>
      <c r="F5953">
        <v>27.82</v>
      </c>
      <c r="G5953">
        <v>18.04</v>
      </c>
      <c r="H5953">
        <v>2.34</v>
      </c>
      <c r="I5953">
        <v>0.0</v>
      </c>
      <c r="J5953">
        <v>22.61</v>
      </c>
      <c r="K5953">
        <v>27.96</v>
      </c>
      <c r="L5953">
        <v>17.95</v>
      </c>
      <c r="M5953">
        <v>0.41</v>
      </c>
      <c r="N5953">
        <v>0.0</v>
      </c>
      <c r="O5953">
        <v>22.76</v>
      </c>
      <c r="P5953">
        <v>27.73</v>
      </c>
      <c r="Q5953">
        <v>19.37</v>
      </c>
      <c r="R5953">
        <v>0.1</v>
      </c>
    </row>
    <row r="5954">
      <c r="A5954" s="9">
        <v>44485</v>
      </c>
      <c r="B5954" s="2" t="inlineStr">
        <is>
          <t xml:space="preserve">2021-10</t>
        </is>
      </c>
      <c r="C5954" s="2" t="inlineStr">
        <is>
          <t xml:space="preserve">2021/22</t>
        </is>
      </c>
      <c r="D5954">
        <v>1.436</v>
      </c>
      <c r="E5954">
        <v>21.6</v>
      </c>
      <c r="F5954">
        <v>26.2</v>
      </c>
      <c r="G5954">
        <v>18.59</v>
      </c>
      <c r="H5954">
        <v>2.14</v>
      </c>
      <c r="I5954">
        <v>0.0</v>
      </c>
      <c r="J5954">
        <v>21.67</v>
      </c>
      <c r="K5954">
        <v>26.23</v>
      </c>
      <c r="L5954">
        <v>17.94</v>
      </c>
      <c r="M5954">
        <v>0.13</v>
      </c>
      <c r="N5954">
        <v>0.0</v>
      </c>
      <c r="O5954">
        <v>22.4</v>
      </c>
      <c r="P5954">
        <v>26.74</v>
      </c>
      <c r="Q5954">
        <v>19.32</v>
      </c>
      <c r="R5954">
        <v>0.19</v>
      </c>
    </row>
    <row r="5955">
      <c r="A5955" s="9">
        <v>44486</v>
      </c>
      <c r="B5955" s="2" t="inlineStr">
        <is>
          <t xml:space="preserve">2021-10</t>
        </is>
      </c>
      <c r="C5955" s="2" t="inlineStr">
        <is>
          <t xml:space="preserve">2021/22</t>
        </is>
      </c>
      <c r="D5955">
        <v>0.0</v>
      </c>
      <c r="E5955">
        <v>21.69</v>
      </c>
      <c r="F5955">
        <v>26.66</v>
      </c>
      <c r="G5955">
        <v>17.87</v>
      </c>
      <c r="H5955">
        <v>1.26</v>
      </c>
      <c r="I5955">
        <v>0.0</v>
      </c>
      <c r="J5955">
        <v>21.68</v>
      </c>
      <c r="K5955">
        <v>26.68</v>
      </c>
      <c r="L5955">
        <v>17.24</v>
      </c>
      <c r="M5955">
        <v>1.6</v>
      </c>
      <c r="N5955">
        <v>0.0</v>
      </c>
      <c r="O5955">
        <v>22.24</v>
      </c>
      <c r="P5955">
        <v>26.8</v>
      </c>
      <c r="Q5955">
        <v>19.08</v>
      </c>
      <c r="R5955">
        <v>0.72</v>
      </c>
    </row>
    <row r="5956">
      <c r="A5956" s="9">
        <v>44487</v>
      </c>
      <c r="B5956" s="2" t="inlineStr">
        <is>
          <t xml:space="preserve">2021-10</t>
        </is>
      </c>
      <c r="C5956" s="2" t="inlineStr">
        <is>
          <t xml:space="preserve">2021/22</t>
        </is>
      </c>
      <c r="D5956">
        <v>6.386</v>
      </c>
      <c r="E5956">
        <v>20.66</v>
      </c>
      <c r="F5956">
        <v>23.42</v>
      </c>
      <c r="G5956">
        <v>18.55</v>
      </c>
      <c r="H5956">
        <v>12.01</v>
      </c>
      <c r="I5956">
        <v>12.648</v>
      </c>
      <c r="J5956">
        <v>20.57</v>
      </c>
      <c r="K5956">
        <v>23.45</v>
      </c>
      <c r="L5956">
        <v>18.15</v>
      </c>
      <c r="M5956">
        <v>13.06</v>
      </c>
      <c r="N5956">
        <v>5.571</v>
      </c>
      <c r="O5956">
        <v>21.04</v>
      </c>
      <c r="P5956">
        <v>23.84</v>
      </c>
      <c r="Q5956">
        <v>18.89</v>
      </c>
      <c r="R5956">
        <v>10.94</v>
      </c>
    </row>
    <row r="5957">
      <c r="A5957" s="9">
        <v>44488</v>
      </c>
      <c r="B5957" s="2" t="inlineStr">
        <is>
          <t xml:space="preserve">2021-10</t>
        </is>
      </c>
      <c r="C5957" s="2" t="inlineStr">
        <is>
          <t xml:space="preserve">2021/22</t>
        </is>
      </c>
      <c r="D5957">
        <v>13.717</v>
      </c>
      <c r="E5957">
        <v>21.4</v>
      </c>
      <c r="F5957">
        <v>26.07</v>
      </c>
      <c r="G5957">
        <v>17.97</v>
      </c>
      <c r="H5957">
        <v>29.9</v>
      </c>
      <c r="I5957">
        <v>9.818</v>
      </c>
      <c r="J5957">
        <v>21.25</v>
      </c>
      <c r="K5957">
        <v>24.66</v>
      </c>
      <c r="L5957">
        <v>17.74</v>
      </c>
      <c r="M5957">
        <v>25.66</v>
      </c>
      <c r="N5957">
        <v>18.234</v>
      </c>
      <c r="O5957">
        <v>21.86</v>
      </c>
      <c r="P5957">
        <v>25.37</v>
      </c>
      <c r="Q5957">
        <v>19.1</v>
      </c>
      <c r="R5957">
        <v>26.22</v>
      </c>
    </row>
    <row r="5958">
      <c r="A5958" s="9">
        <v>44489</v>
      </c>
      <c r="B5958" s="2" t="inlineStr">
        <is>
          <t xml:space="preserve">2021-10</t>
        </is>
      </c>
      <c r="C5958" s="2" t="inlineStr">
        <is>
          <t xml:space="preserve">2021/22</t>
        </is>
      </c>
      <c r="D5958">
        <v>48.247</v>
      </c>
      <c r="E5958">
        <v>21.58</v>
      </c>
      <c r="F5958">
        <v>26.01</v>
      </c>
      <c r="G5958">
        <v>18.28</v>
      </c>
      <c r="H5958">
        <v>23.39</v>
      </c>
      <c r="I5958">
        <v>36.62</v>
      </c>
      <c r="J5958">
        <v>21.94</v>
      </c>
      <c r="K5958">
        <v>25.53</v>
      </c>
      <c r="L5958">
        <v>19.17</v>
      </c>
      <c r="M5958">
        <v>49.25</v>
      </c>
      <c r="N5958">
        <v>115.131</v>
      </c>
      <c r="O5958">
        <v>22.52</v>
      </c>
      <c r="P5958">
        <v>26.01</v>
      </c>
      <c r="Q5958">
        <v>20.75</v>
      </c>
      <c r="R5958">
        <v>51.99</v>
      </c>
    </row>
    <row r="5959">
      <c r="A5959" s="9">
        <v>44490</v>
      </c>
      <c r="B5959" s="2" t="inlineStr">
        <is>
          <t xml:space="preserve">2021-10</t>
        </is>
      </c>
      <c r="C5959" s="2" t="inlineStr">
        <is>
          <t xml:space="preserve">2021/22</t>
        </is>
      </c>
      <c r="D5959">
        <v>26.181</v>
      </c>
      <c r="E5959">
        <v>21.4</v>
      </c>
      <c r="F5959">
        <v>25.85</v>
      </c>
      <c r="G5959">
        <v>17.7</v>
      </c>
      <c r="H5959">
        <v>13.88</v>
      </c>
      <c r="I5959">
        <v>2.08</v>
      </c>
      <c r="J5959">
        <v>23.04</v>
      </c>
      <c r="K5959">
        <v>27.16</v>
      </c>
      <c r="L5959">
        <v>20.18</v>
      </c>
      <c r="M5959">
        <v>3.68</v>
      </c>
      <c r="N5959">
        <v>7.889</v>
      </c>
      <c r="O5959">
        <v>22.74</v>
      </c>
      <c r="P5959">
        <v>26.63</v>
      </c>
      <c r="Q5959">
        <v>20.52</v>
      </c>
      <c r="R5959">
        <v>8.17</v>
      </c>
    </row>
    <row r="5960">
      <c r="A5960" s="9">
        <v>44491</v>
      </c>
      <c r="B5960" s="2" t="inlineStr">
        <is>
          <t xml:space="preserve">2021-10</t>
        </is>
      </c>
      <c r="C5960" s="2" t="inlineStr">
        <is>
          <t xml:space="preserve">2021/22</t>
        </is>
      </c>
      <c r="D5960">
        <v>9.931</v>
      </c>
      <c r="E5960">
        <v>21.62</v>
      </c>
      <c r="F5960">
        <v>26.6</v>
      </c>
      <c r="G5960">
        <v>17.51</v>
      </c>
      <c r="H5960">
        <v>5.23</v>
      </c>
      <c r="I5960">
        <v>0.107</v>
      </c>
      <c r="J5960">
        <v>23.02</v>
      </c>
      <c r="K5960">
        <v>27.32</v>
      </c>
      <c r="L5960">
        <v>19.95</v>
      </c>
      <c r="M5960">
        <v>2.85</v>
      </c>
      <c r="N5960">
        <v>0.52</v>
      </c>
      <c r="O5960">
        <v>23.0</v>
      </c>
      <c r="P5960">
        <v>27.16</v>
      </c>
      <c r="Q5960">
        <v>20.34</v>
      </c>
      <c r="R5960">
        <v>5.1</v>
      </c>
    </row>
    <row r="5961">
      <c r="A5961" s="9">
        <v>44492</v>
      </c>
      <c r="B5961" s="2" t="inlineStr">
        <is>
          <t xml:space="preserve">2021-10</t>
        </is>
      </c>
      <c r="C5961" s="2" t="inlineStr">
        <is>
          <t xml:space="preserve">2021/22</t>
        </is>
      </c>
      <c r="D5961">
        <v>11.058</v>
      </c>
      <c r="E5961">
        <v>21.87</v>
      </c>
      <c r="F5961">
        <v>26.77</v>
      </c>
      <c r="G5961">
        <v>17.95</v>
      </c>
      <c r="H5961">
        <v>7.38</v>
      </c>
      <c r="I5961">
        <v>4.031</v>
      </c>
      <c r="J5961">
        <v>23.16</v>
      </c>
      <c r="K5961">
        <v>27.26</v>
      </c>
      <c r="L5961">
        <v>20.37</v>
      </c>
      <c r="M5961">
        <v>6.7</v>
      </c>
      <c r="N5961">
        <v>14.598</v>
      </c>
      <c r="O5961">
        <v>23.04</v>
      </c>
      <c r="P5961">
        <v>27.16</v>
      </c>
      <c r="Q5961">
        <v>20.34</v>
      </c>
      <c r="R5961">
        <v>7.92</v>
      </c>
    </row>
    <row r="5962">
      <c r="A5962" s="9">
        <v>44493</v>
      </c>
      <c r="B5962" s="2" t="inlineStr">
        <is>
          <t xml:space="preserve">2021-10</t>
        </is>
      </c>
      <c r="C5962" s="2" t="inlineStr">
        <is>
          <t xml:space="preserve">2021/22</t>
        </is>
      </c>
      <c r="D5962">
        <v>7.359</v>
      </c>
      <c r="E5962">
        <v>22.06</v>
      </c>
      <c r="F5962">
        <v>26.41</v>
      </c>
      <c r="G5962">
        <v>18.2</v>
      </c>
      <c r="H5962">
        <v>2.29</v>
      </c>
      <c r="I5962">
        <v>9.754</v>
      </c>
      <c r="J5962">
        <v>23.01</v>
      </c>
      <c r="K5962">
        <v>26.32</v>
      </c>
      <c r="L5962">
        <v>20.97</v>
      </c>
      <c r="M5962">
        <v>6.94</v>
      </c>
      <c r="N5962">
        <v>6.278</v>
      </c>
      <c r="O5962">
        <v>23.89</v>
      </c>
      <c r="P5962">
        <v>27.48</v>
      </c>
      <c r="Q5962">
        <v>21.17</v>
      </c>
      <c r="R5962">
        <v>3.3</v>
      </c>
    </row>
    <row r="5963">
      <c r="A5963" s="9">
        <v>44494</v>
      </c>
      <c r="B5963" s="2" t="inlineStr">
        <is>
          <t xml:space="preserve">2021-10</t>
        </is>
      </c>
      <c r="C5963" s="2" t="inlineStr">
        <is>
          <t xml:space="preserve">2021/22</t>
        </is>
      </c>
      <c r="D5963">
        <v>2.479</v>
      </c>
      <c r="E5963">
        <v>23.16</v>
      </c>
      <c r="F5963">
        <v>27.87</v>
      </c>
      <c r="G5963">
        <v>19.35</v>
      </c>
      <c r="H5963">
        <v>1.72</v>
      </c>
      <c r="I5963">
        <v>2.156</v>
      </c>
      <c r="J5963">
        <v>23.54</v>
      </c>
      <c r="K5963">
        <v>28.04</v>
      </c>
      <c r="L5963">
        <v>19.88</v>
      </c>
      <c r="M5963">
        <v>3.08</v>
      </c>
      <c r="N5963">
        <v>8.542</v>
      </c>
      <c r="O5963">
        <v>24.06</v>
      </c>
      <c r="P5963">
        <v>28.09</v>
      </c>
      <c r="Q5963">
        <v>21.41</v>
      </c>
      <c r="R5963">
        <v>2.93</v>
      </c>
    </row>
    <row r="5964">
      <c r="A5964" s="9">
        <v>44495</v>
      </c>
      <c r="B5964" s="2" t="inlineStr">
        <is>
          <t xml:space="preserve">2021-10</t>
        </is>
      </c>
      <c r="C5964" s="2" t="inlineStr">
        <is>
          <t xml:space="preserve">2021/22</t>
        </is>
      </c>
      <c r="D5964">
        <v>4.066</v>
      </c>
      <c r="E5964">
        <v>22.91</v>
      </c>
      <c r="F5964">
        <v>28.15</v>
      </c>
      <c r="G5964">
        <v>18.72</v>
      </c>
      <c r="H5964">
        <v>2.02</v>
      </c>
      <c r="I5964">
        <v>0.0</v>
      </c>
      <c r="J5964">
        <v>23.93</v>
      </c>
      <c r="K5964">
        <v>28.31</v>
      </c>
      <c r="L5964">
        <v>20.82</v>
      </c>
      <c r="M5964">
        <v>0.05</v>
      </c>
      <c r="N5964">
        <v>0.04</v>
      </c>
      <c r="O5964">
        <v>24.4</v>
      </c>
      <c r="P5964">
        <v>28.67</v>
      </c>
      <c r="Q5964">
        <v>21.31</v>
      </c>
      <c r="R5964">
        <v>0.28</v>
      </c>
    </row>
    <row r="5965">
      <c r="A5965" s="9">
        <v>44496</v>
      </c>
      <c r="B5965" s="2" t="inlineStr">
        <is>
          <t xml:space="preserve">2021-10</t>
        </is>
      </c>
      <c r="C5965" s="2" t="inlineStr">
        <is>
          <t xml:space="preserve">2021/22</t>
        </is>
      </c>
      <c r="D5965">
        <v>0.499</v>
      </c>
      <c r="E5965">
        <v>23.03</v>
      </c>
      <c r="F5965">
        <v>28.17</v>
      </c>
      <c r="G5965">
        <v>18.61</v>
      </c>
      <c r="H5965">
        <v>0.27</v>
      </c>
      <c r="I5965">
        <v>0.0</v>
      </c>
      <c r="J5965">
        <v>23.42</v>
      </c>
      <c r="K5965">
        <v>27.18</v>
      </c>
      <c r="L5965">
        <v>20.79</v>
      </c>
      <c r="M5965">
        <v>0.08</v>
      </c>
      <c r="N5965">
        <v>0.0</v>
      </c>
      <c r="O5965">
        <v>24.55</v>
      </c>
      <c r="P5965">
        <v>28.76</v>
      </c>
      <c r="Q5965">
        <v>21.4</v>
      </c>
      <c r="R5965">
        <v>0.06</v>
      </c>
    </row>
    <row r="5966">
      <c r="A5966" s="9">
        <v>44497</v>
      </c>
      <c r="B5966" s="2" t="inlineStr">
        <is>
          <t xml:space="preserve">2021-10</t>
        </is>
      </c>
      <c r="C5966" s="2" t="inlineStr">
        <is>
          <t xml:space="preserve">2021/22</t>
        </is>
      </c>
      <c r="D5966">
        <v>0.0</v>
      </c>
      <c r="E5966">
        <v>23.07</v>
      </c>
      <c r="F5966">
        <v>27.66</v>
      </c>
      <c r="G5966">
        <v>18.98</v>
      </c>
      <c r="H5966">
        <v>2.43</v>
      </c>
      <c r="I5966">
        <v>0.0</v>
      </c>
      <c r="J5966">
        <v>23.14</v>
      </c>
      <c r="K5966">
        <v>27.5</v>
      </c>
      <c r="L5966">
        <v>19.67</v>
      </c>
      <c r="M5966">
        <v>2.88</v>
      </c>
      <c r="N5966">
        <v>0.0</v>
      </c>
      <c r="O5966">
        <v>24.14</v>
      </c>
      <c r="P5966">
        <v>28.45</v>
      </c>
      <c r="Q5966">
        <v>21.03</v>
      </c>
      <c r="R5966">
        <v>3.24</v>
      </c>
    </row>
    <row r="5967">
      <c r="A5967" s="9">
        <v>44498</v>
      </c>
      <c r="B5967" s="2" t="inlineStr">
        <is>
          <t xml:space="preserve">2021-10</t>
        </is>
      </c>
      <c r="C5967" s="2" t="inlineStr">
        <is>
          <t xml:space="preserve">2021/22</t>
        </is>
      </c>
      <c r="D5967">
        <v>2.988</v>
      </c>
      <c r="E5967">
        <v>21.69</v>
      </c>
      <c r="F5967">
        <v>24.94</v>
      </c>
      <c r="G5967">
        <v>19.23</v>
      </c>
      <c r="H5967">
        <v>10.23</v>
      </c>
      <c r="I5967">
        <v>7.839</v>
      </c>
      <c r="J5967">
        <v>21.46</v>
      </c>
      <c r="K5967">
        <v>24.3</v>
      </c>
      <c r="L5967">
        <v>17.78</v>
      </c>
      <c r="M5967">
        <v>14.35</v>
      </c>
      <c r="N5967">
        <v>31.361</v>
      </c>
      <c r="O5967">
        <v>21.89</v>
      </c>
      <c r="P5967">
        <v>24.3</v>
      </c>
      <c r="Q5967">
        <v>19.45</v>
      </c>
      <c r="R5967">
        <v>20.82</v>
      </c>
    </row>
    <row r="5968">
      <c r="A5968" s="9">
        <v>44499</v>
      </c>
      <c r="B5968" s="2" t="inlineStr">
        <is>
          <t xml:space="preserve">2021-10</t>
        </is>
      </c>
      <c r="C5968" s="2" t="inlineStr">
        <is>
          <t xml:space="preserve">2021/22</t>
        </is>
      </c>
      <c r="D5968">
        <v>3.26</v>
      </c>
      <c r="E5968">
        <v>19.49</v>
      </c>
      <c r="F5968">
        <v>23.46</v>
      </c>
      <c r="G5968">
        <v>16.55</v>
      </c>
      <c r="H5968">
        <v>2.2</v>
      </c>
      <c r="I5968">
        <v>1.826</v>
      </c>
      <c r="J5968">
        <v>18.64</v>
      </c>
      <c r="K5968">
        <v>22.8</v>
      </c>
      <c r="L5968">
        <v>15.66</v>
      </c>
      <c r="M5968">
        <v>0.8</v>
      </c>
      <c r="N5968">
        <v>5.176</v>
      </c>
      <c r="O5968">
        <v>19.72</v>
      </c>
      <c r="P5968">
        <v>23.51</v>
      </c>
      <c r="Q5968">
        <v>17.41</v>
      </c>
      <c r="R5968">
        <v>0.92</v>
      </c>
    </row>
    <row r="5969">
      <c r="A5969" s="9">
        <v>44500</v>
      </c>
      <c r="B5969" s="2" t="inlineStr">
        <is>
          <t xml:space="preserve">2021-10</t>
        </is>
      </c>
      <c r="C5969" s="2" t="inlineStr">
        <is>
          <t xml:space="preserve">2021/22</t>
        </is>
      </c>
      <c r="D5969">
        <v>0.0</v>
      </c>
      <c r="E5969">
        <v>19.6</v>
      </c>
      <c r="F5969">
        <v>25.06</v>
      </c>
      <c r="G5969">
        <v>15.04</v>
      </c>
      <c r="H5969">
        <v>0.0</v>
      </c>
      <c r="I5969">
        <v>0.0</v>
      </c>
      <c r="J5969">
        <v>19.55</v>
      </c>
      <c r="K5969">
        <v>25.17</v>
      </c>
      <c r="L5969">
        <v>14.51</v>
      </c>
      <c r="M5969">
        <v>0.0</v>
      </c>
      <c r="N5969">
        <v>0.0</v>
      </c>
      <c r="O5969">
        <v>20.01</v>
      </c>
      <c r="P5969">
        <v>25.02</v>
      </c>
      <c r="Q5969">
        <v>15.82</v>
      </c>
      <c r="R5969">
        <v>0.0</v>
      </c>
    </row>
    <row r="5970">
      <c r="A5970" s="9">
        <v>44501</v>
      </c>
      <c r="B5970" s="2" t="inlineStr">
        <is>
          <t xml:space="preserve">2021-11</t>
        </is>
      </c>
      <c r="C5970" s="2" t="inlineStr">
        <is>
          <t xml:space="preserve">2021/22</t>
        </is>
      </c>
      <c r="D5970">
        <v>0.0</v>
      </c>
      <c r="E5970">
        <v>20.89</v>
      </c>
      <c r="F5970">
        <v>25.88</v>
      </c>
      <c r="G5970">
        <v>17.07</v>
      </c>
      <c r="H5970">
        <v>0.43</v>
      </c>
      <c r="I5970">
        <v>0.0</v>
      </c>
      <c r="J5970">
        <v>20.79</v>
      </c>
      <c r="K5970">
        <v>25.7</v>
      </c>
      <c r="L5970">
        <v>17.21</v>
      </c>
      <c r="M5970">
        <v>2.3</v>
      </c>
      <c r="N5970">
        <v>0.0</v>
      </c>
      <c r="O5970">
        <v>20.59</v>
      </c>
      <c r="P5970">
        <v>24.44</v>
      </c>
      <c r="Q5970">
        <v>18.14</v>
      </c>
      <c r="R5970">
        <v>2.14</v>
      </c>
    </row>
    <row r="5971">
      <c r="A5971" s="9">
        <v>44502</v>
      </c>
      <c r="B5971" s="2" t="inlineStr">
        <is>
          <t xml:space="preserve">2021-11</t>
        </is>
      </c>
      <c r="C5971" s="2" t="inlineStr">
        <is>
          <t xml:space="preserve">2021/22</t>
        </is>
      </c>
      <c r="D5971">
        <v>0.028</v>
      </c>
      <c r="E5971">
        <v>20.37</v>
      </c>
      <c r="F5971">
        <v>24.75</v>
      </c>
      <c r="G5971">
        <v>17.69</v>
      </c>
      <c r="H5971">
        <v>4.66</v>
      </c>
      <c r="I5971">
        <v>2.983</v>
      </c>
      <c r="J5971">
        <v>20.0</v>
      </c>
      <c r="K5971">
        <v>23.83</v>
      </c>
      <c r="L5971">
        <v>17.16</v>
      </c>
      <c r="M5971">
        <v>5.7</v>
      </c>
      <c r="N5971">
        <v>12.261</v>
      </c>
      <c r="O5971">
        <v>20.42</v>
      </c>
      <c r="P5971">
        <v>23.98</v>
      </c>
      <c r="Q5971">
        <v>18.15</v>
      </c>
      <c r="R5971">
        <v>16.51</v>
      </c>
    </row>
    <row r="5972">
      <c r="A5972" s="9">
        <v>44503</v>
      </c>
      <c r="B5972" s="2" t="inlineStr">
        <is>
          <t xml:space="preserve">2021-11</t>
        </is>
      </c>
      <c r="C5972" s="2" t="inlineStr">
        <is>
          <t xml:space="preserve">2021/22</t>
        </is>
      </c>
      <c r="D5972">
        <v>0.022</v>
      </c>
      <c r="E5972">
        <v>19.71</v>
      </c>
      <c r="F5972">
        <v>22.49</v>
      </c>
      <c r="G5972">
        <v>17.67</v>
      </c>
      <c r="H5972">
        <v>3.3</v>
      </c>
      <c r="I5972">
        <v>0.434</v>
      </c>
      <c r="J5972">
        <v>20.32</v>
      </c>
      <c r="K5972">
        <v>23.98</v>
      </c>
      <c r="L5972">
        <v>18.06</v>
      </c>
      <c r="M5972">
        <v>0.92</v>
      </c>
      <c r="N5972">
        <v>2.083</v>
      </c>
      <c r="O5972">
        <v>20.54</v>
      </c>
      <c r="P5972">
        <v>23.16</v>
      </c>
      <c r="Q5972">
        <v>18.86</v>
      </c>
      <c r="R5972">
        <v>8.14</v>
      </c>
    </row>
    <row r="5973">
      <c r="A5973" s="9">
        <v>44504</v>
      </c>
      <c r="B5973" s="2" t="inlineStr">
        <is>
          <t xml:space="preserve">2021-11</t>
        </is>
      </c>
      <c r="C5973" s="2" t="inlineStr">
        <is>
          <t xml:space="preserve">2021/22</t>
        </is>
      </c>
      <c r="D5973">
        <v>0.912</v>
      </c>
      <c r="E5973">
        <v>20.53</v>
      </c>
      <c r="F5973">
        <v>25.97</v>
      </c>
      <c r="G5973">
        <v>16.16</v>
      </c>
      <c r="H5973">
        <v>0.85</v>
      </c>
      <c r="I5973">
        <v>0.0</v>
      </c>
      <c r="J5973">
        <v>21.01</v>
      </c>
      <c r="K5973">
        <v>25.94</v>
      </c>
      <c r="L5973">
        <v>17.02</v>
      </c>
      <c r="M5973">
        <v>0.23</v>
      </c>
      <c r="N5973">
        <v>0.0</v>
      </c>
      <c r="O5973">
        <v>21.14</v>
      </c>
      <c r="P5973">
        <v>25.9</v>
      </c>
      <c r="Q5973">
        <v>17.65</v>
      </c>
      <c r="R5973">
        <v>0.51</v>
      </c>
    </row>
    <row r="5974">
      <c r="A5974" s="9">
        <v>44505</v>
      </c>
      <c r="B5974" s="2" t="inlineStr">
        <is>
          <t xml:space="preserve">2021-11</t>
        </is>
      </c>
      <c r="C5974" s="2" t="inlineStr">
        <is>
          <t xml:space="preserve">2021/22</t>
        </is>
      </c>
      <c r="D5974">
        <v>0.147</v>
      </c>
      <c r="E5974">
        <v>20.43</v>
      </c>
      <c r="F5974">
        <v>24.99</v>
      </c>
      <c r="G5974">
        <v>17.15</v>
      </c>
      <c r="H5974">
        <v>1.86</v>
      </c>
      <c r="I5974">
        <v>0.0</v>
      </c>
      <c r="J5974">
        <v>20.16</v>
      </c>
      <c r="K5974">
        <v>24.05</v>
      </c>
      <c r="L5974">
        <v>17.77</v>
      </c>
      <c r="M5974">
        <v>0.24</v>
      </c>
      <c r="N5974">
        <v>0.0</v>
      </c>
      <c r="O5974">
        <v>20.44</v>
      </c>
      <c r="P5974">
        <v>24.24</v>
      </c>
      <c r="Q5974">
        <v>18.3</v>
      </c>
      <c r="R5974">
        <v>1.33</v>
      </c>
    </row>
    <row r="5975">
      <c r="A5975" s="9">
        <v>44506</v>
      </c>
      <c r="B5975" s="2" t="inlineStr">
        <is>
          <t xml:space="preserve">2021-11</t>
        </is>
      </c>
      <c r="C5975" s="2" t="inlineStr">
        <is>
          <t xml:space="preserve">2021/22</t>
        </is>
      </c>
      <c r="D5975">
        <v>0.071</v>
      </c>
      <c r="E5975">
        <v>19.07</v>
      </c>
      <c r="F5975">
        <v>24.08</v>
      </c>
      <c r="G5975">
        <v>16.15</v>
      </c>
      <c r="H5975">
        <v>13.63</v>
      </c>
      <c r="I5975">
        <v>0.086</v>
      </c>
      <c r="J5975">
        <v>19.57</v>
      </c>
      <c r="K5975">
        <v>23.64</v>
      </c>
      <c r="L5975">
        <v>16.9</v>
      </c>
      <c r="M5975">
        <v>18.21</v>
      </c>
      <c r="N5975">
        <v>1.08</v>
      </c>
      <c r="O5975">
        <v>19.57</v>
      </c>
      <c r="P5975">
        <v>22.72</v>
      </c>
      <c r="Q5975">
        <v>17.29</v>
      </c>
      <c r="R5975">
        <v>28.31</v>
      </c>
    </row>
    <row r="5976">
      <c r="A5976" s="9">
        <v>44507</v>
      </c>
      <c r="B5976" s="2" t="inlineStr">
        <is>
          <t xml:space="preserve">2021-11</t>
        </is>
      </c>
      <c r="C5976" s="2" t="inlineStr">
        <is>
          <t xml:space="preserve">2021/22</t>
        </is>
      </c>
      <c r="D5976">
        <v>0.0</v>
      </c>
      <c r="E5976">
        <v>18.5</v>
      </c>
      <c r="F5976">
        <v>22.49</v>
      </c>
      <c r="G5976">
        <v>15.86</v>
      </c>
      <c r="H5976">
        <v>126.18</v>
      </c>
      <c r="I5976">
        <v>0.0</v>
      </c>
      <c r="J5976">
        <v>18.28</v>
      </c>
      <c r="K5976">
        <v>21.63</v>
      </c>
      <c r="L5976">
        <v>15.95</v>
      </c>
      <c r="M5976">
        <v>71.54</v>
      </c>
      <c r="N5976">
        <v>0.0</v>
      </c>
      <c r="O5976">
        <v>18.49</v>
      </c>
      <c r="P5976">
        <v>21.52</v>
      </c>
      <c r="Q5976">
        <v>16.42</v>
      </c>
      <c r="R5976">
        <v>113.09</v>
      </c>
    </row>
    <row r="5977">
      <c r="A5977" s="9">
        <v>44508</v>
      </c>
      <c r="B5977" s="2" t="inlineStr">
        <is>
          <t xml:space="preserve">2021-11</t>
        </is>
      </c>
      <c r="C5977" s="2" t="inlineStr">
        <is>
          <t xml:space="preserve">2021/22</t>
        </is>
      </c>
      <c r="D5977">
        <v>0.0</v>
      </c>
      <c r="E5977">
        <v>18.62</v>
      </c>
      <c r="F5977">
        <v>23.26</v>
      </c>
      <c r="G5977">
        <v>15.48</v>
      </c>
      <c r="H5977">
        <v>1.43</v>
      </c>
      <c r="I5977">
        <v>0.07</v>
      </c>
      <c r="J5977">
        <v>18.69</v>
      </c>
      <c r="K5977">
        <v>22.26</v>
      </c>
      <c r="L5977">
        <v>16.49</v>
      </c>
      <c r="M5977">
        <v>1.17</v>
      </c>
      <c r="N5977">
        <v>0.784</v>
      </c>
      <c r="O5977">
        <v>18.88</v>
      </c>
      <c r="P5977">
        <v>22.84</v>
      </c>
      <c r="Q5977">
        <v>16.72</v>
      </c>
      <c r="R5977">
        <v>3.86</v>
      </c>
    </row>
    <row r="5978">
      <c r="A5978" s="9">
        <v>44509</v>
      </c>
      <c r="B5978" s="2" t="inlineStr">
        <is>
          <t xml:space="preserve">2021-11</t>
        </is>
      </c>
      <c r="C5978" s="2" t="inlineStr">
        <is>
          <t xml:space="preserve">2021/22</t>
        </is>
      </c>
      <c r="D5978">
        <v>0.041</v>
      </c>
      <c r="E5978">
        <v>17.56</v>
      </c>
      <c r="F5978">
        <v>22.63</v>
      </c>
      <c r="G5978">
        <v>14.35</v>
      </c>
      <c r="H5978">
        <v>0.99</v>
      </c>
      <c r="I5978">
        <v>0.921</v>
      </c>
      <c r="J5978">
        <v>17.22</v>
      </c>
      <c r="K5978">
        <v>21.06</v>
      </c>
      <c r="L5978">
        <v>14.04</v>
      </c>
      <c r="M5978">
        <v>0.86</v>
      </c>
      <c r="N5978">
        <v>3.496</v>
      </c>
      <c r="O5978">
        <v>17.77</v>
      </c>
      <c r="P5978">
        <v>21.53</v>
      </c>
      <c r="Q5978">
        <v>15.54</v>
      </c>
      <c r="R5978">
        <v>2.76</v>
      </c>
    </row>
    <row r="5979">
      <c r="A5979" s="9">
        <v>44510</v>
      </c>
      <c r="B5979" s="2" t="inlineStr">
        <is>
          <t xml:space="preserve">2021-11</t>
        </is>
      </c>
      <c r="C5979" s="2" t="inlineStr">
        <is>
          <t xml:space="preserve">2021/22</t>
        </is>
      </c>
      <c r="D5979">
        <v>0.0</v>
      </c>
      <c r="E5979">
        <v>18.33</v>
      </c>
      <c r="F5979">
        <v>23.82</v>
      </c>
      <c r="G5979">
        <v>13.5</v>
      </c>
      <c r="H5979">
        <v>0.01</v>
      </c>
      <c r="I5979">
        <v>0.0</v>
      </c>
      <c r="J5979">
        <v>18.02</v>
      </c>
      <c r="K5979">
        <v>23.75</v>
      </c>
      <c r="L5979">
        <v>13.35</v>
      </c>
      <c r="M5979">
        <v>0.0</v>
      </c>
      <c r="N5979">
        <v>0.0</v>
      </c>
      <c r="O5979">
        <v>18.51</v>
      </c>
      <c r="P5979">
        <v>23.51</v>
      </c>
      <c r="Q5979">
        <v>14.66</v>
      </c>
      <c r="R5979">
        <v>0.07</v>
      </c>
    </row>
    <row r="5980">
      <c r="A5980" s="9">
        <v>44511</v>
      </c>
      <c r="B5980" s="2" t="inlineStr">
        <is>
          <t xml:space="preserve">2021-11</t>
        </is>
      </c>
      <c r="C5980" s="2" t="inlineStr">
        <is>
          <t xml:space="preserve">2021/22</t>
        </is>
      </c>
      <c r="D5980">
        <v>0.0</v>
      </c>
      <c r="E5980">
        <v>20.22</v>
      </c>
      <c r="F5980">
        <v>25.51</v>
      </c>
      <c r="G5980">
        <v>16.13</v>
      </c>
      <c r="H5980">
        <v>0.18</v>
      </c>
      <c r="I5980">
        <v>0.0</v>
      </c>
      <c r="J5980">
        <v>20.65</v>
      </c>
      <c r="K5980">
        <v>25.89</v>
      </c>
      <c r="L5980">
        <v>15.7</v>
      </c>
      <c r="M5980">
        <v>0.08</v>
      </c>
      <c r="N5980">
        <v>0.0</v>
      </c>
      <c r="O5980">
        <v>20.62</v>
      </c>
      <c r="P5980">
        <v>25.76</v>
      </c>
      <c r="Q5980">
        <v>16.55</v>
      </c>
      <c r="R5980">
        <v>0.42</v>
      </c>
    </row>
    <row r="5981">
      <c r="A5981" s="9">
        <v>44512</v>
      </c>
      <c r="B5981" s="2" t="inlineStr">
        <is>
          <t xml:space="preserve">2021-11</t>
        </is>
      </c>
      <c r="C5981" s="2" t="inlineStr">
        <is>
          <t xml:space="preserve">2021/22</t>
        </is>
      </c>
      <c r="D5981">
        <v>0.022</v>
      </c>
      <c r="E5981">
        <v>20.16</v>
      </c>
      <c r="F5981">
        <v>25.08</v>
      </c>
      <c r="G5981">
        <v>16.24</v>
      </c>
      <c r="H5981">
        <v>1.77</v>
      </c>
      <c r="I5981">
        <v>0.0</v>
      </c>
      <c r="J5981">
        <v>21.27</v>
      </c>
      <c r="K5981">
        <v>25.67</v>
      </c>
      <c r="L5981">
        <v>18.26</v>
      </c>
      <c r="M5981">
        <v>0.51</v>
      </c>
      <c r="N5981">
        <v>0.123</v>
      </c>
      <c r="O5981">
        <v>20.96</v>
      </c>
      <c r="P5981">
        <v>24.9</v>
      </c>
      <c r="Q5981">
        <v>18.13</v>
      </c>
      <c r="R5981">
        <v>2.82</v>
      </c>
    </row>
    <row r="5982">
      <c r="A5982" s="9">
        <v>44513</v>
      </c>
      <c r="B5982" s="2" t="inlineStr">
        <is>
          <t xml:space="preserve">2021-11</t>
        </is>
      </c>
      <c r="C5982" s="2" t="inlineStr">
        <is>
          <t xml:space="preserve">2021/22</t>
        </is>
      </c>
      <c r="D5982">
        <v>0.143</v>
      </c>
      <c r="E5982">
        <v>20.31</v>
      </c>
      <c r="F5982">
        <v>24.92</v>
      </c>
      <c r="G5982">
        <v>17.25</v>
      </c>
      <c r="H5982">
        <v>0.99</v>
      </c>
      <c r="I5982">
        <v>0.775</v>
      </c>
      <c r="J5982">
        <v>20.26</v>
      </c>
      <c r="K5982">
        <v>24.38</v>
      </c>
      <c r="L5982">
        <v>17.41</v>
      </c>
      <c r="M5982">
        <v>1.92</v>
      </c>
      <c r="N5982">
        <v>3.069</v>
      </c>
      <c r="O5982">
        <v>20.43</v>
      </c>
      <c r="P5982">
        <v>24.42</v>
      </c>
      <c r="Q5982">
        <v>17.94</v>
      </c>
      <c r="R5982">
        <v>3.34</v>
      </c>
    </row>
    <row r="5983">
      <c r="A5983" s="9">
        <v>44514</v>
      </c>
      <c r="B5983" s="2" t="inlineStr">
        <is>
          <t xml:space="preserve">2021-11</t>
        </is>
      </c>
      <c r="C5983" s="2" t="inlineStr">
        <is>
          <t xml:space="preserve">2021/22</t>
        </is>
      </c>
      <c r="D5983">
        <v>0.0</v>
      </c>
      <c r="E5983">
        <v>20.07</v>
      </c>
      <c r="F5983">
        <v>24.92</v>
      </c>
      <c r="G5983">
        <v>16.49</v>
      </c>
      <c r="H5983">
        <v>3.39</v>
      </c>
      <c r="I5983">
        <v>0.666</v>
      </c>
      <c r="J5983">
        <v>19.94</v>
      </c>
      <c r="K5983">
        <v>24.18</v>
      </c>
      <c r="L5983">
        <v>16.65</v>
      </c>
      <c r="M5983">
        <v>3.51</v>
      </c>
      <c r="N5983">
        <v>3.182</v>
      </c>
      <c r="O5983">
        <v>20.12</v>
      </c>
      <c r="P5983">
        <v>24.53</v>
      </c>
      <c r="Q5983">
        <v>17.21</v>
      </c>
      <c r="R5983">
        <v>7.68</v>
      </c>
    </row>
    <row r="5984">
      <c r="A5984" s="9">
        <v>44515</v>
      </c>
      <c r="B5984" s="2" t="inlineStr">
        <is>
          <t xml:space="preserve">2021-11</t>
        </is>
      </c>
      <c r="C5984" s="2" t="inlineStr">
        <is>
          <t xml:space="preserve">2021/22</t>
        </is>
      </c>
      <c r="D5984">
        <v>2.294</v>
      </c>
      <c r="E5984">
        <v>20.35</v>
      </c>
      <c r="F5984">
        <v>24.6</v>
      </c>
      <c r="G5984">
        <v>17.45</v>
      </c>
      <c r="H5984">
        <v>7.16</v>
      </c>
      <c r="I5984">
        <v>1.378</v>
      </c>
      <c r="J5984">
        <v>20.35</v>
      </c>
      <c r="K5984">
        <v>25.14</v>
      </c>
      <c r="L5984">
        <v>17.29</v>
      </c>
      <c r="M5984">
        <v>3.06</v>
      </c>
      <c r="N5984">
        <v>5.446</v>
      </c>
      <c r="O5984">
        <v>20.76</v>
      </c>
      <c r="P5984">
        <v>24.94</v>
      </c>
      <c r="Q5984">
        <v>18.43</v>
      </c>
      <c r="R5984">
        <v>11.59</v>
      </c>
    </row>
    <row r="5985">
      <c r="A5985" s="9">
        <v>44516</v>
      </c>
      <c r="B5985" s="2" t="inlineStr">
        <is>
          <t xml:space="preserve">2021-11</t>
        </is>
      </c>
      <c r="C5985" s="2" t="inlineStr">
        <is>
          <t xml:space="preserve">2021/22</t>
        </is>
      </c>
      <c r="D5985">
        <v>0.474</v>
      </c>
      <c r="E5985">
        <v>20.07</v>
      </c>
      <c r="F5985">
        <v>24.85</v>
      </c>
      <c r="G5985">
        <v>17.01</v>
      </c>
      <c r="H5985">
        <v>6.07</v>
      </c>
      <c r="I5985">
        <v>0.712</v>
      </c>
      <c r="J5985">
        <v>20.03</v>
      </c>
      <c r="K5985">
        <v>24.47</v>
      </c>
      <c r="L5985">
        <v>17.14</v>
      </c>
      <c r="M5985">
        <v>2.18</v>
      </c>
      <c r="N5985">
        <v>2.965</v>
      </c>
      <c r="O5985">
        <v>20.25</v>
      </c>
      <c r="P5985">
        <v>23.97</v>
      </c>
      <c r="Q5985">
        <v>18.06</v>
      </c>
      <c r="R5985">
        <v>11.52</v>
      </c>
    </row>
    <row r="5986">
      <c r="A5986" s="9">
        <v>44517</v>
      </c>
      <c r="B5986" s="2" t="inlineStr">
        <is>
          <t xml:space="preserve">2021-11</t>
        </is>
      </c>
      <c r="C5986" s="2" t="inlineStr">
        <is>
          <t xml:space="preserve">2021/22</t>
        </is>
      </c>
      <c r="D5986">
        <v>0.347</v>
      </c>
      <c r="E5986">
        <v>20.15</v>
      </c>
      <c r="F5986">
        <v>25.1</v>
      </c>
      <c r="G5986">
        <v>16.91</v>
      </c>
      <c r="H5986">
        <v>2.83</v>
      </c>
      <c r="I5986">
        <v>0.655</v>
      </c>
      <c r="J5986">
        <v>20.42</v>
      </c>
      <c r="K5986">
        <v>24.9</v>
      </c>
      <c r="L5986">
        <v>17.03</v>
      </c>
      <c r="M5986">
        <v>1.52</v>
      </c>
      <c r="N5986">
        <v>2.805</v>
      </c>
      <c r="O5986">
        <v>20.38</v>
      </c>
      <c r="P5986">
        <v>24.35</v>
      </c>
      <c r="Q5986">
        <v>17.87</v>
      </c>
      <c r="R5986">
        <v>5.69</v>
      </c>
    </row>
    <row r="5987">
      <c r="A5987" s="9">
        <v>44518</v>
      </c>
      <c r="B5987" s="2" t="inlineStr">
        <is>
          <t xml:space="preserve">2021-11</t>
        </is>
      </c>
      <c r="C5987" s="2" t="inlineStr">
        <is>
          <t xml:space="preserve">2021/22</t>
        </is>
      </c>
      <c r="D5987">
        <v>0.049</v>
      </c>
      <c r="E5987">
        <v>20.07</v>
      </c>
      <c r="F5987">
        <v>24.9</v>
      </c>
      <c r="G5987">
        <v>16.4</v>
      </c>
      <c r="H5987">
        <v>1.25</v>
      </c>
      <c r="I5987">
        <v>0.851</v>
      </c>
      <c r="J5987">
        <v>20.84</v>
      </c>
      <c r="K5987">
        <v>25.86</v>
      </c>
      <c r="L5987">
        <v>17.19</v>
      </c>
      <c r="M5987">
        <v>2.01</v>
      </c>
      <c r="N5987">
        <v>0.892</v>
      </c>
      <c r="O5987">
        <v>21.04</v>
      </c>
      <c r="P5987">
        <v>25.58</v>
      </c>
      <c r="Q5987">
        <v>17.94</v>
      </c>
      <c r="R5987">
        <v>2.5</v>
      </c>
    </row>
    <row r="5988">
      <c r="A5988" s="9">
        <v>44519</v>
      </c>
      <c r="B5988" s="2" t="inlineStr">
        <is>
          <t xml:space="preserve">2021-11</t>
        </is>
      </c>
      <c r="C5988" s="2" t="inlineStr">
        <is>
          <t xml:space="preserve">2021/22</t>
        </is>
      </c>
      <c r="D5988">
        <v>0.0</v>
      </c>
      <c r="E5988">
        <v>19.75</v>
      </c>
      <c r="F5988">
        <v>24.48</v>
      </c>
      <c r="G5988">
        <v>16.83</v>
      </c>
      <c r="H5988">
        <v>0.38</v>
      </c>
      <c r="I5988">
        <v>1.129</v>
      </c>
      <c r="J5988">
        <v>19.91</v>
      </c>
      <c r="K5988">
        <v>25.11</v>
      </c>
      <c r="L5988">
        <v>16.64</v>
      </c>
      <c r="M5988">
        <v>1.14</v>
      </c>
      <c r="N5988">
        <v>4.472</v>
      </c>
      <c r="O5988">
        <v>20.38</v>
      </c>
      <c r="P5988">
        <v>24.44</v>
      </c>
      <c r="Q5988">
        <v>17.6</v>
      </c>
      <c r="R5988">
        <v>1.72</v>
      </c>
    </row>
    <row r="5989">
      <c r="A5989" s="9">
        <v>44520</v>
      </c>
      <c r="B5989" s="2" t="inlineStr">
        <is>
          <t xml:space="preserve">2021-11</t>
        </is>
      </c>
      <c r="C5989" s="2" t="inlineStr">
        <is>
          <t xml:space="preserve">2021/22</t>
        </is>
      </c>
      <c r="D5989">
        <v>0.0</v>
      </c>
      <c r="E5989">
        <v>19.56</v>
      </c>
      <c r="F5989">
        <v>24.62</v>
      </c>
      <c r="G5989">
        <v>16.28</v>
      </c>
      <c r="H5989">
        <v>0.35</v>
      </c>
      <c r="I5989">
        <v>0.0</v>
      </c>
      <c r="J5989">
        <v>18.69</v>
      </c>
      <c r="K5989">
        <v>23.02</v>
      </c>
      <c r="L5989">
        <v>15.23</v>
      </c>
      <c r="M5989">
        <v>1.58</v>
      </c>
      <c r="N5989">
        <v>0.576</v>
      </c>
      <c r="O5989">
        <v>19.43</v>
      </c>
      <c r="P5989">
        <v>23.63</v>
      </c>
      <c r="Q5989">
        <v>16.49</v>
      </c>
      <c r="R5989">
        <v>3.4</v>
      </c>
    </row>
    <row r="5990">
      <c r="A5990" s="9">
        <v>44521</v>
      </c>
      <c r="B5990" s="2" t="inlineStr">
        <is>
          <t xml:space="preserve">2021-11</t>
        </is>
      </c>
      <c r="C5990" s="2" t="inlineStr">
        <is>
          <t xml:space="preserve">2021/22</t>
        </is>
      </c>
      <c r="D5990">
        <v>0.0</v>
      </c>
      <c r="E5990">
        <v>19.46</v>
      </c>
      <c r="F5990">
        <v>24.39</v>
      </c>
      <c r="G5990">
        <v>16.14</v>
      </c>
      <c r="H5990">
        <v>0.64</v>
      </c>
      <c r="I5990">
        <v>0.441</v>
      </c>
      <c r="J5990">
        <v>19.46</v>
      </c>
      <c r="K5990">
        <v>24.09</v>
      </c>
      <c r="L5990">
        <v>16.05</v>
      </c>
      <c r="M5990">
        <v>0.71</v>
      </c>
      <c r="N5990">
        <v>1.814</v>
      </c>
      <c r="O5990">
        <v>19.69</v>
      </c>
      <c r="P5990">
        <v>23.94</v>
      </c>
      <c r="Q5990">
        <v>17.01</v>
      </c>
      <c r="R5990">
        <v>1.32</v>
      </c>
    </row>
    <row r="5991">
      <c r="A5991" s="9">
        <v>44522</v>
      </c>
      <c r="B5991" s="2" t="inlineStr">
        <is>
          <t xml:space="preserve">2021-11</t>
        </is>
      </c>
      <c r="C5991" s="2" t="inlineStr">
        <is>
          <t xml:space="preserve">2021/22</t>
        </is>
      </c>
      <c r="D5991">
        <v>0.332</v>
      </c>
      <c r="E5991">
        <v>19.32</v>
      </c>
      <c r="F5991">
        <v>24.35</v>
      </c>
      <c r="G5991">
        <v>16.35</v>
      </c>
      <c r="H5991">
        <v>0.94</v>
      </c>
      <c r="I5991">
        <v>0.035</v>
      </c>
      <c r="J5991">
        <v>19.24</v>
      </c>
      <c r="K5991">
        <v>23.88</v>
      </c>
      <c r="L5991">
        <v>16.01</v>
      </c>
      <c r="M5991">
        <v>0.55</v>
      </c>
      <c r="N5991">
        <v>0.364</v>
      </c>
      <c r="O5991">
        <v>19.66</v>
      </c>
      <c r="P5991">
        <v>23.99</v>
      </c>
      <c r="Q5991">
        <v>16.68</v>
      </c>
      <c r="R5991">
        <v>1.59</v>
      </c>
    </row>
    <row r="5992">
      <c r="A5992" s="9">
        <v>44523</v>
      </c>
      <c r="B5992" s="2" t="inlineStr">
        <is>
          <t xml:space="preserve">2021-11</t>
        </is>
      </c>
      <c r="C5992" s="2" t="inlineStr">
        <is>
          <t xml:space="preserve">2021/22</t>
        </is>
      </c>
      <c r="D5992">
        <v>0.04</v>
      </c>
      <c r="E5992">
        <v>18.81</v>
      </c>
      <c r="F5992">
        <v>23.25</v>
      </c>
      <c r="G5992">
        <v>16.04</v>
      </c>
      <c r="H5992">
        <v>5.15</v>
      </c>
      <c r="I5992">
        <v>1.067</v>
      </c>
      <c r="J5992">
        <v>18.75</v>
      </c>
      <c r="K5992">
        <v>21.82</v>
      </c>
      <c r="L5992">
        <v>16.25</v>
      </c>
      <c r="M5992">
        <v>2.34</v>
      </c>
      <c r="N5992">
        <v>4.545</v>
      </c>
      <c r="O5992">
        <v>19.0</v>
      </c>
      <c r="P5992">
        <v>22.46</v>
      </c>
      <c r="Q5992">
        <v>16.49</v>
      </c>
      <c r="R5992">
        <v>8.68</v>
      </c>
    </row>
    <row r="5993">
      <c r="A5993" s="9">
        <v>44524</v>
      </c>
      <c r="B5993" s="2" t="inlineStr">
        <is>
          <t xml:space="preserve">2021-11</t>
        </is>
      </c>
      <c r="C5993" s="2" t="inlineStr">
        <is>
          <t xml:space="preserve">2021/22</t>
        </is>
      </c>
      <c r="D5993">
        <v>0.0</v>
      </c>
      <c r="E5993">
        <v>18.48</v>
      </c>
      <c r="F5993">
        <v>23.24</v>
      </c>
      <c r="G5993">
        <v>15.55</v>
      </c>
      <c r="H5993">
        <v>0.59</v>
      </c>
      <c r="I5993">
        <v>0.0</v>
      </c>
      <c r="J5993">
        <v>18.27</v>
      </c>
      <c r="K5993">
        <v>23.08</v>
      </c>
      <c r="L5993">
        <v>14.5</v>
      </c>
      <c r="M5993">
        <v>0.14</v>
      </c>
      <c r="N5993">
        <v>0.0</v>
      </c>
      <c r="O5993">
        <v>18.53</v>
      </c>
      <c r="P5993">
        <v>22.85</v>
      </c>
      <c r="Q5993">
        <v>15.09</v>
      </c>
      <c r="R5993">
        <v>1.34</v>
      </c>
    </row>
    <row r="5994">
      <c r="A5994" s="9">
        <v>44525</v>
      </c>
      <c r="B5994" s="2" t="inlineStr">
        <is>
          <t xml:space="preserve">2021-11</t>
        </is>
      </c>
      <c r="C5994" s="2" t="inlineStr">
        <is>
          <t xml:space="preserve">2021/22</t>
        </is>
      </c>
      <c r="D5994">
        <v>0.0</v>
      </c>
      <c r="E5994">
        <v>19.26</v>
      </c>
      <c r="F5994">
        <v>24.24</v>
      </c>
      <c r="G5994">
        <v>15.41</v>
      </c>
      <c r="H5994">
        <v>0.58</v>
      </c>
      <c r="I5994">
        <v>0.076</v>
      </c>
      <c r="J5994">
        <v>19.51</v>
      </c>
      <c r="K5994">
        <v>24.76</v>
      </c>
      <c r="L5994">
        <v>15.69</v>
      </c>
      <c r="M5994">
        <v>0.31</v>
      </c>
      <c r="N5994">
        <v>0.86</v>
      </c>
      <c r="O5994">
        <v>19.44</v>
      </c>
      <c r="P5994">
        <v>23.99</v>
      </c>
      <c r="Q5994">
        <v>16.15</v>
      </c>
      <c r="R5994">
        <v>1.3</v>
      </c>
    </row>
    <row r="5995">
      <c r="A5995" s="9">
        <v>44526</v>
      </c>
      <c r="B5995" s="2" t="inlineStr">
        <is>
          <t xml:space="preserve">2021-11</t>
        </is>
      </c>
      <c r="C5995" s="2" t="inlineStr">
        <is>
          <t xml:space="preserve">2021/22</t>
        </is>
      </c>
      <c r="D5995">
        <v>0.029</v>
      </c>
      <c r="E5995">
        <v>19.66</v>
      </c>
      <c r="F5995">
        <v>24.44</v>
      </c>
      <c r="G5995">
        <v>16.76</v>
      </c>
      <c r="H5995">
        <v>1.71</v>
      </c>
      <c r="I5995">
        <v>0.0</v>
      </c>
      <c r="J5995">
        <v>18.44</v>
      </c>
      <c r="K5995">
        <v>22.39</v>
      </c>
      <c r="L5995">
        <v>16.23</v>
      </c>
      <c r="M5995">
        <v>0.39</v>
      </c>
      <c r="N5995">
        <v>0.0</v>
      </c>
      <c r="O5995">
        <v>18.97</v>
      </c>
      <c r="P5995">
        <v>21.73</v>
      </c>
      <c r="Q5995">
        <v>17.55</v>
      </c>
      <c r="R5995">
        <v>2.44</v>
      </c>
    </row>
    <row r="5996">
      <c r="A5996" s="9">
        <v>44527</v>
      </c>
      <c r="B5996" s="2" t="inlineStr">
        <is>
          <t xml:space="preserve">2021-11</t>
        </is>
      </c>
      <c r="C5996" s="2" t="inlineStr">
        <is>
          <t xml:space="preserve">2021/22</t>
        </is>
      </c>
      <c r="D5996">
        <v>0.0</v>
      </c>
      <c r="E5996">
        <v>19.52</v>
      </c>
      <c r="F5996">
        <v>24.17</v>
      </c>
      <c r="G5996">
        <v>16.54</v>
      </c>
      <c r="H5996">
        <v>0.72</v>
      </c>
      <c r="I5996">
        <v>0.711</v>
      </c>
      <c r="J5996">
        <v>18.71</v>
      </c>
      <c r="K5996">
        <v>23.05</v>
      </c>
      <c r="L5996">
        <v>15.83</v>
      </c>
      <c r="M5996">
        <v>1.16</v>
      </c>
      <c r="N5996">
        <v>2.932</v>
      </c>
      <c r="O5996">
        <v>19.04</v>
      </c>
      <c r="P5996">
        <v>22.93</v>
      </c>
      <c r="Q5996">
        <v>17.01</v>
      </c>
      <c r="R5996">
        <v>2.21</v>
      </c>
    </row>
    <row r="5997">
      <c r="A5997" s="9">
        <v>44528</v>
      </c>
      <c r="B5997" s="2" t="inlineStr">
        <is>
          <t xml:space="preserve">2021-11</t>
        </is>
      </c>
      <c r="C5997" s="2" t="inlineStr">
        <is>
          <t xml:space="preserve">2021/22</t>
        </is>
      </c>
      <c r="D5997">
        <v>0.0</v>
      </c>
      <c r="E5997">
        <v>18.23</v>
      </c>
      <c r="F5997">
        <v>23.62</v>
      </c>
      <c r="G5997">
        <v>14.93</v>
      </c>
      <c r="H5997">
        <v>0.25</v>
      </c>
      <c r="I5997">
        <v>0.0</v>
      </c>
      <c r="J5997">
        <v>18.5</v>
      </c>
      <c r="K5997">
        <v>23.74</v>
      </c>
      <c r="L5997">
        <v>15.38</v>
      </c>
      <c r="M5997">
        <v>0.04</v>
      </c>
      <c r="N5997">
        <v>0.0</v>
      </c>
      <c r="O5997">
        <v>18.83</v>
      </c>
      <c r="P5997">
        <v>23.22</v>
      </c>
      <c r="Q5997">
        <v>15.98</v>
      </c>
      <c r="R5997">
        <v>0.71</v>
      </c>
    </row>
    <row r="5998">
      <c r="A5998" s="9">
        <v>44529</v>
      </c>
      <c r="B5998" s="2" t="inlineStr">
        <is>
          <t xml:space="preserve">2021-11</t>
        </is>
      </c>
      <c r="C5998" s="2" t="inlineStr">
        <is>
          <t xml:space="preserve">2021/22</t>
        </is>
      </c>
      <c r="D5998">
        <v>0.0</v>
      </c>
      <c r="E5998">
        <v>17.93</v>
      </c>
      <c r="F5998">
        <v>22.3</v>
      </c>
      <c r="G5998">
        <v>15.01</v>
      </c>
      <c r="H5998">
        <v>1.28</v>
      </c>
      <c r="I5998">
        <v>0.022</v>
      </c>
      <c r="J5998">
        <v>18.29</v>
      </c>
      <c r="K5998">
        <v>22.74</v>
      </c>
      <c r="L5998">
        <v>15.08</v>
      </c>
      <c r="M5998">
        <v>0.24</v>
      </c>
      <c r="N5998">
        <v>0.257</v>
      </c>
      <c r="O5998">
        <v>18.57</v>
      </c>
      <c r="P5998">
        <v>22.66</v>
      </c>
      <c r="Q5998">
        <v>15.74</v>
      </c>
      <c r="R5998">
        <v>2.4</v>
      </c>
    </row>
    <row r="5999">
      <c r="A5999" s="9">
        <v>44530</v>
      </c>
      <c r="B5999" s="2" t="inlineStr">
        <is>
          <t xml:space="preserve">2021-11</t>
        </is>
      </c>
      <c r="C5999" s="2" t="inlineStr">
        <is>
          <t xml:space="preserve">2021/22</t>
        </is>
      </c>
      <c r="D5999">
        <v>0.0</v>
      </c>
      <c r="E5999">
        <v>17.67</v>
      </c>
      <c r="F5999">
        <v>23.19</v>
      </c>
      <c r="G5999">
        <v>14.06</v>
      </c>
      <c r="H5999">
        <v>0.23</v>
      </c>
      <c r="I5999">
        <v>0.098</v>
      </c>
      <c r="J5999">
        <v>18.62</v>
      </c>
      <c r="K5999">
        <v>23.46</v>
      </c>
      <c r="L5999">
        <v>15.45</v>
      </c>
      <c r="M5999">
        <v>0.38</v>
      </c>
      <c r="N5999">
        <v>1.088</v>
      </c>
      <c r="O5999">
        <v>18.77</v>
      </c>
      <c r="P5999">
        <v>23.18</v>
      </c>
      <c r="Q5999">
        <v>15.94</v>
      </c>
      <c r="R5999">
        <v>1.21</v>
      </c>
    </row>
    <row r="6000">
      <c r="A6000" s="9">
        <v>44531</v>
      </c>
      <c r="B6000" s="2" t="inlineStr">
        <is>
          <t xml:space="preserve">2021-12</t>
        </is>
      </c>
      <c r="C6000" s="2" t="inlineStr">
        <is>
          <t xml:space="preserve">2021/22</t>
        </is>
      </c>
      <c r="D6000">
        <v>0.0</v>
      </c>
      <c r="E6000">
        <v>17.87</v>
      </c>
      <c r="F6000">
        <v>24.17</v>
      </c>
      <c r="G6000">
        <v>13.07</v>
      </c>
      <c r="H6000">
        <v>0.0</v>
      </c>
      <c r="I6000">
        <v>0.0</v>
      </c>
      <c r="J6000">
        <v>18.51</v>
      </c>
      <c r="K6000">
        <v>24.23</v>
      </c>
      <c r="L6000">
        <v>14.21</v>
      </c>
      <c r="M6000">
        <v>0.09</v>
      </c>
      <c r="N6000">
        <v>0.0</v>
      </c>
      <c r="O6000">
        <v>19.04</v>
      </c>
      <c r="P6000">
        <v>24.01</v>
      </c>
      <c r="Q6000">
        <v>15.72</v>
      </c>
      <c r="R6000">
        <v>0.02</v>
      </c>
    </row>
    <row r="6001">
      <c r="A6001" s="9">
        <v>44532</v>
      </c>
      <c r="B6001" s="2" t="inlineStr">
        <is>
          <t xml:space="preserve">2021-12</t>
        </is>
      </c>
      <c r="C6001" s="2" t="inlineStr">
        <is>
          <t xml:space="preserve">2021/22</t>
        </is>
      </c>
      <c r="D6001">
        <v>0.0</v>
      </c>
      <c r="E6001">
        <v>18.73</v>
      </c>
      <c r="F6001">
        <v>23.95</v>
      </c>
      <c r="G6001">
        <v>14.88</v>
      </c>
      <c r="H6001">
        <v>0.57</v>
      </c>
      <c r="I6001">
        <v>0.0</v>
      </c>
      <c r="J6001">
        <v>18.44</v>
      </c>
      <c r="K6001">
        <v>23.19</v>
      </c>
      <c r="L6001">
        <v>14.78</v>
      </c>
      <c r="M6001">
        <v>0.82</v>
      </c>
      <c r="N6001">
        <v>0.088</v>
      </c>
      <c r="O6001">
        <v>19.01</v>
      </c>
      <c r="P6001">
        <v>23.4</v>
      </c>
      <c r="Q6001">
        <v>15.81</v>
      </c>
      <c r="R6001">
        <v>1.47</v>
      </c>
    </row>
    <row r="6002">
      <c r="A6002" s="9">
        <v>44533</v>
      </c>
      <c r="B6002" s="2" t="inlineStr">
        <is>
          <t xml:space="preserve">2021-12</t>
        </is>
      </c>
      <c r="C6002" s="2" t="inlineStr">
        <is>
          <t xml:space="preserve">2021/22</t>
        </is>
      </c>
      <c r="D6002">
        <v>0.0</v>
      </c>
      <c r="E6002">
        <v>19.16</v>
      </c>
      <c r="F6002">
        <v>24.24</v>
      </c>
      <c r="G6002">
        <v>15.7</v>
      </c>
      <c r="H6002">
        <v>1.23</v>
      </c>
      <c r="I6002">
        <v>0.0</v>
      </c>
      <c r="J6002">
        <v>18.85</v>
      </c>
      <c r="K6002">
        <v>22.67</v>
      </c>
      <c r="L6002">
        <v>16.38</v>
      </c>
      <c r="M6002">
        <v>0.64</v>
      </c>
      <c r="N6002">
        <v>0.111</v>
      </c>
      <c r="O6002">
        <v>19.42</v>
      </c>
      <c r="P6002">
        <v>22.96</v>
      </c>
      <c r="Q6002">
        <v>17.42</v>
      </c>
      <c r="R6002">
        <v>1.49</v>
      </c>
    </row>
    <row r="6003">
      <c r="A6003" s="9">
        <v>44534</v>
      </c>
      <c r="B6003" s="2" t="inlineStr">
        <is>
          <t xml:space="preserve">2021-12</t>
        </is>
      </c>
      <c r="C6003" s="2" t="inlineStr">
        <is>
          <t xml:space="preserve">2021/22</t>
        </is>
      </c>
      <c r="D6003">
        <v>0.276</v>
      </c>
      <c r="E6003">
        <v>19.84</v>
      </c>
      <c r="F6003">
        <v>24.89</v>
      </c>
      <c r="G6003">
        <v>16.18</v>
      </c>
      <c r="H6003">
        <v>1.28</v>
      </c>
      <c r="I6003">
        <v>0.418</v>
      </c>
      <c r="J6003">
        <v>19.6</v>
      </c>
      <c r="K6003">
        <v>24.71</v>
      </c>
      <c r="L6003">
        <v>16.2</v>
      </c>
      <c r="M6003">
        <v>0.8</v>
      </c>
      <c r="N6003">
        <v>1.716</v>
      </c>
      <c r="O6003">
        <v>19.63</v>
      </c>
      <c r="P6003">
        <v>24.18</v>
      </c>
      <c r="Q6003">
        <v>16.61</v>
      </c>
      <c r="R6003">
        <v>1.37</v>
      </c>
    </row>
    <row r="6004">
      <c r="A6004" s="9">
        <v>44535</v>
      </c>
      <c r="B6004" s="2" t="inlineStr">
        <is>
          <t xml:space="preserve">2021-12</t>
        </is>
      </c>
      <c r="C6004" s="2" t="inlineStr">
        <is>
          <t xml:space="preserve">2021/22</t>
        </is>
      </c>
      <c r="D6004">
        <v>0.078</v>
      </c>
      <c r="E6004">
        <v>20.53</v>
      </c>
      <c r="F6004">
        <v>25.56</v>
      </c>
      <c r="G6004">
        <v>16.87</v>
      </c>
      <c r="H6004">
        <v>0.86</v>
      </c>
      <c r="I6004">
        <v>0.049</v>
      </c>
      <c r="J6004">
        <v>19.7</v>
      </c>
      <c r="K6004">
        <v>24.85</v>
      </c>
      <c r="L6004">
        <v>15.6</v>
      </c>
      <c r="M6004">
        <v>0.48</v>
      </c>
      <c r="N6004">
        <v>0.531</v>
      </c>
      <c r="O6004">
        <v>19.89</v>
      </c>
      <c r="P6004">
        <v>24.63</v>
      </c>
      <c r="Q6004">
        <v>16.39</v>
      </c>
      <c r="R6004">
        <v>0.63</v>
      </c>
    </row>
    <row r="6005">
      <c r="A6005" s="9">
        <v>44536</v>
      </c>
      <c r="B6005" s="2" t="inlineStr">
        <is>
          <t xml:space="preserve">2021-12</t>
        </is>
      </c>
      <c r="C6005" s="2" t="inlineStr">
        <is>
          <t xml:space="preserve">2021/22</t>
        </is>
      </c>
      <c r="D6005">
        <v>0.135</v>
      </c>
      <c r="E6005">
        <v>20.69</v>
      </c>
      <c r="F6005">
        <v>25.83</v>
      </c>
      <c r="G6005">
        <v>16.98</v>
      </c>
      <c r="H6005">
        <v>50.9</v>
      </c>
      <c r="I6005">
        <v>0.474</v>
      </c>
      <c r="J6005">
        <v>20.84</v>
      </c>
      <c r="K6005">
        <v>26.06</v>
      </c>
      <c r="L6005">
        <v>16.99</v>
      </c>
      <c r="M6005">
        <v>25.98</v>
      </c>
      <c r="N6005">
        <v>1.777</v>
      </c>
      <c r="O6005">
        <v>21.12</v>
      </c>
      <c r="P6005">
        <v>25.77</v>
      </c>
      <c r="Q6005">
        <v>17.76</v>
      </c>
      <c r="R6005">
        <v>46.58</v>
      </c>
    </row>
    <row r="6006">
      <c r="A6006" s="9">
        <v>44537</v>
      </c>
      <c r="B6006" s="2" t="inlineStr">
        <is>
          <t xml:space="preserve">2021-12</t>
        </is>
      </c>
      <c r="C6006" s="2" t="inlineStr">
        <is>
          <t xml:space="preserve">2021/22</t>
        </is>
      </c>
      <c r="D6006">
        <v>0.287</v>
      </c>
      <c r="E6006">
        <v>20.05</v>
      </c>
      <c r="F6006">
        <v>24.62</v>
      </c>
      <c r="G6006">
        <v>16.93</v>
      </c>
      <c r="H6006">
        <v>88.69</v>
      </c>
      <c r="I6006">
        <v>0.0</v>
      </c>
      <c r="J6006">
        <v>20.69</v>
      </c>
      <c r="K6006">
        <v>25.16</v>
      </c>
      <c r="L6006">
        <v>17.72</v>
      </c>
      <c r="M6006">
        <v>63.51</v>
      </c>
      <c r="N6006">
        <v>0.0</v>
      </c>
      <c r="O6006">
        <v>20.9</v>
      </c>
      <c r="P6006">
        <v>24.76</v>
      </c>
      <c r="Q6006">
        <v>18.21</v>
      </c>
      <c r="R6006">
        <v>87.1</v>
      </c>
    </row>
    <row r="6007">
      <c r="A6007" s="9">
        <v>44538</v>
      </c>
      <c r="B6007" s="2" t="inlineStr">
        <is>
          <t xml:space="preserve">2021-12</t>
        </is>
      </c>
      <c r="C6007" s="2" t="inlineStr">
        <is>
          <t xml:space="preserve">2021/22</t>
        </is>
      </c>
      <c r="D6007">
        <v>0.373</v>
      </c>
      <c r="E6007">
        <v>20.25</v>
      </c>
      <c r="F6007">
        <v>25.58</v>
      </c>
      <c r="G6007">
        <v>16.77</v>
      </c>
      <c r="H6007">
        <v>0.31</v>
      </c>
      <c r="I6007">
        <v>0.0</v>
      </c>
      <c r="J6007">
        <v>21.13</v>
      </c>
      <c r="K6007">
        <v>25.89</v>
      </c>
      <c r="L6007">
        <v>17.62</v>
      </c>
      <c r="M6007">
        <v>0.28</v>
      </c>
      <c r="N6007">
        <v>0.204</v>
      </c>
      <c r="O6007">
        <v>21.56</v>
      </c>
      <c r="P6007">
        <v>26.05</v>
      </c>
      <c r="Q6007">
        <v>18.42</v>
      </c>
      <c r="R6007">
        <v>0.81</v>
      </c>
    </row>
    <row r="6008">
      <c r="A6008" s="9">
        <v>44539</v>
      </c>
      <c r="B6008" s="2" t="inlineStr">
        <is>
          <t xml:space="preserve">2021-12</t>
        </is>
      </c>
      <c r="C6008" s="2" t="inlineStr">
        <is>
          <t xml:space="preserve">2021/22</t>
        </is>
      </c>
      <c r="D6008">
        <v>0.0</v>
      </c>
      <c r="E6008">
        <v>18.93</v>
      </c>
      <c r="F6008">
        <v>24.11</v>
      </c>
      <c r="G6008">
        <v>15.6</v>
      </c>
      <c r="H6008">
        <v>0.02</v>
      </c>
      <c r="I6008">
        <v>0.0</v>
      </c>
      <c r="J6008">
        <v>20.51</v>
      </c>
      <c r="K6008">
        <v>24.91</v>
      </c>
      <c r="L6008">
        <v>17.69</v>
      </c>
      <c r="M6008">
        <v>0.0</v>
      </c>
      <c r="N6008">
        <v>0.0</v>
      </c>
      <c r="O6008">
        <v>20.8</v>
      </c>
      <c r="P6008">
        <v>24.7</v>
      </c>
      <c r="Q6008">
        <v>18.12</v>
      </c>
      <c r="R6008">
        <v>0.04</v>
      </c>
    </row>
    <row r="6009">
      <c r="A6009" s="9">
        <v>44540</v>
      </c>
      <c r="B6009" s="2" t="inlineStr">
        <is>
          <t xml:space="preserve">2021-12</t>
        </is>
      </c>
      <c r="C6009" s="2" t="inlineStr">
        <is>
          <t xml:space="preserve">2021/22</t>
        </is>
      </c>
      <c r="D6009">
        <v>0.0</v>
      </c>
      <c r="E6009">
        <v>19.45</v>
      </c>
      <c r="F6009">
        <v>24.73</v>
      </c>
      <c r="G6009">
        <v>15.6</v>
      </c>
      <c r="H6009">
        <v>0.09</v>
      </c>
      <c r="I6009">
        <v>0.0</v>
      </c>
      <c r="J6009">
        <v>19.86</v>
      </c>
      <c r="K6009">
        <v>24.51</v>
      </c>
      <c r="L6009">
        <v>16.44</v>
      </c>
      <c r="M6009">
        <v>0.0</v>
      </c>
      <c r="N6009">
        <v>0.0</v>
      </c>
      <c r="O6009">
        <v>20.27</v>
      </c>
      <c r="P6009">
        <v>24.27</v>
      </c>
      <c r="Q6009">
        <v>17.46</v>
      </c>
      <c r="R6009">
        <v>0.0</v>
      </c>
    </row>
    <row r="6010">
      <c r="A6010" s="9">
        <v>44541</v>
      </c>
      <c r="B6010" s="2" t="inlineStr">
        <is>
          <t xml:space="preserve">2021-12</t>
        </is>
      </c>
      <c r="C6010" s="2" t="inlineStr">
        <is>
          <t xml:space="preserve">2021/22</t>
        </is>
      </c>
      <c r="D6010">
        <v>0.0</v>
      </c>
      <c r="E6010">
        <v>19.77</v>
      </c>
      <c r="F6010">
        <v>25.52</v>
      </c>
      <c r="G6010">
        <v>14.3</v>
      </c>
      <c r="H6010">
        <v>0.08</v>
      </c>
      <c r="I6010">
        <v>0.0</v>
      </c>
      <c r="J6010">
        <v>20.92</v>
      </c>
      <c r="K6010">
        <v>26.4</v>
      </c>
      <c r="L6010">
        <v>16.97</v>
      </c>
      <c r="M6010">
        <v>0.01</v>
      </c>
      <c r="N6010">
        <v>0.0</v>
      </c>
      <c r="O6010">
        <v>21.37</v>
      </c>
      <c r="P6010">
        <v>26.21</v>
      </c>
      <c r="Q6010">
        <v>18.58</v>
      </c>
      <c r="R6010">
        <v>0.01</v>
      </c>
    </row>
    <row r="6011">
      <c r="A6011" s="9">
        <v>44542</v>
      </c>
      <c r="B6011" s="2" t="inlineStr">
        <is>
          <t xml:space="preserve">2021-12</t>
        </is>
      </c>
      <c r="C6011" s="2" t="inlineStr">
        <is>
          <t xml:space="preserve">2021/22</t>
        </is>
      </c>
      <c r="D6011">
        <v>0.626</v>
      </c>
      <c r="E6011">
        <v>19.6</v>
      </c>
      <c r="F6011">
        <v>24.95</v>
      </c>
      <c r="G6011">
        <v>16.55</v>
      </c>
      <c r="H6011">
        <v>0.67</v>
      </c>
      <c r="I6011">
        <v>0.11</v>
      </c>
      <c r="J6011">
        <v>19.84</v>
      </c>
      <c r="K6011">
        <v>23.87</v>
      </c>
      <c r="L6011">
        <v>16.58</v>
      </c>
      <c r="M6011">
        <v>0.33</v>
      </c>
      <c r="N6011">
        <v>0.289</v>
      </c>
      <c r="O6011">
        <v>20.35</v>
      </c>
      <c r="P6011">
        <v>24.34</v>
      </c>
      <c r="Q6011">
        <v>17.47</v>
      </c>
      <c r="R6011">
        <v>0.75</v>
      </c>
    </row>
    <row r="6012">
      <c r="A6012" s="9">
        <v>44543</v>
      </c>
      <c r="B6012" s="2" t="inlineStr">
        <is>
          <t xml:space="preserve">2021-12</t>
        </is>
      </c>
      <c r="C6012" s="2" t="inlineStr">
        <is>
          <t xml:space="preserve">2021/22</t>
        </is>
      </c>
      <c r="D6012">
        <v>0.0</v>
      </c>
      <c r="E6012">
        <v>18.79</v>
      </c>
      <c r="F6012">
        <v>23.44</v>
      </c>
      <c r="G6012">
        <v>15.84</v>
      </c>
      <c r="H6012">
        <v>1.27</v>
      </c>
      <c r="I6012">
        <v>0.037</v>
      </c>
      <c r="J6012">
        <v>19.21</v>
      </c>
      <c r="K6012">
        <v>23.89</v>
      </c>
      <c r="L6012">
        <v>15.76</v>
      </c>
      <c r="M6012">
        <v>0.77</v>
      </c>
      <c r="N6012">
        <v>0.535</v>
      </c>
      <c r="O6012">
        <v>19.5</v>
      </c>
      <c r="P6012">
        <v>23.58</v>
      </c>
      <c r="Q6012">
        <v>16.43</v>
      </c>
      <c r="R6012">
        <v>3.55</v>
      </c>
    </row>
    <row r="6013">
      <c r="A6013" s="9">
        <v>44544</v>
      </c>
      <c r="B6013" s="2" t="inlineStr">
        <is>
          <t xml:space="preserve">2021-12</t>
        </is>
      </c>
      <c r="C6013" s="2" t="inlineStr">
        <is>
          <t xml:space="preserve">2021/22</t>
        </is>
      </c>
      <c r="D6013">
        <v>0.034</v>
      </c>
      <c r="E6013">
        <v>19.25</v>
      </c>
      <c r="F6013">
        <v>23.4</v>
      </c>
      <c r="G6013">
        <v>15.85</v>
      </c>
      <c r="H6013">
        <v>1.82</v>
      </c>
      <c r="I6013">
        <v>1.063</v>
      </c>
      <c r="J6013">
        <v>19.74</v>
      </c>
      <c r="K6013">
        <v>23.46</v>
      </c>
      <c r="L6013">
        <v>16.54</v>
      </c>
      <c r="M6013">
        <v>2.16</v>
      </c>
      <c r="N6013">
        <v>4.439</v>
      </c>
      <c r="O6013">
        <v>20.14</v>
      </c>
      <c r="P6013">
        <v>23.23</v>
      </c>
      <c r="Q6013">
        <v>17.55</v>
      </c>
      <c r="R6013">
        <v>5.77</v>
      </c>
    </row>
    <row r="6014">
      <c r="A6014" s="9">
        <v>44545</v>
      </c>
      <c r="B6014" s="2" t="inlineStr">
        <is>
          <t xml:space="preserve">2021-12</t>
        </is>
      </c>
      <c r="C6014" s="2" t="inlineStr">
        <is>
          <t xml:space="preserve">2021/22</t>
        </is>
      </c>
      <c r="D6014">
        <v>0.0</v>
      </c>
      <c r="E6014">
        <v>19.53</v>
      </c>
      <c r="F6014">
        <v>24.3</v>
      </c>
      <c r="G6014">
        <v>16.43</v>
      </c>
      <c r="H6014">
        <v>0.57</v>
      </c>
      <c r="I6014">
        <v>0.0</v>
      </c>
      <c r="J6014">
        <v>20.1</v>
      </c>
      <c r="K6014">
        <v>24.22</v>
      </c>
      <c r="L6014">
        <v>16.87</v>
      </c>
      <c r="M6014">
        <v>0.11</v>
      </c>
      <c r="N6014">
        <v>0.083</v>
      </c>
      <c r="O6014">
        <v>20.55</v>
      </c>
      <c r="P6014">
        <v>24.04</v>
      </c>
      <c r="Q6014">
        <v>18.11</v>
      </c>
      <c r="R6014">
        <v>0.55</v>
      </c>
    </row>
    <row r="6015">
      <c r="A6015" s="9">
        <v>44546</v>
      </c>
      <c r="B6015" s="2" t="inlineStr">
        <is>
          <t xml:space="preserve">2021-12</t>
        </is>
      </c>
      <c r="C6015" s="2" t="inlineStr">
        <is>
          <t xml:space="preserve">2021/22</t>
        </is>
      </c>
      <c r="D6015">
        <v>0.0</v>
      </c>
      <c r="E6015">
        <v>19.57</v>
      </c>
      <c r="F6015">
        <v>25.01</v>
      </c>
      <c r="G6015">
        <v>15.84</v>
      </c>
      <c r="H6015">
        <v>0.38</v>
      </c>
      <c r="I6015">
        <v>0.0</v>
      </c>
      <c r="J6015">
        <v>20.16</v>
      </c>
      <c r="K6015">
        <v>24.74</v>
      </c>
      <c r="L6015">
        <v>17.15</v>
      </c>
      <c r="M6015">
        <v>0.08</v>
      </c>
      <c r="N6015">
        <v>0.0</v>
      </c>
      <c r="O6015">
        <v>20.68</v>
      </c>
      <c r="P6015">
        <v>24.62</v>
      </c>
      <c r="Q6015">
        <v>18.39</v>
      </c>
      <c r="R6015">
        <v>0.59</v>
      </c>
    </row>
    <row r="6016">
      <c r="A6016" s="9">
        <v>44547</v>
      </c>
      <c r="B6016" s="2" t="inlineStr">
        <is>
          <t xml:space="preserve">2021-12</t>
        </is>
      </c>
      <c r="C6016" s="2" t="inlineStr">
        <is>
          <t xml:space="preserve">2021/22</t>
        </is>
      </c>
      <c r="D6016">
        <v>0.0</v>
      </c>
      <c r="E6016">
        <v>19.57</v>
      </c>
      <c r="F6016">
        <v>24.43</v>
      </c>
      <c r="G6016">
        <v>16.24</v>
      </c>
      <c r="H6016">
        <v>0.41</v>
      </c>
      <c r="I6016">
        <v>0.0</v>
      </c>
      <c r="J6016">
        <v>20.43</v>
      </c>
      <c r="K6016">
        <v>25.04</v>
      </c>
      <c r="L6016">
        <v>17.18</v>
      </c>
      <c r="M6016">
        <v>0.03</v>
      </c>
      <c r="N6016">
        <v>0.0</v>
      </c>
      <c r="O6016">
        <v>20.72</v>
      </c>
      <c r="P6016">
        <v>24.74</v>
      </c>
      <c r="Q6016">
        <v>17.9</v>
      </c>
      <c r="R6016">
        <v>0.33</v>
      </c>
    </row>
    <row r="6017">
      <c r="A6017" s="9">
        <v>44548</v>
      </c>
      <c r="B6017" s="2" t="inlineStr">
        <is>
          <t xml:space="preserve">2021-12</t>
        </is>
      </c>
      <c r="C6017" s="2" t="inlineStr">
        <is>
          <t xml:space="preserve">2021/22</t>
        </is>
      </c>
      <c r="D6017">
        <v>0.0</v>
      </c>
      <c r="E6017">
        <v>20.59</v>
      </c>
      <c r="F6017">
        <v>25.87</v>
      </c>
      <c r="G6017">
        <v>16.8</v>
      </c>
      <c r="H6017">
        <v>0.05</v>
      </c>
      <c r="I6017">
        <v>0.0</v>
      </c>
      <c r="J6017">
        <v>21.4</v>
      </c>
      <c r="K6017">
        <v>26.69</v>
      </c>
      <c r="L6017">
        <v>17.25</v>
      </c>
      <c r="M6017">
        <v>0.0</v>
      </c>
      <c r="N6017">
        <v>0.0</v>
      </c>
      <c r="O6017">
        <v>21.58</v>
      </c>
      <c r="P6017">
        <v>26.1</v>
      </c>
      <c r="Q6017">
        <v>18.31</v>
      </c>
      <c r="R6017">
        <v>0.0</v>
      </c>
    </row>
    <row r="6018">
      <c r="A6018" s="9">
        <v>44549</v>
      </c>
      <c r="B6018" s="2" t="inlineStr">
        <is>
          <t xml:space="preserve">2021-12</t>
        </is>
      </c>
      <c r="C6018" s="2" t="inlineStr">
        <is>
          <t xml:space="preserve">2021/22</t>
        </is>
      </c>
      <c r="D6018">
        <v>0.0</v>
      </c>
      <c r="E6018">
        <v>20.83</v>
      </c>
      <c r="F6018">
        <v>25.98</v>
      </c>
      <c r="G6018">
        <v>16.75</v>
      </c>
      <c r="H6018">
        <v>0.08</v>
      </c>
      <c r="I6018">
        <v>0.0</v>
      </c>
      <c r="J6018">
        <v>22.0</v>
      </c>
      <c r="K6018">
        <v>26.63</v>
      </c>
      <c r="L6018">
        <v>18.43</v>
      </c>
      <c r="M6018">
        <v>2.29</v>
      </c>
      <c r="N6018">
        <v>0.0</v>
      </c>
      <c r="O6018">
        <v>22.26</v>
      </c>
      <c r="P6018">
        <v>26.33</v>
      </c>
      <c r="Q6018">
        <v>19.9</v>
      </c>
      <c r="R6018">
        <v>0.73</v>
      </c>
    </row>
    <row r="6019">
      <c r="A6019" s="9">
        <v>44550</v>
      </c>
      <c r="B6019" s="2" t="inlineStr">
        <is>
          <t xml:space="preserve">2021-12</t>
        </is>
      </c>
      <c r="C6019" s="2" t="inlineStr">
        <is>
          <t xml:space="preserve">2021/22</t>
        </is>
      </c>
      <c r="D6019">
        <v>0.0</v>
      </c>
      <c r="E6019">
        <v>20.22</v>
      </c>
      <c r="F6019">
        <v>25.96</v>
      </c>
      <c r="G6019">
        <v>16.39</v>
      </c>
      <c r="H6019">
        <v>0.21</v>
      </c>
      <c r="I6019">
        <v>8.98</v>
      </c>
      <c r="J6019">
        <v>21.04</v>
      </c>
      <c r="K6019">
        <v>25.41</v>
      </c>
      <c r="L6019">
        <v>18.01</v>
      </c>
      <c r="M6019">
        <v>3.47</v>
      </c>
      <c r="N6019">
        <v>0.615</v>
      </c>
      <c r="O6019">
        <v>21.43</v>
      </c>
      <c r="P6019">
        <v>25.4</v>
      </c>
      <c r="Q6019">
        <v>19.13</v>
      </c>
      <c r="R6019">
        <v>1.04</v>
      </c>
    </row>
    <row r="6020">
      <c r="A6020" s="9">
        <v>44551</v>
      </c>
      <c r="B6020" s="2" t="inlineStr">
        <is>
          <t xml:space="preserve">2021-12</t>
        </is>
      </c>
      <c r="C6020" s="2" t="inlineStr">
        <is>
          <t xml:space="preserve">2021/22</t>
        </is>
      </c>
      <c r="D6020">
        <v>0.0</v>
      </c>
      <c r="E6020">
        <v>19.67</v>
      </c>
      <c r="F6020">
        <v>24.68</v>
      </c>
      <c r="G6020">
        <v>16.13</v>
      </c>
      <c r="H6020">
        <v>1.24</v>
      </c>
      <c r="I6020">
        <v>0.0</v>
      </c>
      <c r="J6020">
        <v>19.86</v>
      </c>
      <c r="K6020">
        <v>24.63</v>
      </c>
      <c r="L6020">
        <v>16.86</v>
      </c>
      <c r="M6020">
        <v>0.75</v>
      </c>
      <c r="N6020">
        <v>0.162</v>
      </c>
      <c r="O6020">
        <v>20.54</v>
      </c>
      <c r="P6020">
        <v>24.3</v>
      </c>
      <c r="Q6020">
        <v>17.83</v>
      </c>
      <c r="R6020">
        <v>3.38</v>
      </c>
    </row>
    <row r="6021">
      <c r="A6021" s="9">
        <v>44552</v>
      </c>
      <c r="B6021" s="2" t="inlineStr">
        <is>
          <t xml:space="preserve">2021-12</t>
        </is>
      </c>
      <c r="C6021" s="2" t="inlineStr">
        <is>
          <t xml:space="preserve">2021/22</t>
        </is>
      </c>
      <c r="D6021">
        <v>0.673</v>
      </c>
      <c r="E6021">
        <v>17.78</v>
      </c>
      <c r="F6021">
        <v>22.08</v>
      </c>
      <c r="G6021">
        <v>13.96</v>
      </c>
      <c r="H6021">
        <v>3.71</v>
      </c>
      <c r="I6021">
        <v>0.916</v>
      </c>
      <c r="J6021">
        <v>17.9</v>
      </c>
      <c r="K6021">
        <v>22.34</v>
      </c>
      <c r="L6021">
        <v>13.57</v>
      </c>
      <c r="M6021">
        <v>1.54</v>
      </c>
      <c r="N6021">
        <v>3.725</v>
      </c>
      <c r="O6021">
        <v>18.07</v>
      </c>
      <c r="P6021">
        <v>21.79</v>
      </c>
      <c r="Q6021">
        <v>14.76</v>
      </c>
      <c r="R6021">
        <v>4.31</v>
      </c>
    </row>
    <row r="6022">
      <c r="A6022" s="9">
        <v>44553</v>
      </c>
      <c r="B6022" s="2" t="inlineStr">
        <is>
          <t xml:space="preserve">2021-12</t>
        </is>
      </c>
      <c r="C6022" s="2" t="inlineStr">
        <is>
          <t xml:space="preserve">2021/22</t>
        </is>
      </c>
      <c r="D6022">
        <v>0.0</v>
      </c>
      <c r="E6022">
        <v>16.36</v>
      </c>
      <c r="F6022">
        <v>22.4</v>
      </c>
      <c r="G6022">
        <v>12.54</v>
      </c>
      <c r="H6022">
        <v>0.01</v>
      </c>
      <c r="I6022">
        <v>0.045</v>
      </c>
      <c r="J6022">
        <v>16.14</v>
      </c>
      <c r="K6022">
        <v>21.6</v>
      </c>
      <c r="L6022">
        <v>12.68</v>
      </c>
      <c r="M6022">
        <v>0.18</v>
      </c>
      <c r="N6022">
        <v>0.501</v>
      </c>
      <c r="O6022">
        <v>16.49</v>
      </c>
      <c r="P6022">
        <v>21.13</v>
      </c>
      <c r="Q6022">
        <v>13.43</v>
      </c>
      <c r="R6022">
        <v>0.14</v>
      </c>
    </row>
    <row r="6023">
      <c r="A6023" s="9">
        <v>44554</v>
      </c>
      <c r="B6023" s="2" t="inlineStr">
        <is>
          <t xml:space="preserve">2021-12</t>
        </is>
      </c>
      <c r="C6023" s="2" t="inlineStr">
        <is>
          <t xml:space="preserve">2021/22</t>
        </is>
      </c>
      <c r="D6023">
        <v>0.0</v>
      </c>
      <c r="E6023">
        <v>17.49</v>
      </c>
      <c r="F6023">
        <v>23.9</v>
      </c>
      <c r="G6023">
        <v>12.49</v>
      </c>
      <c r="H6023">
        <v>0.0</v>
      </c>
      <c r="I6023">
        <v>0.0</v>
      </c>
      <c r="J6023">
        <v>16.72</v>
      </c>
      <c r="K6023">
        <v>22.79</v>
      </c>
      <c r="L6023">
        <v>12.33</v>
      </c>
      <c r="M6023">
        <v>0.0</v>
      </c>
      <c r="N6023">
        <v>0.0</v>
      </c>
      <c r="O6023">
        <v>17.21</v>
      </c>
      <c r="P6023">
        <v>22.46</v>
      </c>
      <c r="Q6023">
        <v>13.2</v>
      </c>
      <c r="R6023">
        <v>0.0</v>
      </c>
    </row>
    <row r="6024">
      <c r="A6024" s="9">
        <v>44555</v>
      </c>
      <c r="B6024" s="2" t="inlineStr">
        <is>
          <t xml:space="preserve">2021-12</t>
        </is>
      </c>
      <c r="C6024" s="2" t="inlineStr">
        <is>
          <t xml:space="preserve">2021/22</t>
        </is>
      </c>
      <c r="D6024">
        <v>0.0</v>
      </c>
      <c r="E6024">
        <v>18.64</v>
      </c>
      <c r="F6024">
        <v>24.91</v>
      </c>
      <c r="G6024">
        <v>14.24</v>
      </c>
      <c r="H6024">
        <v>0.0</v>
      </c>
      <c r="I6024">
        <v>0.0</v>
      </c>
      <c r="J6024">
        <v>18.91</v>
      </c>
      <c r="K6024">
        <v>25.14</v>
      </c>
      <c r="L6024">
        <v>14.25</v>
      </c>
      <c r="M6024">
        <v>0.0</v>
      </c>
      <c r="N6024">
        <v>0.0</v>
      </c>
      <c r="O6024">
        <v>19.27</v>
      </c>
      <c r="P6024">
        <v>24.57</v>
      </c>
      <c r="Q6024">
        <v>15.45</v>
      </c>
      <c r="R6024">
        <v>0.0</v>
      </c>
    </row>
    <row r="6025">
      <c r="A6025" s="9">
        <v>44556</v>
      </c>
      <c r="B6025" s="2" t="inlineStr">
        <is>
          <t xml:space="preserve">2021-12</t>
        </is>
      </c>
      <c r="C6025" s="2" t="inlineStr">
        <is>
          <t xml:space="preserve">2021/22</t>
        </is>
      </c>
      <c r="D6025">
        <v>0.0</v>
      </c>
      <c r="E6025">
        <v>19.18</v>
      </c>
      <c r="F6025">
        <v>25.45</v>
      </c>
      <c r="G6025">
        <v>15.01</v>
      </c>
      <c r="H6025">
        <v>0.0</v>
      </c>
      <c r="I6025">
        <v>0.0</v>
      </c>
      <c r="J6025">
        <v>19.48</v>
      </c>
      <c r="K6025">
        <v>25.27</v>
      </c>
      <c r="L6025">
        <v>15.42</v>
      </c>
      <c r="M6025">
        <v>0.0</v>
      </c>
      <c r="N6025">
        <v>0.0</v>
      </c>
      <c r="O6025">
        <v>19.65</v>
      </c>
      <c r="P6025">
        <v>24.42</v>
      </c>
      <c r="Q6025">
        <v>16.48</v>
      </c>
      <c r="R6025">
        <v>0.0</v>
      </c>
    </row>
    <row r="6026">
      <c r="A6026" s="9">
        <v>44557</v>
      </c>
      <c r="B6026" s="2" t="inlineStr">
        <is>
          <t xml:space="preserve">2021-12</t>
        </is>
      </c>
      <c r="C6026" s="2" t="inlineStr">
        <is>
          <t xml:space="preserve">2021/22</t>
        </is>
      </c>
      <c r="D6026">
        <v>0.0</v>
      </c>
      <c r="E6026">
        <v>19.88</v>
      </c>
      <c r="F6026">
        <v>26.05</v>
      </c>
      <c r="G6026">
        <v>14.58</v>
      </c>
      <c r="H6026">
        <v>0.0</v>
      </c>
      <c r="I6026">
        <v>0.0</v>
      </c>
      <c r="J6026">
        <v>20.5</v>
      </c>
      <c r="K6026">
        <v>26.3</v>
      </c>
      <c r="L6026">
        <v>15.67</v>
      </c>
      <c r="M6026">
        <v>0.0</v>
      </c>
      <c r="N6026">
        <v>0.0</v>
      </c>
      <c r="O6026">
        <v>20.3</v>
      </c>
      <c r="P6026">
        <v>25.49</v>
      </c>
      <c r="Q6026">
        <v>16.75</v>
      </c>
      <c r="R6026">
        <v>0.0</v>
      </c>
    </row>
    <row r="6027">
      <c r="A6027" s="9">
        <v>44558</v>
      </c>
      <c r="B6027" s="2" t="inlineStr">
        <is>
          <t xml:space="preserve">2021-12</t>
        </is>
      </c>
      <c r="C6027" s="2" t="inlineStr">
        <is>
          <t xml:space="preserve">2021/22</t>
        </is>
      </c>
      <c r="D6027">
        <v>0.0</v>
      </c>
      <c r="E6027">
        <v>20.57</v>
      </c>
      <c r="F6027">
        <v>26.65</v>
      </c>
      <c r="G6027">
        <v>15.46</v>
      </c>
      <c r="H6027">
        <v>0.0</v>
      </c>
      <c r="I6027">
        <v>0.0</v>
      </c>
      <c r="J6027">
        <v>21.46</v>
      </c>
      <c r="K6027">
        <v>26.47</v>
      </c>
      <c r="L6027">
        <v>17.87</v>
      </c>
      <c r="M6027">
        <v>0.0</v>
      </c>
      <c r="N6027">
        <v>0.0</v>
      </c>
      <c r="O6027">
        <v>21.97</v>
      </c>
      <c r="P6027">
        <v>26.86</v>
      </c>
      <c r="Q6027">
        <v>17.92</v>
      </c>
      <c r="R6027">
        <v>0.0</v>
      </c>
    </row>
    <row r="6028">
      <c r="A6028" s="9">
        <v>44559</v>
      </c>
      <c r="B6028" s="2" t="inlineStr">
        <is>
          <t xml:space="preserve">2021-12</t>
        </is>
      </c>
      <c r="C6028" s="2" t="inlineStr">
        <is>
          <t xml:space="preserve">2021/22</t>
        </is>
      </c>
      <c r="D6028">
        <v>0.0</v>
      </c>
      <c r="E6028">
        <v>20.73</v>
      </c>
      <c r="F6028">
        <v>26.85</v>
      </c>
      <c r="G6028">
        <v>15.01</v>
      </c>
      <c r="H6028">
        <v>0.0</v>
      </c>
      <c r="I6028">
        <v>0.0</v>
      </c>
      <c r="J6028">
        <v>20.91</v>
      </c>
      <c r="K6028">
        <v>26.5</v>
      </c>
      <c r="L6028">
        <v>16.22</v>
      </c>
      <c r="M6028">
        <v>0.0</v>
      </c>
      <c r="N6028">
        <v>0.0</v>
      </c>
      <c r="O6028">
        <v>21.42</v>
      </c>
      <c r="P6028">
        <v>27.02</v>
      </c>
      <c r="Q6028">
        <v>16.05</v>
      </c>
      <c r="R6028">
        <v>0.0</v>
      </c>
    </row>
    <row r="6029">
      <c r="A6029" s="9">
        <v>44560</v>
      </c>
      <c r="B6029" s="2" t="inlineStr">
        <is>
          <t xml:space="preserve">2021-12</t>
        </is>
      </c>
      <c r="C6029" s="2" t="inlineStr">
        <is>
          <t xml:space="preserve">2021/22</t>
        </is>
      </c>
      <c r="D6029">
        <v>0.0</v>
      </c>
      <c r="E6029">
        <v>20.13</v>
      </c>
      <c r="F6029">
        <v>26.73</v>
      </c>
      <c r="G6029">
        <v>15.0</v>
      </c>
      <c r="H6029">
        <v>0.01</v>
      </c>
      <c r="I6029">
        <v>0.0</v>
      </c>
      <c r="J6029">
        <v>20.95</v>
      </c>
      <c r="K6029">
        <v>26.93</v>
      </c>
      <c r="L6029">
        <v>16.24</v>
      </c>
      <c r="M6029">
        <v>0.0</v>
      </c>
      <c r="N6029">
        <v>0.0</v>
      </c>
      <c r="O6029">
        <v>21.35</v>
      </c>
      <c r="P6029">
        <v>26.53</v>
      </c>
      <c r="Q6029">
        <v>17.15</v>
      </c>
      <c r="R6029">
        <v>0.0</v>
      </c>
    </row>
    <row r="6030">
      <c r="A6030" s="9">
        <v>44561</v>
      </c>
      <c r="B6030" s="2" t="inlineStr">
        <is>
          <t xml:space="preserve">2021-12</t>
        </is>
      </c>
      <c r="C6030" s="2" t="inlineStr">
        <is>
          <t xml:space="preserve">2021/22</t>
        </is>
      </c>
      <c r="D6030">
        <v>0.0</v>
      </c>
      <c r="E6030">
        <v>19.94</v>
      </c>
      <c r="F6030">
        <v>26.7</v>
      </c>
      <c r="G6030">
        <v>14.65</v>
      </c>
      <c r="H6030">
        <v>0.08</v>
      </c>
      <c r="I6030">
        <v>0.0</v>
      </c>
      <c r="J6030">
        <v>21.19</v>
      </c>
      <c r="K6030">
        <v>26.96</v>
      </c>
      <c r="L6030">
        <v>16.78</v>
      </c>
      <c r="M6030">
        <v>0.0</v>
      </c>
      <c r="N6030">
        <v>0.0</v>
      </c>
      <c r="O6030">
        <v>21.24</v>
      </c>
      <c r="P6030">
        <v>26.14</v>
      </c>
      <c r="Q6030">
        <v>17.72</v>
      </c>
      <c r="R6030">
        <v>0.0</v>
      </c>
    </row>
    <row r="6031">
      <c r="A6031" s="9">
        <v>44562</v>
      </c>
      <c r="B6031" s="2" t="inlineStr">
        <is>
          <t xml:space="preserve">2022-01</t>
        </is>
      </c>
      <c r="C6031" s="2" t="inlineStr">
        <is>
          <t xml:space="preserve">2021/22</t>
        </is>
      </c>
      <c r="D6031">
        <v>0.0</v>
      </c>
      <c r="E6031">
        <v>19.68</v>
      </c>
      <c r="F6031">
        <v>26.5</v>
      </c>
      <c r="G6031">
        <v>14.51</v>
      </c>
      <c r="H6031">
        <v>0.16</v>
      </c>
      <c r="I6031">
        <v>0.0</v>
      </c>
      <c r="J6031">
        <v>21.36</v>
      </c>
      <c r="K6031">
        <v>27.12</v>
      </c>
      <c r="L6031">
        <v>17.4</v>
      </c>
      <c r="M6031">
        <v>0.0</v>
      </c>
      <c r="N6031">
        <v>0.0</v>
      </c>
      <c r="O6031">
        <v>21.15</v>
      </c>
      <c r="P6031">
        <v>26.36</v>
      </c>
      <c r="Q6031">
        <v>16.86</v>
      </c>
      <c r="R6031">
        <v>0.0</v>
      </c>
    </row>
    <row r="6032">
      <c r="A6032" s="9">
        <v>44563</v>
      </c>
      <c r="B6032" s="2" t="inlineStr">
        <is>
          <t xml:space="preserve">2022-01</t>
        </is>
      </c>
      <c r="C6032" s="2" t="inlineStr">
        <is>
          <t xml:space="preserve">2021/22</t>
        </is>
      </c>
      <c r="D6032">
        <v>0.0</v>
      </c>
      <c r="E6032">
        <v>20.47</v>
      </c>
      <c r="F6032">
        <v>27.11</v>
      </c>
      <c r="G6032">
        <v>15.12</v>
      </c>
      <c r="H6032">
        <v>0.87</v>
      </c>
      <c r="I6032">
        <v>0.0</v>
      </c>
      <c r="J6032">
        <v>21.77</v>
      </c>
      <c r="K6032">
        <v>27.29</v>
      </c>
      <c r="L6032">
        <v>17.17</v>
      </c>
      <c r="M6032">
        <v>0.36</v>
      </c>
      <c r="N6032">
        <v>0.0</v>
      </c>
      <c r="O6032">
        <v>21.66</v>
      </c>
      <c r="P6032">
        <v>27.07</v>
      </c>
      <c r="Q6032">
        <v>17.09</v>
      </c>
      <c r="R6032">
        <v>1.71</v>
      </c>
    </row>
    <row r="6033">
      <c r="A6033" s="9">
        <v>44564</v>
      </c>
      <c r="B6033" s="2" t="inlineStr">
        <is>
          <t xml:space="preserve">2022-01</t>
        </is>
      </c>
      <c r="C6033" s="2" t="inlineStr">
        <is>
          <t xml:space="preserve">2021/22</t>
        </is>
      </c>
      <c r="D6033">
        <v>0.027</v>
      </c>
      <c r="E6033">
        <v>19.9</v>
      </c>
      <c r="F6033">
        <v>25.41</v>
      </c>
      <c r="G6033">
        <v>15.04</v>
      </c>
      <c r="H6033">
        <v>2.84</v>
      </c>
      <c r="I6033">
        <v>1.046</v>
      </c>
      <c r="J6033">
        <v>20.65</v>
      </c>
      <c r="K6033">
        <v>24.7</v>
      </c>
      <c r="L6033">
        <v>17.6</v>
      </c>
      <c r="M6033">
        <v>3.47</v>
      </c>
      <c r="N6033">
        <v>4.629</v>
      </c>
      <c r="O6033">
        <v>20.9</v>
      </c>
      <c r="P6033">
        <v>24.16</v>
      </c>
      <c r="Q6033">
        <v>18.89</v>
      </c>
      <c r="R6033">
        <v>9.73</v>
      </c>
    </row>
    <row r="6034">
      <c r="A6034" s="9">
        <v>44565</v>
      </c>
      <c r="B6034" s="2" t="inlineStr">
        <is>
          <t xml:space="preserve">2022-01</t>
        </is>
      </c>
      <c r="C6034" s="2" t="inlineStr">
        <is>
          <t xml:space="preserve">2021/22</t>
        </is>
      </c>
      <c r="D6034">
        <v>0.293</v>
      </c>
      <c r="E6034">
        <v>19.21</v>
      </c>
      <c r="F6034">
        <v>24.33</v>
      </c>
      <c r="G6034">
        <v>15.89</v>
      </c>
      <c r="H6034">
        <v>0.89</v>
      </c>
      <c r="I6034">
        <v>1.322</v>
      </c>
      <c r="J6034">
        <v>19.41</v>
      </c>
      <c r="K6034">
        <v>23.28</v>
      </c>
      <c r="L6034">
        <v>16.34</v>
      </c>
      <c r="M6034">
        <v>2.08</v>
      </c>
      <c r="N6034">
        <v>5.335</v>
      </c>
      <c r="O6034">
        <v>19.61</v>
      </c>
      <c r="P6034">
        <v>23.64</v>
      </c>
      <c r="Q6034">
        <v>16.7</v>
      </c>
      <c r="R6034">
        <v>3.54</v>
      </c>
    </row>
    <row r="6035">
      <c r="A6035" s="9">
        <v>44566</v>
      </c>
      <c r="B6035" s="2" t="inlineStr">
        <is>
          <t xml:space="preserve">2022-01</t>
        </is>
      </c>
      <c r="C6035" s="2" t="inlineStr">
        <is>
          <t xml:space="preserve">2021/22</t>
        </is>
      </c>
      <c r="D6035">
        <v>0.0</v>
      </c>
      <c r="E6035">
        <v>18.37</v>
      </c>
      <c r="F6035">
        <v>24.49</v>
      </c>
      <c r="G6035">
        <v>14.53</v>
      </c>
      <c r="H6035">
        <v>0.2</v>
      </c>
      <c r="I6035">
        <v>0.059</v>
      </c>
      <c r="J6035">
        <v>18.68</v>
      </c>
      <c r="K6035">
        <v>24.31</v>
      </c>
      <c r="L6035">
        <v>15.05</v>
      </c>
      <c r="M6035">
        <v>0.17</v>
      </c>
      <c r="N6035">
        <v>0.641</v>
      </c>
      <c r="O6035">
        <v>18.94</v>
      </c>
      <c r="P6035">
        <v>23.81</v>
      </c>
      <c r="Q6035">
        <v>15.74</v>
      </c>
      <c r="R6035">
        <v>0.59</v>
      </c>
    </row>
    <row r="6036">
      <c r="A6036" s="9">
        <v>44567</v>
      </c>
      <c r="B6036" s="2" t="inlineStr">
        <is>
          <t xml:space="preserve">2022-01</t>
        </is>
      </c>
      <c r="C6036" s="2" t="inlineStr">
        <is>
          <t xml:space="preserve">2021/22</t>
        </is>
      </c>
      <c r="D6036">
        <v>0.0</v>
      </c>
      <c r="E6036">
        <v>18.51</v>
      </c>
      <c r="F6036">
        <v>25.68</v>
      </c>
      <c r="G6036">
        <v>12.98</v>
      </c>
      <c r="H6036">
        <v>2.12</v>
      </c>
      <c r="I6036">
        <v>0.0</v>
      </c>
      <c r="J6036">
        <v>20.12</v>
      </c>
      <c r="K6036">
        <v>26.12</v>
      </c>
      <c r="L6036">
        <v>15.01</v>
      </c>
      <c r="M6036">
        <v>3.18</v>
      </c>
      <c r="N6036">
        <v>0.0</v>
      </c>
      <c r="O6036">
        <v>20.03</v>
      </c>
      <c r="P6036">
        <v>25.16</v>
      </c>
      <c r="Q6036">
        <v>16.73</v>
      </c>
      <c r="R6036">
        <v>3.9</v>
      </c>
    </row>
    <row r="6037">
      <c r="A6037" s="9">
        <v>44568</v>
      </c>
      <c r="B6037" s="2" t="inlineStr">
        <is>
          <t xml:space="preserve">2022-01</t>
        </is>
      </c>
      <c r="C6037" s="2" t="inlineStr">
        <is>
          <t xml:space="preserve">2021/22</t>
        </is>
      </c>
      <c r="D6037">
        <v>10.39</v>
      </c>
      <c r="E6037">
        <v>18.25</v>
      </c>
      <c r="F6037">
        <v>25.35</v>
      </c>
      <c r="G6037">
        <v>13.42</v>
      </c>
      <c r="H6037">
        <v>3.9</v>
      </c>
      <c r="I6037">
        <v>4.197</v>
      </c>
      <c r="J6037">
        <v>19.55</v>
      </c>
      <c r="K6037">
        <v>24.07</v>
      </c>
      <c r="L6037">
        <v>16.52</v>
      </c>
      <c r="M6037">
        <v>4.37</v>
      </c>
      <c r="N6037">
        <v>14.829</v>
      </c>
      <c r="O6037">
        <v>19.68</v>
      </c>
      <c r="P6037">
        <v>23.59</v>
      </c>
      <c r="Q6037">
        <v>16.68</v>
      </c>
      <c r="R6037">
        <v>3.85</v>
      </c>
    </row>
    <row r="6038">
      <c r="A6038" s="9">
        <v>44569</v>
      </c>
      <c r="B6038" s="2" t="inlineStr">
        <is>
          <t xml:space="preserve">2022-01</t>
        </is>
      </c>
      <c r="C6038" s="2" t="inlineStr">
        <is>
          <t xml:space="preserve">2021/22</t>
        </is>
      </c>
      <c r="D6038">
        <v>0.0</v>
      </c>
      <c r="E6038">
        <v>18.81</v>
      </c>
      <c r="F6038">
        <v>23.7</v>
      </c>
      <c r="G6038">
        <v>15.24</v>
      </c>
      <c r="H6038">
        <v>0.01</v>
      </c>
      <c r="I6038">
        <v>1.325</v>
      </c>
      <c r="J6038">
        <v>18.94</v>
      </c>
      <c r="K6038">
        <v>23.57</v>
      </c>
      <c r="L6038">
        <v>15.75</v>
      </c>
      <c r="M6038">
        <v>0.35</v>
      </c>
      <c r="N6038">
        <v>0.052</v>
      </c>
      <c r="O6038">
        <v>19.32</v>
      </c>
      <c r="P6038">
        <v>24.06</v>
      </c>
      <c r="Q6038">
        <v>16.52</v>
      </c>
      <c r="R6038">
        <v>0.04</v>
      </c>
    </row>
    <row r="6039">
      <c r="A6039" s="9">
        <v>44570</v>
      </c>
      <c r="B6039" s="2" t="inlineStr">
        <is>
          <t xml:space="preserve">2022-01</t>
        </is>
      </c>
      <c r="C6039" s="2" t="inlineStr">
        <is>
          <t xml:space="preserve">2021/22</t>
        </is>
      </c>
      <c r="D6039">
        <v>0.0</v>
      </c>
      <c r="E6039">
        <v>19.39</v>
      </c>
      <c r="F6039">
        <v>25.74</v>
      </c>
      <c r="G6039">
        <v>14.36</v>
      </c>
      <c r="H6039">
        <v>0.2</v>
      </c>
      <c r="I6039">
        <v>0.0</v>
      </c>
      <c r="J6039">
        <v>20.02</v>
      </c>
      <c r="K6039">
        <v>25.58</v>
      </c>
      <c r="L6039">
        <v>16.32</v>
      </c>
      <c r="M6039">
        <v>0.25</v>
      </c>
      <c r="N6039">
        <v>0.0</v>
      </c>
      <c r="O6039">
        <v>20.31</v>
      </c>
      <c r="P6039">
        <v>25.09</v>
      </c>
      <c r="Q6039">
        <v>17.47</v>
      </c>
      <c r="R6039">
        <v>0.6</v>
      </c>
    </row>
    <row r="6040">
      <c r="A6040" s="9">
        <v>44571</v>
      </c>
      <c r="B6040" s="2" t="inlineStr">
        <is>
          <t xml:space="preserve">2022-01</t>
        </is>
      </c>
      <c r="C6040" s="2" t="inlineStr">
        <is>
          <t xml:space="preserve">2021/22</t>
        </is>
      </c>
      <c r="D6040">
        <v>0.028</v>
      </c>
      <c r="E6040">
        <v>19.21</v>
      </c>
      <c r="F6040">
        <v>24.83</v>
      </c>
      <c r="G6040">
        <v>15.53</v>
      </c>
      <c r="H6040">
        <v>1.96</v>
      </c>
      <c r="I6040">
        <v>0.637</v>
      </c>
      <c r="J6040">
        <v>19.36</v>
      </c>
      <c r="K6040">
        <v>23.89</v>
      </c>
      <c r="L6040">
        <v>16.52</v>
      </c>
      <c r="M6040">
        <v>2.01</v>
      </c>
      <c r="N6040">
        <v>2.684</v>
      </c>
      <c r="O6040">
        <v>19.61</v>
      </c>
      <c r="P6040">
        <v>23.43</v>
      </c>
      <c r="Q6040">
        <v>17.32</v>
      </c>
      <c r="R6040">
        <v>5.02</v>
      </c>
    </row>
    <row r="6041">
      <c r="A6041" s="9">
        <v>44572</v>
      </c>
      <c r="B6041" s="2" t="inlineStr">
        <is>
          <t xml:space="preserve">2022-01</t>
        </is>
      </c>
      <c r="C6041" s="2" t="inlineStr">
        <is>
          <t xml:space="preserve">2021/22</t>
        </is>
      </c>
      <c r="D6041">
        <v>0.159</v>
      </c>
      <c r="E6041">
        <v>18.39</v>
      </c>
      <c r="F6041">
        <v>23.59</v>
      </c>
      <c r="G6041">
        <v>15.5</v>
      </c>
      <c r="H6041">
        <v>1.39</v>
      </c>
      <c r="I6041">
        <v>0.478</v>
      </c>
      <c r="J6041">
        <v>18.3</v>
      </c>
      <c r="K6041">
        <v>22.64</v>
      </c>
      <c r="L6041">
        <v>14.95</v>
      </c>
      <c r="M6041">
        <v>2.92</v>
      </c>
      <c r="N6041">
        <v>2.766</v>
      </c>
      <c r="O6041">
        <v>18.39</v>
      </c>
      <c r="P6041">
        <v>22.34</v>
      </c>
      <c r="Q6041">
        <v>15.69</v>
      </c>
      <c r="R6041">
        <v>7.14</v>
      </c>
    </row>
    <row r="6042">
      <c r="A6042" s="9">
        <v>44573</v>
      </c>
      <c r="B6042" s="2" t="inlineStr">
        <is>
          <t xml:space="preserve">2022-01</t>
        </is>
      </c>
      <c r="C6042" s="2" t="inlineStr">
        <is>
          <t xml:space="preserve">2021/22</t>
        </is>
      </c>
      <c r="D6042">
        <v>0.0</v>
      </c>
      <c r="E6042">
        <v>18.23</v>
      </c>
      <c r="F6042">
        <v>23.67</v>
      </c>
      <c r="G6042">
        <v>14.71</v>
      </c>
      <c r="H6042">
        <v>1.09</v>
      </c>
      <c r="I6042">
        <v>0.93</v>
      </c>
      <c r="J6042">
        <v>18.39</v>
      </c>
      <c r="K6042">
        <v>22.99</v>
      </c>
      <c r="L6042">
        <v>15.41</v>
      </c>
      <c r="M6042">
        <v>2.99</v>
      </c>
      <c r="N6042">
        <v>4.032</v>
      </c>
      <c r="O6042">
        <v>18.4</v>
      </c>
      <c r="P6042">
        <v>22.7</v>
      </c>
      <c r="Q6042">
        <v>15.71</v>
      </c>
      <c r="R6042">
        <v>5.53</v>
      </c>
    </row>
    <row r="6043">
      <c r="A6043" s="9">
        <v>44574</v>
      </c>
      <c r="B6043" s="2" t="inlineStr">
        <is>
          <t xml:space="preserve">2022-01</t>
        </is>
      </c>
      <c r="C6043" s="2" t="inlineStr">
        <is>
          <t xml:space="preserve">2021/22</t>
        </is>
      </c>
      <c r="D6043">
        <v>0.597</v>
      </c>
      <c r="E6043">
        <v>18.13</v>
      </c>
      <c r="F6043">
        <v>23.51</v>
      </c>
      <c r="G6043">
        <v>14.38</v>
      </c>
      <c r="H6043">
        <v>1.44</v>
      </c>
      <c r="I6043">
        <v>0.449</v>
      </c>
      <c r="J6043">
        <v>18.34</v>
      </c>
      <c r="K6043">
        <v>23.37</v>
      </c>
      <c r="L6043">
        <v>14.58</v>
      </c>
      <c r="M6043">
        <v>0.78</v>
      </c>
      <c r="N6043">
        <v>1.834</v>
      </c>
      <c r="O6043">
        <v>18.41</v>
      </c>
      <c r="P6043">
        <v>22.92</v>
      </c>
      <c r="Q6043">
        <v>15.37</v>
      </c>
      <c r="R6043">
        <v>1.99</v>
      </c>
    </row>
    <row r="6044">
      <c r="A6044" s="9">
        <v>44575</v>
      </c>
      <c r="B6044" s="2" t="inlineStr">
        <is>
          <t xml:space="preserve">2022-01</t>
        </is>
      </c>
      <c r="C6044" s="2" t="inlineStr">
        <is>
          <t xml:space="preserve">2021/22</t>
        </is>
      </c>
      <c r="D6044">
        <v>0.024</v>
      </c>
      <c r="E6044">
        <v>18.09</v>
      </c>
      <c r="F6044">
        <v>24.19</v>
      </c>
      <c r="G6044">
        <v>14.1</v>
      </c>
      <c r="H6044">
        <v>0.3</v>
      </c>
      <c r="I6044">
        <v>0.0</v>
      </c>
      <c r="J6044">
        <v>18.37</v>
      </c>
      <c r="K6044">
        <v>23.65</v>
      </c>
      <c r="L6044">
        <v>14.78</v>
      </c>
      <c r="M6044">
        <v>0.03</v>
      </c>
      <c r="N6044">
        <v>0.1</v>
      </c>
      <c r="O6044">
        <v>18.43</v>
      </c>
      <c r="P6044">
        <v>23.09</v>
      </c>
      <c r="Q6044">
        <v>15.39</v>
      </c>
      <c r="R6044">
        <v>0.19</v>
      </c>
    </row>
    <row r="6045">
      <c r="A6045" s="9">
        <v>44576</v>
      </c>
      <c r="B6045" s="2" t="inlineStr">
        <is>
          <t xml:space="preserve">2022-01</t>
        </is>
      </c>
      <c r="C6045" s="2" t="inlineStr">
        <is>
          <t xml:space="preserve">2021/22</t>
        </is>
      </c>
      <c r="D6045">
        <v>0.0</v>
      </c>
      <c r="E6045">
        <v>19.85</v>
      </c>
      <c r="F6045">
        <v>26.58</v>
      </c>
      <c r="G6045">
        <v>13.72</v>
      </c>
      <c r="H6045">
        <v>0.0</v>
      </c>
      <c r="I6045">
        <v>0.0</v>
      </c>
      <c r="J6045">
        <v>19.61</v>
      </c>
      <c r="K6045">
        <v>25.75</v>
      </c>
      <c r="L6045">
        <v>14.96</v>
      </c>
      <c r="M6045">
        <v>0.02</v>
      </c>
      <c r="N6045">
        <v>0.0</v>
      </c>
      <c r="O6045">
        <v>20.26</v>
      </c>
      <c r="P6045">
        <v>25.88</v>
      </c>
      <c r="Q6045">
        <v>14.82</v>
      </c>
      <c r="R6045">
        <v>0.02</v>
      </c>
    </row>
    <row r="6046">
      <c r="A6046" s="9">
        <v>44577</v>
      </c>
      <c r="B6046" s="2" t="inlineStr">
        <is>
          <t xml:space="preserve">2022-01</t>
        </is>
      </c>
      <c r="C6046" s="2" t="inlineStr">
        <is>
          <t xml:space="preserve">2021/22</t>
        </is>
      </c>
      <c r="D6046">
        <v>0.0</v>
      </c>
      <c r="E6046">
        <v>19.82</v>
      </c>
      <c r="F6046">
        <v>26.45</v>
      </c>
      <c r="G6046">
        <v>14.68</v>
      </c>
      <c r="H6046">
        <v>0.84</v>
      </c>
      <c r="I6046">
        <v>0.0</v>
      </c>
      <c r="J6046">
        <v>19.22</v>
      </c>
      <c r="K6046">
        <v>25.28</v>
      </c>
      <c r="L6046">
        <v>14.48</v>
      </c>
      <c r="M6046">
        <v>0.93</v>
      </c>
      <c r="N6046">
        <v>0.044</v>
      </c>
      <c r="O6046">
        <v>19.3</v>
      </c>
      <c r="P6046">
        <v>24.78</v>
      </c>
      <c r="Q6046">
        <v>15.15</v>
      </c>
      <c r="R6046">
        <v>2.11</v>
      </c>
    </row>
    <row r="6047">
      <c r="A6047" s="9">
        <v>44578</v>
      </c>
      <c r="B6047" s="2" t="inlineStr">
        <is>
          <t xml:space="preserve">2022-01</t>
        </is>
      </c>
      <c r="C6047" s="2" t="inlineStr">
        <is>
          <t xml:space="preserve">2021/22</t>
        </is>
      </c>
      <c r="D6047">
        <v>0.027</v>
      </c>
      <c r="E6047">
        <v>17.11</v>
      </c>
      <c r="F6047">
        <v>22.24</v>
      </c>
      <c r="G6047">
        <v>13.88</v>
      </c>
      <c r="H6047">
        <v>0.96</v>
      </c>
      <c r="I6047">
        <v>0.0</v>
      </c>
      <c r="J6047">
        <v>16.15</v>
      </c>
      <c r="K6047">
        <v>21.54</v>
      </c>
      <c r="L6047">
        <v>12.41</v>
      </c>
      <c r="M6047">
        <v>0.16</v>
      </c>
      <c r="N6047">
        <v>0.151</v>
      </c>
      <c r="O6047">
        <v>15.87</v>
      </c>
      <c r="P6047">
        <v>20.61</v>
      </c>
      <c r="Q6047">
        <v>13.07</v>
      </c>
      <c r="R6047">
        <v>1.6</v>
      </c>
    </row>
    <row r="6048">
      <c r="A6048" s="9">
        <v>44579</v>
      </c>
      <c r="B6048" s="2" t="inlineStr">
        <is>
          <t xml:space="preserve">2022-01</t>
        </is>
      </c>
      <c r="C6048" s="2" t="inlineStr">
        <is>
          <t xml:space="preserve">2021/22</t>
        </is>
      </c>
      <c r="D6048">
        <v>0.0</v>
      </c>
      <c r="E6048">
        <v>17.69</v>
      </c>
      <c r="F6048">
        <v>24.55</v>
      </c>
      <c r="G6048">
        <v>12.62</v>
      </c>
      <c r="H6048">
        <v>0.01</v>
      </c>
      <c r="I6048">
        <v>0.03</v>
      </c>
      <c r="J6048">
        <v>16.86</v>
      </c>
      <c r="K6048">
        <v>22.91</v>
      </c>
      <c r="L6048">
        <v>12.5</v>
      </c>
      <c r="M6048">
        <v>0.1</v>
      </c>
      <c r="N6048">
        <v>0.334</v>
      </c>
      <c r="O6048">
        <v>16.51</v>
      </c>
      <c r="P6048">
        <v>21.7</v>
      </c>
      <c r="Q6048">
        <v>12.66</v>
      </c>
      <c r="R6048">
        <v>0.08</v>
      </c>
    </row>
    <row r="6049">
      <c r="A6049" s="9">
        <v>44580</v>
      </c>
      <c r="B6049" s="2" t="inlineStr">
        <is>
          <t xml:space="preserve">2022-01</t>
        </is>
      </c>
      <c r="C6049" s="2" t="inlineStr">
        <is>
          <t xml:space="preserve">2021/22</t>
        </is>
      </c>
      <c r="D6049">
        <v>0.0</v>
      </c>
      <c r="E6049">
        <v>19.2</v>
      </c>
      <c r="F6049">
        <v>26.36</v>
      </c>
      <c r="G6049">
        <v>13.93</v>
      </c>
      <c r="H6049">
        <v>0.0</v>
      </c>
      <c r="I6049">
        <v>0.0</v>
      </c>
      <c r="J6049">
        <v>18.65</v>
      </c>
      <c r="K6049">
        <v>25.12</v>
      </c>
      <c r="L6049">
        <v>13.88</v>
      </c>
      <c r="M6049">
        <v>0.02</v>
      </c>
      <c r="N6049">
        <v>0.084</v>
      </c>
      <c r="O6049">
        <v>18.62</v>
      </c>
      <c r="P6049">
        <v>24.18</v>
      </c>
      <c r="Q6049">
        <v>14.41</v>
      </c>
      <c r="R6049">
        <v>0.01</v>
      </c>
    </row>
    <row r="6050">
      <c r="A6050" s="9">
        <v>44581</v>
      </c>
      <c r="B6050" s="2" t="inlineStr">
        <is>
          <t xml:space="preserve">2022-01</t>
        </is>
      </c>
      <c r="C6050" s="2" t="inlineStr">
        <is>
          <t xml:space="preserve">2021/22</t>
        </is>
      </c>
      <c r="D6050">
        <v>0.0</v>
      </c>
      <c r="E6050">
        <v>19.51</v>
      </c>
      <c r="F6050">
        <v>26.82</v>
      </c>
      <c r="G6050">
        <v>14.45</v>
      </c>
      <c r="H6050">
        <v>0.03</v>
      </c>
      <c r="I6050">
        <v>0.0</v>
      </c>
      <c r="J6050">
        <v>19.75</v>
      </c>
      <c r="K6050">
        <v>25.79</v>
      </c>
      <c r="L6050">
        <v>15.38</v>
      </c>
      <c r="M6050">
        <v>0.07</v>
      </c>
      <c r="N6050">
        <v>0.0</v>
      </c>
      <c r="O6050">
        <v>19.91</v>
      </c>
      <c r="P6050">
        <v>24.8</v>
      </c>
      <c r="Q6050">
        <v>16.84</v>
      </c>
      <c r="R6050">
        <v>0.24</v>
      </c>
    </row>
    <row r="6051">
      <c r="A6051" s="9">
        <v>44582</v>
      </c>
      <c r="B6051" s="2" t="inlineStr">
        <is>
          <t xml:space="preserve">2022-01</t>
        </is>
      </c>
      <c r="C6051" s="2" t="inlineStr">
        <is>
          <t xml:space="preserve">2021/22</t>
        </is>
      </c>
      <c r="D6051">
        <v>0.0</v>
      </c>
      <c r="E6051">
        <v>20.4</v>
      </c>
      <c r="F6051">
        <v>27.62</v>
      </c>
      <c r="G6051">
        <v>15.91</v>
      </c>
      <c r="H6051">
        <v>0.13</v>
      </c>
      <c r="I6051">
        <v>0.0</v>
      </c>
      <c r="J6051">
        <v>20.07</v>
      </c>
      <c r="K6051">
        <v>25.99</v>
      </c>
      <c r="L6051">
        <v>15.65</v>
      </c>
      <c r="M6051">
        <v>0.48</v>
      </c>
      <c r="N6051">
        <v>0.23</v>
      </c>
      <c r="O6051">
        <v>20.31</v>
      </c>
      <c r="P6051">
        <v>25.54</v>
      </c>
      <c r="Q6051">
        <v>16.62</v>
      </c>
      <c r="R6051">
        <v>1.11</v>
      </c>
    </row>
    <row r="6052">
      <c r="A6052" s="9">
        <v>44583</v>
      </c>
      <c r="B6052" s="2" t="inlineStr">
        <is>
          <t xml:space="preserve">2022-01</t>
        </is>
      </c>
      <c r="C6052" s="2" t="inlineStr">
        <is>
          <t xml:space="preserve">2021/22</t>
        </is>
      </c>
      <c r="D6052">
        <v>0.0</v>
      </c>
      <c r="E6052">
        <v>19.88</v>
      </c>
      <c r="F6052">
        <v>26.13</v>
      </c>
      <c r="G6052">
        <v>15.66</v>
      </c>
      <c r="H6052">
        <v>0.59</v>
      </c>
      <c r="I6052">
        <v>0.5</v>
      </c>
      <c r="J6052">
        <v>19.86</v>
      </c>
      <c r="K6052">
        <v>24.96</v>
      </c>
      <c r="L6052">
        <v>16.46</v>
      </c>
      <c r="M6052">
        <v>0.97</v>
      </c>
      <c r="N6052">
        <v>1.846</v>
      </c>
      <c r="O6052">
        <v>19.99</v>
      </c>
      <c r="P6052">
        <v>24.39</v>
      </c>
      <c r="Q6052">
        <v>17.17</v>
      </c>
      <c r="R6052">
        <v>1.45</v>
      </c>
    </row>
    <row r="6053">
      <c r="A6053" s="9">
        <v>44584</v>
      </c>
      <c r="B6053" s="2" t="inlineStr">
        <is>
          <t xml:space="preserve">2022-01</t>
        </is>
      </c>
      <c r="C6053" s="2" t="inlineStr">
        <is>
          <t xml:space="preserve">2021/22</t>
        </is>
      </c>
      <c r="D6053">
        <v>0.0</v>
      </c>
      <c r="E6053">
        <v>19.6</v>
      </c>
      <c r="F6053">
        <v>25.65</v>
      </c>
      <c r="G6053">
        <v>15.82</v>
      </c>
      <c r="H6053">
        <v>0.37</v>
      </c>
      <c r="I6053">
        <v>0.416</v>
      </c>
      <c r="J6053">
        <v>19.39</v>
      </c>
      <c r="K6053">
        <v>24.59</v>
      </c>
      <c r="L6053">
        <v>15.99</v>
      </c>
      <c r="M6053">
        <v>0.71</v>
      </c>
      <c r="N6053">
        <v>1.707</v>
      </c>
      <c r="O6053">
        <v>19.27</v>
      </c>
      <c r="P6053">
        <v>23.83</v>
      </c>
      <c r="Q6053">
        <v>16.42</v>
      </c>
      <c r="R6053">
        <v>1.74</v>
      </c>
    </row>
    <row r="6054">
      <c r="A6054" s="9">
        <v>44585</v>
      </c>
      <c r="B6054" s="2" t="inlineStr">
        <is>
          <t xml:space="preserve">2022-01</t>
        </is>
      </c>
      <c r="C6054" s="2" t="inlineStr">
        <is>
          <t xml:space="preserve">2021/22</t>
        </is>
      </c>
      <c r="D6054">
        <v>0.0</v>
      </c>
      <c r="E6054">
        <v>20.19</v>
      </c>
      <c r="F6054">
        <v>26.75</v>
      </c>
      <c r="G6054">
        <v>15.38</v>
      </c>
      <c r="H6054">
        <v>0.05</v>
      </c>
      <c r="I6054">
        <v>0.045</v>
      </c>
      <c r="J6054">
        <v>19.5</v>
      </c>
      <c r="K6054">
        <v>25.12</v>
      </c>
      <c r="L6054">
        <v>14.92</v>
      </c>
      <c r="M6054">
        <v>0.16</v>
      </c>
      <c r="N6054">
        <v>0.501</v>
      </c>
      <c r="O6054">
        <v>19.78</v>
      </c>
      <c r="P6054">
        <v>24.76</v>
      </c>
      <c r="Q6054">
        <v>16.09</v>
      </c>
      <c r="R6054">
        <v>0.29</v>
      </c>
    </row>
    <row r="6055">
      <c r="A6055" s="9">
        <v>44586</v>
      </c>
      <c r="B6055" s="2" t="inlineStr">
        <is>
          <t xml:space="preserve">2022-01</t>
        </is>
      </c>
      <c r="C6055" s="2" t="inlineStr">
        <is>
          <t xml:space="preserve">2021/22</t>
        </is>
      </c>
      <c r="D6055">
        <v>0.0</v>
      </c>
      <c r="E6055">
        <v>21.25</v>
      </c>
      <c r="F6055">
        <v>28.66</v>
      </c>
      <c r="G6055">
        <v>14.74</v>
      </c>
      <c r="H6055">
        <v>0.0</v>
      </c>
      <c r="I6055">
        <v>0.0</v>
      </c>
      <c r="J6055">
        <v>21.15</v>
      </c>
      <c r="K6055">
        <v>27.06</v>
      </c>
      <c r="L6055">
        <v>15.98</v>
      </c>
      <c r="M6055">
        <v>0.0</v>
      </c>
      <c r="N6055">
        <v>0.0</v>
      </c>
      <c r="O6055">
        <v>21.44</v>
      </c>
      <c r="P6055">
        <v>27.05</v>
      </c>
      <c r="Q6055">
        <v>15.75</v>
      </c>
      <c r="R6055">
        <v>0.0</v>
      </c>
    </row>
    <row r="6056">
      <c r="A6056" s="9">
        <v>44587</v>
      </c>
      <c r="B6056" s="2" t="inlineStr">
        <is>
          <t xml:space="preserve">2022-01</t>
        </is>
      </c>
      <c r="C6056" s="2" t="inlineStr">
        <is>
          <t xml:space="preserve">2021/22</t>
        </is>
      </c>
      <c r="D6056">
        <v>0.0</v>
      </c>
      <c r="E6056">
        <v>20.85</v>
      </c>
      <c r="F6056">
        <v>27.68</v>
      </c>
      <c r="G6056">
        <v>15.28</v>
      </c>
      <c r="H6056">
        <v>0.0</v>
      </c>
      <c r="I6056">
        <v>0.0</v>
      </c>
      <c r="J6056">
        <v>20.31</v>
      </c>
      <c r="K6056">
        <v>26.15</v>
      </c>
      <c r="L6056">
        <v>15.7</v>
      </c>
      <c r="M6056">
        <v>0.31</v>
      </c>
      <c r="N6056">
        <v>0.0</v>
      </c>
      <c r="O6056">
        <v>20.66</v>
      </c>
      <c r="P6056">
        <v>25.12</v>
      </c>
      <c r="Q6056">
        <v>17.48</v>
      </c>
      <c r="R6056">
        <v>0.03</v>
      </c>
    </row>
    <row r="6057">
      <c r="A6057" s="9">
        <v>44588</v>
      </c>
      <c r="B6057" s="2" t="inlineStr">
        <is>
          <t xml:space="preserve">2022-01</t>
        </is>
      </c>
      <c r="C6057" s="2" t="inlineStr">
        <is>
          <t xml:space="preserve">2021/22</t>
        </is>
      </c>
      <c r="D6057">
        <v>0.0</v>
      </c>
      <c r="E6057">
        <v>20.67</v>
      </c>
      <c r="F6057">
        <v>27.43</v>
      </c>
      <c r="G6057">
        <v>15.84</v>
      </c>
      <c r="H6057">
        <v>0.01</v>
      </c>
      <c r="I6057">
        <v>0.0</v>
      </c>
      <c r="J6057">
        <v>19.61</v>
      </c>
      <c r="K6057">
        <v>25.03</v>
      </c>
      <c r="L6057">
        <v>15.6</v>
      </c>
      <c r="M6057">
        <v>0.01</v>
      </c>
      <c r="N6057">
        <v>0.0</v>
      </c>
      <c r="O6057">
        <v>20.14</v>
      </c>
      <c r="P6057">
        <v>24.84</v>
      </c>
      <c r="Q6057">
        <v>16.49</v>
      </c>
      <c r="R6057">
        <v>0.0</v>
      </c>
    </row>
    <row r="6058">
      <c r="A6058" s="9">
        <v>44589</v>
      </c>
      <c r="B6058" s="2" t="inlineStr">
        <is>
          <t xml:space="preserve">2022-01</t>
        </is>
      </c>
      <c r="C6058" s="2" t="inlineStr">
        <is>
          <t xml:space="preserve">2021/22</t>
        </is>
      </c>
      <c r="D6058">
        <v>0.0</v>
      </c>
      <c r="E6058">
        <v>20.31</v>
      </c>
      <c r="F6058">
        <v>27.2</v>
      </c>
      <c r="G6058">
        <v>16.06</v>
      </c>
      <c r="H6058">
        <v>0.34</v>
      </c>
      <c r="I6058">
        <v>0.0</v>
      </c>
      <c r="J6058">
        <v>20.0</v>
      </c>
      <c r="K6058">
        <v>25.91</v>
      </c>
      <c r="L6058">
        <v>15.93</v>
      </c>
      <c r="M6058">
        <v>0.21</v>
      </c>
      <c r="N6058">
        <v>0.0</v>
      </c>
      <c r="O6058">
        <v>20.08</v>
      </c>
      <c r="P6058">
        <v>25.12</v>
      </c>
      <c r="Q6058">
        <v>16.79</v>
      </c>
      <c r="R6058">
        <v>0.42</v>
      </c>
    </row>
    <row r="6059">
      <c r="A6059" s="9">
        <v>44590</v>
      </c>
      <c r="B6059" s="2" t="inlineStr">
        <is>
          <t xml:space="preserve">2022-01</t>
        </is>
      </c>
      <c r="C6059" s="2" t="inlineStr">
        <is>
          <t xml:space="preserve">2021/22</t>
        </is>
      </c>
      <c r="D6059">
        <v>0.063</v>
      </c>
      <c r="E6059">
        <v>19.22</v>
      </c>
      <c r="F6059">
        <v>25.32</v>
      </c>
      <c r="G6059">
        <v>14.83</v>
      </c>
      <c r="H6059">
        <v>5.03</v>
      </c>
      <c r="I6059">
        <v>0.997</v>
      </c>
      <c r="J6059">
        <v>18.13</v>
      </c>
      <c r="K6059">
        <v>24.24</v>
      </c>
      <c r="L6059">
        <v>14.38</v>
      </c>
      <c r="M6059">
        <v>2.97</v>
      </c>
      <c r="N6059">
        <v>3.133</v>
      </c>
      <c r="O6059">
        <v>18.04</v>
      </c>
      <c r="P6059">
        <v>23.02</v>
      </c>
      <c r="Q6059">
        <v>15.05</v>
      </c>
      <c r="R6059">
        <v>11.11</v>
      </c>
    </row>
    <row r="6060">
      <c r="A6060" s="9">
        <v>44591</v>
      </c>
      <c r="B6060" s="2" t="inlineStr">
        <is>
          <t xml:space="preserve">2022-01</t>
        </is>
      </c>
      <c r="C6060" s="2" t="inlineStr">
        <is>
          <t xml:space="preserve">2021/22</t>
        </is>
      </c>
      <c r="D6060">
        <v>0.318</v>
      </c>
      <c r="E6060">
        <v>17.72</v>
      </c>
      <c r="F6060">
        <v>22.48</v>
      </c>
      <c r="G6060">
        <v>13.84</v>
      </c>
      <c r="H6060">
        <v>3.23</v>
      </c>
      <c r="I6060">
        <v>0.989</v>
      </c>
      <c r="J6060">
        <v>15.93</v>
      </c>
      <c r="K6060">
        <v>20.47</v>
      </c>
      <c r="L6060">
        <v>13.01</v>
      </c>
      <c r="M6060">
        <v>1.01</v>
      </c>
      <c r="N6060">
        <v>2.903</v>
      </c>
      <c r="O6060">
        <v>15.35</v>
      </c>
      <c r="P6060">
        <v>18.49</v>
      </c>
      <c r="Q6060">
        <v>13.4</v>
      </c>
      <c r="R6060">
        <v>3.88</v>
      </c>
    </row>
    <row r="6061">
      <c r="A6061" s="9">
        <v>44592</v>
      </c>
      <c r="B6061" s="2" t="inlineStr">
        <is>
          <t xml:space="preserve">2022-01</t>
        </is>
      </c>
      <c r="C6061" s="2" t="inlineStr">
        <is>
          <t xml:space="preserve">2021/22</t>
        </is>
      </c>
      <c r="D6061">
        <v>0.0</v>
      </c>
      <c r="E6061">
        <v>18.51</v>
      </c>
      <c r="F6061">
        <v>25.67</v>
      </c>
      <c r="G6061">
        <v>12.99</v>
      </c>
      <c r="H6061">
        <v>0.07</v>
      </c>
      <c r="I6061">
        <v>0.07</v>
      </c>
      <c r="J6061">
        <v>17.85</v>
      </c>
      <c r="K6061">
        <v>24.46</v>
      </c>
      <c r="L6061">
        <v>12.47</v>
      </c>
      <c r="M6061">
        <v>0.18</v>
      </c>
      <c r="N6061">
        <v>0.665</v>
      </c>
      <c r="O6061">
        <v>17.58</v>
      </c>
      <c r="P6061">
        <v>23.51</v>
      </c>
      <c r="Q6061">
        <v>12.86</v>
      </c>
      <c r="R6061">
        <v>0.15</v>
      </c>
    </row>
    <row r="6062">
      <c r="A6062" s="9">
        <v>44593</v>
      </c>
      <c r="B6062" s="2" t="inlineStr">
        <is>
          <t xml:space="preserve">2022-02</t>
        </is>
      </c>
      <c r="C6062" s="2" t="inlineStr">
        <is>
          <t xml:space="preserve">2021/22</t>
        </is>
      </c>
      <c r="D6062">
        <v>0.0</v>
      </c>
      <c r="E6062">
        <v>20.74</v>
      </c>
      <c r="F6062">
        <v>28.49</v>
      </c>
      <c r="G6062">
        <v>13.14</v>
      </c>
      <c r="H6062">
        <v>41.37</v>
      </c>
      <c r="I6062">
        <v>0.0</v>
      </c>
      <c r="J6062">
        <v>20.27</v>
      </c>
      <c r="K6062">
        <v>26.81</v>
      </c>
      <c r="L6062">
        <v>14.75</v>
      </c>
      <c r="M6062">
        <v>11.42</v>
      </c>
      <c r="N6062">
        <v>0.0</v>
      </c>
      <c r="O6062">
        <v>20.56</v>
      </c>
      <c r="P6062">
        <v>26.69</v>
      </c>
      <c r="Q6062">
        <v>14.53</v>
      </c>
      <c r="R6062">
        <v>46.74</v>
      </c>
    </row>
    <row r="6063">
      <c r="A6063" s="9">
        <v>44594</v>
      </c>
      <c r="B6063" s="2" t="inlineStr">
        <is>
          <t xml:space="preserve">2022-02</t>
        </is>
      </c>
      <c r="C6063" s="2" t="inlineStr">
        <is>
          <t xml:space="preserve">2021/22</t>
        </is>
      </c>
      <c r="D6063">
        <v>0.0</v>
      </c>
      <c r="E6063">
        <v>20.51</v>
      </c>
      <c r="F6063">
        <v>26.4</v>
      </c>
      <c r="G6063">
        <v>15.45</v>
      </c>
      <c r="H6063">
        <v>94.04</v>
      </c>
      <c r="I6063">
        <v>0.0</v>
      </c>
      <c r="J6063">
        <v>20.33</v>
      </c>
      <c r="K6063">
        <v>26.31</v>
      </c>
      <c r="L6063">
        <v>15.48</v>
      </c>
      <c r="M6063">
        <v>77.36</v>
      </c>
      <c r="N6063">
        <v>0.0</v>
      </c>
      <c r="O6063">
        <v>21.28</v>
      </c>
      <c r="P6063">
        <v>26.78</v>
      </c>
      <c r="Q6063">
        <v>15.52</v>
      </c>
      <c r="R6063">
        <v>85.94</v>
      </c>
    </row>
    <row r="6064">
      <c r="A6064" s="9">
        <v>44595</v>
      </c>
      <c r="B6064" s="2" t="inlineStr">
        <is>
          <t xml:space="preserve">2022-02</t>
        </is>
      </c>
      <c r="C6064" s="2" t="inlineStr">
        <is>
          <t xml:space="preserve">2021/22</t>
        </is>
      </c>
      <c r="D6064">
        <v>0.0</v>
      </c>
      <c r="E6064">
        <v>20.69</v>
      </c>
      <c r="F6064">
        <v>27.18</v>
      </c>
      <c r="G6064">
        <v>14.74</v>
      </c>
      <c r="H6064">
        <v>0.0</v>
      </c>
      <c r="I6064">
        <v>0.0</v>
      </c>
      <c r="J6064">
        <v>20.91</v>
      </c>
      <c r="K6064">
        <v>26.7</v>
      </c>
      <c r="L6064">
        <v>16.01</v>
      </c>
      <c r="M6064">
        <v>0.0</v>
      </c>
      <c r="N6064">
        <v>0.0</v>
      </c>
      <c r="O6064">
        <v>21.73</v>
      </c>
      <c r="P6064">
        <v>27.46</v>
      </c>
      <c r="Q6064">
        <v>15.55</v>
      </c>
      <c r="R6064">
        <v>0.0</v>
      </c>
    </row>
    <row r="6065">
      <c r="A6065" s="9">
        <v>44596</v>
      </c>
      <c r="B6065" s="2" t="inlineStr">
        <is>
          <t xml:space="preserve">2022-02</t>
        </is>
      </c>
      <c r="C6065" s="2" t="inlineStr">
        <is>
          <t xml:space="preserve">2021/22</t>
        </is>
      </c>
      <c r="D6065">
        <v>0.0</v>
      </c>
      <c r="E6065">
        <v>20.32</v>
      </c>
      <c r="F6065">
        <v>26.22</v>
      </c>
      <c r="G6065">
        <v>15.54</v>
      </c>
      <c r="H6065">
        <v>0.51</v>
      </c>
      <c r="I6065">
        <v>0.0</v>
      </c>
      <c r="J6065">
        <v>20.49</v>
      </c>
      <c r="K6065">
        <v>26.46</v>
      </c>
      <c r="L6065">
        <v>15.72</v>
      </c>
      <c r="M6065">
        <v>1.2</v>
      </c>
      <c r="N6065">
        <v>0.0</v>
      </c>
      <c r="O6065">
        <v>21.05</v>
      </c>
      <c r="P6065">
        <v>25.96</v>
      </c>
      <c r="Q6065">
        <v>17.81</v>
      </c>
      <c r="R6065">
        <v>1.79</v>
      </c>
    </row>
    <row r="6066">
      <c r="A6066" s="9">
        <v>44597</v>
      </c>
      <c r="B6066" s="2" t="inlineStr">
        <is>
          <t xml:space="preserve">2022-02</t>
        </is>
      </c>
      <c r="C6066" s="2" t="inlineStr">
        <is>
          <t xml:space="preserve">2021/22</t>
        </is>
      </c>
      <c r="D6066">
        <v>0.0</v>
      </c>
      <c r="E6066">
        <v>19.14</v>
      </c>
      <c r="F6066">
        <v>24.41</v>
      </c>
      <c r="G6066">
        <v>15.96</v>
      </c>
      <c r="H6066">
        <v>0.79</v>
      </c>
      <c r="I6066">
        <v>2.1</v>
      </c>
      <c r="J6066">
        <v>19.34</v>
      </c>
      <c r="K6066">
        <v>23.87</v>
      </c>
      <c r="L6066">
        <v>16.17</v>
      </c>
      <c r="M6066">
        <v>4.11</v>
      </c>
      <c r="N6066">
        <v>5.551</v>
      </c>
      <c r="O6066">
        <v>19.31</v>
      </c>
      <c r="P6066">
        <v>23.27</v>
      </c>
      <c r="Q6066">
        <v>16.47</v>
      </c>
      <c r="R6066">
        <v>3.96</v>
      </c>
    </row>
    <row r="6067">
      <c r="A6067" s="9">
        <v>44598</v>
      </c>
      <c r="B6067" s="2" t="inlineStr">
        <is>
          <t xml:space="preserve">2022-02</t>
        </is>
      </c>
      <c r="C6067" s="2" t="inlineStr">
        <is>
          <t xml:space="preserve">2021/22</t>
        </is>
      </c>
      <c r="D6067">
        <v>0.021</v>
      </c>
      <c r="E6067">
        <v>18.67</v>
      </c>
      <c r="F6067">
        <v>24.3</v>
      </c>
      <c r="G6067">
        <v>14.94</v>
      </c>
      <c r="H6067">
        <v>2.13</v>
      </c>
      <c r="I6067">
        <v>1.005</v>
      </c>
      <c r="J6067">
        <v>18.71</v>
      </c>
      <c r="K6067">
        <v>23.89</v>
      </c>
      <c r="L6067">
        <v>15.21</v>
      </c>
      <c r="M6067">
        <v>1.57</v>
      </c>
      <c r="N6067">
        <v>2.545</v>
      </c>
      <c r="O6067">
        <v>18.17</v>
      </c>
      <c r="P6067">
        <v>22.57</v>
      </c>
      <c r="Q6067">
        <v>15.41</v>
      </c>
      <c r="R6067">
        <v>4.11</v>
      </c>
    </row>
    <row r="6068">
      <c r="A6068" s="9">
        <v>44599</v>
      </c>
      <c r="B6068" s="2" t="inlineStr">
        <is>
          <t xml:space="preserve">2022-02</t>
        </is>
      </c>
      <c r="C6068" s="2" t="inlineStr">
        <is>
          <t xml:space="preserve">2021/22</t>
        </is>
      </c>
      <c r="D6068">
        <v>0.261</v>
      </c>
      <c r="E6068">
        <v>18.17</v>
      </c>
      <c r="F6068">
        <v>24.43</v>
      </c>
      <c r="G6068">
        <v>14.43</v>
      </c>
      <c r="H6068">
        <v>0.16</v>
      </c>
      <c r="I6068">
        <v>0.283</v>
      </c>
      <c r="J6068">
        <v>18.97</v>
      </c>
      <c r="K6068">
        <v>24.9</v>
      </c>
      <c r="L6068">
        <v>14.85</v>
      </c>
      <c r="M6068">
        <v>0.44</v>
      </c>
      <c r="N6068">
        <v>0.946</v>
      </c>
      <c r="O6068">
        <v>18.66</v>
      </c>
      <c r="P6068">
        <v>23.79</v>
      </c>
      <c r="Q6068">
        <v>15.38</v>
      </c>
      <c r="R6068">
        <v>0.69</v>
      </c>
    </row>
    <row r="6069">
      <c r="A6069" s="9">
        <v>44600</v>
      </c>
      <c r="B6069" s="2" t="inlineStr">
        <is>
          <t xml:space="preserve">2022-02</t>
        </is>
      </c>
      <c r="C6069" s="2" t="inlineStr">
        <is>
          <t xml:space="preserve">2021/22</t>
        </is>
      </c>
      <c r="D6069">
        <v>0.0</v>
      </c>
      <c r="E6069">
        <v>17.94</v>
      </c>
      <c r="F6069">
        <v>24.31</v>
      </c>
      <c r="G6069">
        <v>13.44</v>
      </c>
      <c r="H6069">
        <v>0.07</v>
      </c>
      <c r="I6069">
        <v>0.417</v>
      </c>
      <c r="J6069">
        <v>18.25</v>
      </c>
      <c r="K6069">
        <v>23.8</v>
      </c>
      <c r="L6069">
        <v>14.28</v>
      </c>
      <c r="M6069">
        <v>0.74</v>
      </c>
      <c r="N6069">
        <v>1.684</v>
      </c>
      <c r="O6069">
        <v>18.07</v>
      </c>
      <c r="P6069">
        <v>22.84</v>
      </c>
      <c r="Q6069">
        <v>14.9</v>
      </c>
      <c r="R6069">
        <v>0.5</v>
      </c>
    </row>
    <row r="6070">
      <c r="A6070" s="9">
        <v>44601</v>
      </c>
      <c r="B6070" s="2" t="inlineStr">
        <is>
          <t xml:space="preserve">2022-02</t>
        </is>
      </c>
      <c r="C6070" s="2" t="inlineStr">
        <is>
          <t xml:space="preserve">2021/22</t>
        </is>
      </c>
      <c r="D6070">
        <v>0.0</v>
      </c>
      <c r="E6070">
        <v>17.91</v>
      </c>
      <c r="F6070">
        <v>24.0</v>
      </c>
      <c r="G6070">
        <v>13.01</v>
      </c>
      <c r="H6070">
        <v>1.26</v>
      </c>
      <c r="I6070">
        <v>0.42</v>
      </c>
      <c r="J6070">
        <v>18.14</v>
      </c>
      <c r="K6070">
        <v>23.08</v>
      </c>
      <c r="L6070">
        <v>14.61</v>
      </c>
      <c r="M6070">
        <v>0.77</v>
      </c>
      <c r="N6070">
        <v>1.729</v>
      </c>
      <c r="O6070">
        <v>17.89</v>
      </c>
      <c r="P6070">
        <v>22.18</v>
      </c>
      <c r="Q6070">
        <v>15.39</v>
      </c>
      <c r="R6070">
        <v>2.17</v>
      </c>
    </row>
    <row r="6071">
      <c r="A6071" s="9">
        <v>44602</v>
      </c>
      <c r="B6071" s="2" t="inlineStr">
        <is>
          <t xml:space="preserve">2022-02</t>
        </is>
      </c>
      <c r="C6071" s="2" t="inlineStr">
        <is>
          <t xml:space="preserve">2021/22</t>
        </is>
      </c>
      <c r="D6071">
        <v>0.0</v>
      </c>
      <c r="E6071">
        <v>19.19</v>
      </c>
      <c r="F6071">
        <v>25.06</v>
      </c>
      <c r="G6071">
        <v>14.91</v>
      </c>
      <c r="H6071">
        <v>0.95</v>
      </c>
      <c r="I6071">
        <v>0.0</v>
      </c>
      <c r="J6071">
        <v>19.15</v>
      </c>
      <c r="K6071">
        <v>24.97</v>
      </c>
      <c r="L6071">
        <v>14.91</v>
      </c>
      <c r="M6071">
        <v>0.07</v>
      </c>
      <c r="N6071">
        <v>0.04</v>
      </c>
      <c r="O6071">
        <v>18.53</v>
      </c>
      <c r="P6071">
        <v>23.56</v>
      </c>
      <c r="Q6071">
        <v>14.98</v>
      </c>
      <c r="R6071">
        <v>1.83</v>
      </c>
    </row>
    <row r="6072">
      <c r="A6072" s="9">
        <v>44603</v>
      </c>
      <c r="B6072" s="2" t="inlineStr">
        <is>
          <t xml:space="preserve">2022-02</t>
        </is>
      </c>
      <c r="C6072" s="2" t="inlineStr">
        <is>
          <t xml:space="preserve">2021/22</t>
        </is>
      </c>
      <c r="D6072">
        <v>0.0</v>
      </c>
      <c r="E6072">
        <v>20.36</v>
      </c>
      <c r="F6072">
        <v>26.75</v>
      </c>
      <c r="G6072">
        <v>15.63</v>
      </c>
      <c r="H6072">
        <v>0.03</v>
      </c>
      <c r="I6072">
        <v>0.0</v>
      </c>
      <c r="J6072">
        <v>20.31</v>
      </c>
      <c r="K6072">
        <v>26.33</v>
      </c>
      <c r="L6072">
        <v>15.56</v>
      </c>
      <c r="M6072">
        <v>0.0</v>
      </c>
      <c r="N6072">
        <v>0.0</v>
      </c>
      <c r="O6072">
        <v>19.97</v>
      </c>
      <c r="P6072">
        <v>25.29</v>
      </c>
      <c r="Q6072">
        <v>16.14</v>
      </c>
      <c r="R6072">
        <v>0.04</v>
      </c>
    </row>
    <row r="6073">
      <c r="A6073" s="9">
        <v>44604</v>
      </c>
      <c r="B6073" s="2" t="inlineStr">
        <is>
          <t xml:space="preserve">2022-02</t>
        </is>
      </c>
      <c r="C6073" s="2" t="inlineStr">
        <is>
          <t xml:space="preserve">2021/22</t>
        </is>
      </c>
      <c r="D6073">
        <v>0.0</v>
      </c>
      <c r="E6073">
        <v>21.44</v>
      </c>
      <c r="F6073">
        <v>28.04</v>
      </c>
      <c r="G6073">
        <v>16.47</v>
      </c>
      <c r="H6073">
        <v>0.29</v>
      </c>
      <c r="I6073">
        <v>0.0</v>
      </c>
      <c r="J6073">
        <v>21.25</v>
      </c>
      <c r="K6073">
        <v>27.5</v>
      </c>
      <c r="L6073">
        <v>16.39</v>
      </c>
      <c r="M6073">
        <v>0.24</v>
      </c>
      <c r="N6073">
        <v>0.0</v>
      </c>
      <c r="O6073">
        <v>21.12</v>
      </c>
      <c r="P6073">
        <v>26.42</v>
      </c>
      <c r="Q6073">
        <v>17.38</v>
      </c>
      <c r="R6073">
        <v>0.76</v>
      </c>
    </row>
    <row r="6074">
      <c r="A6074" s="9">
        <v>44605</v>
      </c>
      <c r="B6074" s="2" t="inlineStr">
        <is>
          <t xml:space="preserve">2022-02</t>
        </is>
      </c>
      <c r="C6074" s="2" t="inlineStr">
        <is>
          <t xml:space="preserve">2021/22</t>
        </is>
      </c>
      <c r="D6074">
        <v>0.0</v>
      </c>
      <c r="E6074">
        <v>20.19</v>
      </c>
      <c r="F6074">
        <v>25.52</v>
      </c>
      <c r="G6074">
        <v>16.64</v>
      </c>
      <c r="H6074">
        <v>3.59</v>
      </c>
      <c r="I6074">
        <v>0.865</v>
      </c>
      <c r="J6074">
        <v>20.63</v>
      </c>
      <c r="K6074">
        <v>25.4</v>
      </c>
      <c r="L6074">
        <v>17.31</v>
      </c>
      <c r="M6074">
        <v>8.21</v>
      </c>
      <c r="N6074">
        <v>2.594</v>
      </c>
      <c r="O6074">
        <v>20.45</v>
      </c>
      <c r="P6074">
        <v>24.56</v>
      </c>
      <c r="Q6074">
        <v>17.82</v>
      </c>
      <c r="R6074">
        <v>11.93</v>
      </c>
    </row>
    <row r="6075">
      <c r="A6075" s="9">
        <v>44606</v>
      </c>
      <c r="B6075" s="2" t="inlineStr">
        <is>
          <t xml:space="preserve">2022-02</t>
        </is>
      </c>
      <c r="C6075" s="2" t="inlineStr">
        <is>
          <t xml:space="preserve">2021/22</t>
        </is>
      </c>
      <c r="D6075">
        <v>2.828</v>
      </c>
      <c r="E6075">
        <v>18.91</v>
      </c>
      <c r="F6075">
        <v>23.65</v>
      </c>
      <c r="G6075">
        <v>16.09</v>
      </c>
      <c r="H6075">
        <v>29.09</v>
      </c>
      <c r="I6075">
        <v>9.504</v>
      </c>
      <c r="J6075">
        <v>18.19</v>
      </c>
      <c r="K6075">
        <v>21.58</v>
      </c>
      <c r="L6075">
        <v>15.32</v>
      </c>
      <c r="M6075">
        <v>22.88</v>
      </c>
      <c r="N6075">
        <v>36.96</v>
      </c>
      <c r="O6075">
        <v>17.88</v>
      </c>
      <c r="P6075">
        <v>20.1</v>
      </c>
      <c r="Q6075">
        <v>15.96</v>
      </c>
      <c r="R6075">
        <v>43.57</v>
      </c>
    </row>
    <row r="6076">
      <c r="A6076" s="9">
        <v>44607</v>
      </c>
      <c r="B6076" s="2" t="inlineStr">
        <is>
          <t xml:space="preserve">2022-02</t>
        </is>
      </c>
      <c r="C6076" s="2" t="inlineStr">
        <is>
          <t xml:space="preserve">2021/22</t>
        </is>
      </c>
      <c r="D6076">
        <v>0.358</v>
      </c>
      <c r="E6076">
        <v>18.51</v>
      </c>
      <c r="F6076">
        <v>23.67</v>
      </c>
      <c r="G6076">
        <v>14.62</v>
      </c>
      <c r="H6076">
        <v>2.07</v>
      </c>
      <c r="I6076">
        <v>0.972</v>
      </c>
      <c r="J6076">
        <v>17.44</v>
      </c>
      <c r="K6076">
        <v>21.67</v>
      </c>
      <c r="L6076">
        <v>14.3</v>
      </c>
      <c r="M6076">
        <v>1.39</v>
      </c>
      <c r="N6076">
        <v>3.648</v>
      </c>
      <c r="O6076">
        <v>17.2</v>
      </c>
      <c r="P6076">
        <v>20.54</v>
      </c>
      <c r="Q6076">
        <v>14.76</v>
      </c>
      <c r="R6076">
        <v>4.44</v>
      </c>
    </row>
    <row r="6077">
      <c r="A6077" s="9">
        <v>44608</v>
      </c>
      <c r="B6077" s="2" t="inlineStr">
        <is>
          <t xml:space="preserve">2022-02</t>
        </is>
      </c>
      <c r="C6077" s="2" t="inlineStr">
        <is>
          <t xml:space="preserve">2021/22</t>
        </is>
      </c>
      <c r="D6077">
        <v>0.0</v>
      </c>
      <c r="E6077">
        <v>19.0</v>
      </c>
      <c r="F6077">
        <v>25.04</v>
      </c>
      <c r="G6077">
        <v>13.93</v>
      </c>
      <c r="H6077">
        <v>0.12</v>
      </c>
      <c r="I6077">
        <v>0.0</v>
      </c>
      <c r="J6077">
        <v>19.16</v>
      </c>
      <c r="K6077">
        <v>24.85</v>
      </c>
      <c r="L6077">
        <v>15.22</v>
      </c>
      <c r="M6077">
        <v>0.03</v>
      </c>
      <c r="N6077">
        <v>0.167</v>
      </c>
      <c r="O6077">
        <v>19.12</v>
      </c>
      <c r="P6077">
        <v>23.69</v>
      </c>
      <c r="Q6077">
        <v>15.76</v>
      </c>
      <c r="R6077">
        <v>0.05</v>
      </c>
    </row>
    <row r="6078">
      <c r="A6078" s="9">
        <v>44609</v>
      </c>
      <c r="B6078" s="2" t="inlineStr">
        <is>
          <t xml:space="preserve">2022-02</t>
        </is>
      </c>
      <c r="C6078" s="2" t="inlineStr">
        <is>
          <t xml:space="preserve">2021/22</t>
        </is>
      </c>
      <c r="D6078">
        <v>0.0</v>
      </c>
      <c r="E6078">
        <v>20.24</v>
      </c>
      <c r="F6078">
        <v>26.64</v>
      </c>
      <c r="G6078">
        <v>14.83</v>
      </c>
      <c r="H6078">
        <v>0.01</v>
      </c>
      <c r="I6078">
        <v>0.0</v>
      </c>
      <c r="J6078">
        <v>20.83</v>
      </c>
      <c r="K6078">
        <v>27.15</v>
      </c>
      <c r="L6078">
        <v>15.3</v>
      </c>
      <c r="M6078">
        <v>0.0</v>
      </c>
      <c r="N6078">
        <v>0.0</v>
      </c>
      <c r="O6078">
        <v>20.61</v>
      </c>
      <c r="P6078">
        <v>26.05</v>
      </c>
      <c r="Q6078">
        <v>16.48</v>
      </c>
      <c r="R6078">
        <v>0.0</v>
      </c>
    </row>
    <row r="6079">
      <c r="A6079" s="9">
        <v>44610</v>
      </c>
      <c r="B6079" s="2" t="inlineStr">
        <is>
          <t xml:space="preserve">2022-02</t>
        </is>
      </c>
      <c r="C6079" s="2" t="inlineStr">
        <is>
          <t xml:space="preserve">2021/22</t>
        </is>
      </c>
      <c r="D6079">
        <v>0.0</v>
      </c>
      <c r="E6079">
        <v>20.3</v>
      </c>
      <c r="F6079">
        <v>27.07</v>
      </c>
      <c r="G6079">
        <v>14.38</v>
      </c>
      <c r="H6079">
        <v>0.13</v>
      </c>
      <c r="I6079">
        <v>0.0</v>
      </c>
      <c r="J6079">
        <v>21.3</v>
      </c>
      <c r="K6079">
        <v>27.17</v>
      </c>
      <c r="L6079">
        <v>17.31</v>
      </c>
      <c r="M6079">
        <v>0.21</v>
      </c>
      <c r="N6079">
        <v>0.0</v>
      </c>
      <c r="O6079">
        <v>21.36</v>
      </c>
      <c r="P6079">
        <v>25.85</v>
      </c>
      <c r="Q6079">
        <v>18.78</v>
      </c>
      <c r="R6079">
        <v>0.87</v>
      </c>
    </row>
    <row r="6080">
      <c r="A6080" s="9">
        <v>44611</v>
      </c>
      <c r="B6080" s="2" t="inlineStr">
        <is>
          <t xml:space="preserve">2022-02</t>
        </is>
      </c>
      <c r="C6080" s="2" t="inlineStr">
        <is>
          <t xml:space="preserve">2021/22</t>
        </is>
      </c>
      <c r="D6080">
        <v>0.0</v>
      </c>
      <c r="E6080">
        <v>19.56</v>
      </c>
      <c r="F6080">
        <v>25.97</v>
      </c>
      <c r="G6080">
        <v>14.84</v>
      </c>
      <c r="H6080">
        <v>0.25</v>
      </c>
      <c r="I6080">
        <v>0.0</v>
      </c>
      <c r="J6080">
        <v>20.53</v>
      </c>
      <c r="K6080">
        <v>25.77</v>
      </c>
      <c r="L6080">
        <v>16.93</v>
      </c>
      <c r="M6080">
        <v>0.8</v>
      </c>
      <c r="N6080">
        <v>0.436</v>
      </c>
      <c r="O6080">
        <v>20.44</v>
      </c>
      <c r="P6080">
        <v>24.91</v>
      </c>
      <c r="Q6080">
        <v>17.33</v>
      </c>
      <c r="R6080">
        <v>1.88</v>
      </c>
    </row>
    <row r="6081">
      <c r="A6081" s="9">
        <v>44612</v>
      </c>
      <c r="B6081" s="2" t="inlineStr">
        <is>
          <t xml:space="preserve">2022-02</t>
        </is>
      </c>
      <c r="C6081" s="2" t="inlineStr">
        <is>
          <t xml:space="preserve">2021/22</t>
        </is>
      </c>
      <c r="D6081">
        <v>0.0</v>
      </c>
      <c r="E6081">
        <v>19.68</v>
      </c>
      <c r="F6081">
        <v>25.78</v>
      </c>
      <c r="G6081">
        <v>15.49</v>
      </c>
      <c r="H6081">
        <v>0.88</v>
      </c>
      <c r="I6081">
        <v>0.455</v>
      </c>
      <c r="J6081">
        <v>19.67</v>
      </c>
      <c r="K6081">
        <v>25.42</v>
      </c>
      <c r="L6081">
        <v>15.71</v>
      </c>
      <c r="M6081">
        <v>0.93</v>
      </c>
      <c r="N6081">
        <v>1.792</v>
      </c>
      <c r="O6081">
        <v>19.77</v>
      </c>
      <c r="P6081">
        <v>24.18</v>
      </c>
      <c r="Q6081">
        <v>16.82</v>
      </c>
      <c r="R6081">
        <v>2.32</v>
      </c>
    </row>
    <row r="6082">
      <c r="A6082" s="9">
        <v>44613</v>
      </c>
      <c r="B6082" s="2" t="inlineStr">
        <is>
          <t xml:space="preserve">2022-02</t>
        </is>
      </c>
      <c r="C6082" s="2" t="inlineStr">
        <is>
          <t xml:space="preserve">2021/22</t>
        </is>
      </c>
      <c r="D6082">
        <v>0.0</v>
      </c>
      <c r="E6082">
        <v>19.94</v>
      </c>
      <c r="F6082">
        <v>26.01</v>
      </c>
      <c r="G6082">
        <v>15.33</v>
      </c>
      <c r="H6082">
        <v>0.19</v>
      </c>
      <c r="I6082">
        <v>0.0</v>
      </c>
      <c r="J6082">
        <v>19.99</v>
      </c>
      <c r="K6082">
        <v>25.54</v>
      </c>
      <c r="L6082">
        <v>15.98</v>
      </c>
      <c r="M6082">
        <v>0.09</v>
      </c>
      <c r="N6082">
        <v>0.133</v>
      </c>
      <c r="O6082">
        <v>19.95</v>
      </c>
      <c r="P6082">
        <v>24.51</v>
      </c>
      <c r="Q6082">
        <v>16.77</v>
      </c>
      <c r="R6082">
        <v>0.64</v>
      </c>
    </row>
    <row r="6083">
      <c r="A6083" s="9">
        <v>44614</v>
      </c>
      <c r="B6083" s="2" t="inlineStr">
        <is>
          <t xml:space="preserve">2022-02</t>
        </is>
      </c>
      <c r="C6083" s="2" t="inlineStr">
        <is>
          <t xml:space="preserve">2021/22</t>
        </is>
      </c>
      <c r="D6083">
        <v>0.0</v>
      </c>
      <c r="E6083">
        <v>20.47</v>
      </c>
      <c r="F6083">
        <v>27.26</v>
      </c>
      <c r="G6083">
        <v>14.55</v>
      </c>
      <c r="H6083">
        <v>0.03</v>
      </c>
      <c r="I6083">
        <v>0.0</v>
      </c>
      <c r="J6083">
        <v>20.72</v>
      </c>
      <c r="K6083">
        <v>26.93</v>
      </c>
      <c r="L6083">
        <v>16.25</v>
      </c>
      <c r="M6083">
        <v>0.01</v>
      </c>
      <c r="N6083">
        <v>0.0</v>
      </c>
      <c r="O6083">
        <v>20.53</v>
      </c>
      <c r="P6083">
        <v>25.61</v>
      </c>
      <c r="Q6083">
        <v>16.81</v>
      </c>
      <c r="R6083">
        <v>0.12</v>
      </c>
    </row>
    <row r="6084">
      <c r="A6084" s="9">
        <v>44615</v>
      </c>
      <c r="B6084" s="2" t="inlineStr">
        <is>
          <t xml:space="preserve">2022-02</t>
        </is>
      </c>
      <c r="C6084" s="2" t="inlineStr">
        <is>
          <t xml:space="preserve">2021/22</t>
        </is>
      </c>
      <c r="D6084">
        <v>0.0</v>
      </c>
      <c r="E6084">
        <v>20.52</v>
      </c>
      <c r="F6084">
        <v>27.37</v>
      </c>
      <c r="G6084">
        <v>14.32</v>
      </c>
      <c r="H6084">
        <v>0.11</v>
      </c>
      <c r="I6084">
        <v>0.0</v>
      </c>
      <c r="J6084">
        <v>21.24</v>
      </c>
      <c r="K6084">
        <v>27.04</v>
      </c>
      <c r="L6084">
        <v>16.84</v>
      </c>
      <c r="M6084">
        <v>0.0</v>
      </c>
      <c r="N6084">
        <v>0.0</v>
      </c>
      <c r="O6084">
        <v>20.98</v>
      </c>
      <c r="P6084">
        <v>25.71</v>
      </c>
      <c r="Q6084">
        <v>17.61</v>
      </c>
      <c r="R6084">
        <v>0.0</v>
      </c>
    </row>
    <row r="6085">
      <c r="A6085" s="9">
        <v>44616</v>
      </c>
      <c r="B6085" s="2" t="inlineStr">
        <is>
          <t xml:space="preserve">2022-02</t>
        </is>
      </c>
      <c r="C6085" s="2" t="inlineStr">
        <is>
          <t xml:space="preserve">2021/22</t>
        </is>
      </c>
      <c r="D6085">
        <v>0.118</v>
      </c>
      <c r="E6085">
        <v>20.89</v>
      </c>
      <c r="F6085">
        <v>27.96</v>
      </c>
      <c r="G6085">
        <v>15.1</v>
      </c>
      <c r="H6085">
        <v>0.17</v>
      </c>
      <c r="I6085">
        <v>0.0</v>
      </c>
      <c r="J6085">
        <v>21.49</v>
      </c>
      <c r="K6085">
        <v>27.63</v>
      </c>
      <c r="L6085">
        <v>17.41</v>
      </c>
      <c r="M6085">
        <v>0.23</v>
      </c>
      <c r="N6085">
        <v>0.0</v>
      </c>
      <c r="O6085">
        <v>21.2</v>
      </c>
      <c r="P6085">
        <v>25.99</v>
      </c>
      <c r="Q6085">
        <v>18.02</v>
      </c>
      <c r="R6085">
        <v>0.96</v>
      </c>
    </row>
    <row r="6086">
      <c r="A6086" s="9">
        <v>44617</v>
      </c>
      <c r="B6086" s="2" t="inlineStr">
        <is>
          <t xml:space="preserve">2022-02</t>
        </is>
      </c>
      <c r="C6086" s="2" t="inlineStr">
        <is>
          <t xml:space="preserve">2021/22</t>
        </is>
      </c>
      <c r="D6086">
        <v>0.0</v>
      </c>
      <c r="E6086">
        <v>21.3</v>
      </c>
      <c r="F6086">
        <v>28.03</v>
      </c>
      <c r="G6086">
        <v>17.06</v>
      </c>
      <c r="H6086">
        <v>0.32</v>
      </c>
      <c r="I6086">
        <v>0.0</v>
      </c>
      <c r="J6086">
        <v>20.79</v>
      </c>
      <c r="K6086">
        <v>26.29</v>
      </c>
      <c r="L6086">
        <v>17.0</v>
      </c>
      <c r="M6086">
        <v>1.45</v>
      </c>
      <c r="N6086">
        <v>0.736</v>
      </c>
      <c r="O6086">
        <v>20.53</v>
      </c>
      <c r="P6086">
        <v>25.07</v>
      </c>
      <c r="Q6086">
        <v>17.73</v>
      </c>
      <c r="R6086">
        <v>3.28</v>
      </c>
    </row>
    <row r="6087">
      <c r="A6087" s="9">
        <v>44618</v>
      </c>
      <c r="B6087" s="2" t="inlineStr">
        <is>
          <t xml:space="preserve">2022-02</t>
        </is>
      </c>
      <c r="C6087" s="2" t="inlineStr">
        <is>
          <t xml:space="preserve">2021/22</t>
        </is>
      </c>
      <c r="D6087">
        <v>0.0</v>
      </c>
      <c r="E6087">
        <v>20.5</v>
      </c>
      <c r="F6087">
        <v>26.85</v>
      </c>
      <c r="G6087">
        <v>15.88</v>
      </c>
      <c r="H6087">
        <v>0.08</v>
      </c>
      <c r="I6087">
        <v>0.026</v>
      </c>
      <c r="J6087">
        <v>20.21</v>
      </c>
      <c r="K6087">
        <v>25.58</v>
      </c>
      <c r="L6087">
        <v>16.1</v>
      </c>
      <c r="M6087">
        <v>0.09</v>
      </c>
      <c r="N6087">
        <v>0.258</v>
      </c>
      <c r="O6087">
        <v>20.1</v>
      </c>
      <c r="P6087">
        <v>24.87</v>
      </c>
      <c r="Q6087">
        <v>16.94</v>
      </c>
      <c r="R6087">
        <v>0.3</v>
      </c>
    </row>
    <row r="6088">
      <c r="A6088" s="9">
        <v>44619</v>
      </c>
      <c r="B6088" s="2" t="inlineStr">
        <is>
          <t xml:space="preserve">2022-02</t>
        </is>
      </c>
      <c r="C6088" s="2" t="inlineStr">
        <is>
          <t xml:space="preserve">2021/22</t>
        </is>
      </c>
      <c r="D6088">
        <v>0.0</v>
      </c>
      <c r="E6088">
        <v>20.05</v>
      </c>
      <c r="F6088">
        <v>26.26</v>
      </c>
      <c r="G6088">
        <v>15.6</v>
      </c>
      <c r="H6088">
        <v>0.49</v>
      </c>
      <c r="I6088">
        <v>0.0</v>
      </c>
      <c r="J6088">
        <v>19.93</v>
      </c>
      <c r="K6088">
        <v>25.39</v>
      </c>
      <c r="L6088">
        <v>15.95</v>
      </c>
      <c r="M6088">
        <v>0.12</v>
      </c>
      <c r="N6088">
        <v>0.0</v>
      </c>
      <c r="O6088">
        <v>19.91</v>
      </c>
      <c r="P6088">
        <v>24.77</v>
      </c>
      <c r="Q6088">
        <v>16.66</v>
      </c>
      <c r="R6088">
        <v>0.59</v>
      </c>
    </row>
    <row r="6089">
      <c r="A6089" s="9">
        <v>44620</v>
      </c>
      <c r="B6089" s="2" t="inlineStr">
        <is>
          <t xml:space="preserve">2022-02</t>
        </is>
      </c>
      <c r="C6089" s="2" t="inlineStr">
        <is>
          <t xml:space="preserve">2021/22</t>
        </is>
      </c>
      <c r="D6089">
        <v>0.088</v>
      </c>
      <c r="E6089">
        <v>19.19</v>
      </c>
      <c r="F6089">
        <v>25.23</v>
      </c>
      <c r="G6089">
        <v>15.55</v>
      </c>
      <c r="H6089">
        <v>2.46</v>
      </c>
      <c r="I6089">
        <v>0.446</v>
      </c>
      <c r="J6089">
        <v>19.31</v>
      </c>
      <c r="K6089">
        <v>24.7</v>
      </c>
      <c r="L6089">
        <v>15.22</v>
      </c>
      <c r="M6089">
        <v>1.48</v>
      </c>
      <c r="N6089">
        <v>1.93</v>
      </c>
      <c r="O6089">
        <v>19.02</v>
      </c>
      <c r="P6089">
        <v>23.89</v>
      </c>
      <c r="Q6089">
        <v>15.78</v>
      </c>
      <c r="R6089">
        <v>4.68</v>
      </c>
    </row>
    <row r="6090">
      <c r="A6090" s="9">
        <v>44621</v>
      </c>
      <c r="B6090" s="2" t="inlineStr">
        <is>
          <t xml:space="preserve">2022-03</t>
        </is>
      </c>
      <c r="C6090" s="2" t="inlineStr">
        <is>
          <t xml:space="preserve">2021/22</t>
        </is>
      </c>
      <c r="D6090">
        <v>0.042</v>
      </c>
      <c r="E6090">
        <v>19.21</v>
      </c>
      <c r="F6090">
        <v>25.37</v>
      </c>
      <c r="G6090">
        <v>14.99</v>
      </c>
      <c r="H6090">
        <v>1.54</v>
      </c>
      <c r="I6090">
        <v>0.85</v>
      </c>
      <c r="J6090">
        <v>18.88</v>
      </c>
      <c r="K6090">
        <v>23.96</v>
      </c>
      <c r="L6090">
        <v>15.15</v>
      </c>
      <c r="M6090">
        <v>1.45</v>
      </c>
      <c r="N6090">
        <v>3.513</v>
      </c>
      <c r="O6090">
        <v>18.69</v>
      </c>
      <c r="P6090">
        <v>23.26</v>
      </c>
      <c r="Q6090">
        <v>15.62</v>
      </c>
      <c r="R6090">
        <v>2.97</v>
      </c>
    </row>
    <row r="6091">
      <c r="A6091" s="9">
        <v>44622</v>
      </c>
      <c r="B6091" s="2" t="inlineStr">
        <is>
          <t xml:space="preserve">2022-03</t>
        </is>
      </c>
      <c r="C6091" s="2" t="inlineStr">
        <is>
          <t xml:space="preserve">2021/22</t>
        </is>
      </c>
      <c r="D6091">
        <v>0.313</v>
      </c>
      <c r="E6091">
        <v>19.8</v>
      </c>
      <c r="F6091">
        <v>25.99</v>
      </c>
      <c r="G6091">
        <v>15.37</v>
      </c>
      <c r="H6091">
        <v>0.84</v>
      </c>
      <c r="I6091">
        <v>0.0</v>
      </c>
      <c r="J6091">
        <v>19.49</v>
      </c>
      <c r="K6091">
        <v>25.16</v>
      </c>
      <c r="L6091">
        <v>14.95</v>
      </c>
      <c r="M6091">
        <v>0.02</v>
      </c>
      <c r="N6091">
        <v>0.0</v>
      </c>
      <c r="O6091">
        <v>19.24</v>
      </c>
      <c r="P6091">
        <v>24.27</v>
      </c>
      <c r="Q6091">
        <v>15.52</v>
      </c>
      <c r="R6091">
        <v>0.46</v>
      </c>
    </row>
    <row r="6092">
      <c r="A6092" s="9">
        <v>44623</v>
      </c>
      <c r="B6092" s="2" t="inlineStr">
        <is>
          <t xml:space="preserve">2022-03</t>
        </is>
      </c>
      <c r="C6092" s="2" t="inlineStr">
        <is>
          <t xml:space="preserve">2021/22</t>
        </is>
      </c>
      <c r="D6092">
        <v>0.0</v>
      </c>
      <c r="E6092">
        <v>19.98</v>
      </c>
      <c r="F6092">
        <v>27.21</v>
      </c>
      <c r="G6092">
        <v>14.57</v>
      </c>
      <c r="H6092">
        <v>0.0</v>
      </c>
      <c r="I6092">
        <v>0.0</v>
      </c>
      <c r="J6092">
        <v>19.59</v>
      </c>
      <c r="K6092">
        <v>25.48</v>
      </c>
      <c r="L6092">
        <v>14.95</v>
      </c>
      <c r="M6092">
        <v>0.0</v>
      </c>
      <c r="N6092">
        <v>0.0</v>
      </c>
      <c r="O6092">
        <v>19.34</v>
      </c>
      <c r="P6092">
        <v>24.58</v>
      </c>
      <c r="Q6092">
        <v>15.29</v>
      </c>
      <c r="R6092">
        <v>0.0</v>
      </c>
    </row>
    <row r="6093">
      <c r="A6093" s="9">
        <v>44624</v>
      </c>
      <c r="B6093" s="2" t="inlineStr">
        <is>
          <t xml:space="preserve">2022-03</t>
        </is>
      </c>
      <c r="C6093" s="2" t="inlineStr">
        <is>
          <t xml:space="preserve">2021/22</t>
        </is>
      </c>
      <c r="D6093">
        <v>0.0</v>
      </c>
      <c r="E6093">
        <v>19.95</v>
      </c>
      <c r="F6093">
        <v>27.34</v>
      </c>
      <c r="G6093">
        <v>14.73</v>
      </c>
      <c r="H6093">
        <v>0.0</v>
      </c>
      <c r="I6093">
        <v>0.0</v>
      </c>
      <c r="J6093">
        <v>19.45</v>
      </c>
      <c r="K6093">
        <v>25.46</v>
      </c>
      <c r="L6093">
        <v>15.37</v>
      </c>
      <c r="M6093">
        <v>0.0</v>
      </c>
      <c r="N6093">
        <v>0.0</v>
      </c>
      <c r="O6093">
        <v>18.97</v>
      </c>
      <c r="P6093">
        <v>24.35</v>
      </c>
      <c r="Q6093">
        <v>15.54</v>
      </c>
      <c r="R6093">
        <v>0.0</v>
      </c>
    </row>
    <row r="6094">
      <c r="A6094" s="9">
        <v>44625</v>
      </c>
      <c r="B6094" s="2" t="inlineStr">
        <is>
          <t xml:space="preserve">2022-03</t>
        </is>
      </c>
      <c r="C6094" s="2" t="inlineStr">
        <is>
          <t xml:space="preserve">2021/22</t>
        </is>
      </c>
      <c r="D6094">
        <v>0.0</v>
      </c>
      <c r="E6094">
        <v>20.45</v>
      </c>
      <c r="F6094">
        <v>28.1</v>
      </c>
      <c r="G6094">
        <v>14.68</v>
      </c>
      <c r="H6094">
        <v>28.17</v>
      </c>
      <c r="I6094">
        <v>0.0</v>
      </c>
      <c r="J6094">
        <v>19.59</v>
      </c>
      <c r="K6094">
        <v>26.27</v>
      </c>
      <c r="L6094">
        <v>14.61</v>
      </c>
      <c r="M6094">
        <v>141.57</v>
      </c>
      <c r="N6094">
        <v>0.0</v>
      </c>
      <c r="O6094">
        <v>19.25</v>
      </c>
      <c r="P6094">
        <v>25.06</v>
      </c>
      <c r="Q6094">
        <v>14.74</v>
      </c>
      <c r="R6094">
        <v>159.99</v>
      </c>
    </row>
    <row r="6095">
      <c r="A6095" s="9">
        <v>44626</v>
      </c>
      <c r="B6095" s="2" t="inlineStr">
        <is>
          <t xml:space="preserve">2022-03</t>
        </is>
      </c>
      <c r="C6095" s="2" t="inlineStr">
        <is>
          <t xml:space="preserve">2021/22</t>
        </is>
      </c>
      <c r="D6095">
        <v>0.0</v>
      </c>
      <c r="E6095">
        <v>21.27</v>
      </c>
      <c r="F6095">
        <v>28.59</v>
      </c>
      <c r="G6095">
        <v>15.49</v>
      </c>
      <c r="H6095">
        <v>13.59</v>
      </c>
      <c r="I6095">
        <v>0.0</v>
      </c>
      <c r="J6095">
        <v>20.73</v>
      </c>
      <c r="K6095">
        <v>26.53</v>
      </c>
      <c r="L6095">
        <v>16.13</v>
      </c>
      <c r="M6095">
        <v>190.37</v>
      </c>
      <c r="N6095">
        <v>0.0</v>
      </c>
      <c r="O6095">
        <v>20.86</v>
      </c>
      <c r="P6095">
        <v>26.16</v>
      </c>
      <c r="Q6095">
        <v>17.35</v>
      </c>
      <c r="R6095">
        <v>128.15</v>
      </c>
    </row>
    <row r="6096">
      <c r="A6096" s="9">
        <v>44627</v>
      </c>
      <c r="B6096" s="2" t="inlineStr">
        <is>
          <t xml:space="preserve">2022-03</t>
        </is>
      </c>
      <c r="C6096" s="2" t="inlineStr">
        <is>
          <t xml:space="preserve">2021/22</t>
        </is>
      </c>
      <c r="D6096">
        <v>0.0</v>
      </c>
      <c r="E6096">
        <v>22.1</v>
      </c>
      <c r="F6096">
        <v>28.43</v>
      </c>
      <c r="G6096">
        <v>16.85</v>
      </c>
      <c r="H6096">
        <v>0.01</v>
      </c>
      <c r="I6096">
        <v>0.0</v>
      </c>
      <c r="J6096">
        <v>21.84</v>
      </c>
      <c r="K6096">
        <v>27.6</v>
      </c>
      <c r="L6096">
        <v>17.23</v>
      </c>
      <c r="M6096">
        <v>0.03</v>
      </c>
      <c r="N6096">
        <v>0.0</v>
      </c>
      <c r="O6096">
        <v>21.97</v>
      </c>
      <c r="P6096">
        <v>27.33</v>
      </c>
      <c r="Q6096">
        <v>18.35</v>
      </c>
      <c r="R6096">
        <v>0.0</v>
      </c>
    </row>
    <row r="6097">
      <c r="A6097" s="9">
        <v>44628</v>
      </c>
      <c r="B6097" s="2" t="inlineStr">
        <is>
          <t xml:space="preserve">2022-03</t>
        </is>
      </c>
      <c r="C6097" s="2" t="inlineStr">
        <is>
          <t xml:space="preserve">2021/22</t>
        </is>
      </c>
      <c r="D6097">
        <v>0.0</v>
      </c>
      <c r="E6097">
        <v>22.34</v>
      </c>
      <c r="F6097">
        <v>29.2</v>
      </c>
      <c r="G6097">
        <v>17.04</v>
      </c>
      <c r="H6097">
        <v>0.61</v>
      </c>
      <c r="I6097">
        <v>0.442</v>
      </c>
      <c r="J6097">
        <v>22.49</v>
      </c>
      <c r="K6097">
        <v>27.7</v>
      </c>
      <c r="L6097">
        <v>17.84</v>
      </c>
      <c r="M6097">
        <v>2.21</v>
      </c>
      <c r="N6097">
        <v>0.0</v>
      </c>
      <c r="O6097">
        <v>22.46</v>
      </c>
      <c r="P6097">
        <v>27.78</v>
      </c>
      <c r="Q6097">
        <v>18.82</v>
      </c>
      <c r="R6097">
        <v>2.12</v>
      </c>
    </row>
    <row r="6098">
      <c r="A6098" s="9">
        <v>44629</v>
      </c>
      <c r="B6098" s="2" t="inlineStr">
        <is>
          <t xml:space="preserve">2022-03</t>
        </is>
      </c>
      <c r="C6098" s="2" t="inlineStr">
        <is>
          <t xml:space="preserve">2021/22</t>
        </is>
      </c>
      <c r="D6098">
        <v>3.843</v>
      </c>
      <c r="E6098">
        <v>22.62</v>
      </c>
      <c r="F6098">
        <v>28.91</v>
      </c>
      <c r="G6098">
        <v>16.47</v>
      </c>
      <c r="H6098">
        <v>1.46</v>
      </c>
      <c r="I6098">
        <v>1.694</v>
      </c>
      <c r="J6098">
        <v>22.65</v>
      </c>
      <c r="K6098">
        <v>27.77</v>
      </c>
      <c r="L6098">
        <v>18.31</v>
      </c>
      <c r="M6098">
        <v>1.12</v>
      </c>
      <c r="N6098">
        <v>6.787</v>
      </c>
      <c r="O6098">
        <v>22.74</v>
      </c>
      <c r="P6098">
        <v>28.62</v>
      </c>
      <c r="Q6098">
        <v>17.09</v>
      </c>
      <c r="R6098">
        <v>1.0</v>
      </c>
    </row>
    <row r="6099">
      <c r="A6099" s="9">
        <v>44630</v>
      </c>
      <c r="B6099" s="2" t="inlineStr">
        <is>
          <t xml:space="preserve">2022-03</t>
        </is>
      </c>
      <c r="C6099" s="2" t="inlineStr">
        <is>
          <t xml:space="preserve">2021/22</t>
        </is>
      </c>
      <c r="D6099">
        <v>0.0</v>
      </c>
      <c r="E6099">
        <v>23.31</v>
      </c>
      <c r="F6099">
        <v>30.01</v>
      </c>
      <c r="G6099">
        <v>17.42</v>
      </c>
      <c r="H6099">
        <v>0.0</v>
      </c>
      <c r="I6099">
        <v>0.0</v>
      </c>
      <c r="J6099">
        <v>22.55</v>
      </c>
      <c r="K6099">
        <v>28.12</v>
      </c>
      <c r="L6099">
        <v>18.07</v>
      </c>
      <c r="M6099">
        <v>0.0</v>
      </c>
      <c r="N6099">
        <v>0.0</v>
      </c>
      <c r="O6099">
        <v>23.88</v>
      </c>
      <c r="P6099">
        <v>29.14</v>
      </c>
      <c r="Q6099">
        <v>18.35</v>
      </c>
      <c r="R6099">
        <v>0.0</v>
      </c>
    </row>
    <row r="6100">
      <c r="A6100" s="9">
        <v>44631</v>
      </c>
      <c r="B6100" s="2" t="inlineStr">
        <is>
          <t xml:space="preserve">2022-03</t>
        </is>
      </c>
      <c r="C6100" s="2" t="inlineStr">
        <is>
          <t xml:space="preserve">2021/22</t>
        </is>
      </c>
      <c r="D6100">
        <v>0.0</v>
      </c>
      <c r="E6100">
        <v>22.86</v>
      </c>
      <c r="F6100">
        <v>30.44</v>
      </c>
      <c r="G6100">
        <v>15.94</v>
      </c>
      <c r="H6100">
        <v>0.0</v>
      </c>
      <c r="I6100">
        <v>0.0</v>
      </c>
      <c r="J6100">
        <v>22.85</v>
      </c>
      <c r="K6100">
        <v>28.56</v>
      </c>
      <c r="L6100">
        <v>18.19</v>
      </c>
      <c r="M6100">
        <v>0.03</v>
      </c>
      <c r="N6100">
        <v>0.0</v>
      </c>
      <c r="O6100">
        <v>23.68</v>
      </c>
      <c r="P6100">
        <v>29.19</v>
      </c>
      <c r="Q6100">
        <v>19.34</v>
      </c>
      <c r="R6100">
        <v>0.0</v>
      </c>
    </row>
    <row r="6101">
      <c r="A6101" s="9">
        <v>44632</v>
      </c>
      <c r="B6101" s="2" t="inlineStr">
        <is>
          <t xml:space="preserve">2022-03</t>
        </is>
      </c>
      <c r="C6101" s="2" t="inlineStr">
        <is>
          <t xml:space="preserve">2021/22</t>
        </is>
      </c>
      <c r="D6101">
        <v>0.0</v>
      </c>
      <c r="E6101">
        <v>22.08</v>
      </c>
      <c r="F6101">
        <v>29.73</v>
      </c>
      <c r="G6101">
        <v>16.12</v>
      </c>
      <c r="H6101">
        <v>0.01</v>
      </c>
      <c r="I6101">
        <v>0.036</v>
      </c>
      <c r="J6101">
        <v>21.99</v>
      </c>
      <c r="K6101">
        <v>28.44</v>
      </c>
      <c r="L6101">
        <v>17.46</v>
      </c>
      <c r="M6101">
        <v>0.04</v>
      </c>
      <c r="N6101">
        <v>0.0</v>
      </c>
      <c r="O6101">
        <v>22.07</v>
      </c>
      <c r="P6101">
        <v>27.56</v>
      </c>
      <c r="Q6101">
        <v>18.0</v>
      </c>
      <c r="R6101">
        <v>0.04</v>
      </c>
    </row>
    <row r="6102">
      <c r="A6102" s="9">
        <v>44633</v>
      </c>
      <c r="B6102" s="2" t="inlineStr">
        <is>
          <t xml:space="preserve">2022-03</t>
        </is>
      </c>
      <c r="C6102" s="2" t="inlineStr">
        <is>
          <t xml:space="preserve">2021/22</t>
        </is>
      </c>
      <c r="D6102">
        <v>0.0</v>
      </c>
      <c r="E6102">
        <v>21.26</v>
      </c>
      <c r="F6102">
        <v>27.74</v>
      </c>
      <c r="G6102">
        <v>16.45</v>
      </c>
      <c r="H6102">
        <v>0.93</v>
      </c>
      <c r="I6102">
        <v>0.0</v>
      </c>
      <c r="J6102">
        <v>20.31</v>
      </c>
      <c r="K6102">
        <v>24.92</v>
      </c>
      <c r="L6102">
        <v>16.85</v>
      </c>
      <c r="M6102">
        <v>0.27</v>
      </c>
      <c r="N6102">
        <v>0.063</v>
      </c>
      <c r="O6102">
        <v>20.57</v>
      </c>
      <c r="P6102">
        <v>24.96</v>
      </c>
      <c r="Q6102">
        <v>17.41</v>
      </c>
      <c r="R6102">
        <v>2.4</v>
      </c>
    </row>
    <row r="6103">
      <c r="A6103" s="9">
        <v>44634</v>
      </c>
      <c r="B6103" s="2" t="inlineStr">
        <is>
          <t xml:space="preserve">2022-03</t>
        </is>
      </c>
      <c r="C6103" s="2" t="inlineStr">
        <is>
          <t xml:space="preserve">2021/22</t>
        </is>
      </c>
      <c r="D6103">
        <v>0.0</v>
      </c>
      <c r="E6103">
        <v>22.11</v>
      </c>
      <c r="F6103">
        <v>29.69</v>
      </c>
      <c r="G6103">
        <v>16.37</v>
      </c>
      <c r="H6103">
        <v>0.65</v>
      </c>
      <c r="I6103">
        <v>0.0</v>
      </c>
      <c r="J6103">
        <v>21.16</v>
      </c>
      <c r="K6103">
        <v>27.01</v>
      </c>
      <c r="L6103">
        <v>16.5</v>
      </c>
      <c r="M6103">
        <v>0.37</v>
      </c>
      <c r="N6103">
        <v>0.202</v>
      </c>
      <c r="O6103">
        <v>21.12</v>
      </c>
      <c r="P6103">
        <v>26.43</v>
      </c>
      <c r="Q6103">
        <v>17.3</v>
      </c>
      <c r="R6103">
        <v>2.24</v>
      </c>
    </row>
    <row r="6104">
      <c r="A6104" s="9">
        <v>44635</v>
      </c>
      <c r="B6104" s="2" t="inlineStr">
        <is>
          <t xml:space="preserve">2022-03</t>
        </is>
      </c>
      <c r="C6104" s="2" t="inlineStr">
        <is>
          <t xml:space="preserve">2021/22</t>
        </is>
      </c>
      <c r="D6104">
        <v>0.0</v>
      </c>
      <c r="E6104">
        <v>22.78</v>
      </c>
      <c r="F6104">
        <v>29.73</v>
      </c>
      <c r="G6104">
        <v>17.33</v>
      </c>
      <c r="H6104">
        <v>0.98</v>
      </c>
      <c r="I6104">
        <v>0.458</v>
      </c>
      <c r="J6104">
        <v>21.93</v>
      </c>
      <c r="K6104">
        <v>27.71</v>
      </c>
      <c r="L6104">
        <v>17.52</v>
      </c>
      <c r="M6104">
        <v>5.48</v>
      </c>
      <c r="N6104">
        <v>1.686</v>
      </c>
      <c r="O6104">
        <v>21.92</v>
      </c>
      <c r="P6104">
        <v>27.43</v>
      </c>
      <c r="Q6104">
        <v>18.11</v>
      </c>
      <c r="R6104">
        <v>3.65</v>
      </c>
    </row>
    <row r="6105">
      <c r="A6105" s="9">
        <v>44636</v>
      </c>
      <c r="B6105" s="2" t="inlineStr">
        <is>
          <t xml:space="preserve">2022-03</t>
        </is>
      </c>
      <c r="C6105" s="2" t="inlineStr">
        <is>
          <t xml:space="preserve">2021/22</t>
        </is>
      </c>
      <c r="D6105">
        <v>0.363</v>
      </c>
      <c r="E6105">
        <v>22.73</v>
      </c>
      <c r="F6105">
        <v>29.91</v>
      </c>
      <c r="G6105">
        <v>17.91</v>
      </c>
      <c r="H6105">
        <v>1.3</v>
      </c>
      <c r="I6105">
        <v>17.806</v>
      </c>
      <c r="J6105">
        <v>21.25</v>
      </c>
      <c r="K6105">
        <v>26.29</v>
      </c>
      <c r="L6105">
        <v>17.77</v>
      </c>
      <c r="M6105">
        <v>9.02</v>
      </c>
      <c r="N6105">
        <v>5.394</v>
      </c>
      <c r="O6105">
        <v>21.41</v>
      </c>
      <c r="P6105">
        <v>26.22</v>
      </c>
      <c r="Q6105">
        <v>18.56</v>
      </c>
      <c r="R6105">
        <v>5.82</v>
      </c>
    </row>
    <row r="6106">
      <c r="A6106" s="9">
        <v>44637</v>
      </c>
      <c r="B6106" s="2" t="inlineStr">
        <is>
          <t xml:space="preserve">2022-03</t>
        </is>
      </c>
      <c r="C6106" s="2" t="inlineStr">
        <is>
          <t xml:space="preserve">2021/22</t>
        </is>
      </c>
      <c r="D6106">
        <v>0.089</v>
      </c>
      <c r="E6106">
        <v>23.69</v>
      </c>
      <c r="F6106">
        <v>30.87</v>
      </c>
      <c r="G6106">
        <v>17.49</v>
      </c>
      <c r="H6106">
        <v>0.04</v>
      </c>
      <c r="I6106">
        <v>1.546</v>
      </c>
      <c r="J6106">
        <v>22.37</v>
      </c>
      <c r="K6106">
        <v>27.95</v>
      </c>
      <c r="L6106">
        <v>17.18</v>
      </c>
      <c r="M6106">
        <v>1.18</v>
      </c>
      <c r="N6106">
        <v>0.061</v>
      </c>
      <c r="O6106">
        <v>22.34</v>
      </c>
      <c r="P6106">
        <v>28.04</v>
      </c>
      <c r="Q6106">
        <v>18.11</v>
      </c>
      <c r="R6106">
        <v>0.08</v>
      </c>
    </row>
    <row r="6107">
      <c r="A6107" s="9">
        <v>44638</v>
      </c>
      <c r="B6107" s="2" t="inlineStr">
        <is>
          <t xml:space="preserve">2022-03</t>
        </is>
      </c>
      <c r="C6107" s="2" t="inlineStr">
        <is>
          <t xml:space="preserve">2021/22</t>
        </is>
      </c>
      <c r="D6107">
        <v>0.024</v>
      </c>
      <c r="E6107">
        <v>24.33</v>
      </c>
      <c r="F6107">
        <v>31.2</v>
      </c>
      <c r="G6107">
        <v>17.95</v>
      </c>
      <c r="H6107">
        <v>0.07</v>
      </c>
      <c r="I6107">
        <v>0.0</v>
      </c>
      <c r="J6107">
        <v>23.54</v>
      </c>
      <c r="K6107">
        <v>29.4</v>
      </c>
      <c r="L6107">
        <v>18.13</v>
      </c>
      <c r="M6107">
        <v>0.29</v>
      </c>
      <c r="N6107">
        <v>0.0</v>
      </c>
      <c r="O6107">
        <v>23.44</v>
      </c>
      <c r="P6107">
        <v>29.43</v>
      </c>
      <c r="Q6107">
        <v>19.21</v>
      </c>
      <c r="R6107">
        <v>0.21</v>
      </c>
    </row>
    <row r="6108">
      <c r="A6108" s="9">
        <v>44639</v>
      </c>
      <c r="B6108" s="2" t="inlineStr">
        <is>
          <t xml:space="preserve">2022-03</t>
        </is>
      </c>
      <c r="C6108" s="2" t="inlineStr">
        <is>
          <t xml:space="preserve">2021/22</t>
        </is>
      </c>
      <c r="D6108">
        <v>0.0</v>
      </c>
      <c r="E6108">
        <v>22.94</v>
      </c>
      <c r="F6108">
        <v>27.87</v>
      </c>
      <c r="G6108">
        <v>19.66</v>
      </c>
      <c r="H6108">
        <v>0.35</v>
      </c>
      <c r="I6108">
        <v>1.468</v>
      </c>
      <c r="J6108">
        <v>22.68</v>
      </c>
      <c r="K6108">
        <v>26.88</v>
      </c>
      <c r="L6108">
        <v>19.34</v>
      </c>
      <c r="M6108">
        <v>4.11</v>
      </c>
      <c r="N6108">
        <v>3.403</v>
      </c>
      <c r="O6108">
        <v>22.61</v>
      </c>
      <c r="P6108">
        <v>26.72</v>
      </c>
      <c r="Q6108">
        <v>19.94</v>
      </c>
      <c r="R6108">
        <v>1.73</v>
      </c>
    </row>
    <row r="6109">
      <c r="A6109" s="9">
        <v>44640</v>
      </c>
      <c r="B6109" s="2" t="inlineStr">
        <is>
          <t xml:space="preserve">2022-03</t>
        </is>
      </c>
      <c r="C6109" s="2" t="inlineStr">
        <is>
          <t xml:space="preserve">2021/22</t>
        </is>
      </c>
      <c r="D6109">
        <v>0.319</v>
      </c>
      <c r="E6109">
        <v>22.74</v>
      </c>
      <c r="F6109">
        <v>29.67</v>
      </c>
      <c r="G6109">
        <v>18.34</v>
      </c>
      <c r="H6109">
        <v>0.75</v>
      </c>
      <c r="I6109">
        <v>5.199</v>
      </c>
      <c r="J6109">
        <v>20.97</v>
      </c>
      <c r="K6109">
        <v>24.57</v>
      </c>
      <c r="L6109">
        <v>18.27</v>
      </c>
      <c r="M6109">
        <v>1.27</v>
      </c>
      <c r="N6109">
        <v>0.558</v>
      </c>
      <c r="O6109">
        <v>21.32</v>
      </c>
      <c r="P6109">
        <v>24.71</v>
      </c>
      <c r="Q6109">
        <v>19.06</v>
      </c>
      <c r="R6109">
        <v>1.64</v>
      </c>
    </row>
    <row r="6110">
      <c r="A6110" s="9">
        <v>44641</v>
      </c>
      <c r="B6110" s="2" t="inlineStr">
        <is>
          <t xml:space="preserve">2022-03</t>
        </is>
      </c>
      <c r="C6110" s="2" t="inlineStr">
        <is>
          <t xml:space="preserve">2021/22</t>
        </is>
      </c>
      <c r="D6110">
        <v>0.515</v>
      </c>
      <c r="E6110">
        <v>22.29</v>
      </c>
      <c r="F6110">
        <v>30.06</v>
      </c>
      <c r="G6110">
        <v>16.23</v>
      </c>
      <c r="H6110">
        <v>0.39</v>
      </c>
      <c r="I6110">
        <v>0.063</v>
      </c>
      <c r="J6110">
        <v>21.22</v>
      </c>
      <c r="K6110">
        <v>26.68</v>
      </c>
      <c r="L6110">
        <v>17.03</v>
      </c>
      <c r="M6110">
        <v>0.17</v>
      </c>
      <c r="N6110">
        <v>0.278</v>
      </c>
      <c r="O6110">
        <v>21.15</v>
      </c>
      <c r="P6110">
        <v>26.01</v>
      </c>
      <c r="Q6110">
        <v>17.71</v>
      </c>
      <c r="R6110">
        <v>0.74</v>
      </c>
    </row>
    <row r="6111">
      <c r="A6111" s="9">
        <v>44642</v>
      </c>
      <c r="B6111" s="2" t="inlineStr">
        <is>
          <t xml:space="preserve">2022-03</t>
        </is>
      </c>
      <c r="C6111" s="2" t="inlineStr">
        <is>
          <t xml:space="preserve">2021/22</t>
        </is>
      </c>
      <c r="D6111">
        <v>0.0</v>
      </c>
      <c r="E6111">
        <v>23.01</v>
      </c>
      <c r="F6111">
        <v>30.96</v>
      </c>
      <c r="G6111">
        <v>15.35</v>
      </c>
      <c r="H6111">
        <v>0.1</v>
      </c>
      <c r="I6111">
        <v>0.0</v>
      </c>
      <c r="J6111">
        <v>22.33</v>
      </c>
      <c r="K6111">
        <v>28.43</v>
      </c>
      <c r="L6111">
        <v>17.16</v>
      </c>
      <c r="M6111">
        <v>0.0</v>
      </c>
      <c r="N6111">
        <v>0.0</v>
      </c>
      <c r="O6111">
        <v>23.0</v>
      </c>
      <c r="P6111">
        <v>28.97</v>
      </c>
      <c r="Q6111">
        <v>17.17</v>
      </c>
      <c r="R6111">
        <v>0.0</v>
      </c>
    </row>
    <row r="6112">
      <c r="A6112" s="9">
        <v>44643</v>
      </c>
      <c r="B6112" s="2" t="inlineStr">
        <is>
          <t xml:space="preserve">2022-03</t>
        </is>
      </c>
      <c r="C6112" s="2" t="inlineStr">
        <is>
          <t xml:space="preserve">2021/22</t>
        </is>
      </c>
      <c r="D6112">
        <v>0.0</v>
      </c>
      <c r="E6112">
        <v>23.98</v>
      </c>
      <c r="F6112">
        <v>32.26</v>
      </c>
      <c r="G6112">
        <v>16.26</v>
      </c>
      <c r="H6112">
        <v>0.0</v>
      </c>
      <c r="I6112">
        <v>0.0</v>
      </c>
      <c r="J6112">
        <v>23.19</v>
      </c>
      <c r="K6112">
        <v>29.34</v>
      </c>
      <c r="L6112">
        <v>17.52</v>
      </c>
      <c r="M6112">
        <v>0.04</v>
      </c>
      <c r="N6112">
        <v>0.0</v>
      </c>
      <c r="O6112">
        <v>23.08</v>
      </c>
      <c r="P6112">
        <v>29.2</v>
      </c>
      <c r="Q6112">
        <v>17.02</v>
      </c>
      <c r="R6112">
        <v>0.04</v>
      </c>
    </row>
    <row r="6113">
      <c r="A6113" s="9">
        <v>44644</v>
      </c>
      <c r="B6113" s="2" t="inlineStr">
        <is>
          <t xml:space="preserve">2022-03</t>
        </is>
      </c>
      <c r="C6113" s="2" t="inlineStr">
        <is>
          <t xml:space="preserve">2021/22</t>
        </is>
      </c>
      <c r="D6113">
        <v>0.0</v>
      </c>
      <c r="E6113">
        <v>23.67</v>
      </c>
      <c r="F6113">
        <v>30.86</v>
      </c>
      <c r="G6113">
        <v>17.8</v>
      </c>
      <c r="H6113">
        <v>0.29</v>
      </c>
      <c r="I6113">
        <v>0.045</v>
      </c>
      <c r="J6113">
        <v>23.06</v>
      </c>
      <c r="K6113">
        <v>28.48</v>
      </c>
      <c r="L6113">
        <v>18.37</v>
      </c>
      <c r="M6113">
        <v>0.33</v>
      </c>
      <c r="N6113">
        <v>0.501</v>
      </c>
      <c r="O6113">
        <v>22.68</v>
      </c>
      <c r="P6113">
        <v>27.78</v>
      </c>
      <c r="Q6113">
        <v>18.79</v>
      </c>
      <c r="R6113">
        <v>0.27</v>
      </c>
    </row>
    <row r="6114">
      <c r="A6114" s="9">
        <v>44645</v>
      </c>
      <c r="B6114" s="2" t="inlineStr">
        <is>
          <t xml:space="preserve">2022-03</t>
        </is>
      </c>
      <c r="C6114" s="2" t="inlineStr">
        <is>
          <t xml:space="preserve">2021/22</t>
        </is>
      </c>
      <c r="D6114">
        <v>0.336</v>
      </c>
      <c r="E6114">
        <v>21.76</v>
      </c>
      <c r="F6114">
        <v>28.11</v>
      </c>
      <c r="G6114">
        <v>17.7</v>
      </c>
      <c r="H6114">
        <v>2.65</v>
      </c>
      <c r="I6114">
        <v>0.42</v>
      </c>
      <c r="J6114">
        <v>19.6</v>
      </c>
      <c r="K6114">
        <v>23.76</v>
      </c>
      <c r="L6114">
        <v>16.71</v>
      </c>
      <c r="M6114">
        <v>0.75</v>
      </c>
      <c r="N6114">
        <v>1.726</v>
      </c>
      <c r="O6114">
        <v>19.5</v>
      </c>
      <c r="P6114">
        <v>22.34</v>
      </c>
      <c r="Q6114">
        <v>17.54</v>
      </c>
      <c r="R6114">
        <v>2.6</v>
      </c>
    </row>
    <row r="6115">
      <c r="A6115" s="9">
        <v>44646</v>
      </c>
      <c r="B6115" s="2" t="inlineStr">
        <is>
          <t xml:space="preserve">2022-03</t>
        </is>
      </c>
      <c r="C6115" s="2" t="inlineStr">
        <is>
          <t xml:space="preserve">2021/22</t>
        </is>
      </c>
      <c r="D6115">
        <v>0.0</v>
      </c>
      <c r="E6115">
        <v>19.98</v>
      </c>
      <c r="F6115">
        <v>26.42</v>
      </c>
      <c r="G6115">
        <v>16.26</v>
      </c>
      <c r="H6115">
        <v>0.75</v>
      </c>
      <c r="I6115">
        <v>0.0</v>
      </c>
      <c r="J6115">
        <v>18.77</v>
      </c>
      <c r="K6115">
        <v>24.06</v>
      </c>
      <c r="L6115">
        <v>15.24</v>
      </c>
      <c r="M6115">
        <v>0.07</v>
      </c>
      <c r="N6115">
        <v>0.026</v>
      </c>
      <c r="O6115">
        <v>18.23</v>
      </c>
      <c r="P6115">
        <v>22.55</v>
      </c>
      <c r="Q6115">
        <v>15.47</v>
      </c>
      <c r="R6115">
        <v>1.95</v>
      </c>
    </row>
    <row r="6116">
      <c r="A6116" s="9">
        <v>44647</v>
      </c>
      <c r="B6116" s="2" t="inlineStr">
        <is>
          <t xml:space="preserve">2022-03</t>
        </is>
      </c>
      <c r="C6116" s="2" t="inlineStr">
        <is>
          <t xml:space="preserve">2021/22</t>
        </is>
      </c>
      <c r="D6116">
        <v>0.0</v>
      </c>
      <c r="E6116">
        <v>20.83</v>
      </c>
      <c r="F6116">
        <v>28.13</v>
      </c>
      <c r="G6116">
        <v>16.0</v>
      </c>
      <c r="H6116">
        <v>0.02</v>
      </c>
      <c r="I6116">
        <v>0.0</v>
      </c>
      <c r="J6116">
        <v>19.67</v>
      </c>
      <c r="K6116">
        <v>25.33</v>
      </c>
      <c r="L6116">
        <v>15.17</v>
      </c>
      <c r="M6116">
        <v>0.0</v>
      </c>
      <c r="N6116">
        <v>0.0</v>
      </c>
      <c r="O6116">
        <v>19.13</v>
      </c>
      <c r="P6116">
        <v>24.81</v>
      </c>
      <c r="Q6116">
        <v>14.62</v>
      </c>
      <c r="R6116">
        <v>0.03</v>
      </c>
    </row>
    <row r="6117">
      <c r="A6117" s="9">
        <v>44648</v>
      </c>
      <c r="B6117" s="2" t="inlineStr">
        <is>
          <t xml:space="preserve">2022-03</t>
        </is>
      </c>
      <c r="C6117" s="2" t="inlineStr">
        <is>
          <t xml:space="preserve">2021/22</t>
        </is>
      </c>
      <c r="D6117">
        <v>0.0</v>
      </c>
      <c r="E6117">
        <v>22.96</v>
      </c>
      <c r="F6117">
        <v>30.25</v>
      </c>
      <c r="G6117">
        <v>17.27</v>
      </c>
      <c r="H6117">
        <v>0.39</v>
      </c>
      <c r="I6117">
        <v>0.0</v>
      </c>
      <c r="J6117">
        <v>21.54</v>
      </c>
      <c r="K6117">
        <v>27.46</v>
      </c>
      <c r="L6117">
        <v>17.62</v>
      </c>
      <c r="M6117">
        <v>0.0</v>
      </c>
      <c r="N6117">
        <v>0.0</v>
      </c>
      <c r="O6117">
        <v>21.49</v>
      </c>
      <c r="P6117">
        <v>27.21</v>
      </c>
      <c r="Q6117">
        <v>17.64</v>
      </c>
      <c r="R6117">
        <v>0.08</v>
      </c>
    </row>
    <row r="6118">
      <c r="A6118" s="9">
        <v>44649</v>
      </c>
      <c r="B6118" s="2" t="inlineStr">
        <is>
          <t xml:space="preserve">2022-03</t>
        </is>
      </c>
      <c r="C6118" s="2" t="inlineStr">
        <is>
          <t xml:space="preserve">2021/22</t>
        </is>
      </c>
      <c r="D6118">
        <v>0.0</v>
      </c>
      <c r="E6118">
        <v>23.43</v>
      </c>
      <c r="F6118">
        <v>30.49</v>
      </c>
      <c r="G6118">
        <v>17.42</v>
      </c>
      <c r="H6118">
        <v>1.5</v>
      </c>
      <c r="I6118">
        <v>0.0</v>
      </c>
      <c r="J6118">
        <v>22.69</v>
      </c>
      <c r="K6118">
        <v>28.42</v>
      </c>
      <c r="L6118">
        <v>17.77</v>
      </c>
      <c r="M6118">
        <v>0.09</v>
      </c>
      <c r="N6118">
        <v>0.0</v>
      </c>
      <c r="O6118">
        <v>21.86</v>
      </c>
      <c r="P6118">
        <v>26.4</v>
      </c>
      <c r="Q6118">
        <v>18.28</v>
      </c>
      <c r="R6118">
        <v>0.48</v>
      </c>
    </row>
    <row r="6119">
      <c r="A6119" s="9">
        <v>44650</v>
      </c>
      <c r="B6119" s="2" t="inlineStr">
        <is>
          <t xml:space="preserve">2022-03</t>
        </is>
      </c>
      <c r="C6119" s="2" t="inlineStr">
        <is>
          <t xml:space="preserve">2021/22</t>
        </is>
      </c>
      <c r="D6119">
        <v>7.098</v>
      </c>
      <c r="E6119">
        <v>24.02</v>
      </c>
      <c r="F6119">
        <v>30.94</v>
      </c>
      <c r="G6119">
        <v>17.7</v>
      </c>
      <c r="H6119">
        <v>2.0</v>
      </c>
      <c r="I6119">
        <v>0.182</v>
      </c>
      <c r="J6119">
        <v>23.19</v>
      </c>
      <c r="K6119">
        <v>28.64</v>
      </c>
      <c r="L6119">
        <v>19.34</v>
      </c>
      <c r="M6119">
        <v>0.31</v>
      </c>
      <c r="N6119">
        <v>0.592</v>
      </c>
      <c r="O6119">
        <v>23.4</v>
      </c>
      <c r="P6119">
        <v>29.08</v>
      </c>
      <c r="Q6119">
        <v>18.04</v>
      </c>
      <c r="R6119">
        <v>0.6</v>
      </c>
    </row>
    <row r="6120">
      <c r="A6120" s="9">
        <v>44651</v>
      </c>
      <c r="B6120" s="2" t="inlineStr">
        <is>
          <t xml:space="preserve">2022-03</t>
        </is>
      </c>
      <c r="C6120" s="2" t="inlineStr">
        <is>
          <t xml:space="preserve">2021/22</t>
        </is>
      </c>
      <c r="D6120">
        <v>0.0</v>
      </c>
      <c r="E6120">
        <v>24.93</v>
      </c>
      <c r="F6120">
        <v>32.18</v>
      </c>
      <c r="G6120">
        <v>18.25</v>
      </c>
      <c r="H6120">
        <v>0.0</v>
      </c>
      <c r="I6120">
        <v>0.0</v>
      </c>
      <c r="J6120">
        <v>23.13</v>
      </c>
      <c r="K6120">
        <v>29.4</v>
      </c>
      <c r="L6120">
        <v>18.19</v>
      </c>
      <c r="M6120">
        <v>0.0</v>
      </c>
      <c r="N6120">
        <v>0.0</v>
      </c>
      <c r="O6120">
        <v>24.19</v>
      </c>
      <c r="P6120">
        <v>29.57</v>
      </c>
      <c r="Q6120">
        <v>19.66</v>
      </c>
      <c r="R6120">
        <v>0.0</v>
      </c>
    </row>
    <row r="6121">
      <c r="A6121" s="9">
        <v>44652</v>
      </c>
      <c r="B6121" s="2" t="inlineStr">
        <is>
          <t xml:space="preserve">2022-04</t>
        </is>
      </c>
      <c r="C6121" s="2" t="inlineStr">
        <is>
          <t xml:space="preserve">2021/22</t>
        </is>
      </c>
      <c r="D6121">
        <v>0.0</v>
      </c>
      <c r="E6121">
        <v>25.22</v>
      </c>
      <c r="F6121">
        <v>32.73</v>
      </c>
      <c r="G6121">
        <v>17.88</v>
      </c>
      <c r="H6121">
        <v>0.89</v>
      </c>
      <c r="I6121">
        <v>0.0</v>
      </c>
      <c r="J6121">
        <v>23.88</v>
      </c>
      <c r="K6121">
        <v>30.06</v>
      </c>
      <c r="L6121">
        <v>18.02</v>
      </c>
      <c r="M6121">
        <v>0.04</v>
      </c>
      <c r="N6121">
        <v>0.0</v>
      </c>
      <c r="O6121">
        <v>24.4</v>
      </c>
      <c r="P6121">
        <v>30.39</v>
      </c>
      <c r="Q6121">
        <v>19.29</v>
      </c>
      <c r="R6121">
        <v>0.21</v>
      </c>
    </row>
    <row r="6122">
      <c r="A6122" s="9">
        <v>44653</v>
      </c>
      <c r="B6122" s="2" t="inlineStr">
        <is>
          <t xml:space="preserve">2022-04</t>
        </is>
      </c>
      <c r="C6122" s="2" t="inlineStr">
        <is>
          <t xml:space="preserve">2021/22</t>
        </is>
      </c>
      <c r="D6122">
        <v>3.794</v>
      </c>
      <c r="E6122">
        <v>25.34</v>
      </c>
      <c r="F6122">
        <v>33.72</v>
      </c>
      <c r="G6122">
        <v>18.23</v>
      </c>
      <c r="H6122">
        <v>0.75</v>
      </c>
      <c r="I6122">
        <v>0.087</v>
      </c>
      <c r="J6122">
        <v>24.64</v>
      </c>
      <c r="K6122">
        <v>30.22</v>
      </c>
      <c r="L6122">
        <v>19.87</v>
      </c>
      <c r="M6122">
        <v>0.05</v>
      </c>
      <c r="N6122">
        <v>0.047</v>
      </c>
      <c r="O6122">
        <v>24.84</v>
      </c>
      <c r="P6122">
        <v>30.54</v>
      </c>
      <c r="Q6122">
        <v>20.78</v>
      </c>
      <c r="R6122">
        <v>0.16</v>
      </c>
    </row>
    <row r="6123">
      <c r="A6123" s="9">
        <v>44654</v>
      </c>
      <c r="B6123" s="2" t="inlineStr">
        <is>
          <t xml:space="preserve">2022-04</t>
        </is>
      </c>
      <c r="C6123" s="2" t="inlineStr">
        <is>
          <t xml:space="preserve">2021/22</t>
        </is>
      </c>
      <c r="D6123">
        <v>0.0</v>
      </c>
      <c r="E6123">
        <v>25.2</v>
      </c>
      <c r="F6123">
        <v>32.67</v>
      </c>
      <c r="G6123">
        <v>18.16</v>
      </c>
      <c r="H6123">
        <v>0.0</v>
      </c>
      <c r="I6123">
        <v>0.0</v>
      </c>
      <c r="J6123">
        <v>24.34</v>
      </c>
      <c r="K6123">
        <v>30.16</v>
      </c>
      <c r="L6123">
        <v>19.51</v>
      </c>
      <c r="M6123">
        <v>0.43</v>
      </c>
      <c r="N6123">
        <v>0.0</v>
      </c>
      <c r="O6123">
        <v>23.69</v>
      </c>
      <c r="P6123">
        <v>29.22</v>
      </c>
      <c r="Q6123">
        <v>19.72</v>
      </c>
      <c r="R6123">
        <v>0.03</v>
      </c>
    </row>
    <row r="6124">
      <c r="A6124" s="9">
        <v>44655</v>
      </c>
      <c r="B6124" s="2" t="inlineStr">
        <is>
          <t xml:space="preserve">2022-04</t>
        </is>
      </c>
      <c r="C6124" s="2" t="inlineStr">
        <is>
          <t xml:space="preserve">2021/22</t>
        </is>
      </c>
      <c r="D6124">
        <v>0.0</v>
      </c>
      <c r="E6124">
        <v>25.47</v>
      </c>
      <c r="F6124">
        <v>33.29</v>
      </c>
      <c r="G6124">
        <v>18.4</v>
      </c>
      <c r="H6124">
        <v>0.46</v>
      </c>
      <c r="I6124">
        <v>1.295</v>
      </c>
      <c r="J6124">
        <v>23.73</v>
      </c>
      <c r="K6124">
        <v>30.28</v>
      </c>
      <c r="L6124">
        <v>19.52</v>
      </c>
      <c r="M6124">
        <v>3.7</v>
      </c>
      <c r="N6124">
        <v>0.088</v>
      </c>
      <c r="O6124">
        <v>24.34</v>
      </c>
      <c r="P6124">
        <v>30.94</v>
      </c>
      <c r="Q6124">
        <v>19.61</v>
      </c>
      <c r="R6124">
        <v>1.11</v>
      </c>
    </row>
    <row r="6125">
      <c r="A6125" s="9">
        <v>44656</v>
      </c>
      <c r="B6125" s="2" t="inlineStr">
        <is>
          <t xml:space="preserve">2022-04</t>
        </is>
      </c>
      <c r="C6125" s="2" t="inlineStr">
        <is>
          <t xml:space="preserve">2021/22</t>
        </is>
      </c>
      <c r="D6125">
        <v>0.0</v>
      </c>
      <c r="E6125">
        <v>25.47</v>
      </c>
      <c r="F6125">
        <v>32.64</v>
      </c>
      <c r="G6125">
        <v>19.75</v>
      </c>
      <c r="H6125">
        <v>0.99</v>
      </c>
      <c r="I6125">
        <v>0.0</v>
      </c>
      <c r="J6125">
        <v>23.6</v>
      </c>
      <c r="K6125">
        <v>30.53</v>
      </c>
      <c r="L6125">
        <v>18.29</v>
      </c>
      <c r="M6125">
        <v>0.12</v>
      </c>
      <c r="N6125">
        <v>0.0</v>
      </c>
      <c r="O6125">
        <v>24.54</v>
      </c>
      <c r="P6125">
        <v>30.48</v>
      </c>
      <c r="Q6125">
        <v>19.54</v>
      </c>
      <c r="R6125">
        <v>0.13</v>
      </c>
    </row>
    <row r="6126">
      <c r="A6126" s="9">
        <v>44657</v>
      </c>
      <c r="B6126" s="2" t="inlineStr">
        <is>
          <t xml:space="preserve">2022-04</t>
        </is>
      </c>
      <c r="C6126" s="2" t="inlineStr">
        <is>
          <t xml:space="preserve">2021/22</t>
        </is>
      </c>
      <c r="D6126">
        <v>0.0</v>
      </c>
      <c r="E6126">
        <v>25.88</v>
      </c>
      <c r="F6126">
        <v>33.41</v>
      </c>
      <c r="G6126">
        <v>19.33</v>
      </c>
      <c r="H6126">
        <v>0.21</v>
      </c>
      <c r="I6126">
        <v>0.0</v>
      </c>
      <c r="J6126">
        <v>23.91</v>
      </c>
      <c r="K6126">
        <v>31.2</v>
      </c>
      <c r="L6126">
        <v>17.95</v>
      </c>
      <c r="M6126">
        <v>0.0</v>
      </c>
      <c r="N6126">
        <v>0.0</v>
      </c>
      <c r="O6126">
        <v>24.84</v>
      </c>
      <c r="P6126">
        <v>31.63</v>
      </c>
      <c r="Q6126">
        <v>18.92</v>
      </c>
      <c r="R6126">
        <v>0.13</v>
      </c>
    </row>
    <row r="6127">
      <c r="A6127" s="9">
        <v>44658</v>
      </c>
      <c r="B6127" s="2" t="inlineStr">
        <is>
          <t xml:space="preserve">2022-04</t>
        </is>
      </c>
      <c r="C6127" s="2" t="inlineStr">
        <is>
          <t xml:space="preserve">2021/22</t>
        </is>
      </c>
      <c r="D6127">
        <v>0.046</v>
      </c>
      <c r="E6127">
        <v>24.74</v>
      </c>
      <c r="F6127">
        <v>30.81</v>
      </c>
      <c r="G6127">
        <v>21.43</v>
      </c>
      <c r="H6127">
        <v>3.0</v>
      </c>
      <c r="I6127">
        <v>0.0</v>
      </c>
      <c r="J6127">
        <v>25.27</v>
      </c>
      <c r="K6127">
        <v>32.0</v>
      </c>
      <c r="L6127">
        <v>18.89</v>
      </c>
      <c r="M6127">
        <v>0.45</v>
      </c>
      <c r="N6127">
        <v>0.0</v>
      </c>
      <c r="O6127">
        <v>24.75</v>
      </c>
      <c r="P6127">
        <v>31.35</v>
      </c>
      <c r="Q6127">
        <v>19.67</v>
      </c>
      <c r="R6127">
        <v>1.02</v>
      </c>
    </row>
    <row r="6128">
      <c r="A6128" s="9">
        <v>44659</v>
      </c>
      <c r="B6128" s="2" t="inlineStr">
        <is>
          <t xml:space="preserve">2022-04</t>
        </is>
      </c>
      <c r="C6128" s="2" t="inlineStr">
        <is>
          <t xml:space="preserve">2021/22</t>
        </is>
      </c>
      <c r="D6128">
        <v>3.836</v>
      </c>
      <c r="E6128">
        <v>22.24</v>
      </c>
      <c r="F6128">
        <v>26.11</v>
      </c>
      <c r="G6128">
        <v>19.49</v>
      </c>
      <c r="H6128">
        <v>4.28</v>
      </c>
      <c r="I6128">
        <v>0.889</v>
      </c>
      <c r="J6128">
        <v>22.66</v>
      </c>
      <c r="K6128">
        <v>27.2</v>
      </c>
      <c r="L6128">
        <v>19.39</v>
      </c>
      <c r="M6128">
        <v>1.82</v>
      </c>
      <c r="N6128">
        <v>2.587</v>
      </c>
      <c r="O6128">
        <v>22.45</v>
      </c>
      <c r="P6128">
        <v>27.2</v>
      </c>
      <c r="Q6128">
        <v>19.78</v>
      </c>
      <c r="R6128">
        <v>4.44</v>
      </c>
    </row>
    <row r="6129">
      <c r="A6129" s="9">
        <v>44660</v>
      </c>
      <c r="B6129" s="2" t="inlineStr">
        <is>
          <t xml:space="preserve">2022-04</t>
        </is>
      </c>
      <c r="C6129" s="2" t="inlineStr">
        <is>
          <t xml:space="preserve">2021/22</t>
        </is>
      </c>
      <c r="D6129">
        <v>0.351</v>
      </c>
      <c r="E6129">
        <v>22.0</v>
      </c>
      <c r="F6129">
        <v>28.02</v>
      </c>
      <c r="G6129">
        <v>18.38</v>
      </c>
      <c r="H6129">
        <v>2.98</v>
      </c>
      <c r="I6129">
        <v>1.332</v>
      </c>
      <c r="J6129">
        <v>21.14</v>
      </c>
      <c r="K6129">
        <v>25.86</v>
      </c>
      <c r="L6129">
        <v>18.23</v>
      </c>
      <c r="M6129">
        <v>3.76</v>
      </c>
      <c r="N6129">
        <v>5.435</v>
      </c>
      <c r="O6129">
        <v>21.16</v>
      </c>
      <c r="P6129">
        <v>25.14</v>
      </c>
      <c r="Q6129">
        <v>18.74</v>
      </c>
      <c r="R6129">
        <v>9.33</v>
      </c>
    </row>
    <row r="6130">
      <c r="A6130" s="9">
        <v>44661</v>
      </c>
      <c r="B6130" s="2" t="inlineStr">
        <is>
          <t xml:space="preserve">2022-04</t>
        </is>
      </c>
      <c r="C6130" s="2" t="inlineStr">
        <is>
          <t xml:space="preserve">2021/22</t>
        </is>
      </c>
      <c r="D6130">
        <v>0.375</v>
      </c>
      <c r="E6130">
        <v>22.44</v>
      </c>
      <c r="F6130">
        <v>30.19</v>
      </c>
      <c r="G6130">
        <v>17.13</v>
      </c>
      <c r="H6130">
        <v>1.11</v>
      </c>
      <c r="I6130">
        <v>1.538</v>
      </c>
      <c r="J6130">
        <v>21.31</v>
      </c>
      <c r="K6130">
        <v>27.2</v>
      </c>
      <c r="L6130">
        <v>17.46</v>
      </c>
      <c r="M6130">
        <v>1.91</v>
      </c>
      <c r="N6130">
        <v>6.251</v>
      </c>
      <c r="O6130">
        <v>20.8</v>
      </c>
      <c r="P6130">
        <v>26.06</v>
      </c>
      <c r="Q6130">
        <v>17.82</v>
      </c>
      <c r="R6130">
        <v>3.56</v>
      </c>
    </row>
    <row r="6131">
      <c r="A6131" s="9">
        <v>44662</v>
      </c>
      <c r="B6131" s="2" t="inlineStr">
        <is>
          <t xml:space="preserve">2022-04</t>
        </is>
      </c>
      <c r="C6131" s="2" t="inlineStr">
        <is>
          <t xml:space="preserve">2021/22</t>
        </is>
      </c>
      <c r="D6131">
        <v>0.0</v>
      </c>
      <c r="E6131">
        <v>24.04</v>
      </c>
      <c r="F6131">
        <v>31.61</v>
      </c>
      <c r="G6131">
        <v>17.85</v>
      </c>
      <c r="H6131">
        <v>0.46</v>
      </c>
      <c r="I6131">
        <v>0.0</v>
      </c>
      <c r="J6131">
        <v>23.1</v>
      </c>
      <c r="K6131">
        <v>29.89</v>
      </c>
      <c r="L6131">
        <v>17.11</v>
      </c>
      <c r="M6131">
        <v>0.96</v>
      </c>
      <c r="N6131">
        <v>0.075</v>
      </c>
      <c r="O6131">
        <v>22.49</v>
      </c>
      <c r="P6131">
        <v>28.88</v>
      </c>
      <c r="Q6131">
        <v>17.65</v>
      </c>
      <c r="R6131">
        <v>1.89</v>
      </c>
    </row>
    <row r="6132">
      <c r="A6132" s="9">
        <v>44663</v>
      </c>
      <c r="B6132" s="2" t="inlineStr">
        <is>
          <t xml:space="preserve">2022-04</t>
        </is>
      </c>
      <c r="C6132" s="2" t="inlineStr">
        <is>
          <t xml:space="preserve">2021/22</t>
        </is>
      </c>
      <c r="D6132">
        <v>0.0</v>
      </c>
      <c r="E6132">
        <v>24.77</v>
      </c>
      <c r="F6132">
        <v>32.31</v>
      </c>
      <c r="G6132">
        <v>17.62</v>
      </c>
      <c r="H6132">
        <v>0.0</v>
      </c>
      <c r="I6132">
        <v>4.436</v>
      </c>
      <c r="J6132">
        <v>24.2</v>
      </c>
      <c r="K6132">
        <v>29.85</v>
      </c>
      <c r="L6132">
        <v>19.48</v>
      </c>
      <c r="M6132">
        <v>1.31</v>
      </c>
      <c r="N6132">
        <v>0.168</v>
      </c>
      <c r="O6132">
        <v>23.75</v>
      </c>
      <c r="P6132">
        <v>29.17</v>
      </c>
      <c r="Q6132">
        <v>20.26</v>
      </c>
      <c r="R6132">
        <v>0.09</v>
      </c>
    </row>
    <row r="6133">
      <c r="A6133" s="9">
        <v>44664</v>
      </c>
      <c r="B6133" s="2" t="inlineStr">
        <is>
          <t xml:space="preserve">2022-04</t>
        </is>
      </c>
      <c r="C6133" s="2" t="inlineStr">
        <is>
          <t xml:space="preserve">2021/22</t>
        </is>
      </c>
      <c r="D6133">
        <v>0.0</v>
      </c>
      <c r="E6133">
        <v>25.26</v>
      </c>
      <c r="F6133">
        <v>33.57</v>
      </c>
      <c r="G6133">
        <v>18.44</v>
      </c>
      <c r="H6133">
        <v>0.0</v>
      </c>
      <c r="I6133">
        <v>0.0</v>
      </c>
      <c r="J6133">
        <v>24.99</v>
      </c>
      <c r="K6133">
        <v>31.52</v>
      </c>
      <c r="L6133">
        <v>20.25</v>
      </c>
      <c r="M6133">
        <v>0.0</v>
      </c>
      <c r="N6133">
        <v>0.0</v>
      </c>
      <c r="O6133">
        <v>24.6</v>
      </c>
      <c r="P6133">
        <v>30.9</v>
      </c>
      <c r="Q6133">
        <v>20.23</v>
      </c>
      <c r="R6133">
        <v>0.0</v>
      </c>
    </row>
    <row r="6134">
      <c r="A6134" s="9">
        <v>44665</v>
      </c>
      <c r="B6134" s="2" t="inlineStr">
        <is>
          <t xml:space="preserve">2022-04</t>
        </is>
      </c>
      <c r="C6134" s="2" t="inlineStr">
        <is>
          <t xml:space="preserve">2021/22</t>
        </is>
      </c>
      <c r="D6134">
        <v>0.0</v>
      </c>
      <c r="E6134">
        <v>25.65</v>
      </c>
      <c r="F6134">
        <v>33.24</v>
      </c>
      <c r="G6134">
        <v>17.87</v>
      </c>
      <c r="H6134">
        <v>0.0</v>
      </c>
      <c r="I6134">
        <v>0.0</v>
      </c>
      <c r="J6134">
        <v>25.07</v>
      </c>
      <c r="K6134">
        <v>31.46</v>
      </c>
      <c r="L6134">
        <v>19.33</v>
      </c>
      <c r="M6134">
        <v>0.04</v>
      </c>
      <c r="N6134">
        <v>0.0</v>
      </c>
      <c r="O6134">
        <v>24.62</v>
      </c>
      <c r="P6134">
        <v>31.61</v>
      </c>
      <c r="Q6134">
        <v>18.44</v>
      </c>
      <c r="R6134">
        <v>0.0</v>
      </c>
    </row>
    <row r="6135">
      <c r="A6135" s="9">
        <v>44666</v>
      </c>
      <c r="B6135" s="2" t="inlineStr">
        <is>
          <t xml:space="preserve">2022-04</t>
        </is>
      </c>
      <c r="C6135" s="2" t="inlineStr">
        <is>
          <t xml:space="preserve">2021/22</t>
        </is>
      </c>
      <c r="D6135">
        <v>0.0</v>
      </c>
      <c r="E6135">
        <v>25.75</v>
      </c>
      <c r="F6135">
        <v>33.41</v>
      </c>
      <c r="G6135">
        <v>19.21</v>
      </c>
      <c r="H6135">
        <v>0.03</v>
      </c>
      <c r="I6135">
        <v>0.0</v>
      </c>
      <c r="J6135">
        <v>25.47</v>
      </c>
      <c r="K6135">
        <v>32.01</v>
      </c>
      <c r="L6135">
        <v>19.6</v>
      </c>
      <c r="M6135">
        <v>0.34</v>
      </c>
      <c r="N6135">
        <v>0.0</v>
      </c>
      <c r="O6135">
        <v>24.5</v>
      </c>
      <c r="P6135">
        <v>30.89</v>
      </c>
      <c r="Q6135">
        <v>20.07</v>
      </c>
      <c r="R6135">
        <v>0.04</v>
      </c>
    </row>
    <row r="6136">
      <c r="A6136" s="9">
        <v>44667</v>
      </c>
      <c r="B6136" s="2" t="inlineStr">
        <is>
          <t xml:space="preserve">2022-04</t>
        </is>
      </c>
      <c r="C6136" s="2" t="inlineStr">
        <is>
          <t xml:space="preserve">2021/22</t>
        </is>
      </c>
      <c r="D6136">
        <v>0.0</v>
      </c>
      <c r="E6136">
        <v>25.33</v>
      </c>
      <c r="F6136">
        <v>33.32</v>
      </c>
      <c r="G6136">
        <v>19.21</v>
      </c>
      <c r="H6136">
        <v>0.0</v>
      </c>
      <c r="I6136">
        <v>0.819</v>
      </c>
      <c r="J6136">
        <v>24.84</v>
      </c>
      <c r="K6136">
        <v>31.26</v>
      </c>
      <c r="L6136">
        <v>19.56</v>
      </c>
      <c r="M6136">
        <v>0.31</v>
      </c>
      <c r="N6136">
        <v>0.047</v>
      </c>
      <c r="O6136">
        <v>23.74</v>
      </c>
      <c r="P6136">
        <v>30.04</v>
      </c>
      <c r="Q6136">
        <v>19.56</v>
      </c>
      <c r="R6136">
        <v>0.05</v>
      </c>
    </row>
    <row r="6137">
      <c r="A6137" s="9">
        <v>44668</v>
      </c>
      <c r="B6137" s="2" t="inlineStr">
        <is>
          <t xml:space="preserve">2022-04</t>
        </is>
      </c>
      <c r="C6137" s="2" t="inlineStr">
        <is>
          <t xml:space="preserve">2021/22</t>
        </is>
      </c>
      <c r="D6137">
        <v>0.0</v>
      </c>
      <c r="E6137">
        <v>25.2</v>
      </c>
      <c r="F6137">
        <v>32.93</v>
      </c>
      <c r="G6137">
        <v>18.8</v>
      </c>
      <c r="H6137">
        <v>0.06</v>
      </c>
      <c r="I6137">
        <v>0.0</v>
      </c>
      <c r="J6137">
        <v>24.51</v>
      </c>
      <c r="K6137">
        <v>31.69</v>
      </c>
      <c r="L6137">
        <v>17.9</v>
      </c>
      <c r="M6137">
        <v>0.03</v>
      </c>
      <c r="N6137">
        <v>0.0</v>
      </c>
      <c r="O6137">
        <v>23.57</v>
      </c>
      <c r="P6137">
        <v>30.46</v>
      </c>
      <c r="Q6137">
        <v>18.71</v>
      </c>
      <c r="R6137">
        <v>0.02</v>
      </c>
    </row>
    <row r="6138">
      <c r="A6138" s="9">
        <v>44669</v>
      </c>
      <c r="B6138" s="2" t="inlineStr">
        <is>
          <t xml:space="preserve">2022-04</t>
        </is>
      </c>
      <c r="C6138" s="2" t="inlineStr">
        <is>
          <t xml:space="preserve">2021/22</t>
        </is>
      </c>
      <c r="D6138">
        <v>1.021</v>
      </c>
      <c r="E6138">
        <v>24.28</v>
      </c>
      <c r="F6138">
        <v>31.76</v>
      </c>
      <c r="G6138">
        <v>17.91</v>
      </c>
      <c r="H6138">
        <v>1.83</v>
      </c>
      <c r="I6138">
        <v>0.0</v>
      </c>
      <c r="J6138">
        <v>24.37</v>
      </c>
      <c r="K6138">
        <v>32.0</v>
      </c>
      <c r="L6138">
        <v>18.52</v>
      </c>
      <c r="M6138">
        <v>0.27</v>
      </c>
      <c r="N6138">
        <v>0.0</v>
      </c>
      <c r="O6138">
        <v>23.28</v>
      </c>
      <c r="P6138">
        <v>30.03</v>
      </c>
      <c r="Q6138">
        <v>18.45</v>
      </c>
      <c r="R6138">
        <v>0.02</v>
      </c>
    </row>
    <row r="6139">
      <c r="A6139" s="9">
        <v>44670</v>
      </c>
      <c r="B6139" s="2" t="inlineStr">
        <is>
          <t xml:space="preserve">2022-04</t>
        </is>
      </c>
      <c r="C6139" s="2" t="inlineStr">
        <is>
          <t xml:space="preserve">2021/22</t>
        </is>
      </c>
      <c r="D6139">
        <v>0.0</v>
      </c>
      <c r="E6139">
        <v>23.03</v>
      </c>
      <c r="F6139">
        <v>31.04</v>
      </c>
      <c r="G6139">
        <v>16.73</v>
      </c>
      <c r="H6139">
        <v>0.12</v>
      </c>
      <c r="I6139">
        <v>0.402</v>
      </c>
      <c r="J6139">
        <v>21.99</v>
      </c>
      <c r="K6139">
        <v>29.84</v>
      </c>
      <c r="L6139">
        <v>15.95</v>
      </c>
      <c r="M6139">
        <v>0.34</v>
      </c>
      <c r="N6139">
        <v>0.0</v>
      </c>
      <c r="O6139">
        <v>21.32</v>
      </c>
      <c r="P6139">
        <v>28.06</v>
      </c>
      <c r="Q6139">
        <v>16.33</v>
      </c>
      <c r="R6139">
        <v>0.01</v>
      </c>
    </row>
    <row r="6140">
      <c r="A6140" s="9">
        <v>44671</v>
      </c>
      <c r="B6140" s="2" t="inlineStr">
        <is>
          <t xml:space="preserve">2022-04</t>
        </is>
      </c>
      <c r="C6140" s="2" t="inlineStr">
        <is>
          <t xml:space="preserve">2021/22</t>
        </is>
      </c>
      <c r="D6140">
        <v>0.0</v>
      </c>
      <c r="E6140">
        <v>23.51</v>
      </c>
      <c r="F6140">
        <v>31.69</v>
      </c>
      <c r="G6140">
        <v>16.75</v>
      </c>
      <c r="H6140">
        <v>0.04</v>
      </c>
      <c r="I6140">
        <v>0.0</v>
      </c>
      <c r="J6140">
        <v>22.78</v>
      </c>
      <c r="K6140">
        <v>30.85</v>
      </c>
      <c r="L6140">
        <v>15.52</v>
      </c>
      <c r="M6140">
        <v>0.0</v>
      </c>
      <c r="N6140">
        <v>0.0</v>
      </c>
      <c r="O6140">
        <v>22.24</v>
      </c>
      <c r="P6140">
        <v>29.27</v>
      </c>
      <c r="Q6140">
        <v>16.53</v>
      </c>
      <c r="R6140">
        <v>0.0</v>
      </c>
    </row>
    <row r="6141">
      <c r="A6141" s="9">
        <v>44672</v>
      </c>
      <c r="B6141" s="2" t="inlineStr">
        <is>
          <t xml:space="preserve">2022-04</t>
        </is>
      </c>
      <c r="C6141" s="2" t="inlineStr">
        <is>
          <t xml:space="preserve">2021/22</t>
        </is>
      </c>
      <c r="D6141">
        <v>0.0</v>
      </c>
      <c r="E6141">
        <v>24.38</v>
      </c>
      <c r="F6141">
        <v>32.9</v>
      </c>
      <c r="G6141">
        <v>17.68</v>
      </c>
      <c r="H6141">
        <v>0.35</v>
      </c>
      <c r="I6141">
        <v>0.0</v>
      </c>
      <c r="J6141">
        <v>23.69</v>
      </c>
      <c r="K6141">
        <v>31.71</v>
      </c>
      <c r="L6141">
        <v>16.74</v>
      </c>
      <c r="M6141">
        <v>0.01</v>
      </c>
      <c r="N6141">
        <v>0.0</v>
      </c>
      <c r="O6141">
        <v>22.68</v>
      </c>
      <c r="P6141">
        <v>29.53</v>
      </c>
      <c r="Q6141">
        <v>17.83</v>
      </c>
      <c r="R6141">
        <v>0.22</v>
      </c>
    </row>
    <row r="6142">
      <c r="A6142" s="9">
        <v>44673</v>
      </c>
      <c r="B6142" s="2" t="inlineStr">
        <is>
          <t xml:space="preserve">2022-04</t>
        </is>
      </c>
      <c r="C6142" s="2" t="inlineStr">
        <is>
          <t xml:space="preserve">2021/22</t>
        </is>
      </c>
      <c r="D6142">
        <v>0.788</v>
      </c>
      <c r="E6142">
        <v>21.75</v>
      </c>
      <c r="F6142">
        <v>26.66</v>
      </c>
      <c r="G6142">
        <v>19.16</v>
      </c>
      <c r="H6142">
        <v>6.61</v>
      </c>
      <c r="I6142">
        <v>0.031</v>
      </c>
      <c r="J6142">
        <v>22.89</v>
      </c>
      <c r="K6142">
        <v>29.62</v>
      </c>
      <c r="L6142">
        <v>17.66</v>
      </c>
      <c r="M6142">
        <v>2.38</v>
      </c>
      <c r="N6142">
        <v>0.117</v>
      </c>
      <c r="O6142">
        <v>22.1</v>
      </c>
      <c r="P6142">
        <v>27.68</v>
      </c>
      <c r="Q6142">
        <v>18.55</v>
      </c>
      <c r="R6142">
        <v>2.2</v>
      </c>
    </row>
    <row r="6143">
      <c r="A6143" s="9">
        <v>44674</v>
      </c>
      <c r="B6143" s="2" t="inlineStr">
        <is>
          <t xml:space="preserve">2022-04</t>
        </is>
      </c>
      <c r="C6143" s="2" t="inlineStr">
        <is>
          <t xml:space="preserve">2021/22</t>
        </is>
      </c>
      <c r="D6143">
        <v>3.269</v>
      </c>
      <c r="E6143">
        <v>23.34</v>
      </c>
      <c r="F6143">
        <v>30.24</v>
      </c>
      <c r="G6143">
        <v>18.4</v>
      </c>
      <c r="H6143">
        <v>3.19</v>
      </c>
      <c r="I6143">
        <v>4.825</v>
      </c>
      <c r="J6143">
        <v>23.43</v>
      </c>
      <c r="K6143">
        <v>30.1</v>
      </c>
      <c r="L6143">
        <v>17.99</v>
      </c>
      <c r="M6143">
        <v>2.16</v>
      </c>
      <c r="N6143">
        <v>0.492</v>
      </c>
      <c r="O6143">
        <v>22.73</v>
      </c>
      <c r="P6143">
        <v>28.98</v>
      </c>
      <c r="Q6143">
        <v>18.3</v>
      </c>
      <c r="R6143">
        <v>2.19</v>
      </c>
    </row>
    <row r="6144">
      <c r="A6144" s="9">
        <v>44675</v>
      </c>
      <c r="B6144" s="2" t="inlineStr">
        <is>
          <t xml:space="preserve">2022-04</t>
        </is>
      </c>
      <c r="C6144" s="2" t="inlineStr">
        <is>
          <t xml:space="preserve">2021/22</t>
        </is>
      </c>
      <c r="D6144">
        <v>4.703</v>
      </c>
      <c r="E6144">
        <v>23.85</v>
      </c>
      <c r="F6144">
        <v>30.74</v>
      </c>
      <c r="G6144">
        <v>18.33</v>
      </c>
      <c r="H6144">
        <v>3.35</v>
      </c>
      <c r="I6144">
        <v>5.154</v>
      </c>
      <c r="J6144">
        <v>23.57</v>
      </c>
      <c r="K6144">
        <v>28.87</v>
      </c>
      <c r="L6144">
        <v>19.56</v>
      </c>
      <c r="M6144">
        <v>6.4</v>
      </c>
      <c r="N6144">
        <v>7.622</v>
      </c>
      <c r="O6144">
        <v>23.38</v>
      </c>
      <c r="P6144">
        <v>29.57</v>
      </c>
      <c r="Q6144">
        <v>19.09</v>
      </c>
      <c r="R6144">
        <v>4.71</v>
      </c>
    </row>
    <row r="6145">
      <c r="A6145" s="9">
        <v>44676</v>
      </c>
      <c r="B6145" s="2" t="inlineStr">
        <is>
          <t xml:space="preserve">2022-04</t>
        </is>
      </c>
      <c r="C6145" s="2" t="inlineStr">
        <is>
          <t xml:space="preserve">2021/22</t>
        </is>
      </c>
      <c r="D6145">
        <v>11.584</v>
      </c>
      <c r="E6145">
        <v>23.52</v>
      </c>
      <c r="F6145">
        <v>29.66</v>
      </c>
      <c r="G6145">
        <v>19.1</v>
      </c>
      <c r="H6145">
        <v>7.05</v>
      </c>
      <c r="I6145">
        <v>6.243</v>
      </c>
      <c r="J6145">
        <v>23.98</v>
      </c>
      <c r="K6145">
        <v>29.83</v>
      </c>
      <c r="L6145">
        <v>18.97</v>
      </c>
      <c r="M6145">
        <v>3.25</v>
      </c>
      <c r="N6145">
        <v>1.059</v>
      </c>
      <c r="O6145">
        <v>23.54</v>
      </c>
      <c r="P6145">
        <v>28.97</v>
      </c>
      <c r="Q6145">
        <v>19.41</v>
      </c>
      <c r="R6145">
        <v>2.46</v>
      </c>
    </row>
    <row r="6146">
      <c r="A6146" s="9">
        <v>44677</v>
      </c>
      <c r="B6146" s="2" t="inlineStr">
        <is>
          <t xml:space="preserve">2022-04</t>
        </is>
      </c>
      <c r="C6146" s="2" t="inlineStr">
        <is>
          <t xml:space="preserve">2021/22</t>
        </is>
      </c>
      <c r="D6146">
        <v>1.667</v>
      </c>
      <c r="E6146">
        <v>20.79</v>
      </c>
      <c r="F6146">
        <v>24.01</v>
      </c>
      <c r="G6146">
        <v>18.18</v>
      </c>
      <c r="H6146">
        <v>2.89</v>
      </c>
      <c r="I6146">
        <v>2.703</v>
      </c>
      <c r="J6146">
        <v>23.55</v>
      </c>
      <c r="K6146">
        <v>29.93</v>
      </c>
      <c r="L6146">
        <v>18.71</v>
      </c>
      <c r="M6146">
        <v>0.62</v>
      </c>
      <c r="N6146">
        <v>0.104</v>
      </c>
      <c r="O6146">
        <v>22.38</v>
      </c>
      <c r="P6146">
        <v>26.63</v>
      </c>
      <c r="Q6146">
        <v>19.01</v>
      </c>
      <c r="R6146">
        <v>0.5</v>
      </c>
    </row>
    <row r="6147">
      <c r="A6147" s="9">
        <v>44678</v>
      </c>
      <c r="B6147" s="2" t="inlineStr">
        <is>
          <t xml:space="preserve">2022-04</t>
        </is>
      </c>
      <c r="C6147" s="2" t="inlineStr">
        <is>
          <t xml:space="preserve">2021/22</t>
        </is>
      </c>
      <c r="D6147">
        <v>0.0</v>
      </c>
      <c r="E6147">
        <v>22.86</v>
      </c>
      <c r="F6147">
        <v>30.06</v>
      </c>
      <c r="G6147">
        <v>18.41</v>
      </c>
      <c r="H6147">
        <v>2.64</v>
      </c>
      <c r="I6147">
        <v>0.439</v>
      </c>
      <c r="J6147">
        <v>23.55</v>
      </c>
      <c r="K6147">
        <v>29.65</v>
      </c>
      <c r="L6147">
        <v>19.06</v>
      </c>
      <c r="M6147">
        <v>0.39</v>
      </c>
      <c r="N6147">
        <v>0.0</v>
      </c>
      <c r="O6147">
        <v>22.67</v>
      </c>
      <c r="P6147">
        <v>27.85</v>
      </c>
      <c r="Q6147">
        <v>19.45</v>
      </c>
      <c r="R6147">
        <v>1.46</v>
      </c>
    </row>
    <row r="6148">
      <c r="A6148" s="9">
        <v>44679</v>
      </c>
      <c r="B6148" s="2" t="inlineStr">
        <is>
          <t xml:space="preserve">2022-04</t>
        </is>
      </c>
      <c r="C6148" s="2" t="inlineStr">
        <is>
          <t xml:space="preserve">2021/22</t>
        </is>
      </c>
      <c r="D6148">
        <v>2.387</v>
      </c>
      <c r="E6148">
        <v>21.39</v>
      </c>
      <c r="F6148">
        <v>24.76</v>
      </c>
      <c r="G6148">
        <v>18.74</v>
      </c>
      <c r="H6148">
        <v>2.87</v>
      </c>
      <c r="I6148">
        <v>0.468</v>
      </c>
      <c r="J6148">
        <v>23.18</v>
      </c>
      <c r="K6148">
        <v>28.82</v>
      </c>
      <c r="L6148">
        <v>19.25</v>
      </c>
      <c r="M6148">
        <v>1.01</v>
      </c>
      <c r="N6148">
        <v>0.026</v>
      </c>
      <c r="O6148">
        <v>22.46</v>
      </c>
      <c r="P6148">
        <v>28.04</v>
      </c>
      <c r="Q6148">
        <v>19.06</v>
      </c>
      <c r="R6148">
        <v>1.79</v>
      </c>
    </row>
    <row r="6149">
      <c r="A6149" s="9">
        <v>44680</v>
      </c>
      <c r="B6149" s="2" t="inlineStr">
        <is>
          <t xml:space="preserve">2022-04</t>
        </is>
      </c>
      <c r="C6149" s="2" t="inlineStr">
        <is>
          <t xml:space="preserve">2021/22</t>
        </is>
      </c>
      <c r="D6149">
        <v>6.984</v>
      </c>
      <c r="E6149">
        <v>24.01</v>
      </c>
      <c r="F6149">
        <v>31.36</v>
      </c>
      <c r="G6149">
        <v>17.9</v>
      </c>
      <c r="H6149">
        <v>6.91</v>
      </c>
      <c r="I6149">
        <v>1.784</v>
      </c>
      <c r="J6149">
        <v>24.49</v>
      </c>
      <c r="K6149">
        <v>31.19</v>
      </c>
      <c r="L6149">
        <v>18.86</v>
      </c>
      <c r="M6149">
        <v>10.41</v>
      </c>
      <c r="N6149">
        <v>2.317</v>
      </c>
      <c r="O6149">
        <v>23.97</v>
      </c>
      <c r="P6149">
        <v>30.32</v>
      </c>
      <c r="Q6149">
        <v>19.14</v>
      </c>
      <c r="R6149">
        <v>10.68</v>
      </c>
    </row>
    <row r="6150">
      <c r="A6150" s="9">
        <v>44681</v>
      </c>
      <c r="B6150" s="2" t="inlineStr">
        <is>
          <t xml:space="preserve">2022-04</t>
        </is>
      </c>
      <c r="C6150" s="2" t="inlineStr">
        <is>
          <t xml:space="preserve">2021/22</t>
        </is>
      </c>
      <c r="D6150">
        <v>12.194</v>
      </c>
      <c r="E6150">
        <v>23.35</v>
      </c>
      <c r="F6150">
        <v>28.48</v>
      </c>
      <c r="G6150">
        <v>18.86</v>
      </c>
      <c r="H6150">
        <v>8.61</v>
      </c>
      <c r="I6150">
        <v>16.097</v>
      </c>
      <c r="J6150">
        <v>23.52</v>
      </c>
      <c r="K6150">
        <v>27.8</v>
      </c>
      <c r="L6150">
        <v>21.28</v>
      </c>
      <c r="M6150">
        <v>14.11</v>
      </c>
      <c r="N6150">
        <v>37.48</v>
      </c>
      <c r="O6150">
        <v>23.5</v>
      </c>
      <c r="P6150">
        <v>27.56</v>
      </c>
      <c r="Q6150">
        <v>21.11</v>
      </c>
      <c r="R6150">
        <v>12.08</v>
      </c>
    </row>
    <row r="6151">
      <c r="A6151" s="9">
        <v>44682</v>
      </c>
      <c r="B6151" s="2" t="inlineStr">
        <is>
          <t xml:space="preserve">2022-05</t>
        </is>
      </c>
      <c r="C6151" s="2" t="inlineStr">
        <is>
          <t xml:space="preserve">2021/22</t>
        </is>
      </c>
      <c r="D6151">
        <v>0.0</v>
      </c>
      <c r="E6151">
        <v>24.72</v>
      </c>
      <c r="F6151">
        <v>32.33</v>
      </c>
      <c r="G6151">
        <v>18.55</v>
      </c>
      <c r="H6151">
        <v>0.31</v>
      </c>
      <c r="I6151">
        <v>0.0</v>
      </c>
      <c r="J6151">
        <v>24.72</v>
      </c>
      <c r="K6151">
        <v>30.73</v>
      </c>
      <c r="L6151">
        <v>20.55</v>
      </c>
      <c r="M6151">
        <v>0.03</v>
      </c>
      <c r="N6151">
        <v>0.084</v>
      </c>
      <c r="O6151">
        <v>24.71</v>
      </c>
      <c r="P6151">
        <v>30.08</v>
      </c>
      <c r="Q6151">
        <v>20.94</v>
      </c>
      <c r="R6151">
        <v>0.08</v>
      </c>
    </row>
    <row r="6152">
      <c r="A6152" s="9">
        <v>44683</v>
      </c>
      <c r="B6152" s="2" t="inlineStr">
        <is>
          <t xml:space="preserve">2022-05</t>
        </is>
      </c>
      <c r="C6152" s="2" t="inlineStr">
        <is>
          <t xml:space="preserve">2021/22</t>
        </is>
      </c>
      <c r="D6152">
        <v>0.413</v>
      </c>
      <c r="E6152">
        <v>25.28</v>
      </c>
      <c r="F6152">
        <v>32.51</v>
      </c>
      <c r="G6152">
        <v>20.16</v>
      </c>
      <c r="H6152">
        <v>0.78</v>
      </c>
      <c r="I6152">
        <v>0.0</v>
      </c>
      <c r="J6152">
        <v>24.98</v>
      </c>
      <c r="K6152">
        <v>31.35</v>
      </c>
      <c r="L6152">
        <v>18.73</v>
      </c>
      <c r="M6152">
        <v>0.58</v>
      </c>
      <c r="N6152">
        <v>0.0</v>
      </c>
      <c r="O6152">
        <v>24.33</v>
      </c>
      <c r="P6152">
        <v>30.48</v>
      </c>
      <c r="Q6152">
        <v>19.71</v>
      </c>
      <c r="R6152">
        <v>0.13</v>
      </c>
    </row>
    <row r="6153">
      <c r="A6153" s="9">
        <v>44684</v>
      </c>
      <c r="B6153" s="2" t="inlineStr">
        <is>
          <t xml:space="preserve">2022-05</t>
        </is>
      </c>
      <c r="C6153" s="2" t="inlineStr">
        <is>
          <t xml:space="preserve">2021/22</t>
        </is>
      </c>
      <c r="D6153">
        <v>1.322</v>
      </c>
      <c r="E6153">
        <v>25.25</v>
      </c>
      <c r="F6153">
        <v>32.49</v>
      </c>
      <c r="G6153">
        <v>21.15</v>
      </c>
      <c r="H6153">
        <v>3.27</v>
      </c>
      <c r="I6153">
        <v>5.995</v>
      </c>
      <c r="J6153">
        <v>25.35</v>
      </c>
      <c r="K6153">
        <v>31.83</v>
      </c>
      <c r="L6153">
        <v>19.91</v>
      </c>
      <c r="M6153">
        <v>3.04</v>
      </c>
      <c r="N6153">
        <v>0.233</v>
      </c>
      <c r="O6153">
        <v>24.11</v>
      </c>
      <c r="P6153">
        <v>29.19</v>
      </c>
      <c r="Q6153">
        <v>20.24</v>
      </c>
      <c r="R6153">
        <v>0.68</v>
      </c>
    </row>
    <row r="6154">
      <c r="A6154" s="9">
        <v>44685</v>
      </c>
      <c r="B6154" s="2" t="inlineStr">
        <is>
          <t xml:space="preserve">2022-05</t>
        </is>
      </c>
      <c r="C6154" s="2" t="inlineStr">
        <is>
          <t xml:space="preserve">2021/22</t>
        </is>
      </c>
      <c r="D6154">
        <v>14.099</v>
      </c>
      <c r="E6154">
        <v>23.11</v>
      </c>
      <c r="F6154">
        <v>26.8</v>
      </c>
      <c r="G6154">
        <v>20.82</v>
      </c>
      <c r="H6154">
        <v>7.69</v>
      </c>
      <c r="I6154">
        <v>2.863</v>
      </c>
      <c r="J6154">
        <v>23.75</v>
      </c>
      <c r="K6154">
        <v>29.28</v>
      </c>
      <c r="L6154">
        <v>20.08</v>
      </c>
      <c r="M6154">
        <v>14.97</v>
      </c>
      <c r="N6154">
        <v>0.329</v>
      </c>
      <c r="O6154">
        <v>23.53</v>
      </c>
      <c r="P6154">
        <v>27.2</v>
      </c>
      <c r="Q6154">
        <v>20.55</v>
      </c>
      <c r="R6154">
        <v>3.56</v>
      </c>
    </row>
    <row r="6155">
      <c r="A6155" s="9">
        <v>44686</v>
      </c>
      <c r="B6155" s="2" t="inlineStr">
        <is>
          <t xml:space="preserve">2022-05</t>
        </is>
      </c>
      <c r="C6155" s="2" t="inlineStr">
        <is>
          <t xml:space="preserve">2021/22</t>
        </is>
      </c>
      <c r="D6155">
        <v>7.311</v>
      </c>
      <c r="E6155">
        <v>24.63</v>
      </c>
      <c r="F6155">
        <v>31.49</v>
      </c>
      <c r="G6155">
        <v>19.6</v>
      </c>
      <c r="H6155">
        <v>6.73</v>
      </c>
      <c r="I6155">
        <v>30.52</v>
      </c>
      <c r="J6155">
        <v>22.7</v>
      </c>
      <c r="K6155">
        <v>24.65</v>
      </c>
      <c r="L6155">
        <v>21.02</v>
      </c>
      <c r="M6155">
        <v>97.11</v>
      </c>
      <c r="N6155">
        <v>2.274</v>
      </c>
      <c r="O6155">
        <v>23.91</v>
      </c>
      <c r="P6155">
        <v>27.35</v>
      </c>
      <c r="Q6155">
        <v>21.73</v>
      </c>
      <c r="R6155">
        <v>59.14</v>
      </c>
    </row>
    <row r="6156">
      <c r="A6156" s="9">
        <v>44687</v>
      </c>
      <c r="B6156" s="2" t="inlineStr">
        <is>
          <t xml:space="preserve">2022-05</t>
        </is>
      </c>
      <c r="C6156" s="2" t="inlineStr">
        <is>
          <t xml:space="preserve">2021/22</t>
        </is>
      </c>
      <c r="D6156">
        <v>5.493</v>
      </c>
      <c r="E6156">
        <v>22.65</v>
      </c>
      <c r="F6156">
        <v>25.36</v>
      </c>
      <c r="G6156">
        <v>19.65</v>
      </c>
      <c r="H6156">
        <v>47.44</v>
      </c>
      <c r="I6156">
        <v>5.234</v>
      </c>
      <c r="J6156">
        <v>23.11</v>
      </c>
      <c r="K6156">
        <v>26.36</v>
      </c>
      <c r="L6156">
        <v>20.47</v>
      </c>
      <c r="M6156">
        <v>247.56</v>
      </c>
      <c r="N6156">
        <v>6.63</v>
      </c>
      <c r="O6156">
        <v>24.11</v>
      </c>
      <c r="P6156">
        <v>28.61</v>
      </c>
      <c r="Q6156">
        <v>20.46</v>
      </c>
      <c r="R6156">
        <v>239.6</v>
      </c>
    </row>
    <row r="6157">
      <c r="A6157" s="9">
        <v>44688</v>
      </c>
      <c r="B6157" s="2" t="inlineStr">
        <is>
          <t xml:space="preserve">2022-05</t>
        </is>
      </c>
      <c r="C6157" s="2" t="inlineStr">
        <is>
          <t xml:space="preserve">2021/22</t>
        </is>
      </c>
      <c r="D6157">
        <v>10.176</v>
      </c>
      <c r="E6157">
        <v>23.83</v>
      </c>
      <c r="F6157">
        <v>27.95</v>
      </c>
      <c r="G6157">
        <v>20.46</v>
      </c>
      <c r="H6157">
        <v>7.39</v>
      </c>
      <c r="I6157">
        <v>4.144</v>
      </c>
      <c r="J6157">
        <v>23.72</v>
      </c>
      <c r="K6157">
        <v>28.25</v>
      </c>
      <c r="L6157">
        <v>20.41</v>
      </c>
      <c r="M6157">
        <v>5.42</v>
      </c>
      <c r="N6157">
        <v>12.029</v>
      </c>
      <c r="O6157">
        <v>24.58</v>
      </c>
      <c r="P6157">
        <v>28.98</v>
      </c>
      <c r="Q6157">
        <v>20.84</v>
      </c>
      <c r="R6157">
        <v>5.97</v>
      </c>
    </row>
    <row r="6158">
      <c r="A6158" s="9">
        <v>44689</v>
      </c>
      <c r="B6158" s="2" t="inlineStr">
        <is>
          <t xml:space="preserve">2022-05</t>
        </is>
      </c>
      <c r="C6158" s="2" t="inlineStr">
        <is>
          <t xml:space="preserve">2021/22</t>
        </is>
      </c>
      <c r="D6158">
        <v>0.852</v>
      </c>
      <c r="E6158">
        <v>24.08</v>
      </c>
      <c r="F6158">
        <v>29.27</v>
      </c>
      <c r="G6158">
        <v>19.92</v>
      </c>
      <c r="H6158">
        <v>2.46</v>
      </c>
      <c r="I6158">
        <v>0.175</v>
      </c>
      <c r="J6158">
        <v>23.54</v>
      </c>
      <c r="K6158">
        <v>28.16</v>
      </c>
      <c r="L6158">
        <v>19.73</v>
      </c>
      <c r="M6158">
        <v>1.74</v>
      </c>
      <c r="N6158">
        <v>0.942</v>
      </c>
      <c r="O6158">
        <v>25.04</v>
      </c>
      <c r="P6158">
        <v>30.17</v>
      </c>
      <c r="Q6158">
        <v>20.49</v>
      </c>
      <c r="R6158">
        <v>2.03</v>
      </c>
    </row>
    <row r="6159">
      <c r="A6159" s="9">
        <v>44690</v>
      </c>
      <c r="B6159" s="2" t="inlineStr">
        <is>
          <t xml:space="preserve">2022-05</t>
        </is>
      </c>
      <c r="C6159" s="2" t="inlineStr">
        <is>
          <t xml:space="preserve">2021/22</t>
        </is>
      </c>
      <c r="D6159">
        <v>3.493</v>
      </c>
      <c r="E6159">
        <v>24.57</v>
      </c>
      <c r="F6159">
        <v>29.91</v>
      </c>
      <c r="G6159">
        <v>19.49</v>
      </c>
      <c r="H6159">
        <v>3.96</v>
      </c>
      <c r="I6159">
        <v>1.6</v>
      </c>
      <c r="J6159">
        <v>23.83</v>
      </c>
      <c r="K6159">
        <v>28.71</v>
      </c>
      <c r="L6159">
        <v>19.6</v>
      </c>
      <c r="M6159">
        <v>2.07</v>
      </c>
      <c r="N6159">
        <v>5.602</v>
      </c>
      <c r="O6159">
        <v>25.45</v>
      </c>
      <c r="P6159">
        <v>30.68</v>
      </c>
      <c r="Q6159">
        <v>20.74</v>
      </c>
      <c r="R6159">
        <v>2.19</v>
      </c>
    </row>
    <row r="6160">
      <c r="A6160" s="9">
        <v>44691</v>
      </c>
      <c r="B6160" s="2" t="inlineStr">
        <is>
          <t xml:space="preserve">2022-05</t>
        </is>
      </c>
      <c r="C6160" s="2" t="inlineStr">
        <is>
          <t xml:space="preserve">2021/22</t>
        </is>
      </c>
      <c r="D6160">
        <v>0.0</v>
      </c>
      <c r="E6160">
        <v>24.39</v>
      </c>
      <c r="F6160">
        <v>30.44</v>
      </c>
      <c r="G6160">
        <v>20.14</v>
      </c>
      <c r="H6160">
        <v>0.11</v>
      </c>
      <c r="I6160">
        <v>0.627</v>
      </c>
      <c r="J6160">
        <v>23.89</v>
      </c>
      <c r="K6160">
        <v>29.27</v>
      </c>
      <c r="L6160">
        <v>19.56</v>
      </c>
      <c r="M6160">
        <v>0.71</v>
      </c>
      <c r="N6160">
        <v>2.526</v>
      </c>
      <c r="O6160">
        <v>24.26</v>
      </c>
      <c r="P6160">
        <v>28.8</v>
      </c>
      <c r="Q6160">
        <v>20.5</v>
      </c>
      <c r="R6160">
        <v>0.56</v>
      </c>
    </row>
    <row r="6161">
      <c r="A6161" s="9">
        <v>44692</v>
      </c>
      <c r="B6161" s="2" t="inlineStr">
        <is>
          <t xml:space="preserve">2022-05</t>
        </is>
      </c>
      <c r="C6161" s="2" t="inlineStr">
        <is>
          <t xml:space="preserve">2021/22</t>
        </is>
      </c>
      <c r="D6161">
        <v>0.031</v>
      </c>
      <c r="E6161">
        <v>23.29</v>
      </c>
      <c r="F6161">
        <v>29.88</v>
      </c>
      <c r="G6161">
        <v>18.81</v>
      </c>
      <c r="H6161">
        <v>0.3</v>
      </c>
      <c r="I6161">
        <v>0.0</v>
      </c>
      <c r="J6161">
        <v>21.96</v>
      </c>
      <c r="K6161">
        <v>27.65</v>
      </c>
      <c r="L6161">
        <v>16.81</v>
      </c>
      <c r="M6161">
        <v>1.35</v>
      </c>
      <c r="N6161">
        <v>0.0</v>
      </c>
      <c r="O6161">
        <v>22.48</v>
      </c>
      <c r="P6161">
        <v>27.46</v>
      </c>
      <c r="Q6161">
        <v>18.59</v>
      </c>
      <c r="R6161">
        <v>1.4</v>
      </c>
    </row>
    <row r="6162">
      <c r="A6162" s="9">
        <v>44693</v>
      </c>
      <c r="B6162" s="2" t="inlineStr">
        <is>
          <t xml:space="preserve">2022-05</t>
        </is>
      </c>
      <c r="C6162" s="2" t="inlineStr">
        <is>
          <t xml:space="preserve">2021/22</t>
        </is>
      </c>
      <c r="D6162">
        <v>0.0</v>
      </c>
      <c r="E6162">
        <v>22.92</v>
      </c>
      <c r="F6162">
        <v>30.29</v>
      </c>
      <c r="G6162">
        <v>17.29</v>
      </c>
      <c r="H6162">
        <v>0.11</v>
      </c>
      <c r="I6162">
        <v>1.462</v>
      </c>
      <c r="J6162">
        <v>21.65</v>
      </c>
      <c r="K6162">
        <v>27.4</v>
      </c>
      <c r="L6162">
        <v>17.51</v>
      </c>
      <c r="M6162">
        <v>1.37</v>
      </c>
      <c r="N6162">
        <v>5.895</v>
      </c>
      <c r="O6162">
        <v>22.01</v>
      </c>
      <c r="P6162">
        <v>27.09</v>
      </c>
      <c r="Q6162">
        <v>18.33</v>
      </c>
      <c r="R6162">
        <v>0.93</v>
      </c>
    </row>
    <row r="6163">
      <c r="A6163" s="9">
        <v>44694</v>
      </c>
      <c r="B6163" s="2" t="inlineStr">
        <is>
          <t xml:space="preserve">2022-05</t>
        </is>
      </c>
      <c r="C6163" s="2" t="inlineStr">
        <is>
          <t xml:space="preserve">2021/22</t>
        </is>
      </c>
      <c r="D6163">
        <v>0.0</v>
      </c>
      <c r="E6163">
        <v>22.81</v>
      </c>
      <c r="F6163">
        <v>30.18</v>
      </c>
      <c r="G6163">
        <v>17.69</v>
      </c>
      <c r="H6163">
        <v>0.0</v>
      </c>
      <c r="I6163">
        <v>0.0</v>
      </c>
      <c r="J6163">
        <v>21.26</v>
      </c>
      <c r="K6163">
        <v>27.35</v>
      </c>
      <c r="L6163">
        <v>16.26</v>
      </c>
      <c r="M6163">
        <v>0.0</v>
      </c>
      <c r="N6163">
        <v>0.0</v>
      </c>
      <c r="O6163">
        <v>21.64</v>
      </c>
      <c r="P6163">
        <v>27.3</v>
      </c>
      <c r="Q6163">
        <v>17.45</v>
      </c>
      <c r="R6163">
        <v>0.0</v>
      </c>
    </row>
    <row r="6164">
      <c r="A6164" s="9">
        <v>44695</v>
      </c>
      <c r="B6164" s="2" t="inlineStr">
        <is>
          <t xml:space="preserve">2022-05</t>
        </is>
      </c>
      <c r="C6164" s="2" t="inlineStr">
        <is>
          <t xml:space="preserve">2021/22</t>
        </is>
      </c>
      <c r="D6164">
        <v>0.0</v>
      </c>
      <c r="E6164">
        <v>22.69</v>
      </c>
      <c r="F6164">
        <v>31.25</v>
      </c>
      <c r="G6164">
        <v>15.8</v>
      </c>
      <c r="H6164">
        <v>0.0</v>
      </c>
      <c r="I6164">
        <v>0.0</v>
      </c>
      <c r="J6164">
        <v>21.07</v>
      </c>
      <c r="K6164">
        <v>27.86</v>
      </c>
      <c r="L6164">
        <v>15.34</v>
      </c>
      <c r="M6164">
        <v>0.0</v>
      </c>
      <c r="N6164">
        <v>0.0</v>
      </c>
      <c r="O6164">
        <v>21.04</v>
      </c>
      <c r="P6164">
        <v>27.33</v>
      </c>
      <c r="Q6164">
        <v>16.07</v>
      </c>
      <c r="R6164">
        <v>0.0</v>
      </c>
    </row>
    <row r="6165">
      <c r="A6165" s="9">
        <v>44696</v>
      </c>
      <c r="B6165" s="2" t="inlineStr">
        <is>
          <t xml:space="preserve">2022-05</t>
        </is>
      </c>
      <c r="C6165" s="2" t="inlineStr">
        <is>
          <t xml:space="preserve">2021/22</t>
        </is>
      </c>
      <c r="D6165">
        <v>0.0</v>
      </c>
      <c r="E6165">
        <v>23.34</v>
      </c>
      <c r="F6165">
        <v>31.31</v>
      </c>
      <c r="G6165">
        <v>17.34</v>
      </c>
      <c r="H6165">
        <v>0.0</v>
      </c>
      <c r="I6165">
        <v>0.0</v>
      </c>
      <c r="J6165">
        <v>21.35</v>
      </c>
      <c r="K6165">
        <v>28.13</v>
      </c>
      <c r="L6165">
        <v>15.4</v>
      </c>
      <c r="M6165">
        <v>0.0</v>
      </c>
      <c r="N6165">
        <v>0.0</v>
      </c>
      <c r="O6165">
        <v>21.66</v>
      </c>
      <c r="P6165">
        <v>27.94</v>
      </c>
      <c r="Q6165">
        <v>16.73</v>
      </c>
      <c r="R6165">
        <v>0.0</v>
      </c>
    </row>
    <row r="6166">
      <c r="A6166" s="9">
        <v>44697</v>
      </c>
      <c r="B6166" s="2" t="inlineStr">
        <is>
          <t xml:space="preserve">2022-05</t>
        </is>
      </c>
      <c r="C6166" s="2" t="inlineStr">
        <is>
          <t xml:space="preserve">2021/22</t>
        </is>
      </c>
      <c r="D6166">
        <v>0.0</v>
      </c>
      <c r="E6166">
        <v>23.35</v>
      </c>
      <c r="F6166">
        <v>30.5</v>
      </c>
      <c r="G6166">
        <v>17.59</v>
      </c>
      <c r="H6166">
        <v>0.0</v>
      </c>
      <c r="I6166">
        <v>0.0</v>
      </c>
      <c r="J6166">
        <v>22.45</v>
      </c>
      <c r="K6166">
        <v>28.48</v>
      </c>
      <c r="L6166">
        <v>17.14</v>
      </c>
      <c r="M6166">
        <v>0.0</v>
      </c>
      <c r="N6166">
        <v>0.0</v>
      </c>
      <c r="O6166">
        <v>22.23</v>
      </c>
      <c r="P6166">
        <v>28.07</v>
      </c>
      <c r="Q6166">
        <v>17.82</v>
      </c>
      <c r="R6166">
        <v>0.0</v>
      </c>
    </row>
    <row r="6167">
      <c r="A6167" s="9">
        <v>44698</v>
      </c>
      <c r="B6167" s="2" t="inlineStr">
        <is>
          <t xml:space="preserve">2022-05</t>
        </is>
      </c>
      <c r="C6167" s="2" t="inlineStr">
        <is>
          <t xml:space="preserve">2021/22</t>
        </is>
      </c>
      <c r="D6167">
        <v>0.0</v>
      </c>
      <c r="E6167">
        <v>23.91</v>
      </c>
      <c r="F6167">
        <v>31.18</v>
      </c>
      <c r="G6167">
        <v>18.44</v>
      </c>
      <c r="H6167">
        <v>0.0</v>
      </c>
      <c r="I6167">
        <v>0.0</v>
      </c>
      <c r="J6167">
        <v>22.42</v>
      </c>
      <c r="K6167">
        <v>27.87</v>
      </c>
      <c r="L6167">
        <v>18.39</v>
      </c>
      <c r="M6167">
        <v>0.02</v>
      </c>
      <c r="N6167">
        <v>0.0</v>
      </c>
      <c r="O6167">
        <v>22.34</v>
      </c>
      <c r="P6167">
        <v>27.46</v>
      </c>
      <c r="Q6167">
        <v>18.47</v>
      </c>
      <c r="R6167">
        <v>0.0</v>
      </c>
    </row>
    <row r="6168">
      <c r="A6168" s="9">
        <v>44699</v>
      </c>
      <c r="B6168" s="2" t="inlineStr">
        <is>
          <t xml:space="preserve">2022-05</t>
        </is>
      </c>
      <c r="C6168" s="2" t="inlineStr">
        <is>
          <t xml:space="preserve">2021/22</t>
        </is>
      </c>
      <c r="D6168">
        <v>0.0</v>
      </c>
      <c r="E6168">
        <v>24.65</v>
      </c>
      <c r="F6168">
        <v>31.05</v>
      </c>
      <c r="G6168">
        <v>19.01</v>
      </c>
      <c r="H6168">
        <v>0.32</v>
      </c>
      <c r="I6168">
        <v>0.136</v>
      </c>
      <c r="J6168">
        <v>23.26</v>
      </c>
      <c r="K6168">
        <v>28.95</v>
      </c>
      <c r="L6168">
        <v>18.19</v>
      </c>
      <c r="M6168">
        <v>0.17</v>
      </c>
      <c r="N6168">
        <v>0.0</v>
      </c>
      <c r="O6168">
        <v>23.21</v>
      </c>
      <c r="P6168">
        <v>28.63</v>
      </c>
      <c r="Q6168">
        <v>18.65</v>
      </c>
      <c r="R6168">
        <v>0.02</v>
      </c>
    </row>
    <row r="6169">
      <c r="A6169" s="9">
        <v>44700</v>
      </c>
      <c r="B6169" s="2" t="inlineStr">
        <is>
          <t xml:space="preserve">2022-05</t>
        </is>
      </c>
      <c r="C6169" s="2" t="inlineStr">
        <is>
          <t xml:space="preserve">2021/22</t>
        </is>
      </c>
      <c r="D6169">
        <v>5.041</v>
      </c>
      <c r="E6169">
        <v>23.06</v>
      </c>
      <c r="F6169">
        <v>26.53</v>
      </c>
      <c r="G6169">
        <v>20.23</v>
      </c>
      <c r="H6169">
        <v>11.34</v>
      </c>
      <c r="I6169">
        <v>0.0</v>
      </c>
      <c r="J6169">
        <v>23.01</v>
      </c>
      <c r="K6169">
        <v>27.52</v>
      </c>
      <c r="L6169">
        <v>19.57</v>
      </c>
      <c r="M6169">
        <v>0.45</v>
      </c>
      <c r="N6169">
        <v>0.032</v>
      </c>
      <c r="O6169">
        <v>23.12</v>
      </c>
      <c r="P6169">
        <v>27.02</v>
      </c>
      <c r="Q6169">
        <v>19.51</v>
      </c>
      <c r="R6169">
        <v>0.71</v>
      </c>
    </row>
    <row r="6170">
      <c r="A6170" s="9">
        <v>44701</v>
      </c>
      <c r="B6170" s="2" t="inlineStr">
        <is>
          <t xml:space="preserve">2022-05</t>
        </is>
      </c>
      <c r="C6170" s="2" t="inlineStr">
        <is>
          <t xml:space="preserve">2021/22</t>
        </is>
      </c>
      <c r="D6170">
        <v>11.675</v>
      </c>
      <c r="E6170">
        <v>22.77</v>
      </c>
      <c r="F6170">
        <v>26.58</v>
      </c>
      <c r="G6170">
        <v>20.0</v>
      </c>
      <c r="H6170">
        <v>16.27</v>
      </c>
      <c r="I6170">
        <v>0.096</v>
      </c>
      <c r="J6170">
        <v>22.77</v>
      </c>
      <c r="K6170">
        <v>26.85</v>
      </c>
      <c r="L6170">
        <v>19.67</v>
      </c>
      <c r="M6170">
        <v>0.32</v>
      </c>
      <c r="N6170">
        <v>0.843</v>
      </c>
      <c r="O6170">
        <v>23.97</v>
      </c>
      <c r="P6170">
        <v>29.39</v>
      </c>
      <c r="Q6170">
        <v>19.34</v>
      </c>
      <c r="R6170">
        <v>1.39</v>
      </c>
    </row>
    <row r="6171">
      <c r="A6171" s="9">
        <v>44702</v>
      </c>
      <c r="B6171" s="2" t="inlineStr">
        <is>
          <t xml:space="preserve">2022-05</t>
        </is>
      </c>
      <c r="C6171" s="2" t="inlineStr">
        <is>
          <t xml:space="preserve">2021/22</t>
        </is>
      </c>
      <c r="D6171">
        <v>1.178</v>
      </c>
      <c r="E6171">
        <v>22.85</v>
      </c>
      <c r="F6171">
        <v>27.95</v>
      </c>
      <c r="G6171">
        <v>19.72</v>
      </c>
      <c r="H6171">
        <v>2.78</v>
      </c>
      <c r="I6171">
        <v>0.0</v>
      </c>
      <c r="J6171">
        <v>23.25</v>
      </c>
      <c r="K6171">
        <v>27.99</v>
      </c>
      <c r="L6171">
        <v>19.74</v>
      </c>
      <c r="M6171">
        <v>0.48</v>
      </c>
      <c r="N6171">
        <v>0.199</v>
      </c>
      <c r="O6171">
        <v>24.15</v>
      </c>
      <c r="P6171">
        <v>29.13</v>
      </c>
      <c r="Q6171">
        <v>20.18</v>
      </c>
      <c r="R6171">
        <v>1.96</v>
      </c>
    </row>
    <row r="6172">
      <c r="A6172" s="9">
        <v>44703</v>
      </c>
      <c r="B6172" s="2" t="inlineStr">
        <is>
          <t xml:space="preserve">2022-05</t>
        </is>
      </c>
      <c r="C6172" s="2" t="inlineStr">
        <is>
          <t xml:space="preserve">2021/22</t>
        </is>
      </c>
      <c r="D6172">
        <v>7.752</v>
      </c>
      <c r="E6172">
        <v>21.17</v>
      </c>
      <c r="F6172">
        <v>24.12</v>
      </c>
      <c r="G6172">
        <v>18.68</v>
      </c>
      <c r="H6172">
        <v>10.84</v>
      </c>
      <c r="I6172">
        <v>2.892</v>
      </c>
      <c r="J6172">
        <v>22.5</v>
      </c>
      <c r="K6172">
        <v>25.69</v>
      </c>
      <c r="L6172">
        <v>19.79</v>
      </c>
      <c r="M6172">
        <v>9.52</v>
      </c>
      <c r="N6172">
        <v>7.909</v>
      </c>
      <c r="O6172">
        <v>22.54</v>
      </c>
      <c r="P6172">
        <v>25.62</v>
      </c>
      <c r="Q6172">
        <v>20.55</v>
      </c>
      <c r="R6172">
        <v>8.85</v>
      </c>
    </row>
    <row r="6173">
      <c r="A6173" s="9">
        <v>44704</v>
      </c>
      <c r="B6173" s="2" t="inlineStr">
        <is>
          <t xml:space="preserve">2022-05</t>
        </is>
      </c>
      <c r="C6173" s="2" t="inlineStr">
        <is>
          <t xml:space="preserve">2021/22</t>
        </is>
      </c>
      <c r="D6173">
        <v>4.857</v>
      </c>
      <c r="E6173">
        <v>20.43</v>
      </c>
      <c r="F6173">
        <v>24.11</v>
      </c>
      <c r="G6173">
        <v>17.77</v>
      </c>
      <c r="H6173">
        <v>4.95</v>
      </c>
      <c r="I6173">
        <v>8.225</v>
      </c>
      <c r="J6173">
        <v>22.24</v>
      </c>
      <c r="K6173">
        <v>25.0</v>
      </c>
      <c r="L6173">
        <v>20.19</v>
      </c>
      <c r="M6173">
        <v>3.67</v>
      </c>
      <c r="N6173">
        <v>8.493</v>
      </c>
      <c r="O6173">
        <v>22.87</v>
      </c>
      <c r="P6173">
        <v>27.42</v>
      </c>
      <c r="Q6173">
        <v>20.24</v>
      </c>
      <c r="R6173">
        <v>3.13</v>
      </c>
    </row>
    <row r="6174">
      <c r="A6174" s="9">
        <v>44705</v>
      </c>
      <c r="B6174" s="2" t="inlineStr">
        <is>
          <t xml:space="preserve">2022-05</t>
        </is>
      </c>
      <c r="C6174" s="2" t="inlineStr">
        <is>
          <t xml:space="preserve">2021/22</t>
        </is>
      </c>
      <c r="D6174">
        <v>19.812</v>
      </c>
      <c r="E6174">
        <v>21.95</v>
      </c>
      <c r="F6174">
        <v>27.07</v>
      </c>
      <c r="G6174">
        <v>18.3</v>
      </c>
      <c r="H6174">
        <v>10.96</v>
      </c>
      <c r="I6174">
        <v>4.115</v>
      </c>
      <c r="J6174">
        <v>22.07</v>
      </c>
      <c r="K6174">
        <v>25.09</v>
      </c>
      <c r="L6174">
        <v>19.64</v>
      </c>
      <c r="M6174">
        <v>5.95</v>
      </c>
      <c r="N6174">
        <v>1.931</v>
      </c>
      <c r="O6174">
        <v>22.33</v>
      </c>
      <c r="P6174">
        <v>25.03</v>
      </c>
      <c r="Q6174">
        <v>20.34</v>
      </c>
      <c r="R6174">
        <v>5.09</v>
      </c>
    </row>
    <row r="6175">
      <c r="A6175" s="9">
        <v>44706</v>
      </c>
      <c r="B6175" s="2" t="inlineStr">
        <is>
          <t xml:space="preserve">2022-05</t>
        </is>
      </c>
      <c r="C6175" s="2" t="inlineStr">
        <is>
          <t xml:space="preserve">2021/22</t>
        </is>
      </c>
      <c r="D6175">
        <v>4.533</v>
      </c>
      <c r="E6175">
        <v>22.83</v>
      </c>
      <c r="F6175">
        <v>28.13</v>
      </c>
      <c r="G6175">
        <v>18.48</v>
      </c>
      <c r="H6175">
        <v>4.47</v>
      </c>
      <c r="I6175">
        <v>2.337</v>
      </c>
      <c r="J6175">
        <v>22.32</v>
      </c>
      <c r="K6175">
        <v>25.91</v>
      </c>
      <c r="L6175">
        <v>19.56</v>
      </c>
      <c r="M6175">
        <v>3.23</v>
      </c>
      <c r="N6175">
        <v>9.311</v>
      </c>
      <c r="O6175">
        <v>23.53</v>
      </c>
      <c r="P6175">
        <v>28.37</v>
      </c>
      <c r="Q6175">
        <v>19.61</v>
      </c>
      <c r="R6175">
        <v>4.2</v>
      </c>
    </row>
    <row r="6176">
      <c r="A6176" s="9">
        <v>44707</v>
      </c>
      <c r="B6176" s="2" t="inlineStr">
        <is>
          <t xml:space="preserve">2022-05</t>
        </is>
      </c>
      <c r="C6176" s="2" t="inlineStr">
        <is>
          <t xml:space="preserve">2021/22</t>
        </is>
      </c>
      <c r="D6176">
        <v>11.213</v>
      </c>
      <c r="E6176">
        <v>22.74</v>
      </c>
      <c r="F6176">
        <v>26.62</v>
      </c>
      <c r="G6176">
        <v>20.19</v>
      </c>
      <c r="H6176">
        <v>23.25</v>
      </c>
      <c r="I6176">
        <v>3.419</v>
      </c>
      <c r="J6176">
        <v>23.3</v>
      </c>
      <c r="K6176">
        <v>28.41</v>
      </c>
      <c r="L6176">
        <v>19.76</v>
      </c>
      <c r="M6176">
        <v>14.73</v>
      </c>
      <c r="N6176">
        <v>6.17</v>
      </c>
      <c r="O6176">
        <v>23.68</v>
      </c>
      <c r="P6176">
        <v>28.89</v>
      </c>
      <c r="Q6176">
        <v>19.54</v>
      </c>
      <c r="R6176">
        <v>23.68</v>
      </c>
    </row>
    <row r="6177">
      <c r="A6177" s="9">
        <v>44708</v>
      </c>
      <c r="B6177" s="2" t="inlineStr">
        <is>
          <t xml:space="preserve">2022-05</t>
        </is>
      </c>
      <c r="C6177" s="2" t="inlineStr">
        <is>
          <t xml:space="preserve">2021/22</t>
        </is>
      </c>
      <c r="D6177">
        <v>41.715</v>
      </c>
      <c r="E6177">
        <v>22.5</v>
      </c>
      <c r="F6177">
        <v>27.28</v>
      </c>
      <c r="G6177">
        <v>19.11</v>
      </c>
      <c r="H6177">
        <v>19.96</v>
      </c>
      <c r="I6177">
        <v>8.542</v>
      </c>
      <c r="J6177">
        <v>22.8</v>
      </c>
      <c r="K6177">
        <v>26.55</v>
      </c>
      <c r="L6177">
        <v>19.9</v>
      </c>
      <c r="M6177">
        <v>10.76</v>
      </c>
      <c r="N6177">
        <v>32.309</v>
      </c>
      <c r="O6177">
        <v>22.52</v>
      </c>
      <c r="P6177">
        <v>25.0</v>
      </c>
      <c r="Q6177">
        <v>20.95</v>
      </c>
      <c r="R6177">
        <v>24.92</v>
      </c>
    </row>
    <row r="6178">
      <c r="A6178" s="9">
        <v>44709</v>
      </c>
      <c r="B6178" s="2" t="inlineStr">
        <is>
          <t xml:space="preserve">2022-05</t>
        </is>
      </c>
      <c r="C6178" s="2" t="inlineStr">
        <is>
          <t xml:space="preserve">2021/22</t>
        </is>
      </c>
      <c r="D6178">
        <v>19.226</v>
      </c>
      <c r="E6178">
        <v>21.73</v>
      </c>
      <c r="F6178">
        <v>25.63</v>
      </c>
      <c r="G6178">
        <v>19.12</v>
      </c>
      <c r="H6178">
        <v>12.06</v>
      </c>
      <c r="I6178">
        <v>12.85</v>
      </c>
      <c r="J6178">
        <v>22.04</v>
      </c>
      <c r="K6178">
        <v>26.21</v>
      </c>
      <c r="L6178">
        <v>18.83</v>
      </c>
      <c r="M6178">
        <v>24.11</v>
      </c>
      <c r="N6178">
        <v>26.13</v>
      </c>
      <c r="O6178">
        <v>21.97</v>
      </c>
      <c r="P6178">
        <v>24.97</v>
      </c>
      <c r="Q6178">
        <v>20.06</v>
      </c>
      <c r="R6178">
        <v>22.31</v>
      </c>
    </row>
    <row r="6179">
      <c r="A6179" s="9">
        <v>44710</v>
      </c>
      <c r="B6179" s="2" t="inlineStr">
        <is>
          <t xml:space="preserve">2022-05</t>
        </is>
      </c>
      <c r="C6179" s="2" t="inlineStr">
        <is>
          <t xml:space="preserve">2021/22</t>
        </is>
      </c>
      <c r="D6179">
        <v>11.438</v>
      </c>
      <c r="E6179">
        <v>21.97</v>
      </c>
      <c r="F6179">
        <v>26.37</v>
      </c>
      <c r="G6179">
        <v>18.48</v>
      </c>
      <c r="H6179">
        <v>14.6</v>
      </c>
      <c r="I6179">
        <v>8.899</v>
      </c>
      <c r="J6179">
        <v>22.46</v>
      </c>
      <c r="K6179">
        <v>26.4</v>
      </c>
      <c r="L6179">
        <v>19.81</v>
      </c>
      <c r="M6179">
        <v>11.14</v>
      </c>
      <c r="N6179">
        <v>30.535</v>
      </c>
      <c r="O6179">
        <v>22.74</v>
      </c>
      <c r="P6179">
        <v>26.34</v>
      </c>
      <c r="Q6179">
        <v>19.85</v>
      </c>
      <c r="R6179">
        <v>14.44</v>
      </c>
    </row>
    <row r="6180">
      <c r="A6180" s="9">
        <v>44711</v>
      </c>
      <c r="B6180" s="2" t="inlineStr">
        <is>
          <t xml:space="preserve">2022-05</t>
        </is>
      </c>
      <c r="C6180" s="2" t="inlineStr">
        <is>
          <t xml:space="preserve">2021/22</t>
        </is>
      </c>
      <c r="D6180">
        <v>15.766</v>
      </c>
      <c r="E6180">
        <v>21.28</v>
      </c>
      <c r="F6180">
        <v>24.46</v>
      </c>
      <c r="G6180">
        <v>19.41</v>
      </c>
      <c r="H6180">
        <v>18.25</v>
      </c>
      <c r="I6180">
        <v>5.956</v>
      </c>
      <c r="J6180">
        <v>22.39</v>
      </c>
      <c r="K6180">
        <v>26.39</v>
      </c>
      <c r="L6180">
        <v>19.58</v>
      </c>
      <c r="M6180">
        <v>9.61</v>
      </c>
      <c r="N6180">
        <v>23.224</v>
      </c>
      <c r="O6180">
        <v>22.55</v>
      </c>
      <c r="P6180">
        <v>25.72</v>
      </c>
      <c r="Q6180">
        <v>20.66</v>
      </c>
      <c r="R6180">
        <v>21.23</v>
      </c>
    </row>
    <row r="6181">
      <c r="A6181" s="9">
        <v>44712</v>
      </c>
      <c r="B6181" s="2" t="inlineStr">
        <is>
          <t xml:space="preserve">2022-05</t>
        </is>
      </c>
      <c r="C6181" s="2" t="inlineStr">
        <is>
          <t xml:space="preserve">2021/22</t>
        </is>
      </c>
      <c r="D6181">
        <v>5.514</v>
      </c>
      <c r="E6181">
        <v>22.26</v>
      </c>
      <c r="F6181">
        <v>26.13</v>
      </c>
      <c r="G6181">
        <v>19.17</v>
      </c>
      <c r="H6181">
        <v>9.12</v>
      </c>
      <c r="I6181">
        <v>1.264</v>
      </c>
      <c r="J6181">
        <v>22.4</v>
      </c>
      <c r="K6181">
        <v>27.16</v>
      </c>
      <c r="L6181">
        <v>19.06</v>
      </c>
      <c r="M6181">
        <v>3.54</v>
      </c>
      <c r="N6181">
        <v>4.78</v>
      </c>
      <c r="O6181">
        <v>22.52</v>
      </c>
      <c r="P6181">
        <v>26.38</v>
      </c>
      <c r="Q6181">
        <v>19.68</v>
      </c>
      <c r="R6181">
        <v>21.53</v>
      </c>
    </row>
    <row r="6182">
      <c r="A6182" s="9">
        <v>44713</v>
      </c>
      <c r="B6182" s="2" t="inlineStr">
        <is>
          <t xml:space="preserve">2022-06</t>
        </is>
      </c>
      <c r="C6182" s="2" t="inlineStr">
        <is>
          <t xml:space="preserve">2021/22</t>
        </is>
      </c>
      <c r="D6182">
        <v>0.053</v>
      </c>
      <c r="E6182">
        <v>22.37</v>
      </c>
      <c r="F6182">
        <v>27.39</v>
      </c>
      <c r="G6182">
        <v>18.65</v>
      </c>
      <c r="H6182">
        <v>1.03</v>
      </c>
      <c r="I6182">
        <v>0.322</v>
      </c>
      <c r="J6182">
        <v>22.03</v>
      </c>
      <c r="K6182">
        <v>27.16</v>
      </c>
      <c r="L6182">
        <v>18.71</v>
      </c>
      <c r="M6182">
        <v>0.83</v>
      </c>
      <c r="N6182">
        <v>1.148</v>
      </c>
      <c r="O6182">
        <v>22.65</v>
      </c>
      <c r="P6182">
        <v>28.17</v>
      </c>
      <c r="Q6182">
        <v>18.57</v>
      </c>
      <c r="R6182">
        <v>3.42</v>
      </c>
    </row>
    <row r="6183">
      <c r="A6183" s="9">
        <v>44714</v>
      </c>
      <c r="B6183" s="2" t="inlineStr">
        <is>
          <t xml:space="preserve">2022-06</t>
        </is>
      </c>
      <c r="C6183" s="2" t="inlineStr">
        <is>
          <t xml:space="preserve">2021/22</t>
        </is>
      </c>
      <c r="D6183">
        <v>0.0</v>
      </c>
      <c r="E6183">
        <v>21.05</v>
      </c>
      <c r="F6183">
        <v>24.93</v>
      </c>
      <c r="G6183">
        <v>17.99</v>
      </c>
      <c r="H6183">
        <v>0.29</v>
      </c>
      <c r="I6183">
        <v>0.0</v>
      </c>
      <c r="J6183">
        <v>21.44</v>
      </c>
      <c r="K6183">
        <v>25.26</v>
      </c>
      <c r="L6183">
        <v>19.08</v>
      </c>
      <c r="M6183">
        <v>0.28</v>
      </c>
      <c r="N6183">
        <v>0.0</v>
      </c>
      <c r="O6183">
        <v>22.22</v>
      </c>
      <c r="P6183">
        <v>26.3</v>
      </c>
      <c r="Q6183">
        <v>19.59</v>
      </c>
      <c r="R6183">
        <v>0.18</v>
      </c>
    </row>
    <row r="6184">
      <c r="A6184" s="9">
        <v>44715</v>
      </c>
      <c r="B6184" s="2" t="inlineStr">
        <is>
          <t xml:space="preserve">2022-06</t>
        </is>
      </c>
      <c r="C6184" s="2" t="inlineStr">
        <is>
          <t xml:space="preserve">2021/22</t>
        </is>
      </c>
      <c r="D6184">
        <v>1.947</v>
      </c>
      <c r="E6184">
        <v>21.87</v>
      </c>
      <c r="F6184">
        <v>26.94</v>
      </c>
      <c r="G6184">
        <v>17.48</v>
      </c>
      <c r="H6184">
        <v>7.24</v>
      </c>
      <c r="I6184">
        <v>2.335</v>
      </c>
      <c r="J6184">
        <v>22.31</v>
      </c>
      <c r="K6184">
        <v>27.19</v>
      </c>
      <c r="L6184">
        <v>18.73</v>
      </c>
      <c r="M6184">
        <v>6.42</v>
      </c>
      <c r="N6184">
        <v>3.843</v>
      </c>
      <c r="O6184">
        <v>22.91</v>
      </c>
      <c r="P6184">
        <v>27.48</v>
      </c>
      <c r="Q6184">
        <v>19.41</v>
      </c>
      <c r="R6184">
        <v>7.2</v>
      </c>
    </row>
    <row r="6185">
      <c r="A6185" s="9">
        <v>44716</v>
      </c>
      <c r="B6185" s="2" t="inlineStr">
        <is>
          <t xml:space="preserve">2022-06</t>
        </is>
      </c>
      <c r="C6185" s="2" t="inlineStr">
        <is>
          <t xml:space="preserve">2021/22</t>
        </is>
      </c>
      <c r="D6185">
        <v>18.33</v>
      </c>
      <c r="E6185">
        <v>21.79</v>
      </c>
      <c r="F6185">
        <v>26.1</v>
      </c>
      <c r="G6185">
        <v>18.94</v>
      </c>
      <c r="H6185">
        <v>16.36</v>
      </c>
      <c r="I6185">
        <v>9.475</v>
      </c>
      <c r="J6185">
        <v>21.59</v>
      </c>
      <c r="K6185">
        <v>24.09</v>
      </c>
      <c r="L6185">
        <v>19.85</v>
      </c>
      <c r="M6185">
        <v>30.28</v>
      </c>
      <c r="N6185">
        <v>35.341</v>
      </c>
      <c r="O6185">
        <v>22.71</v>
      </c>
      <c r="P6185">
        <v>26.0</v>
      </c>
      <c r="Q6185">
        <v>20.61</v>
      </c>
      <c r="R6185">
        <v>32.46</v>
      </c>
    </row>
    <row r="6186">
      <c r="A6186" s="9">
        <v>44717</v>
      </c>
      <c r="B6186" s="2" t="inlineStr">
        <is>
          <t xml:space="preserve">2022-06</t>
        </is>
      </c>
      <c r="C6186" s="2" t="inlineStr">
        <is>
          <t xml:space="preserve">2021/22</t>
        </is>
      </c>
      <c r="D6186">
        <v>6.582</v>
      </c>
      <c r="E6186">
        <v>21.7</v>
      </c>
      <c r="F6186">
        <v>24.88</v>
      </c>
      <c r="G6186">
        <v>19.54</v>
      </c>
      <c r="H6186">
        <v>4.09</v>
      </c>
      <c r="I6186">
        <v>19.432</v>
      </c>
      <c r="J6186">
        <v>22.68</v>
      </c>
      <c r="K6186">
        <v>27.41</v>
      </c>
      <c r="L6186">
        <v>19.37</v>
      </c>
      <c r="M6186">
        <v>17.92</v>
      </c>
      <c r="N6186">
        <v>68.044</v>
      </c>
      <c r="O6186">
        <v>23.04</v>
      </c>
      <c r="P6186">
        <v>26.97</v>
      </c>
      <c r="Q6186">
        <v>19.94</v>
      </c>
      <c r="R6186">
        <v>11.6</v>
      </c>
    </row>
    <row r="6187">
      <c r="A6187" s="9">
        <v>44718</v>
      </c>
      <c r="B6187" s="2" t="inlineStr">
        <is>
          <t xml:space="preserve">2022-06</t>
        </is>
      </c>
      <c r="C6187" s="2" t="inlineStr">
        <is>
          <t xml:space="preserve">2021/22</t>
        </is>
      </c>
      <c r="D6187">
        <v>3.768</v>
      </c>
      <c r="E6187">
        <v>22.23</v>
      </c>
      <c r="F6187">
        <v>26.3</v>
      </c>
      <c r="G6187">
        <v>19.51</v>
      </c>
      <c r="H6187">
        <v>3.07</v>
      </c>
      <c r="I6187">
        <v>5.248</v>
      </c>
      <c r="J6187">
        <v>21.74</v>
      </c>
      <c r="K6187">
        <v>24.89</v>
      </c>
      <c r="L6187">
        <v>19.25</v>
      </c>
      <c r="M6187">
        <v>4.25</v>
      </c>
      <c r="N6187">
        <v>0.896</v>
      </c>
      <c r="O6187">
        <v>22.7</v>
      </c>
      <c r="P6187">
        <v>26.11</v>
      </c>
      <c r="Q6187">
        <v>19.9</v>
      </c>
      <c r="R6187">
        <v>3.81</v>
      </c>
    </row>
    <row r="6188">
      <c r="A6188" s="9">
        <v>44719</v>
      </c>
      <c r="B6188" s="2" t="inlineStr">
        <is>
          <t xml:space="preserve">2022-06</t>
        </is>
      </c>
      <c r="C6188" s="2" t="inlineStr">
        <is>
          <t xml:space="preserve">2021/22</t>
        </is>
      </c>
      <c r="D6188">
        <v>5.259</v>
      </c>
      <c r="E6188">
        <v>22.06</v>
      </c>
      <c r="F6188">
        <v>26.31</v>
      </c>
      <c r="G6188">
        <v>18.39</v>
      </c>
      <c r="H6188">
        <v>6.75</v>
      </c>
      <c r="I6188">
        <v>6.149</v>
      </c>
      <c r="J6188">
        <v>22.39</v>
      </c>
      <c r="K6188">
        <v>26.74</v>
      </c>
      <c r="L6188">
        <v>19.14</v>
      </c>
      <c r="M6188">
        <v>15.91</v>
      </c>
      <c r="N6188">
        <v>17.701</v>
      </c>
      <c r="O6188">
        <v>23.42</v>
      </c>
      <c r="P6188">
        <v>28.33</v>
      </c>
      <c r="Q6188">
        <v>19.35</v>
      </c>
      <c r="R6188">
        <v>14.96</v>
      </c>
    </row>
    <row r="6189">
      <c r="A6189" s="9">
        <v>44720</v>
      </c>
      <c r="B6189" s="2" t="inlineStr">
        <is>
          <t xml:space="preserve">2022-06</t>
        </is>
      </c>
      <c r="C6189" s="2" t="inlineStr">
        <is>
          <t xml:space="preserve">2021/22</t>
        </is>
      </c>
      <c r="D6189">
        <v>13.499</v>
      </c>
      <c r="E6189">
        <v>22.69</v>
      </c>
      <c r="F6189">
        <v>26.95</v>
      </c>
      <c r="G6189">
        <v>19.85</v>
      </c>
      <c r="H6189">
        <v>10.7</v>
      </c>
      <c r="I6189">
        <v>11.669</v>
      </c>
      <c r="J6189">
        <v>22.2</v>
      </c>
      <c r="K6189">
        <v>25.57</v>
      </c>
      <c r="L6189">
        <v>19.72</v>
      </c>
      <c r="M6189">
        <v>16.71</v>
      </c>
      <c r="N6189">
        <v>40.406</v>
      </c>
      <c r="O6189">
        <v>23.3</v>
      </c>
      <c r="P6189">
        <v>27.18</v>
      </c>
      <c r="Q6189">
        <v>20.62</v>
      </c>
      <c r="R6189">
        <v>17.57</v>
      </c>
    </row>
    <row r="6190">
      <c r="A6190" s="9">
        <v>44721</v>
      </c>
      <c r="B6190" s="2" t="inlineStr">
        <is>
          <t xml:space="preserve">2022-06</t>
        </is>
      </c>
      <c r="C6190" s="2" t="inlineStr">
        <is>
          <t xml:space="preserve">2021/22</t>
        </is>
      </c>
      <c r="D6190">
        <v>19.491</v>
      </c>
      <c r="E6190">
        <v>21.45</v>
      </c>
      <c r="F6190">
        <v>24.83</v>
      </c>
      <c r="G6190">
        <v>18.64</v>
      </c>
      <c r="H6190">
        <v>23.2</v>
      </c>
      <c r="I6190">
        <v>8.497</v>
      </c>
      <c r="J6190">
        <v>22.2</v>
      </c>
      <c r="K6190">
        <v>25.24</v>
      </c>
      <c r="L6190">
        <v>20.15</v>
      </c>
      <c r="M6190">
        <v>24.56</v>
      </c>
      <c r="N6190">
        <v>30.702</v>
      </c>
      <c r="O6190">
        <v>23.02</v>
      </c>
      <c r="P6190">
        <v>26.23</v>
      </c>
      <c r="Q6190">
        <v>20.74</v>
      </c>
      <c r="R6190">
        <v>24.83</v>
      </c>
    </row>
    <row r="6191">
      <c r="A6191" s="9">
        <v>44722</v>
      </c>
      <c r="B6191" s="2" t="inlineStr">
        <is>
          <t xml:space="preserve">2022-06</t>
        </is>
      </c>
      <c r="C6191" s="2" t="inlineStr">
        <is>
          <t xml:space="preserve">2021/22</t>
        </is>
      </c>
      <c r="D6191">
        <v>29.072</v>
      </c>
      <c r="E6191">
        <v>20.63</v>
      </c>
      <c r="F6191">
        <v>24.45</v>
      </c>
      <c r="G6191">
        <v>17.26</v>
      </c>
      <c r="H6191">
        <v>7.73</v>
      </c>
      <c r="I6191">
        <v>11.403</v>
      </c>
      <c r="J6191">
        <v>22.18</v>
      </c>
      <c r="K6191">
        <v>26.4</v>
      </c>
      <c r="L6191">
        <v>18.73</v>
      </c>
      <c r="M6191">
        <v>2.61</v>
      </c>
      <c r="N6191">
        <v>18.506</v>
      </c>
      <c r="O6191">
        <v>22.01</v>
      </c>
      <c r="P6191">
        <v>25.31</v>
      </c>
      <c r="Q6191">
        <v>19.44</v>
      </c>
      <c r="R6191">
        <v>3.33</v>
      </c>
    </row>
    <row r="6192">
      <c r="A6192" s="9">
        <v>44723</v>
      </c>
      <c r="B6192" s="2" t="inlineStr">
        <is>
          <t xml:space="preserve">2022-06</t>
        </is>
      </c>
      <c r="C6192" s="2" t="inlineStr">
        <is>
          <t xml:space="preserve">2021/22</t>
        </is>
      </c>
      <c r="D6192">
        <v>7.101</v>
      </c>
      <c r="E6192">
        <v>20.63</v>
      </c>
      <c r="F6192">
        <v>25.34</v>
      </c>
      <c r="G6192">
        <v>17.29</v>
      </c>
      <c r="H6192">
        <v>11.34</v>
      </c>
      <c r="I6192">
        <v>6.537</v>
      </c>
      <c r="J6192">
        <v>22.8</v>
      </c>
      <c r="K6192">
        <v>27.42</v>
      </c>
      <c r="L6192">
        <v>19.04</v>
      </c>
      <c r="M6192">
        <v>12.67</v>
      </c>
      <c r="N6192">
        <v>0.82</v>
      </c>
      <c r="O6192">
        <v>22.57</v>
      </c>
      <c r="P6192">
        <v>26.67</v>
      </c>
      <c r="Q6192">
        <v>19.69</v>
      </c>
      <c r="R6192">
        <v>10.16</v>
      </c>
    </row>
    <row r="6193">
      <c r="A6193" s="9">
        <v>44724</v>
      </c>
      <c r="B6193" s="2" t="inlineStr">
        <is>
          <t xml:space="preserve">2022-06</t>
        </is>
      </c>
      <c r="C6193" s="2" t="inlineStr">
        <is>
          <t xml:space="preserve">2021/22</t>
        </is>
      </c>
      <c r="D6193">
        <v>8.656</v>
      </c>
      <c r="E6193">
        <v>20.0</v>
      </c>
      <c r="F6193">
        <v>24.3</v>
      </c>
      <c r="G6193">
        <v>16.41</v>
      </c>
      <c r="H6193">
        <v>4.83</v>
      </c>
      <c r="I6193">
        <v>7.867</v>
      </c>
      <c r="J6193">
        <v>22.09</v>
      </c>
      <c r="K6193">
        <v>25.2</v>
      </c>
      <c r="L6193">
        <v>19.42</v>
      </c>
      <c r="M6193">
        <v>5.17</v>
      </c>
      <c r="N6193">
        <v>22.354</v>
      </c>
      <c r="O6193">
        <v>22.43</v>
      </c>
      <c r="P6193">
        <v>26.33</v>
      </c>
      <c r="Q6193">
        <v>19.74</v>
      </c>
      <c r="R6193">
        <v>3.52</v>
      </c>
    </row>
    <row r="6194">
      <c r="A6194" s="9">
        <v>44725</v>
      </c>
      <c r="B6194" s="2" t="inlineStr">
        <is>
          <t xml:space="preserve">2022-06</t>
        </is>
      </c>
      <c r="C6194" s="2" t="inlineStr">
        <is>
          <t xml:space="preserve">2021/22</t>
        </is>
      </c>
      <c r="D6194">
        <v>8.966</v>
      </c>
      <c r="E6194">
        <v>20.77</v>
      </c>
      <c r="F6194">
        <v>25.33</v>
      </c>
      <c r="G6194">
        <v>17.1</v>
      </c>
      <c r="H6194">
        <v>10.38</v>
      </c>
      <c r="I6194">
        <v>18.157</v>
      </c>
      <c r="J6194">
        <v>22.41</v>
      </c>
      <c r="K6194">
        <v>26.66</v>
      </c>
      <c r="L6194">
        <v>19.04</v>
      </c>
      <c r="M6194">
        <v>16.63</v>
      </c>
      <c r="N6194">
        <v>3.152</v>
      </c>
      <c r="O6194">
        <v>22.7</v>
      </c>
      <c r="P6194">
        <v>26.83</v>
      </c>
      <c r="Q6194">
        <v>19.76</v>
      </c>
      <c r="R6194">
        <v>8.14</v>
      </c>
    </row>
    <row r="6195">
      <c r="A6195" s="9">
        <v>44726</v>
      </c>
      <c r="B6195" s="2" t="inlineStr">
        <is>
          <t xml:space="preserve">2022-06</t>
        </is>
      </c>
      <c r="C6195" s="2" t="inlineStr">
        <is>
          <t xml:space="preserve">2021/22</t>
        </is>
      </c>
      <c r="D6195">
        <v>31.687</v>
      </c>
      <c r="E6195">
        <v>19.98</v>
      </c>
      <c r="F6195">
        <v>23.4</v>
      </c>
      <c r="G6195">
        <v>17.57</v>
      </c>
      <c r="H6195">
        <v>19.81</v>
      </c>
      <c r="I6195">
        <v>16.505</v>
      </c>
      <c r="J6195">
        <v>21.78</v>
      </c>
      <c r="K6195">
        <v>25.28</v>
      </c>
      <c r="L6195">
        <v>19.44</v>
      </c>
      <c r="M6195">
        <v>19.01</v>
      </c>
      <c r="N6195">
        <v>9.956</v>
      </c>
      <c r="O6195">
        <v>21.98</v>
      </c>
      <c r="P6195">
        <v>25.86</v>
      </c>
      <c r="Q6195">
        <v>18.41</v>
      </c>
      <c r="R6195">
        <v>10.18</v>
      </c>
    </row>
    <row r="6196">
      <c r="A6196" s="9">
        <v>44727</v>
      </c>
      <c r="B6196" s="2" t="inlineStr">
        <is>
          <t xml:space="preserve">2022-06</t>
        </is>
      </c>
      <c r="C6196" s="2" t="inlineStr">
        <is>
          <t xml:space="preserve">2021/22</t>
        </is>
      </c>
      <c r="D6196">
        <v>9.026</v>
      </c>
      <c r="E6196">
        <v>19.98</v>
      </c>
      <c r="F6196">
        <v>23.87</v>
      </c>
      <c r="G6196">
        <v>16.17</v>
      </c>
      <c r="H6196">
        <v>3.96</v>
      </c>
      <c r="I6196">
        <v>8.761</v>
      </c>
      <c r="J6196">
        <v>21.94</v>
      </c>
      <c r="K6196">
        <v>26.45</v>
      </c>
      <c r="L6196">
        <v>17.77</v>
      </c>
      <c r="M6196">
        <v>1.79</v>
      </c>
      <c r="N6196">
        <v>8.153</v>
      </c>
      <c r="O6196">
        <v>21.61</v>
      </c>
      <c r="P6196">
        <v>26.51</v>
      </c>
      <c r="Q6196">
        <v>17.39</v>
      </c>
      <c r="R6196">
        <v>2.71</v>
      </c>
    </row>
    <row r="6197">
      <c r="A6197" s="9">
        <v>44728</v>
      </c>
      <c r="B6197" s="2" t="inlineStr">
        <is>
          <t xml:space="preserve">2022-06</t>
        </is>
      </c>
      <c r="C6197" s="2" t="inlineStr">
        <is>
          <t xml:space="preserve">2021/22</t>
        </is>
      </c>
      <c r="D6197">
        <v>0.818</v>
      </c>
      <c r="E6197">
        <v>20.3</v>
      </c>
      <c r="F6197">
        <v>24.98</v>
      </c>
      <c r="G6197">
        <v>16.37</v>
      </c>
      <c r="H6197">
        <v>2.75</v>
      </c>
      <c r="I6197">
        <v>0.791</v>
      </c>
      <c r="J6197">
        <v>20.77</v>
      </c>
      <c r="K6197">
        <v>23.46</v>
      </c>
      <c r="L6197">
        <v>18.79</v>
      </c>
      <c r="M6197">
        <v>0.63</v>
      </c>
      <c r="N6197">
        <v>0.0</v>
      </c>
      <c r="O6197">
        <v>21.4</v>
      </c>
      <c r="P6197">
        <v>24.71</v>
      </c>
      <c r="Q6197">
        <v>19.31</v>
      </c>
      <c r="R6197">
        <v>0.23</v>
      </c>
    </row>
    <row r="6198">
      <c r="A6198" s="9">
        <v>44729</v>
      </c>
      <c r="B6198" s="2" t="inlineStr">
        <is>
          <t xml:space="preserve">2022-06</t>
        </is>
      </c>
      <c r="C6198" s="2" t="inlineStr">
        <is>
          <t xml:space="preserve">2021/22</t>
        </is>
      </c>
      <c r="D6198">
        <v>3.364</v>
      </c>
      <c r="E6198">
        <v>21.41</v>
      </c>
      <c r="F6198">
        <v>25.73</v>
      </c>
      <c r="G6198">
        <v>18.18</v>
      </c>
      <c r="H6198">
        <v>6.78</v>
      </c>
      <c r="I6198">
        <v>3.775</v>
      </c>
      <c r="J6198">
        <v>21.51</v>
      </c>
      <c r="K6198">
        <v>25.88</v>
      </c>
      <c r="L6198">
        <v>18.07</v>
      </c>
      <c r="M6198">
        <v>15.42</v>
      </c>
      <c r="N6198">
        <v>0.179</v>
      </c>
      <c r="O6198">
        <v>22.17</v>
      </c>
      <c r="P6198">
        <v>26.82</v>
      </c>
      <c r="Q6198">
        <v>18.61</v>
      </c>
      <c r="R6198">
        <v>5.64</v>
      </c>
    </row>
    <row r="6199">
      <c r="A6199" s="9">
        <v>44730</v>
      </c>
      <c r="B6199" s="2" t="inlineStr">
        <is>
          <t xml:space="preserve">2022-06</t>
        </is>
      </c>
      <c r="C6199" s="2" t="inlineStr">
        <is>
          <t xml:space="preserve">2021/22</t>
        </is>
      </c>
      <c r="D6199">
        <v>12.892</v>
      </c>
      <c r="E6199">
        <v>21.8</v>
      </c>
      <c r="F6199">
        <v>25.96</v>
      </c>
      <c r="G6199">
        <v>17.67</v>
      </c>
      <c r="H6199">
        <v>5.77</v>
      </c>
      <c r="I6199">
        <v>22.447</v>
      </c>
      <c r="J6199">
        <v>22.72</v>
      </c>
      <c r="K6199">
        <v>26.72</v>
      </c>
      <c r="L6199">
        <v>19.59</v>
      </c>
      <c r="M6199">
        <v>7.83</v>
      </c>
      <c r="N6199">
        <v>11.223</v>
      </c>
      <c r="O6199">
        <v>23.22</v>
      </c>
      <c r="P6199">
        <v>27.56</v>
      </c>
      <c r="Q6199">
        <v>20.26</v>
      </c>
      <c r="R6199">
        <v>5.62</v>
      </c>
    </row>
    <row r="6200">
      <c r="A6200" s="9">
        <v>44731</v>
      </c>
      <c r="B6200" s="2" t="inlineStr">
        <is>
          <t xml:space="preserve">2022-06</t>
        </is>
      </c>
      <c r="C6200" s="2" t="inlineStr">
        <is>
          <t xml:space="preserve">2021/22</t>
        </is>
      </c>
      <c r="D6200">
        <v>2.25</v>
      </c>
      <c r="E6200">
        <v>22.3</v>
      </c>
      <c r="F6200">
        <v>26.17</v>
      </c>
      <c r="G6200">
        <v>19.28</v>
      </c>
      <c r="H6200">
        <v>10.81</v>
      </c>
      <c r="I6200">
        <v>6.533</v>
      </c>
      <c r="J6200">
        <v>22.05</v>
      </c>
      <c r="K6200">
        <v>25.35</v>
      </c>
      <c r="L6200">
        <v>19.61</v>
      </c>
      <c r="M6200">
        <v>10.09</v>
      </c>
      <c r="N6200">
        <v>7.447</v>
      </c>
      <c r="O6200">
        <v>22.79</v>
      </c>
      <c r="P6200">
        <v>25.59</v>
      </c>
      <c r="Q6200">
        <v>20.47</v>
      </c>
      <c r="R6200">
        <v>8.95</v>
      </c>
    </row>
    <row r="6201">
      <c r="A6201" s="9">
        <v>44732</v>
      </c>
      <c r="B6201" s="2" t="inlineStr">
        <is>
          <t xml:space="preserve">2022-06</t>
        </is>
      </c>
      <c r="C6201" s="2" t="inlineStr">
        <is>
          <t xml:space="preserve">2021/22</t>
        </is>
      </c>
      <c r="D6201">
        <v>26.236</v>
      </c>
      <c r="E6201">
        <v>21.8</v>
      </c>
      <c r="F6201">
        <v>25.82</v>
      </c>
      <c r="G6201">
        <v>19.27</v>
      </c>
      <c r="H6201">
        <v>17.34</v>
      </c>
      <c r="I6201">
        <v>12.147</v>
      </c>
      <c r="J6201">
        <v>22.21</v>
      </c>
      <c r="K6201">
        <v>26.28</v>
      </c>
      <c r="L6201">
        <v>19.02</v>
      </c>
      <c r="M6201">
        <v>18.71</v>
      </c>
      <c r="N6201">
        <v>45.944</v>
      </c>
      <c r="O6201">
        <v>22.61</v>
      </c>
      <c r="P6201">
        <v>25.17</v>
      </c>
      <c r="Q6201">
        <v>20.33</v>
      </c>
      <c r="R6201">
        <v>22.08</v>
      </c>
    </row>
    <row r="6202">
      <c r="A6202" s="9">
        <v>44733</v>
      </c>
      <c r="B6202" s="2" t="inlineStr">
        <is>
          <t xml:space="preserve">2022-06</t>
        </is>
      </c>
      <c r="C6202" s="2" t="inlineStr">
        <is>
          <t xml:space="preserve">2021/22</t>
        </is>
      </c>
      <c r="D6202">
        <v>14.446</v>
      </c>
      <c r="E6202">
        <v>20.79</v>
      </c>
      <c r="F6202">
        <v>23.96</v>
      </c>
      <c r="G6202">
        <v>18.39</v>
      </c>
      <c r="H6202">
        <v>6.21</v>
      </c>
      <c r="I6202">
        <v>10.589</v>
      </c>
      <c r="J6202">
        <v>21.06</v>
      </c>
      <c r="K6202">
        <v>24.88</v>
      </c>
      <c r="L6202">
        <v>18.43</v>
      </c>
      <c r="M6202">
        <v>15.24</v>
      </c>
      <c r="N6202">
        <v>21.77</v>
      </c>
      <c r="O6202">
        <v>21.2</v>
      </c>
      <c r="P6202">
        <v>23.22</v>
      </c>
      <c r="Q6202">
        <v>19.36</v>
      </c>
      <c r="R6202">
        <v>8.66</v>
      </c>
    </row>
    <row r="6203">
      <c r="A6203" s="9">
        <v>44734</v>
      </c>
      <c r="B6203" s="2" t="inlineStr">
        <is>
          <t xml:space="preserve">2022-06</t>
        </is>
      </c>
      <c r="C6203" s="2" t="inlineStr">
        <is>
          <t xml:space="preserve">2021/22</t>
        </is>
      </c>
      <c r="D6203">
        <v>1.165</v>
      </c>
      <c r="E6203">
        <v>20.87</v>
      </c>
      <c r="F6203">
        <v>25.09</v>
      </c>
      <c r="G6203">
        <v>17.52</v>
      </c>
      <c r="H6203">
        <v>2.81</v>
      </c>
      <c r="I6203">
        <v>11.22</v>
      </c>
      <c r="J6203">
        <v>21.14</v>
      </c>
      <c r="K6203">
        <v>25.21</v>
      </c>
      <c r="L6203">
        <v>18.17</v>
      </c>
      <c r="M6203">
        <v>8.68</v>
      </c>
      <c r="N6203">
        <v>2.467</v>
      </c>
      <c r="O6203">
        <v>21.08</v>
      </c>
      <c r="P6203">
        <v>24.01</v>
      </c>
      <c r="Q6203">
        <v>19.27</v>
      </c>
      <c r="R6203">
        <v>8.98</v>
      </c>
    </row>
    <row r="6204">
      <c r="A6204" s="9">
        <v>44735</v>
      </c>
      <c r="B6204" s="2" t="inlineStr">
        <is>
          <t xml:space="preserve">2022-06</t>
        </is>
      </c>
      <c r="C6204" s="2" t="inlineStr">
        <is>
          <t xml:space="preserve">2021/22</t>
        </is>
      </c>
      <c r="D6204">
        <v>0.122</v>
      </c>
      <c r="E6204">
        <v>21.31</v>
      </c>
      <c r="F6204">
        <v>25.7</v>
      </c>
      <c r="G6204">
        <v>18.1</v>
      </c>
      <c r="H6204">
        <v>1.58</v>
      </c>
      <c r="I6204">
        <v>9.872</v>
      </c>
      <c r="J6204">
        <v>21.04</v>
      </c>
      <c r="K6204">
        <v>25.02</v>
      </c>
      <c r="L6204">
        <v>18.29</v>
      </c>
      <c r="M6204">
        <v>4.83</v>
      </c>
      <c r="N6204">
        <v>4.547</v>
      </c>
      <c r="O6204">
        <v>21.11</v>
      </c>
      <c r="P6204">
        <v>24.45</v>
      </c>
      <c r="Q6204">
        <v>19.2</v>
      </c>
      <c r="R6204">
        <v>4.76</v>
      </c>
    </row>
    <row r="6205">
      <c r="A6205" s="9">
        <v>44736</v>
      </c>
      <c r="B6205" s="2" t="inlineStr">
        <is>
          <t xml:space="preserve">2022-06</t>
        </is>
      </c>
      <c r="C6205" s="2" t="inlineStr">
        <is>
          <t xml:space="preserve">2021/22</t>
        </is>
      </c>
      <c r="D6205">
        <v>0.037</v>
      </c>
      <c r="E6205">
        <v>21.7</v>
      </c>
      <c r="F6205">
        <v>26.08</v>
      </c>
      <c r="G6205">
        <v>18.26</v>
      </c>
      <c r="H6205">
        <v>0.95</v>
      </c>
      <c r="I6205">
        <v>0.323</v>
      </c>
      <c r="J6205">
        <v>21.55</v>
      </c>
      <c r="K6205">
        <v>25.92</v>
      </c>
      <c r="L6205">
        <v>17.59</v>
      </c>
      <c r="M6205">
        <v>1.33</v>
      </c>
      <c r="N6205">
        <v>0.535</v>
      </c>
      <c r="O6205">
        <v>22.02</v>
      </c>
      <c r="P6205">
        <v>26.53</v>
      </c>
      <c r="Q6205">
        <v>18.1</v>
      </c>
      <c r="R6205">
        <v>0.5</v>
      </c>
    </row>
    <row r="6206">
      <c r="A6206" s="9">
        <v>44737</v>
      </c>
      <c r="B6206" s="2" t="inlineStr">
        <is>
          <t xml:space="preserve">2022-06</t>
        </is>
      </c>
      <c r="C6206" s="2" t="inlineStr">
        <is>
          <t xml:space="preserve">2021/22</t>
        </is>
      </c>
      <c r="D6206">
        <v>2.281</v>
      </c>
      <c r="E6206">
        <v>21.52</v>
      </c>
      <c r="F6206">
        <v>26.31</v>
      </c>
      <c r="G6206">
        <v>17.31</v>
      </c>
      <c r="H6206">
        <v>6.73</v>
      </c>
      <c r="I6206">
        <v>4.341</v>
      </c>
      <c r="J6206">
        <v>22.36</v>
      </c>
      <c r="K6206">
        <v>26.6</v>
      </c>
      <c r="L6206">
        <v>18.8</v>
      </c>
      <c r="M6206">
        <v>4.9</v>
      </c>
      <c r="N6206">
        <v>0.785</v>
      </c>
      <c r="O6206">
        <v>23.07</v>
      </c>
      <c r="P6206">
        <v>27.62</v>
      </c>
      <c r="Q6206">
        <v>19.64</v>
      </c>
      <c r="R6206">
        <v>2.32</v>
      </c>
    </row>
    <row r="6207">
      <c r="A6207" s="9">
        <v>44738</v>
      </c>
      <c r="B6207" s="2" t="inlineStr">
        <is>
          <t xml:space="preserve">2022-06</t>
        </is>
      </c>
      <c r="C6207" s="2" t="inlineStr">
        <is>
          <t xml:space="preserve">2021/22</t>
        </is>
      </c>
      <c r="D6207">
        <v>19.298</v>
      </c>
      <c r="E6207">
        <v>21.76</v>
      </c>
      <c r="F6207">
        <v>26.63</v>
      </c>
      <c r="G6207">
        <v>17.75</v>
      </c>
      <c r="H6207">
        <v>5.0</v>
      </c>
      <c r="I6207">
        <v>3.322</v>
      </c>
      <c r="J6207">
        <v>22.66</v>
      </c>
      <c r="K6207">
        <v>26.8</v>
      </c>
      <c r="L6207">
        <v>19.51</v>
      </c>
      <c r="M6207">
        <v>3.4</v>
      </c>
      <c r="N6207">
        <v>0.58</v>
      </c>
      <c r="O6207">
        <v>22.83</v>
      </c>
      <c r="P6207">
        <v>27.36</v>
      </c>
      <c r="Q6207">
        <v>19.64</v>
      </c>
      <c r="R6207">
        <v>3.79</v>
      </c>
    </row>
    <row r="6208">
      <c r="A6208" s="9">
        <v>44739</v>
      </c>
      <c r="B6208" s="2" t="inlineStr">
        <is>
          <t xml:space="preserve">2022-06</t>
        </is>
      </c>
      <c r="C6208" s="2" t="inlineStr">
        <is>
          <t xml:space="preserve">2021/22</t>
        </is>
      </c>
      <c r="D6208">
        <v>3.951</v>
      </c>
      <c r="E6208">
        <v>21.66</v>
      </c>
      <c r="F6208">
        <v>27.25</v>
      </c>
      <c r="G6208">
        <v>17.19</v>
      </c>
      <c r="H6208">
        <v>52.89</v>
      </c>
      <c r="I6208">
        <v>0.3</v>
      </c>
      <c r="J6208">
        <v>22.71</v>
      </c>
      <c r="K6208">
        <v>26.65</v>
      </c>
      <c r="L6208">
        <v>19.81</v>
      </c>
      <c r="M6208">
        <v>33.29</v>
      </c>
      <c r="N6208">
        <v>1.357</v>
      </c>
      <c r="O6208">
        <v>22.8</v>
      </c>
      <c r="P6208">
        <v>27.24</v>
      </c>
      <c r="Q6208">
        <v>20.22</v>
      </c>
      <c r="R6208">
        <v>44.45</v>
      </c>
    </row>
    <row r="6209">
      <c r="A6209" s="9">
        <v>44740</v>
      </c>
      <c r="B6209" s="2" t="inlineStr">
        <is>
          <t xml:space="preserve">2022-06</t>
        </is>
      </c>
      <c r="C6209" s="2" t="inlineStr">
        <is>
          <t xml:space="preserve">2021/22</t>
        </is>
      </c>
      <c r="D6209">
        <v>0.0</v>
      </c>
      <c r="E6209">
        <v>21.76</v>
      </c>
      <c r="F6209">
        <v>26.52</v>
      </c>
      <c r="G6209">
        <v>18.19</v>
      </c>
      <c r="H6209">
        <v>86.33</v>
      </c>
      <c r="I6209">
        <v>1.871</v>
      </c>
      <c r="J6209">
        <v>21.94</v>
      </c>
      <c r="K6209">
        <v>25.98</v>
      </c>
      <c r="L6209">
        <v>18.25</v>
      </c>
      <c r="M6209">
        <v>65.19</v>
      </c>
      <c r="N6209">
        <v>0.0</v>
      </c>
      <c r="O6209">
        <v>22.31</v>
      </c>
      <c r="P6209">
        <v>26.09</v>
      </c>
      <c r="Q6209">
        <v>19.43</v>
      </c>
      <c r="R6209">
        <v>90.8</v>
      </c>
    </row>
    <row r="6210">
      <c r="A6210" s="9">
        <v>44741</v>
      </c>
      <c r="B6210" s="2" t="inlineStr">
        <is>
          <t xml:space="preserve">2022-06</t>
        </is>
      </c>
      <c r="C6210" s="2" t="inlineStr">
        <is>
          <t xml:space="preserve">2021/22</t>
        </is>
      </c>
      <c r="D6210">
        <v>0.057</v>
      </c>
      <c r="E6210">
        <v>21.24</v>
      </c>
      <c r="F6210">
        <v>25.84</v>
      </c>
      <c r="G6210">
        <v>18.15</v>
      </c>
      <c r="H6210">
        <v>3.44</v>
      </c>
      <c r="I6210">
        <v>0.0</v>
      </c>
      <c r="J6210">
        <v>22.27</v>
      </c>
      <c r="K6210">
        <v>26.31</v>
      </c>
      <c r="L6210">
        <v>18.9</v>
      </c>
      <c r="M6210">
        <v>3.89</v>
      </c>
      <c r="N6210">
        <v>0.0</v>
      </c>
      <c r="O6210">
        <v>22.7</v>
      </c>
      <c r="P6210">
        <v>26.72</v>
      </c>
      <c r="Q6210">
        <v>19.56</v>
      </c>
      <c r="R6210">
        <v>5.9</v>
      </c>
    </row>
    <row r="6211">
      <c r="A6211" s="9">
        <v>44742</v>
      </c>
      <c r="B6211" s="2" t="inlineStr">
        <is>
          <t xml:space="preserve">2022-06</t>
        </is>
      </c>
      <c r="C6211" s="2" t="inlineStr">
        <is>
          <t xml:space="preserve">2021/22</t>
        </is>
      </c>
      <c r="D6211">
        <v>0.202</v>
      </c>
      <c r="E6211">
        <v>21.46</v>
      </c>
      <c r="F6211">
        <v>26.23</v>
      </c>
      <c r="G6211">
        <v>17.69</v>
      </c>
      <c r="H6211">
        <v>1.29</v>
      </c>
      <c r="I6211">
        <v>4.173</v>
      </c>
      <c r="J6211">
        <v>22.46</v>
      </c>
      <c r="K6211">
        <v>27.18</v>
      </c>
      <c r="L6211">
        <v>18.9</v>
      </c>
      <c r="M6211">
        <v>1.41</v>
      </c>
      <c r="N6211">
        <v>5.502</v>
      </c>
      <c r="O6211">
        <v>22.63</v>
      </c>
      <c r="P6211">
        <v>26.87</v>
      </c>
      <c r="Q6211">
        <v>19.65</v>
      </c>
      <c r="R6211">
        <v>2.94</v>
      </c>
    </row>
    <row r="6212">
      <c r="A6212" s="9">
        <v>44743</v>
      </c>
      <c r="B6212" s="2" t="inlineStr">
        <is>
          <t xml:space="preserve">2022-07</t>
        </is>
      </c>
      <c r="C6212" s="2" t="inlineStr">
        <is>
          <t xml:space="preserve">2022/23</t>
        </is>
      </c>
      <c r="D6212">
        <v>0.101</v>
      </c>
      <c r="E6212">
        <v>21.65</v>
      </c>
      <c r="F6212">
        <v>26.7</v>
      </c>
      <c r="G6212">
        <v>17.63</v>
      </c>
      <c r="H6212">
        <v>0.48</v>
      </c>
      <c r="I6212">
        <v>0.075</v>
      </c>
      <c r="J6212">
        <v>22.28</v>
      </c>
      <c r="K6212">
        <v>27.17</v>
      </c>
      <c r="L6212">
        <v>18.52</v>
      </c>
      <c r="M6212">
        <v>1.06</v>
      </c>
      <c r="N6212">
        <v>0.832</v>
      </c>
      <c r="O6212">
        <v>22.56</v>
      </c>
      <c r="P6212">
        <v>27.08</v>
      </c>
      <c r="Q6212">
        <v>19.37</v>
      </c>
      <c r="R6212">
        <v>1.36</v>
      </c>
    </row>
    <row r="6213">
      <c r="A6213" s="9">
        <v>44744</v>
      </c>
      <c r="B6213" s="2" t="inlineStr">
        <is>
          <t xml:space="preserve">2022-07</t>
        </is>
      </c>
      <c r="C6213" s="2" t="inlineStr">
        <is>
          <t xml:space="preserve">2022/23</t>
        </is>
      </c>
      <c r="D6213">
        <v>2.344</v>
      </c>
      <c r="E6213">
        <v>20.67</v>
      </c>
      <c r="F6213">
        <v>24.18</v>
      </c>
      <c r="G6213">
        <v>17.53</v>
      </c>
      <c r="H6213">
        <v>11.63</v>
      </c>
      <c r="I6213">
        <v>14.633</v>
      </c>
      <c r="J6213">
        <v>21.65</v>
      </c>
      <c r="K6213">
        <v>26.01</v>
      </c>
      <c r="L6213">
        <v>18.06</v>
      </c>
      <c r="M6213">
        <v>15.86</v>
      </c>
      <c r="N6213">
        <v>16.719</v>
      </c>
      <c r="O6213">
        <v>21.75</v>
      </c>
      <c r="P6213">
        <v>25.29</v>
      </c>
      <c r="Q6213">
        <v>18.85</v>
      </c>
      <c r="R6213">
        <v>13.48</v>
      </c>
    </row>
    <row r="6214">
      <c r="A6214" s="9">
        <v>44745</v>
      </c>
      <c r="B6214" s="2" t="inlineStr">
        <is>
          <t xml:space="preserve">2022-07</t>
        </is>
      </c>
      <c r="C6214" s="2" t="inlineStr">
        <is>
          <t xml:space="preserve">2022/23</t>
        </is>
      </c>
      <c r="D6214">
        <v>7.721</v>
      </c>
      <c r="E6214">
        <v>21.6</v>
      </c>
      <c r="F6214">
        <v>25.87</v>
      </c>
      <c r="G6214">
        <v>18.09</v>
      </c>
      <c r="H6214">
        <v>4.07</v>
      </c>
      <c r="I6214">
        <v>5.134</v>
      </c>
      <c r="J6214">
        <v>22.65</v>
      </c>
      <c r="K6214">
        <v>26.95</v>
      </c>
      <c r="L6214">
        <v>19.33</v>
      </c>
      <c r="M6214">
        <v>2.29</v>
      </c>
      <c r="N6214">
        <v>1.391</v>
      </c>
      <c r="O6214">
        <v>23.1</v>
      </c>
      <c r="P6214">
        <v>27.29</v>
      </c>
      <c r="Q6214">
        <v>20.16</v>
      </c>
      <c r="R6214">
        <v>1.82</v>
      </c>
    </row>
    <row r="6215">
      <c r="A6215" s="9">
        <v>44746</v>
      </c>
      <c r="B6215" s="2" t="inlineStr">
        <is>
          <t xml:space="preserve">2022-07</t>
        </is>
      </c>
      <c r="C6215" s="2" t="inlineStr">
        <is>
          <t xml:space="preserve">2022/23</t>
        </is>
      </c>
      <c r="D6215">
        <v>7.816</v>
      </c>
      <c r="E6215">
        <v>21.16</v>
      </c>
      <c r="F6215">
        <v>26.05</v>
      </c>
      <c r="G6215">
        <v>17.22</v>
      </c>
      <c r="H6215">
        <v>3.05</v>
      </c>
      <c r="I6215">
        <v>0.262</v>
      </c>
      <c r="J6215">
        <v>22.22</v>
      </c>
      <c r="K6215">
        <v>25.31</v>
      </c>
      <c r="L6215">
        <v>19.81</v>
      </c>
      <c r="M6215">
        <v>0.56</v>
      </c>
      <c r="N6215">
        <v>1.226</v>
      </c>
      <c r="O6215">
        <v>22.54</v>
      </c>
      <c r="P6215">
        <v>26.08</v>
      </c>
      <c r="Q6215">
        <v>20.34</v>
      </c>
      <c r="R6215">
        <v>0.94</v>
      </c>
    </row>
    <row r="6216">
      <c r="A6216" s="9">
        <v>44747</v>
      </c>
      <c r="B6216" s="2" t="inlineStr">
        <is>
          <t xml:space="preserve">2022-07</t>
        </is>
      </c>
      <c r="C6216" s="2" t="inlineStr">
        <is>
          <t xml:space="preserve">2022/23</t>
        </is>
      </c>
      <c r="D6216">
        <v>0.103</v>
      </c>
      <c r="E6216">
        <v>21.59</v>
      </c>
      <c r="F6216">
        <v>25.27</v>
      </c>
      <c r="G6216">
        <v>18.74</v>
      </c>
      <c r="H6216">
        <v>2.71</v>
      </c>
      <c r="I6216">
        <v>5.792</v>
      </c>
      <c r="J6216">
        <v>21.91</v>
      </c>
      <c r="K6216">
        <v>25.36</v>
      </c>
      <c r="L6216">
        <v>18.71</v>
      </c>
      <c r="M6216">
        <v>8.88</v>
      </c>
      <c r="N6216">
        <v>5.325</v>
      </c>
      <c r="O6216">
        <v>21.85</v>
      </c>
      <c r="P6216">
        <v>24.75</v>
      </c>
      <c r="Q6216">
        <v>19.31</v>
      </c>
      <c r="R6216">
        <v>4.44</v>
      </c>
    </row>
    <row r="6217">
      <c r="A6217" s="9">
        <v>44748</v>
      </c>
      <c r="B6217" s="2" t="inlineStr">
        <is>
          <t xml:space="preserve">2022-07</t>
        </is>
      </c>
      <c r="C6217" s="2" t="inlineStr">
        <is>
          <t xml:space="preserve">2022/23</t>
        </is>
      </c>
      <c r="D6217">
        <v>4.241</v>
      </c>
      <c r="E6217">
        <v>21.17</v>
      </c>
      <c r="F6217">
        <v>26.18</v>
      </c>
      <c r="G6217">
        <v>17.47</v>
      </c>
      <c r="H6217">
        <v>1.67</v>
      </c>
      <c r="I6217">
        <v>13.227</v>
      </c>
      <c r="J6217">
        <v>22.38</v>
      </c>
      <c r="K6217">
        <v>26.98</v>
      </c>
      <c r="L6217">
        <v>18.95</v>
      </c>
      <c r="M6217">
        <v>6.19</v>
      </c>
      <c r="N6217">
        <v>8.302</v>
      </c>
      <c r="O6217">
        <v>23.25</v>
      </c>
      <c r="P6217">
        <v>28.02</v>
      </c>
      <c r="Q6217">
        <v>19.98</v>
      </c>
      <c r="R6217">
        <v>3.37</v>
      </c>
    </row>
    <row r="6218">
      <c r="A6218" s="9">
        <v>44749</v>
      </c>
      <c r="B6218" s="2" t="inlineStr">
        <is>
          <t xml:space="preserve">2022-07</t>
        </is>
      </c>
      <c r="C6218" s="2" t="inlineStr">
        <is>
          <t xml:space="preserve">2022/23</t>
        </is>
      </c>
      <c r="D6218">
        <v>0.0</v>
      </c>
      <c r="E6218">
        <v>21.19</v>
      </c>
      <c r="F6218">
        <v>26.71</v>
      </c>
      <c r="G6218">
        <v>16.89</v>
      </c>
      <c r="H6218">
        <v>1.27</v>
      </c>
      <c r="I6218">
        <v>0.0</v>
      </c>
      <c r="J6218">
        <v>22.35</v>
      </c>
      <c r="K6218">
        <v>26.54</v>
      </c>
      <c r="L6218">
        <v>19.33</v>
      </c>
      <c r="M6218">
        <v>0.22</v>
      </c>
      <c r="N6218">
        <v>0.166</v>
      </c>
      <c r="O6218">
        <v>22.59</v>
      </c>
      <c r="P6218">
        <v>26.52</v>
      </c>
      <c r="Q6218">
        <v>20.04</v>
      </c>
      <c r="R6218">
        <v>5.62</v>
      </c>
    </row>
    <row r="6219">
      <c r="A6219" s="9">
        <v>44750</v>
      </c>
      <c r="B6219" s="2" t="inlineStr">
        <is>
          <t xml:space="preserve">2022-07</t>
        </is>
      </c>
      <c r="C6219" s="2" t="inlineStr">
        <is>
          <t xml:space="preserve">2022/23</t>
        </is>
      </c>
      <c r="D6219">
        <v>0.0</v>
      </c>
      <c r="E6219">
        <v>21.77</v>
      </c>
      <c r="F6219">
        <v>26.62</v>
      </c>
      <c r="G6219">
        <v>17.71</v>
      </c>
      <c r="H6219">
        <v>9.13</v>
      </c>
      <c r="I6219">
        <v>0.0</v>
      </c>
      <c r="J6219">
        <v>22.04</v>
      </c>
      <c r="K6219">
        <v>26.7</v>
      </c>
      <c r="L6219">
        <v>18.18</v>
      </c>
      <c r="M6219">
        <v>0.75</v>
      </c>
      <c r="N6219">
        <v>0.0</v>
      </c>
      <c r="O6219">
        <v>22.32</v>
      </c>
      <c r="P6219">
        <v>26.62</v>
      </c>
      <c r="Q6219">
        <v>18.8</v>
      </c>
      <c r="R6219">
        <v>22.5</v>
      </c>
    </row>
    <row r="6220">
      <c r="A6220" s="9">
        <v>44751</v>
      </c>
      <c r="B6220" s="2" t="inlineStr">
        <is>
          <t xml:space="preserve">2022-07</t>
        </is>
      </c>
      <c r="C6220" s="2" t="inlineStr">
        <is>
          <t xml:space="preserve">2022/23</t>
        </is>
      </c>
      <c r="D6220">
        <v>0.117</v>
      </c>
      <c r="E6220">
        <v>22.2</v>
      </c>
      <c r="F6220">
        <v>27.02</v>
      </c>
      <c r="G6220">
        <v>18.54</v>
      </c>
      <c r="H6220">
        <v>1.59</v>
      </c>
      <c r="I6220">
        <v>0.0</v>
      </c>
      <c r="J6220">
        <v>22.52</v>
      </c>
      <c r="K6220">
        <v>26.63</v>
      </c>
      <c r="L6220">
        <v>19.34</v>
      </c>
      <c r="M6220">
        <v>0.32</v>
      </c>
      <c r="N6220">
        <v>0.154</v>
      </c>
      <c r="O6220">
        <v>22.82</v>
      </c>
      <c r="P6220">
        <v>26.85</v>
      </c>
      <c r="Q6220">
        <v>20.29</v>
      </c>
      <c r="R6220">
        <v>2.32</v>
      </c>
    </row>
    <row r="6221">
      <c r="A6221" s="9">
        <v>44752</v>
      </c>
      <c r="B6221" s="2" t="inlineStr">
        <is>
          <t xml:space="preserve">2022-07</t>
        </is>
      </c>
      <c r="C6221" s="2" t="inlineStr">
        <is>
          <t xml:space="preserve">2022/23</t>
        </is>
      </c>
      <c r="D6221">
        <v>0.0</v>
      </c>
      <c r="E6221">
        <v>21.74</v>
      </c>
      <c r="F6221">
        <v>26.6</v>
      </c>
      <c r="G6221">
        <v>17.86</v>
      </c>
      <c r="H6221">
        <v>0.26</v>
      </c>
      <c r="I6221">
        <v>0.698</v>
      </c>
      <c r="J6221">
        <v>22.92</v>
      </c>
      <c r="K6221">
        <v>27.27</v>
      </c>
      <c r="L6221">
        <v>19.39</v>
      </c>
      <c r="M6221">
        <v>4.76</v>
      </c>
      <c r="N6221">
        <v>0.0</v>
      </c>
      <c r="O6221">
        <v>23.19</v>
      </c>
      <c r="P6221">
        <v>27.31</v>
      </c>
      <c r="Q6221">
        <v>20.29</v>
      </c>
      <c r="R6221">
        <v>0.69</v>
      </c>
    </row>
    <row r="6222">
      <c r="A6222" s="9">
        <v>44753</v>
      </c>
      <c r="B6222" s="2" t="inlineStr">
        <is>
          <t xml:space="preserve">2022-07</t>
        </is>
      </c>
      <c r="C6222" s="2" t="inlineStr">
        <is>
          <t xml:space="preserve">2022/23</t>
        </is>
      </c>
      <c r="D6222">
        <v>2.338</v>
      </c>
      <c r="E6222">
        <v>21.07</v>
      </c>
      <c r="F6222">
        <v>26.02</v>
      </c>
      <c r="G6222">
        <v>17.26</v>
      </c>
      <c r="H6222">
        <v>13.85</v>
      </c>
      <c r="I6222">
        <v>19.003</v>
      </c>
      <c r="J6222">
        <v>22.87</v>
      </c>
      <c r="K6222">
        <v>27.21</v>
      </c>
      <c r="L6222">
        <v>19.74</v>
      </c>
      <c r="M6222">
        <v>15.64</v>
      </c>
      <c r="N6222">
        <v>1.222</v>
      </c>
      <c r="O6222">
        <v>22.77</v>
      </c>
      <c r="P6222">
        <v>26.31</v>
      </c>
      <c r="Q6222">
        <v>20.64</v>
      </c>
      <c r="R6222">
        <v>7.51</v>
      </c>
    </row>
    <row r="6223">
      <c r="A6223" s="9">
        <v>44754</v>
      </c>
      <c r="B6223" s="2" t="inlineStr">
        <is>
          <t xml:space="preserve">2022-07</t>
        </is>
      </c>
      <c r="C6223" s="2" t="inlineStr">
        <is>
          <t xml:space="preserve">2022/23</t>
        </is>
      </c>
      <c r="D6223">
        <v>34.347</v>
      </c>
      <c r="E6223">
        <v>21.22</v>
      </c>
      <c r="F6223">
        <v>26.17</v>
      </c>
      <c r="G6223">
        <v>16.74</v>
      </c>
      <c r="H6223">
        <v>6.38</v>
      </c>
      <c r="I6223">
        <v>19.022</v>
      </c>
      <c r="J6223">
        <v>23.27</v>
      </c>
      <c r="K6223">
        <v>28.26</v>
      </c>
      <c r="L6223">
        <v>19.43</v>
      </c>
      <c r="M6223">
        <v>3.9</v>
      </c>
      <c r="N6223">
        <v>8.588</v>
      </c>
      <c r="O6223">
        <v>23.01</v>
      </c>
      <c r="P6223">
        <v>27.48</v>
      </c>
      <c r="Q6223">
        <v>19.53</v>
      </c>
      <c r="R6223">
        <v>3.59</v>
      </c>
    </row>
    <row r="6224">
      <c r="A6224" s="9">
        <v>44755</v>
      </c>
      <c r="B6224" s="2" t="inlineStr">
        <is>
          <t xml:space="preserve">2022-07</t>
        </is>
      </c>
      <c r="C6224" s="2" t="inlineStr">
        <is>
          <t xml:space="preserve">2022/23</t>
        </is>
      </c>
      <c r="D6224">
        <v>1.951</v>
      </c>
      <c r="E6224">
        <v>21.7</v>
      </c>
      <c r="F6224">
        <v>26.41</v>
      </c>
      <c r="G6224">
        <v>18.38</v>
      </c>
      <c r="H6224">
        <v>9.01</v>
      </c>
      <c r="I6224">
        <v>0.0</v>
      </c>
      <c r="J6224">
        <v>22.98</v>
      </c>
      <c r="K6224">
        <v>27.14</v>
      </c>
      <c r="L6224">
        <v>19.34</v>
      </c>
      <c r="M6224">
        <v>5.65</v>
      </c>
      <c r="N6224">
        <v>0.0</v>
      </c>
      <c r="O6224">
        <v>23.69</v>
      </c>
      <c r="P6224">
        <v>28.06</v>
      </c>
      <c r="Q6224">
        <v>20.89</v>
      </c>
      <c r="R6224">
        <v>6.08</v>
      </c>
    </row>
    <row r="6225">
      <c r="A6225" s="9">
        <v>44756</v>
      </c>
      <c r="B6225" s="2" t="inlineStr">
        <is>
          <t xml:space="preserve">2022-07</t>
        </is>
      </c>
      <c r="C6225" s="2" t="inlineStr">
        <is>
          <t xml:space="preserve">2022/23</t>
        </is>
      </c>
      <c r="D6225">
        <v>10.267</v>
      </c>
      <c r="E6225">
        <v>21.55</v>
      </c>
      <c r="F6225">
        <v>26.59</v>
      </c>
      <c r="G6225">
        <v>17.5</v>
      </c>
      <c r="H6225">
        <v>9.48</v>
      </c>
      <c r="I6225">
        <v>12.594</v>
      </c>
      <c r="J6225">
        <v>23.03</v>
      </c>
      <c r="K6225">
        <v>27.26</v>
      </c>
      <c r="L6225">
        <v>19.72</v>
      </c>
      <c r="M6225">
        <v>6.9</v>
      </c>
      <c r="N6225">
        <v>18.256</v>
      </c>
      <c r="O6225">
        <v>23.0</v>
      </c>
      <c r="P6225">
        <v>27.37</v>
      </c>
      <c r="Q6225">
        <v>19.7</v>
      </c>
      <c r="R6225">
        <v>8.51</v>
      </c>
    </row>
    <row r="6226">
      <c r="A6226" s="9">
        <v>44757</v>
      </c>
      <c r="B6226" s="2" t="inlineStr">
        <is>
          <t xml:space="preserve">2022-07</t>
        </is>
      </c>
      <c r="C6226" s="2" t="inlineStr">
        <is>
          <t xml:space="preserve">2022/23</t>
        </is>
      </c>
      <c r="D6226">
        <v>2.738</v>
      </c>
      <c r="E6226">
        <v>21.57</v>
      </c>
      <c r="F6226">
        <v>26.57</v>
      </c>
      <c r="G6226">
        <v>17.44</v>
      </c>
      <c r="H6226">
        <v>1.33</v>
      </c>
      <c r="I6226">
        <v>0.0</v>
      </c>
      <c r="J6226">
        <v>23.0</v>
      </c>
      <c r="K6226">
        <v>27.43</v>
      </c>
      <c r="L6226">
        <v>19.68</v>
      </c>
      <c r="M6226">
        <v>1.12</v>
      </c>
      <c r="N6226">
        <v>0.026</v>
      </c>
      <c r="O6226">
        <v>23.08</v>
      </c>
      <c r="P6226">
        <v>27.41</v>
      </c>
      <c r="Q6226">
        <v>20.35</v>
      </c>
      <c r="R6226">
        <v>3.99</v>
      </c>
    </row>
    <row r="6227">
      <c r="A6227" s="9">
        <v>44758</v>
      </c>
      <c r="B6227" s="2" t="inlineStr">
        <is>
          <t xml:space="preserve">2022-07</t>
        </is>
      </c>
      <c r="C6227" s="2" t="inlineStr">
        <is>
          <t xml:space="preserve">2022/23</t>
        </is>
      </c>
      <c r="D6227">
        <v>0.0</v>
      </c>
      <c r="E6227">
        <v>21.83</v>
      </c>
      <c r="F6227">
        <v>26.88</v>
      </c>
      <c r="G6227">
        <v>18.21</v>
      </c>
      <c r="H6227">
        <v>1.61</v>
      </c>
      <c r="I6227">
        <v>0.0</v>
      </c>
      <c r="J6227">
        <v>21.86</v>
      </c>
      <c r="K6227">
        <v>25.78</v>
      </c>
      <c r="L6227">
        <v>18.92</v>
      </c>
      <c r="M6227">
        <v>3.67</v>
      </c>
      <c r="N6227">
        <v>2.398</v>
      </c>
      <c r="O6227">
        <v>21.96</v>
      </c>
      <c r="P6227">
        <v>24.86</v>
      </c>
      <c r="Q6227">
        <v>19.82</v>
      </c>
      <c r="R6227">
        <v>9.0</v>
      </c>
    </row>
    <row r="6228">
      <c r="A6228" s="9">
        <v>44759</v>
      </c>
      <c r="B6228" s="2" t="inlineStr">
        <is>
          <t xml:space="preserve">2022-07</t>
        </is>
      </c>
      <c r="C6228" s="2" t="inlineStr">
        <is>
          <t xml:space="preserve">2022/23</t>
        </is>
      </c>
      <c r="D6228">
        <v>0.067</v>
      </c>
      <c r="E6228">
        <v>21.73</v>
      </c>
      <c r="F6228">
        <v>26.57</v>
      </c>
      <c r="G6228">
        <v>17.76</v>
      </c>
      <c r="H6228">
        <v>1.57</v>
      </c>
      <c r="I6228">
        <v>0.0</v>
      </c>
      <c r="J6228">
        <v>22.21</v>
      </c>
      <c r="K6228">
        <v>26.98</v>
      </c>
      <c r="L6228">
        <v>18.16</v>
      </c>
      <c r="M6228">
        <v>1.53</v>
      </c>
      <c r="N6228">
        <v>0.0</v>
      </c>
      <c r="O6228">
        <v>22.53</v>
      </c>
      <c r="P6228">
        <v>26.92</v>
      </c>
      <c r="Q6228">
        <v>18.91</v>
      </c>
      <c r="R6228">
        <v>1.51</v>
      </c>
    </row>
    <row r="6229">
      <c r="A6229" s="9">
        <v>44760</v>
      </c>
      <c r="B6229" s="2" t="inlineStr">
        <is>
          <t xml:space="preserve">2022-07</t>
        </is>
      </c>
      <c r="C6229" s="2" t="inlineStr">
        <is>
          <t xml:space="preserve">2022/23</t>
        </is>
      </c>
      <c r="D6229">
        <v>0.942</v>
      </c>
      <c r="E6229">
        <v>21.42</v>
      </c>
      <c r="F6229">
        <v>25.72</v>
      </c>
      <c r="G6229">
        <v>17.82</v>
      </c>
      <c r="H6229">
        <v>3.16</v>
      </c>
      <c r="I6229">
        <v>5.193</v>
      </c>
      <c r="J6229">
        <v>22.57</v>
      </c>
      <c r="K6229">
        <v>26.83</v>
      </c>
      <c r="L6229">
        <v>19.22</v>
      </c>
      <c r="M6229">
        <v>3.85</v>
      </c>
      <c r="N6229">
        <v>6.174</v>
      </c>
      <c r="O6229">
        <v>22.84</v>
      </c>
      <c r="P6229">
        <v>25.97</v>
      </c>
      <c r="Q6229">
        <v>20.38</v>
      </c>
      <c r="R6229">
        <v>3.47</v>
      </c>
    </row>
    <row r="6230">
      <c r="A6230" s="9">
        <v>44761</v>
      </c>
      <c r="B6230" s="2" t="inlineStr">
        <is>
          <t xml:space="preserve">2022-07</t>
        </is>
      </c>
      <c r="C6230" s="2" t="inlineStr">
        <is>
          <t xml:space="preserve">2022/23</t>
        </is>
      </c>
      <c r="D6230">
        <v>0.403</v>
      </c>
      <c r="E6230">
        <v>21.95</v>
      </c>
      <c r="F6230">
        <v>25.85</v>
      </c>
      <c r="G6230">
        <v>18.58</v>
      </c>
      <c r="H6230">
        <v>0.61</v>
      </c>
      <c r="I6230">
        <v>1.76</v>
      </c>
      <c r="J6230">
        <v>23.03</v>
      </c>
      <c r="K6230">
        <v>26.94</v>
      </c>
      <c r="L6230">
        <v>19.74</v>
      </c>
      <c r="M6230">
        <v>1.98</v>
      </c>
      <c r="N6230">
        <v>1.887</v>
      </c>
      <c r="O6230">
        <v>23.47</v>
      </c>
      <c r="P6230">
        <v>27.49</v>
      </c>
      <c r="Q6230">
        <v>20.87</v>
      </c>
      <c r="R6230">
        <v>1.4</v>
      </c>
    </row>
    <row r="6231">
      <c r="A6231" s="9">
        <v>44762</v>
      </c>
      <c r="B6231" s="2" t="inlineStr">
        <is>
          <t xml:space="preserve">2022-07</t>
        </is>
      </c>
      <c r="C6231" s="2" t="inlineStr">
        <is>
          <t xml:space="preserve">2022/23</t>
        </is>
      </c>
      <c r="D6231">
        <v>0.0</v>
      </c>
      <c r="E6231">
        <v>21.36</v>
      </c>
      <c r="F6231">
        <v>26.61</v>
      </c>
      <c r="G6231">
        <v>17.24</v>
      </c>
      <c r="H6231">
        <v>0.28</v>
      </c>
      <c r="I6231">
        <v>0.498</v>
      </c>
      <c r="J6231">
        <v>22.73</v>
      </c>
      <c r="K6231">
        <v>27.25</v>
      </c>
      <c r="L6231">
        <v>19.18</v>
      </c>
      <c r="M6231">
        <v>0.38</v>
      </c>
      <c r="N6231">
        <v>0.0</v>
      </c>
      <c r="O6231">
        <v>22.83</v>
      </c>
      <c r="P6231">
        <v>26.92</v>
      </c>
      <c r="Q6231">
        <v>19.98</v>
      </c>
      <c r="R6231">
        <v>0.32</v>
      </c>
    </row>
    <row r="6232">
      <c r="A6232" s="9">
        <v>44763</v>
      </c>
      <c r="B6232" s="2" t="inlineStr">
        <is>
          <t xml:space="preserve">2022-07</t>
        </is>
      </c>
      <c r="C6232" s="2" t="inlineStr">
        <is>
          <t xml:space="preserve">2022/23</t>
        </is>
      </c>
      <c r="D6232">
        <v>0.0</v>
      </c>
      <c r="E6232">
        <v>21.96</v>
      </c>
      <c r="F6232">
        <v>26.91</v>
      </c>
      <c r="G6232">
        <v>17.59</v>
      </c>
      <c r="H6232">
        <v>1.12</v>
      </c>
      <c r="I6232">
        <v>2.673</v>
      </c>
      <c r="J6232">
        <v>22.74</v>
      </c>
      <c r="K6232">
        <v>27.61</v>
      </c>
      <c r="L6232">
        <v>18.38</v>
      </c>
      <c r="M6232">
        <v>4.98</v>
      </c>
      <c r="N6232">
        <v>0.177</v>
      </c>
      <c r="O6232">
        <v>22.99</v>
      </c>
      <c r="P6232">
        <v>27.5</v>
      </c>
      <c r="Q6232">
        <v>19.7</v>
      </c>
      <c r="R6232">
        <v>2.11</v>
      </c>
    </row>
    <row r="6233">
      <c r="A6233" s="9">
        <v>44764</v>
      </c>
      <c r="B6233" s="2" t="inlineStr">
        <is>
          <t xml:space="preserve">2022-07</t>
        </is>
      </c>
      <c r="C6233" s="2" t="inlineStr">
        <is>
          <t xml:space="preserve">2022/23</t>
        </is>
      </c>
      <c r="D6233">
        <v>1.315</v>
      </c>
      <c r="E6233">
        <v>21.63</v>
      </c>
      <c r="F6233">
        <v>25.54</v>
      </c>
      <c r="G6233">
        <v>18.3</v>
      </c>
      <c r="H6233">
        <v>3.84</v>
      </c>
      <c r="I6233">
        <v>18.478</v>
      </c>
      <c r="J6233">
        <v>22.64</v>
      </c>
      <c r="K6233">
        <v>26.17</v>
      </c>
      <c r="L6233">
        <v>20.27</v>
      </c>
      <c r="M6233">
        <v>19.46</v>
      </c>
      <c r="N6233">
        <v>8.487</v>
      </c>
      <c r="O6233">
        <v>22.61</v>
      </c>
      <c r="P6233">
        <v>25.78</v>
      </c>
      <c r="Q6233">
        <v>20.55</v>
      </c>
      <c r="R6233">
        <v>8.9</v>
      </c>
    </row>
    <row r="6234">
      <c r="A6234" s="9">
        <v>44765</v>
      </c>
      <c r="B6234" s="2" t="inlineStr">
        <is>
          <t xml:space="preserve">2022-07</t>
        </is>
      </c>
      <c r="C6234" s="2" t="inlineStr">
        <is>
          <t xml:space="preserve">2022/23</t>
        </is>
      </c>
      <c r="D6234">
        <v>10.062</v>
      </c>
      <c r="E6234">
        <v>20.98</v>
      </c>
      <c r="F6234">
        <v>26.07</v>
      </c>
      <c r="G6234">
        <v>17.98</v>
      </c>
      <c r="H6234">
        <v>6.49</v>
      </c>
      <c r="I6234">
        <v>21.695</v>
      </c>
      <c r="J6234">
        <v>21.8</v>
      </c>
      <c r="K6234">
        <v>25.26</v>
      </c>
      <c r="L6234">
        <v>19.26</v>
      </c>
      <c r="M6234">
        <v>16.17</v>
      </c>
      <c r="N6234">
        <v>29.47</v>
      </c>
      <c r="O6234">
        <v>21.85</v>
      </c>
      <c r="P6234">
        <v>24.26</v>
      </c>
      <c r="Q6234">
        <v>19.83</v>
      </c>
      <c r="R6234">
        <v>13.82</v>
      </c>
    </row>
    <row r="6235">
      <c r="A6235" s="9">
        <v>44766</v>
      </c>
      <c r="B6235" s="2" t="inlineStr">
        <is>
          <t xml:space="preserve">2022-07</t>
        </is>
      </c>
      <c r="C6235" s="2" t="inlineStr">
        <is>
          <t xml:space="preserve">2022/23</t>
        </is>
      </c>
      <c r="D6235">
        <v>0.22</v>
      </c>
      <c r="E6235">
        <v>21.53</v>
      </c>
      <c r="F6235">
        <v>26.84</v>
      </c>
      <c r="G6235">
        <v>16.75</v>
      </c>
      <c r="H6235">
        <v>0.09</v>
      </c>
      <c r="I6235">
        <v>7.778</v>
      </c>
      <c r="J6235">
        <v>22.31</v>
      </c>
      <c r="K6235">
        <v>27.28</v>
      </c>
      <c r="L6235">
        <v>18.11</v>
      </c>
      <c r="M6235">
        <v>2.48</v>
      </c>
      <c r="N6235">
        <v>11.944</v>
      </c>
      <c r="O6235">
        <v>22.55</v>
      </c>
      <c r="P6235">
        <v>26.23</v>
      </c>
      <c r="Q6235">
        <v>19.72</v>
      </c>
      <c r="R6235">
        <v>1.18</v>
      </c>
    </row>
    <row r="6236">
      <c r="A6236" s="9">
        <v>44767</v>
      </c>
      <c r="B6236" s="2" t="inlineStr">
        <is>
          <t xml:space="preserve">2022-07</t>
        </is>
      </c>
      <c r="C6236" s="2" t="inlineStr">
        <is>
          <t xml:space="preserve">2022/23</t>
        </is>
      </c>
      <c r="D6236">
        <v>0.0</v>
      </c>
      <c r="E6236">
        <v>21.77</v>
      </c>
      <c r="F6236">
        <v>26.18</v>
      </c>
      <c r="G6236">
        <v>18.33</v>
      </c>
      <c r="H6236">
        <v>2.02</v>
      </c>
      <c r="I6236">
        <v>0.0</v>
      </c>
      <c r="J6236">
        <v>22.2</v>
      </c>
      <c r="K6236">
        <v>26.2</v>
      </c>
      <c r="L6236">
        <v>18.78</v>
      </c>
      <c r="M6236">
        <v>4.23</v>
      </c>
      <c r="N6236">
        <v>0.0</v>
      </c>
      <c r="O6236">
        <v>22.44</v>
      </c>
      <c r="P6236">
        <v>26.1</v>
      </c>
      <c r="Q6236">
        <v>19.84</v>
      </c>
      <c r="R6236">
        <v>2.29</v>
      </c>
    </row>
    <row r="6237">
      <c r="A6237" s="9">
        <v>44768</v>
      </c>
      <c r="B6237" s="2" t="inlineStr">
        <is>
          <t xml:space="preserve">2022-07</t>
        </is>
      </c>
      <c r="C6237" s="2" t="inlineStr">
        <is>
          <t xml:space="preserve">2022/23</t>
        </is>
      </c>
      <c r="D6237">
        <v>4.157</v>
      </c>
      <c r="E6237">
        <v>21.86</v>
      </c>
      <c r="F6237">
        <v>26.4</v>
      </c>
      <c r="G6237">
        <v>18.31</v>
      </c>
      <c r="H6237">
        <v>5.61</v>
      </c>
      <c r="I6237">
        <v>18.697</v>
      </c>
      <c r="J6237">
        <v>22.28</v>
      </c>
      <c r="K6237">
        <v>25.63</v>
      </c>
      <c r="L6237">
        <v>19.07</v>
      </c>
      <c r="M6237">
        <v>13.71</v>
      </c>
      <c r="N6237">
        <v>4.464</v>
      </c>
      <c r="O6237">
        <v>22.34</v>
      </c>
      <c r="P6237">
        <v>25.38</v>
      </c>
      <c r="Q6237">
        <v>19.95</v>
      </c>
      <c r="R6237">
        <v>8.34</v>
      </c>
    </row>
    <row r="6238">
      <c r="A6238" s="9">
        <v>44769</v>
      </c>
      <c r="B6238" s="2" t="inlineStr">
        <is>
          <t xml:space="preserve">2022-07</t>
        </is>
      </c>
      <c r="C6238" s="2" t="inlineStr">
        <is>
          <t xml:space="preserve">2022/23</t>
        </is>
      </c>
      <c r="D6238">
        <v>6.535</v>
      </c>
      <c r="E6238">
        <v>21.86</v>
      </c>
      <c r="F6238">
        <v>26.26</v>
      </c>
      <c r="G6238">
        <v>18.56</v>
      </c>
      <c r="H6238">
        <v>5.63</v>
      </c>
      <c r="I6238">
        <v>14.983</v>
      </c>
      <c r="J6238">
        <v>22.77</v>
      </c>
      <c r="K6238">
        <v>26.72</v>
      </c>
      <c r="L6238">
        <v>20.19</v>
      </c>
      <c r="M6238">
        <v>17.17</v>
      </c>
      <c r="N6238">
        <v>23.715</v>
      </c>
      <c r="O6238">
        <v>22.89</v>
      </c>
      <c r="P6238">
        <v>26.59</v>
      </c>
      <c r="Q6238">
        <v>20.37</v>
      </c>
      <c r="R6238">
        <v>11.03</v>
      </c>
    </row>
    <row r="6239">
      <c r="A6239" s="9">
        <v>44770</v>
      </c>
      <c r="B6239" s="2" t="inlineStr">
        <is>
          <t xml:space="preserve">2022-07</t>
        </is>
      </c>
      <c r="C6239" s="2" t="inlineStr">
        <is>
          <t xml:space="preserve">2022/23</t>
        </is>
      </c>
      <c r="D6239">
        <v>6.75</v>
      </c>
      <c r="E6239">
        <v>21.95</v>
      </c>
      <c r="F6239">
        <v>27.21</v>
      </c>
      <c r="G6239">
        <v>17.79</v>
      </c>
      <c r="H6239">
        <v>3.14</v>
      </c>
      <c r="I6239">
        <v>8.778</v>
      </c>
      <c r="J6239">
        <v>22.96</v>
      </c>
      <c r="K6239">
        <v>26.86</v>
      </c>
      <c r="L6239">
        <v>20.1</v>
      </c>
      <c r="M6239">
        <v>4.09</v>
      </c>
      <c r="N6239">
        <v>8.81</v>
      </c>
      <c r="O6239">
        <v>22.8</v>
      </c>
      <c r="P6239">
        <v>26.64</v>
      </c>
      <c r="Q6239">
        <v>20.35</v>
      </c>
      <c r="R6239">
        <v>3.6</v>
      </c>
    </row>
    <row r="6240">
      <c r="A6240" s="9">
        <v>44771</v>
      </c>
      <c r="B6240" s="2" t="inlineStr">
        <is>
          <t xml:space="preserve">2022-07</t>
        </is>
      </c>
      <c r="C6240" s="2" t="inlineStr">
        <is>
          <t xml:space="preserve">2022/23</t>
        </is>
      </c>
      <c r="D6240">
        <v>0.524</v>
      </c>
      <c r="E6240">
        <v>21.63</v>
      </c>
      <c r="F6240">
        <v>27.0</v>
      </c>
      <c r="G6240">
        <v>17.29</v>
      </c>
      <c r="H6240">
        <v>1.58</v>
      </c>
      <c r="I6240">
        <v>1.709</v>
      </c>
      <c r="J6240">
        <v>22.79</v>
      </c>
      <c r="K6240">
        <v>26.95</v>
      </c>
      <c r="L6240">
        <v>19.14</v>
      </c>
      <c r="M6240">
        <v>6.26</v>
      </c>
      <c r="N6240">
        <v>5.935</v>
      </c>
      <c r="O6240">
        <v>22.93</v>
      </c>
      <c r="P6240">
        <v>27.28</v>
      </c>
      <c r="Q6240">
        <v>19.82</v>
      </c>
      <c r="R6240">
        <v>4.76</v>
      </c>
    </row>
    <row r="6241">
      <c r="A6241" s="9">
        <v>44772</v>
      </c>
      <c r="B6241" s="2" t="inlineStr">
        <is>
          <t xml:space="preserve">2022-07</t>
        </is>
      </c>
      <c r="C6241" s="2" t="inlineStr">
        <is>
          <t xml:space="preserve">2022/23</t>
        </is>
      </c>
      <c r="D6241">
        <v>0.035</v>
      </c>
      <c r="E6241">
        <v>21.97</v>
      </c>
      <c r="F6241">
        <v>27.14</v>
      </c>
      <c r="G6241">
        <v>17.51</v>
      </c>
      <c r="H6241">
        <v>1.46</v>
      </c>
      <c r="I6241">
        <v>0.0</v>
      </c>
      <c r="J6241">
        <v>22.56</v>
      </c>
      <c r="K6241">
        <v>26.83</v>
      </c>
      <c r="L6241">
        <v>18.76</v>
      </c>
      <c r="M6241">
        <v>2.07</v>
      </c>
      <c r="N6241">
        <v>0.0</v>
      </c>
      <c r="O6241">
        <v>22.91</v>
      </c>
      <c r="P6241">
        <v>26.75</v>
      </c>
      <c r="Q6241">
        <v>20.36</v>
      </c>
      <c r="R6241">
        <v>0.62</v>
      </c>
    </row>
    <row r="6242">
      <c r="A6242" s="9">
        <v>44773</v>
      </c>
      <c r="B6242" s="2" t="inlineStr">
        <is>
          <t xml:space="preserve">2022-07</t>
        </is>
      </c>
      <c r="C6242" s="2" t="inlineStr">
        <is>
          <t xml:space="preserve">2022/23</t>
        </is>
      </c>
      <c r="D6242">
        <v>0.238</v>
      </c>
      <c r="E6242">
        <v>21.87</v>
      </c>
      <c r="F6242">
        <v>26.24</v>
      </c>
      <c r="G6242">
        <v>18.65</v>
      </c>
      <c r="H6242">
        <v>0.47</v>
      </c>
      <c r="I6242">
        <v>17.47</v>
      </c>
      <c r="J6242">
        <v>22.14</v>
      </c>
      <c r="K6242">
        <v>25.71</v>
      </c>
      <c r="L6242">
        <v>19.78</v>
      </c>
      <c r="M6242">
        <v>6.87</v>
      </c>
      <c r="N6242">
        <v>0.685</v>
      </c>
      <c r="O6242">
        <v>22.64</v>
      </c>
      <c r="P6242">
        <v>26.15</v>
      </c>
      <c r="Q6242">
        <v>20.62</v>
      </c>
      <c r="R6242">
        <v>1.72</v>
      </c>
    </row>
    <row r="6243">
      <c r="A6243" s="9">
        <v>44774</v>
      </c>
      <c r="B6243" s="2" t="inlineStr">
        <is>
          <t xml:space="preserve">2022-08</t>
        </is>
      </c>
      <c r="C6243" s="2" t="inlineStr">
        <is>
          <t xml:space="preserve">2022/23</t>
        </is>
      </c>
      <c r="D6243">
        <v>0.0</v>
      </c>
      <c r="E6243">
        <v>21.69</v>
      </c>
      <c r="F6243">
        <v>26.12</v>
      </c>
      <c r="G6243">
        <v>18.23</v>
      </c>
      <c r="H6243">
        <v>2.24</v>
      </c>
      <c r="I6243">
        <v>0.026</v>
      </c>
      <c r="J6243">
        <v>22.25</v>
      </c>
      <c r="K6243">
        <v>25.83</v>
      </c>
      <c r="L6243">
        <v>19.6</v>
      </c>
      <c r="M6243">
        <v>7.07</v>
      </c>
      <c r="N6243">
        <v>0.516</v>
      </c>
      <c r="O6243">
        <v>22.57</v>
      </c>
      <c r="P6243">
        <v>25.1</v>
      </c>
      <c r="Q6243">
        <v>20.46</v>
      </c>
      <c r="R6243">
        <v>6.3</v>
      </c>
    </row>
    <row r="6244">
      <c r="A6244" s="9">
        <v>44775</v>
      </c>
      <c r="B6244" s="2" t="inlineStr">
        <is>
          <t xml:space="preserve">2022-08</t>
        </is>
      </c>
      <c r="C6244" s="2" t="inlineStr">
        <is>
          <t xml:space="preserve">2022/23</t>
        </is>
      </c>
      <c r="D6244">
        <v>2.465</v>
      </c>
      <c r="E6244">
        <v>21.23</v>
      </c>
      <c r="F6244">
        <v>25.62</v>
      </c>
      <c r="G6244">
        <v>17.59</v>
      </c>
      <c r="H6244">
        <v>3.28</v>
      </c>
      <c r="I6244">
        <v>13.09</v>
      </c>
      <c r="J6244">
        <v>22.34</v>
      </c>
      <c r="K6244">
        <v>26.27</v>
      </c>
      <c r="L6244">
        <v>19.36</v>
      </c>
      <c r="M6244">
        <v>8.93</v>
      </c>
      <c r="N6244">
        <v>8.438</v>
      </c>
      <c r="O6244">
        <v>22.61</v>
      </c>
      <c r="P6244">
        <v>26.24</v>
      </c>
      <c r="Q6244">
        <v>19.9</v>
      </c>
      <c r="R6244">
        <v>3.63</v>
      </c>
    </row>
    <row r="6245">
      <c r="A6245" s="9">
        <v>44776</v>
      </c>
      <c r="B6245" s="2" t="inlineStr">
        <is>
          <t xml:space="preserve">2022-08</t>
        </is>
      </c>
      <c r="C6245" s="2" t="inlineStr">
        <is>
          <t xml:space="preserve">2022/23</t>
        </is>
      </c>
      <c r="D6245">
        <v>0.443</v>
      </c>
      <c r="E6245">
        <v>20.91</v>
      </c>
      <c r="F6245">
        <v>25.95</v>
      </c>
      <c r="G6245">
        <v>17.23</v>
      </c>
      <c r="H6245">
        <v>1.5</v>
      </c>
      <c r="I6245">
        <v>19.555</v>
      </c>
      <c r="J6245">
        <v>22.13</v>
      </c>
      <c r="K6245">
        <v>26.4</v>
      </c>
      <c r="L6245">
        <v>19.4</v>
      </c>
      <c r="M6245">
        <v>10.87</v>
      </c>
      <c r="N6245">
        <v>1.204</v>
      </c>
      <c r="O6245">
        <v>22.46</v>
      </c>
      <c r="P6245">
        <v>26.12</v>
      </c>
      <c r="Q6245">
        <v>20.17</v>
      </c>
      <c r="R6245">
        <v>3.61</v>
      </c>
    </row>
    <row r="6246">
      <c r="A6246" s="9">
        <v>44777</v>
      </c>
      <c r="B6246" s="2" t="inlineStr">
        <is>
          <t xml:space="preserve">2022-08</t>
        </is>
      </c>
      <c r="C6246" s="2" t="inlineStr">
        <is>
          <t xml:space="preserve">2022/23</t>
        </is>
      </c>
      <c r="D6246">
        <v>0.029</v>
      </c>
      <c r="E6246">
        <v>20.3</v>
      </c>
      <c r="F6246">
        <v>25.51</v>
      </c>
      <c r="G6246">
        <v>16.24</v>
      </c>
      <c r="H6246">
        <v>1.13</v>
      </c>
      <c r="I6246">
        <v>12.414</v>
      </c>
      <c r="J6246">
        <v>21.3</v>
      </c>
      <c r="K6246">
        <v>25.25</v>
      </c>
      <c r="L6246">
        <v>18.56</v>
      </c>
      <c r="M6246">
        <v>6.03</v>
      </c>
      <c r="N6246">
        <v>8.011</v>
      </c>
      <c r="O6246">
        <v>21.8</v>
      </c>
      <c r="P6246">
        <v>25.39</v>
      </c>
      <c r="Q6246">
        <v>19.37</v>
      </c>
      <c r="R6246">
        <v>2.52</v>
      </c>
    </row>
    <row r="6247">
      <c r="A6247" s="9">
        <v>44778</v>
      </c>
      <c r="B6247" s="2" t="inlineStr">
        <is>
          <t xml:space="preserve">2022-08</t>
        </is>
      </c>
      <c r="C6247" s="2" t="inlineStr">
        <is>
          <t xml:space="preserve">2022/23</t>
        </is>
      </c>
      <c r="D6247">
        <v>0.316</v>
      </c>
      <c r="E6247">
        <v>21.05</v>
      </c>
      <c r="F6247">
        <v>26.07</v>
      </c>
      <c r="G6247">
        <v>16.92</v>
      </c>
      <c r="H6247">
        <v>1.07</v>
      </c>
      <c r="I6247">
        <v>10.201</v>
      </c>
      <c r="J6247">
        <v>21.72</v>
      </c>
      <c r="K6247">
        <v>26.12</v>
      </c>
      <c r="L6247">
        <v>18.22</v>
      </c>
      <c r="M6247">
        <v>6.96</v>
      </c>
      <c r="N6247">
        <v>0.442</v>
      </c>
      <c r="O6247">
        <v>22.19</v>
      </c>
      <c r="P6247">
        <v>26.47</v>
      </c>
      <c r="Q6247">
        <v>19.22</v>
      </c>
      <c r="R6247">
        <v>2.09</v>
      </c>
    </row>
    <row r="6248">
      <c r="A6248" s="9">
        <v>44779</v>
      </c>
      <c r="B6248" s="2" t="inlineStr">
        <is>
          <t xml:space="preserve">2022-08</t>
        </is>
      </c>
      <c r="C6248" s="2" t="inlineStr">
        <is>
          <t xml:space="preserve">2022/23</t>
        </is>
      </c>
      <c r="D6248">
        <v>1.889</v>
      </c>
      <c r="E6248">
        <v>20.94</v>
      </c>
      <c r="F6248">
        <v>25.21</v>
      </c>
      <c r="G6248">
        <v>17.27</v>
      </c>
      <c r="H6248">
        <v>2.67</v>
      </c>
      <c r="I6248">
        <v>2.55</v>
      </c>
      <c r="J6248">
        <v>22.03</v>
      </c>
      <c r="K6248">
        <v>26.35</v>
      </c>
      <c r="L6248">
        <v>18.52</v>
      </c>
      <c r="M6248">
        <v>8.08</v>
      </c>
      <c r="N6248">
        <v>10.08</v>
      </c>
      <c r="O6248">
        <v>22.25</v>
      </c>
      <c r="P6248">
        <v>26.08</v>
      </c>
      <c r="Q6248">
        <v>19.4</v>
      </c>
      <c r="R6248">
        <v>5.15</v>
      </c>
    </row>
    <row r="6249">
      <c r="A6249" s="9">
        <v>44780</v>
      </c>
      <c r="B6249" s="2" t="inlineStr">
        <is>
          <t xml:space="preserve">2022-08</t>
        </is>
      </c>
      <c r="C6249" s="2" t="inlineStr">
        <is>
          <t xml:space="preserve">2022/23</t>
        </is>
      </c>
      <c r="D6249">
        <v>2.953</v>
      </c>
      <c r="E6249">
        <v>21.41</v>
      </c>
      <c r="F6249">
        <v>26.58</v>
      </c>
      <c r="G6249">
        <v>17.42</v>
      </c>
      <c r="H6249">
        <v>6.13</v>
      </c>
      <c r="I6249">
        <v>9.443</v>
      </c>
      <c r="J6249">
        <v>22.27</v>
      </c>
      <c r="K6249">
        <v>26.48</v>
      </c>
      <c r="L6249">
        <v>19.07</v>
      </c>
      <c r="M6249">
        <v>4.98</v>
      </c>
      <c r="N6249">
        <v>3.417</v>
      </c>
      <c r="O6249">
        <v>22.53</v>
      </c>
      <c r="P6249">
        <v>26.37</v>
      </c>
      <c r="Q6249">
        <v>19.83</v>
      </c>
      <c r="R6249">
        <v>3.97</v>
      </c>
    </row>
    <row r="6250">
      <c r="A6250" s="9">
        <v>44781</v>
      </c>
      <c r="B6250" s="2" t="inlineStr">
        <is>
          <t xml:space="preserve">2022-08</t>
        </is>
      </c>
      <c r="C6250" s="2" t="inlineStr">
        <is>
          <t xml:space="preserve">2022/23</t>
        </is>
      </c>
      <c r="D6250">
        <v>1.428</v>
      </c>
      <c r="E6250">
        <v>21.01</v>
      </c>
      <c r="F6250">
        <v>25.22</v>
      </c>
      <c r="G6250">
        <v>17.61</v>
      </c>
      <c r="H6250">
        <v>1.14</v>
      </c>
      <c r="I6250">
        <v>7.546</v>
      </c>
      <c r="J6250">
        <v>21.8</v>
      </c>
      <c r="K6250">
        <v>26.01</v>
      </c>
      <c r="L6250">
        <v>19.18</v>
      </c>
      <c r="M6250">
        <v>3.96</v>
      </c>
      <c r="N6250">
        <v>1.374</v>
      </c>
      <c r="O6250">
        <v>22.23</v>
      </c>
      <c r="P6250">
        <v>25.71</v>
      </c>
      <c r="Q6250">
        <v>20.23</v>
      </c>
      <c r="R6250">
        <v>1.11</v>
      </c>
    </row>
    <row r="6251">
      <c r="A6251" s="9">
        <v>44782</v>
      </c>
      <c r="B6251" s="2" t="inlineStr">
        <is>
          <t xml:space="preserve">2022-08</t>
        </is>
      </c>
      <c r="C6251" s="2" t="inlineStr">
        <is>
          <t xml:space="preserve">2022/23</t>
        </is>
      </c>
      <c r="D6251">
        <v>4.671</v>
      </c>
      <c r="E6251">
        <v>21.43</v>
      </c>
      <c r="F6251">
        <v>25.98</v>
      </c>
      <c r="G6251">
        <v>18.26</v>
      </c>
      <c r="H6251">
        <v>17.15</v>
      </c>
      <c r="I6251">
        <v>9.235</v>
      </c>
      <c r="J6251">
        <v>21.58</v>
      </c>
      <c r="K6251">
        <v>25.39</v>
      </c>
      <c r="L6251">
        <v>18.89</v>
      </c>
      <c r="M6251">
        <v>30.81</v>
      </c>
      <c r="N6251">
        <v>2.275</v>
      </c>
      <c r="O6251">
        <v>22.09</v>
      </c>
      <c r="P6251">
        <v>25.89</v>
      </c>
      <c r="Q6251">
        <v>19.8</v>
      </c>
      <c r="R6251">
        <v>19.86</v>
      </c>
    </row>
    <row r="6252">
      <c r="A6252" s="9">
        <v>44783</v>
      </c>
      <c r="B6252" s="2" t="inlineStr">
        <is>
          <t xml:space="preserve">2022-08</t>
        </is>
      </c>
      <c r="C6252" s="2" t="inlineStr">
        <is>
          <t xml:space="preserve">2022/23</t>
        </is>
      </c>
      <c r="D6252">
        <v>29.924</v>
      </c>
      <c r="E6252">
        <v>21.66</v>
      </c>
      <c r="F6252">
        <v>27.09</v>
      </c>
      <c r="G6252">
        <v>17.89</v>
      </c>
      <c r="H6252">
        <v>12.1</v>
      </c>
      <c r="I6252">
        <v>47.829</v>
      </c>
      <c r="J6252">
        <v>22.41</v>
      </c>
      <c r="K6252">
        <v>26.78</v>
      </c>
      <c r="L6252">
        <v>18.65</v>
      </c>
      <c r="M6252">
        <v>46.88</v>
      </c>
      <c r="N6252">
        <v>58.617</v>
      </c>
      <c r="O6252">
        <v>22.49</v>
      </c>
      <c r="P6252">
        <v>26.48</v>
      </c>
      <c r="Q6252">
        <v>19.65</v>
      </c>
      <c r="R6252">
        <v>34.72</v>
      </c>
    </row>
    <row r="6253">
      <c r="A6253" s="9">
        <v>44784</v>
      </c>
      <c r="B6253" s="2" t="inlineStr">
        <is>
          <t xml:space="preserve">2022-08</t>
        </is>
      </c>
      <c r="C6253" s="2" t="inlineStr">
        <is>
          <t xml:space="preserve">2022/23</t>
        </is>
      </c>
      <c r="D6253">
        <v>9.282</v>
      </c>
      <c r="E6253">
        <v>21.17</v>
      </c>
      <c r="F6253">
        <v>26.0</v>
      </c>
      <c r="G6253">
        <v>17.62</v>
      </c>
      <c r="H6253">
        <v>9.05</v>
      </c>
      <c r="I6253">
        <v>32.054</v>
      </c>
      <c r="J6253">
        <v>23.37</v>
      </c>
      <c r="K6253">
        <v>28.07</v>
      </c>
      <c r="L6253">
        <v>20.01</v>
      </c>
      <c r="M6253">
        <v>13.51</v>
      </c>
      <c r="N6253">
        <v>61.4</v>
      </c>
      <c r="O6253">
        <v>22.96</v>
      </c>
      <c r="P6253">
        <v>26.88</v>
      </c>
      <c r="Q6253">
        <v>20.51</v>
      </c>
      <c r="R6253">
        <v>12.38</v>
      </c>
    </row>
    <row r="6254">
      <c r="A6254" s="9">
        <v>44785</v>
      </c>
      <c r="B6254" s="2" t="inlineStr">
        <is>
          <t xml:space="preserve">2022-08</t>
        </is>
      </c>
      <c r="C6254" s="2" t="inlineStr">
        <is>
          <t xml:space="preserve">2022/23</t>
        </is>
      </c>
      <c r="D6254">
        <v>10.003</v>
      </c>
      <c r="E6254">
        <v>21.57</v>
      </c>
      <c r="F6254">
        <v>27.22</v>
      </c>
      <c r="G6254">
        <v>15.84</v>
      </c>
      <c r="H6254">
        <v>7.12</v>
      </c>
      <c r="I6254">
        <v>7.055</v>
      </c>
      <c r="J6254">
        <v>22.98</v>
      </c>
      <c r="K6254">
        <v>27.48</v>
      </c>
      <c r="L6254">
        <v>19.37</v>
      </c>
      <c r="M6254">
        <v>12.41</v>
      </c>
      <c r="N6254">
        <v>25.877</v>
      </c>
      <c r="O6254">
        <v>23.42</v>
      </c>
      <c r="P6254">
        <v>27.9</v>
      </c>
      <c r="Q6254">
        <v>20.21</v>
      </c>
      <c r="R6254">
        <v>12.04</v>
      </c>
    </row>
    <row r="6255">
      <c r="A6255" s="9">
        <v>44786</v>
      </c>
      <c r="B6255" s="2" t="inlineStr">
        <is>
          <t xml:space="preserve">2022-08</t>
        </is>
      </c>
      <c r="C6255" s="2" t="inlineStr">
        <is>
          <t xml:space="preserve">2022/23</t>
        </is>
      </c>
      <c r="D6255">
        <v>9.584</v>
      </c>
      <c r="E6255">
        <v>21.92</v>
      </c>
      <c r="F6255">
        <v>26.11</v>
      </c>
      <c r="G6255">
        <v>18.84</v>
      </c>
      <c r="H6255">
        <v>5.04</v>
      </c>
      <c r="I6255">
        <v>2.872</v>
      </c>
      <c r="J6255">
        <v>23.55</v>
      </c>
      <c r="K6255">
        <v>27.85</v>
      </c>
      <c r="L6255">
        <v>20.38</v>
      </c>
      <c r="M6255">
        <v>3.35</v>
      </c>
      <c r="N6255">
        <v>3.005</v>
      </c>
      <c r="O6255">
        <v>23.49</v>
      </c>
      <c r="P6255">
        <v>28.1</v>
      </c>
      <c r="Q6255">
        <v>20.46</v>
      </c>
      <c r="R6255">
        <v>2.38</v>
      </c>
    </row>
    <row r="6256">
      <c r="A6256" s="9">
        <v>44787</v>
      </c>
      <c r="B6256" s="2" t="inlineStr">
        <is>
          <t xml:space="preserve">2022-08</t>
        </is>
      </c>
      <c r="C6256" s="2" t="inlineStr">
        <is>
          <t xml:space="preserve">2022/23</t>
        </is>
      </c>
      <c r="D6256">
        <v>4.343</v>
      </c>
      <c r="E6256">
        <v>22.02</v>
      </c>
      <c r="F6256">
        <v>26.84</v>
      </c>
      <c r="G6256">
        <v>18.17</v>
      </c>
      <c r="H6256">
        <v>8.26</v>
      </c>
      <c r="I6256">
        <v>4.617</v>
      </c>
      <c r="J6256">
        <v>23.2</v>
      </c>
      <c r="K6256">
        <v>26.61</v>
      </c>
      <c r="L6256">
        <v>20.42</v>
      </c>
      <c r="M6256">
        <v>7.18</v>
      </c>
      <c r="N6256">
        <v>3.8</v>
      </c>
      <c r="O6256">
        <v>23.52</v>
      </c>
      <c r="P6256">
        <v>27.62</v>
      </c>
      <c r="Q6256">
        <v>20.63</v>
      </c>
      <c r="R6256">
        <v>8.04</v>
      </c>
    </row>
    <row r="6257">
      <c r="A6257" s="9">
        <v>44788</v>
      </c>
      <c r="B6257" s="2" t="inlineStr">
        <is>
          <t xml:space="preserve">2022-08</t>
        </is>
      </c>
      <c r="C6257" s="2" t="inlineStr">
        <is>
          <t xml:space="preserve">2022/23</t>
        </is>
      </c>
      <c r="D6257">
        <v>11.597</v>
      </c>
      <c r="E6257">
        <v>22.13</v>
      </c>
      <c r="F6257">
        <v>26.32</v>
      </c>
      <c r="G6257">
        <v>18.64</v>
      </c>
      <c r="H6257">
        <v>4.92</v>
      </c>
      <c r="I6257">
        <v>10.795</v>
      </c>
      <c r="J6257">
        <v>23.16</v>
      </c>
      <c r="K6257">
        <v>26.96</v>
      </c>
      <c r="L6257">
        <v>20.25</v>
      </c>
      <c r="M6257">
        <v>5.18</v>
      </c>
      <c r="N6257">
        <v>6.365</v>
      </c>
      <c r="O6257">
        <v>23.73</v>
      </c>
      <c r="P6257">
        <v>27.85</v>
      </c>
      <c r="Q6257">
        <v>21.04</v>
      </c>
      <c r="R6257">
        <v>2.96</v>
      </c>
    </row>
    <row r="6258">
      <c r="A6258" s="9">
        <v>44789</v>
      </c>
      <c r="B6258" s="2" t="inlineStr">
        <is>
          <t xml:space="preserve">2022-08</t>
        </is>
      </c>
      <c r="C6258" s="2" t="inlineStr">
        <is>
          <t xml:space="preserve">2022/23</t>
        </is>
      </c>
      <c r="D6258">
        <v>5.765</v>
      </c>
      <c r="E6258">
        <v>22.08</v>
      </c>
      <c r="F6258">
        <v>26.97</v>
      </c>
      <c r="G6258">
        <v>18.63</v>
      </c>
      <c r="H6258">
        <v>5.65</v>
      </c>
      <c r="I6258">
        <v>16.444</v>
      </c>
      <c r="J6258">
        <v>23.06</v>
      </c>
      <c r="K6258">
        <v>27.27</v>
      </c>
      <c r="L6258">
        <v>19.93</v>
      </c>
      <c r="M6258">
        <v>20.73</v>
      </c>
      <c r="N6258">
        <v>20.02</v>
      </c>
      <c r="O6258">
        <v>23.12</v>
      </c>
      <c r="P6258">
        <v>26.4</v>
      </c>
      <c r="Q6258">
        <v>20.32</v>
      </c>
      <c r="R6258">
        <v>13.15</v>
      </c>
    </row>
    <row r="6259">
      <c r="A6259" s="9">
        <v>44790</v>
      </c>
      <c r="B6259" s="2" t="inlineStr">
        <is>
          <t xml:space="preserve">2022-08</t>
        </is>
      </c>
      <c r="C6259" s="2" t="inlineStr">
        <is>
          <t xml:space="preserve">2022/23</t>
        </is>
      </c>
      <c r="D6259">
        <v>23.099</v>
      </c>
      <c r="E6259">
        <v>21.43</v>
      </c>
      <c r="F6259">
        <v>26.54</v>
      </c>
      <c r="G6259">
        <v>17.01</v>
      </c>
      <c r="H6259">
        <v>19.56</v>
      </c>
      <c r="I6259">
        <v>11.286</v>
      </c>
      <c r="J6259">
        <v>22.3</v>
      </c>
      <c r="K6259">
        <v>25.38</v>
      </c>
      <c r="L6259">
        <v>20.17</v>
      </c>
      <c r="M6259">
        <v>8.57</v>
      </c>
      <c r="N6259">
        <v>19.464</v>
      </c>
      <c r="O6259">
        <v>22.81</v>
      </c>
      <c r="P6259">
        <v>26.99</v>
      </c>
      <c r="Q6259">
        <v>19.7</v>
      </c>
      <c r="R6259">
        <v>11.5</v>
      </c>
    </row>
    <row r="6260">
      <c r="A6260" s="9">
        <v>44791</v>
      </c>
      <c r="B6260" s="2" t="inlineStr">
        <is>
          <t xml:space="preserve">2022-08</t>
        </is>
      </c>
      <c r="C6260" s="2" t="inlineStr">
        <is>
          <t xml:space="preserve">2022/23</t>
        </is>
      </c>
      <c r="D6260">
        <v>15.714</v>
      </c>
      <c r="E6260">
        <v>22.11</v>
      </c>
      <c r="F6260">
        <v>26.59</v>
      </c>
      <c r="G6260">
        <v>18.09</v>
      </c>
      <c r="H6260">
        <v>3.29</v>
      </c>
      <c r="I6260">
        <v>3.177</v>
      </c>
      <c r="J6260">
        <v>23.43</v>
      </c>
      <c r="K6260">
        <v>26.98</v>
      </c>
      <c r="L6260">
        <v>20.2</v>
      </c>
      <c r="M6260">
        <v>4.69</v>
      </c>
      <c r="N6260">
        <v>8.939</v>
      </c>
      <c r="O6260">
        <v>23.37</v>
      </c>
      <c r="P6260">
        <v>26.69</v>
      </c>
      <c r="Q6260">
        <v>20.84</v>
      </c>
      <c r="R6260">
        <v>6.03</v>
      </c>
    </row>
    <row r="6261">
      <c r="A6261" s="9">
        <v>44792</v>
      </c>
      <c r="B6261" s="2" t="inlineStr">
        <is>
          <t xml:space="preserve">2022-08</t>
        </is>
      </c>
      <c r="C6261" s="2" t="inlineStr">
        <is>
          <t xml:space="preserve">2022/23</t>
        </is>
      </c>
      <c r="D6261">
        <v>0.024</v>
      </c>
      <c r="E6261">
        <v>22.0</v>
      </c>
      <c r="F6261">
        <v>27.38</v>
      </c>
      <c r="G6261">
        <v>17.34</v>
      </c>
      <c r="H6261">
        <v>0.4</v>
      </c>
      <c r="I6261">
        <v>0.026</v>
      </c>
      <c r="J6261">
        <v>23.93</v>
      </c>
      <c r="K6261">
        <v>28.38</v>
      </c>
      <c r="L6261">
        <v>20.83</v>
      </c>
      <c r="M6261">
        <v>0.06</v>
      </c>
      <c r="N6261">
        <v>0.271</v>
      </c>
      <c r="O6261">
        <v>23.3</v>
      </c>
      <c r="P6261">
        <v>27.39</v>
      </c>
      <c r="Q6261">
        <v>20.58</v>
      </c>
      <c r="R6261">
        <v>0.19</v>
      </c>
    </row>
    <row r="6262">
      <c r="A6262" s="9">
        <v>44793</v>
      </c>
      <c r="B6262" s="2" t="inlineStr">
        <is>
          <t xml:space="preserve">2022-08</t>
        </is>
      </c>
      <c r="C6262" s="2" t="inlineStr">
        <is>
          <t xml:space="preserve">2022/23</t>
        </is>
      </c>
      <c r="D6262">
        <v>0.099</v>
      </c>
      <c r="E6262">
        <v>22.02</v>
      </c>
      <c r="F6262">
        <v>26.11</v>
      </c>
      <c r="G6262">
        <v>18.53</v>
      </c>
      <c r="H6262">
        <v>4.36</v>
      </c>
      <c r="I6262">
        <v>0.0</v>
      </c>
      <c r="J6262">
        <v>22.57</v>
      </c>
      <c r="K6262">
        <v>25.73</v>
      </c>
      <c r="L6262">
        <v>20.11</v>
      </c>
      <c r="M6262">
        <v>3.2</v>
      </c>
      <c r="N6262">
        <v>0.0</v>
      </c>
      <c r="O6262">
        <v>22.82</v>
      </c>
      <c r="P6262">
        <v>25.81</v>
      </c>
      <c r="Q6262">
        <v>20.83</v>
      </c>
      <c r="R6262">
        <v>2.48</v>
      </c>
    </row>
    <row r="6263">
      <c r="A6263" s="9">
        <v>44794</v>
      </c>
      <c r="B6263" s="2" t="inlineStr">
        <is>
          <t xml:space="preserve">2022-08</t>
        </is>
      </c>
      <c r="C6263" s="2" t="inlineStr">
        <is>
          <t xml:space="preserve">2022/23</t>
        </is>
      </c>
      <c r="D6263">
        <v>8.346</v>
      </c>
      <c r="E6263">
        <v>21.82</v>
      </c>
      <c r="F6263">
        <v>25.61</v>
      </c>
      <c r="G6263">
        <v>19.09</v>
      </c>
      <c r="H6263">
        <v>4.09</v>
      </c>
      <c r="I6263">
        <v>10.19</v>
      </c>
      <c r="J6263">
        <v>22.11</v>
      </c>
      <c r="K6263">
        <v>25.36</v>
      </c>
      <c r="L6263">
        <v>19.72</v>
      </c>
      <c r="M6263">
        <v>5.49</v>
      </c>
      <c r="N6263">
        <v>2.892</v>
      </c>
      <c r="O6263">
        <v>22.62</v>
      </c>
      <c r="P6263">
        <v>25.57</v>
      </c>
      <c r="Q6263">
        <v>20.85</v>
      </c>
      <c r="R6263">
        <v>3.13</v>
      </c>
    </row>
    <row r="6264">
      <c r="A6264" s="9">
        <v>44795</v>
      </c>
      <c r="B6264" s="2" t="inlineStr">
        <is>
          <t xml:space="preserve">2022-08</t>
        </is>
      </c>
      <c r="C6264" s="2" t="inlineStr">
        <is>
          <t xml:space="preserve">2022/23</t>
        </is>
      </c>
      <c r="D6264">
        <v>0.119</v>
      </c>
      <c r="E6264">
        <v>22.24</v>
      </c>
      <c r="F6264">
        <v>27.09</v>
      </c>
      <c r="G6264">
        <v>18.22</v>
      </c>
      <c r="H6264">
        <v>1.92</v>
      </c>
      <c r="I6264">
        <v>0.744</v>
      </c>
      <c r="J6264">
        <v>22.81</v>
      </c>
      <c r="K6264">
        <v>27.08</v>
      </c>
      <c r="L6264">
        <v>19.42</v>
      </c>
      <c r="M6264">
        <v>1.28</v>
      </c>
      <c r="N6264">
        <v>0.954</v>
      </c>
      <c r="O6264">
        <v>23.16</v>
      </c>
      <c r="P6264">
        <v>27.53</v>
      </c>
      <c r="Q6264">
        <v>20.07</v>
      </c>
      <c r="R6264">
        <v>2.1</v>
      </c>
    </row>
    <row r="6265">
      <c r="A6265" s="9">
        <v>44796</v>
      </c>
      <c r="B6265" s="2" t="inlineStr">
        <is>
          <t xml:space="preserve">2022-08</t>
        </is>
      </c>
      <c r="C6265" s="2" t="inlineStr">
        <is>
          <t xml:space="preserve">2022/23</t>
        </is>
      </c>
      <c r="D6265">
        <v>5.747</v>
      </c>
      <c r="E6265">
        <v>22.09</v>
      </c>
      <c r="F6265">
        <v>26.64</v>
      </c>
      <c r="G6265">
        <v>18.34</v>
      </c>
      <c r="H6265">
        <v>5.57</v>
      </c>
      <c r="I6265">
        <v>3.861</v>
      </c>
      <c r="J6265">
        <v>22.82</v>
      </c>
      <c r="K6265">
        <v>26.89</v>
      </c>
      <c r="L6265">
        <v>19.4</v>
      </c>
      <c r="M6265">
        <v>5.01</v>
      </c>
      <c r="N6265">
        <v>1.734</v>
      </c>
      <c r="O6265">
        <v>23.17</v>
      </c>
      <c r="P6265">
        <v>27.42</v>
      </c>
      <c r="Q6265">
        <v>20.44</v>
      </c>
      <c r="R6265">
        <v>2.99</v>
      </c>
    </row>
    <row r="6266">
      <c r="A6266" s="9">
        <v>44797</v>
      </c>
      <c r="B6266" s="2" t="inlineStr">
        <is>
          <t xml:space="preserve">2022-08</t>
        </is>
      </c>
      <c r="C6266" s="2" t="inlineStr">
        <is>
          <t xml:space="preserve">2022/23</t>
        </is>
      </c>
      <c r="D6266">
        <v>7.354</v>
      </c>
      <c r="E6266">
        <v>21.61</v>
      </c>
      <c r="F6266">
        <v>26.24</v>
      </c>
      <c r="G6266">
        <v>17.97</v>
      </c>
      <c r="H6266">
        <v>15.16</v>
      </c>
      <c r="I6266">
        <v>12.263</v>
      </c>
      <c r="J6266">
        <v>21.52</v>
      </c>
      <c r="K6266">
        <v>24.0</v>
      </c>
      <c r="L6266">
        <v>19.4</v>
      </c>
      <c r="M6266">
        <v>13.49</v>
      </c>
      <c r="N6266">
        <v>0.777</v>
      </c>
      <c r="O6266">
        <v>23.29</v>
      </c>
      <c r="P6266">
        <v>27.4</v>
      </c>
      <c r="Q6266">
        <v>20.57</v>
      </c>
      <c r="R6266">
        <v>7.78</v>
      </c>
    </row>
    <row r="6267">
      <c r="A6267" s="9">
        <v>44798</v>
      </c>
      <c r="B6267" s="2" t="inlineStr">
        <is>
          <t xml:space="preserve">2022-08</t>
        </is>
      </c>
      <c r="C6267" s="2" t="inlineStr">
        <is>
          <t xml:space="preserve">2022/23</t>
        </is>
      </c>
      <c r="D6267">
        <v>21.023</v>
      </c>
      <c r="E6267">
        <v>21.94</v>
      </c>
      <c r="F6267">
        <v>26.05</v>
      </c>
      <c r="G6267">
        <v>19.08</v>
      </c>
      <c r="H6267">
        <v>7.68</v>
      </c>
      <c r="I6267">
        <v>15.794</v>
      </c>
      <c r="J6267">
        <v>22.42</v>
      </c>
      <c r="K6267">
        <v>27.28</v>
      </c>
      <c r="L6267">
        <v>18.04</v>
      </c>
      <c r="M6267">
        <v>8.38</v>
      </c>
      <c r="N6267">
        <v>17.348</v>
      </c>
      <c r="O6267">
        <v>23.29</v>
      </c>
      <c r="P6267">
        <v>26.73</v>
      </c>
      <c r="Q6267">
        <v>20.63</v>
      </c>
      <c r="R6267">
        <v>6.02</v>
      </c>
    </row>
    <row r="6268">
      <c r="A6268" s="9">
        <v>44799</v>
      </c>
      <c r="B6268" s="2" t="inlineStr">
        <is>
          <t xml:space="preserve">2022-08</t>
        </is>
      </c>
      <c r="C6268" s="2" t="inlineStr">
        <is>
          <t xml:space="preserve">2022/23</t>
        </is>
      </c>
      <c r="D6268">
        <v>3.543</v>
      </c>
      <c r="E6268">
        <v>22.71</v>
      </c>
      <c r="F6268">
        <v>26.98</v>
      </c>
      <c r="G6268">
        <v>19.17</v>
      </c>
      <c r="H6268">
        <v>4.16</v>
      </c>
      <c r="I6268">
        <v>0.0</v>
      </c>
      <c r="J6268">
        <v>23.09</v>
      </c>
      <c r="K6268">
        <v>27.58</v>
      </c>
      <c r="L6268">
        <v>18.42</v>
      </c>
      <c r="M6268">
        <v>7.77</v>
      </c>
      <c r="N6268">
        <v>0.048</v>
      </c>
      <c r="O6268">
        <v>23.26</v>
      </c>
      <c r="P6268">
        <v>27.06</v>
      </c>
      <c r="Q6268">
        <v>19.79</v>
      </c>
      <c r="R6268">
        <v>3.83</v>
      </c>
    </row>
    <row r="6269">
      <c r="A6269" s="9">
        <v>44800</v>
      </c>
      <c r="B6269" s="2" t="inlineStr">
        <is>
          <t xml:space="preserve">2022-08</t>
        </is>
      </c>
      <c r="C6269" s="2" t="inlineStr">
        <is>
          <t xml:space="preserve">2022/23</t>
        </is>
      </c>
      <c r="D6269">
        <v>12.028</v>
      </c>
      <c r="E6269">
        <v>22.38</v>
      </c>
      <c r="F6269">
        <v>25.84</v>
      </c>
      <c r="G6269">
        <v>19.4</v>
      </c>
      <c r="H6269">
        <v>8.23</v>
      </c>
      <c r="I6269">
        <v>23.826</v>
      </c>
      <c r="J6269">
        <v>23.28</v>
      </c>
      <c r="K6269">
        <v>27.84</v>
      </c>
      <c r="L6269">
        <v>19.56</v>
      </c>
      <c r="M6269">
        <v>15.6</v>
      </c>
      <c r="N6269">
        <v>9.017</v>
      </c>
      <c r="O6269">
        <v>23.3</v>
      </c>
      <c r="P6269">
        <v>27.2</v>
      </c>
      <c r="Q6269">
        <v>20.85</v>
      </c>
      <c r="R6269">
        <v>11.55</v>
      </c>
    </row>
    <row r="6270">
      <c r="A6270" s="9">
        <v>44801</v>
      </c>
      <c r="B6270" s="2" t="inlineStr">
        <is>
          <t xml:space="preserve">2022-08</t>
        </is>
      </c>
      <c r="C6270" s="2" t="inlineStr">
        <is>
          <t xml:space="preserve">2022/23</t>
        </is>
      </c>
      <c r="D6270">
        <v>1.896</v>
      </c>
      <c r="E6270">
        <v>21.93</v>
      </c>
      <c r="F6270">
        <v>26.32</v>
      </c>
      <c r="G6270">
        <v>18.17</v>
      </c>
      <c r="H6270">
        <v>4.82</v>
      </c>
      <c r="I6270">
        <v>23.032</v>
      </c>
      <c r="J6270">
        <v>23.0</v>
      </c>
      <c r="K6270">
        <v>26.42</v>
      </c>
      <c r="L6270">
        <v>20.41</v>
      </c>
      <c r="M6270">
        <v>20.65</v>
      </c>
      <c r="N6270">
        <v>37.849</v>
      </c>
      <c r="O6270">
        <v>23.8</v>
      </c>
      <c r="P6270">
        <v>28.06</v>
      </c>
      <c r="Q6270">
        <v>21.16</v>
      </c>
      <c r="R6270">
        <v>14.3</v>
      </c>
    </row>
    <row r="6271">
      <c r="A6271" s="9">
        <v>44802</v>
      </c>
      <c r="B6271" s="2" t="inlineStr">
        <is>
          <t xml:space="preserve">2022-08</t>
        </is>
      </c>
      <c r="C6271" s="2" t="inlineStr">
        <is>
          <t xml:space="preserve">2022/23</t>
        </is>
      </c>
      <c r="D6271">
        <v>13.968</v>
      </c>
      <c r="E6271">
        <v>21.89</v>
      </c>
      <c r="F6271">
        <v>26.84</v>
      </c>
      <c r="G6271">
        <v>17.07</v>
      </c>
      <c r="H6271">
        <v>15.07</v>
      </c>
      <c r="I6271">
        <v>5.609</v>
      </c>
      <c r="J6271">
        <v>22.93</v>
      </c>
      <c r="K6271">
        <v>27.1</v>
      </c>
      <c r="L6271">
        <v>19.48</v>
      </c>
      <c r="M6271">
        <v>13.31</v>
      </c>
      <c r="N6271">
        <v>18.569</v>
      </c>
      <c r="O6271">
        <v>23.59</v>
      </c>
      <c r="P6271">
        <v>28.2</v>
      </c>
      <c r="Q6271">
        <v>19.43</v>
      </c>
      <c r="R6271">
        <v>13.89</v>
      </c>
    </row>
    <row r="6272">
      <c r="A6272" s="9">
        <v>44803</v>
      </c>
      <c r="B6272" s="2" t="inlineStr">
        <is>
          <t xml:space="preserve">2022-08</t>
        </is>
      </c>
      <c r="C6272" s="2" t="inlineStr">
        <is>
          <t xml:space="preserve">2022/23</t>
        </is>
      </c>
      <c r="D6272">
        <v>43.775</v>
      </c>
      <c r="E6272">
        <v>21.79</v>
      </c>
      <c r="F6272">
        <v>26.0</v>
      </c>
      <c r="G6272">
        <v>18.41</v>
      </c>
      <c r="H6272">
        <v>28.36</v>
      </c>
      <c r="I6272">
        <v>13.573</v>
      </c>
      <c r="J6272">
        <v>22.17</v>
      </c>
      <c r="K6272">
        <v>25.82</v>
      </c>
      <c r="L6272">
        <v>19.77</v>
      </c>
      <c r="M6272">
        <v>16.88</v>
      </c>
      <c r="N6272">
        <v>36.72</v>
      </c>
      <c r="O6272">
        <v>22.57</v>
      </c>
      <c r="P6272">
        <v>25.65</v>
      </c>
      <c r="Q6272">
        <v>20.52</v>
      </c>
      <c r="R6272">
        <v>23.64</v>
      </c>
    </row>
    <row r="6273">
      <c r="A6273" s="9">
        <v>44804</v>
      </c>
      <c r="B6273" s="2" t="inlineStr">
        <is>
          <t xml:space="preserve">2022-08</t>
        </is>
      </c>
      <c r="C6273" s="2" t="inlineStr">
        <is>
          <t xml:space="preserve">2022/23</t>
        </is>
      </c>
      <c r="D6273">
        <v>9.422</v>
      </c>
      <c r="E6273">
        <v>21.9</v>
      </c>
      <c r="F6273">
        <v>26.35</v>
      </c>
      <c r="G6273">
        <v>18.95</v>
      </c>
      <c r="H6273">
        <v>9.72</v>
      </c>
      <c r="I6273">
        <v>0.084</v>
      </c>
      <c r="J6273">
        <v>21.72</v>
      </c>
      <c r="K6273">
        <v>25.26</v>
      </c>
      <c r="L6273">
        <v>19.06</v>
      </c>
      <c r="M6273">
        <v>9.55</v>
      </c>
      <c r="N6273">
        <v>0.78</v>
      </c>
      <c r="O6273">
        <v>21.99</v>
      </c>
      <c r="P6273">
        <v>25.14</v>
      </c>
      <c r="Q6273">
        <v>19.96</v>
      </c>
      <c r="R6273">
        <v>4.11</v>
      </c>
    </row>
    <row r="6274">
      <c r="A6274" s="9">
        <v>44805</v>
      </c>
      <c r="B6274" s="2" t="inlineStr">
        <is>
          <t xml:space="preserve">2022-09</t>
        </is>
      </c>
      <c r="C6274" s="2" t="inlineStr">
        <is>
          <t xml:space="preserve">2022/23</t>
        </is>
      </c>
      <c r="D6274">
        <v>20.416</v>
      </c>
      <c r="E6274">
        <v>21.73</v>
      </c>
      <c r="F6274">
        <v>25.53</v>
      </c>
      <c r="G6274">
        <v>19.61</v>
      </c>
      <c r="H6274">
        <v>29.71</v>
      </c>
      <c r="I6274">
        <v>22.13</v>
      </c>
      <c r="J6274">
        <v>22.2</v>
      </c>
      <c r="K6274">
        <v>26.37</v>
      </c>
      <c r="L6274">
        <v>19.16</v>
      </c>
      <c r="M6274">
        <v>21.37</v>
      </c>
      <c r="N6274">
        <v>21.84</v>
      </c>
      <c r="O6274">
        <v>22.15</v>
      </c>
      <c r="P6274">
        <v>25.99</v>
      </c>
      <c r="Q6274">
        <v>18.91</v>
      </c>
      <c r="R6274">
        <v>19.97</v>
      </c>
    </row>
    <row r="6275">
      <c r="A6275" s="9">
        <v>44806</v>
      </c>
      <c r="B6275" s="2" t="inlineStr">
        <is>
          <t xml:space="preserve">2022-09</t>
        </is>
      </c>
      <c r="C6275" s="2" t="inlineStr">
        <is>
          <t xml:space="preserve">2022/23</t>
        </is>
      </c>
      <c r="D6275">
        <v>12.709</v>
      </c>
      <c r="E6275">
        <v>21.41</v>
      </c>
      <c r="F6275">
        <v>25.46</v>
      </c>
      <c r="G6275">
        <v>18.89</v>
      </c>
      <c r="H6275">
        <v>7.11</v>
      </c>
      <c r="I6275">
        <v>7.267</v>
      </c>
      <c r="J6275">
        <v>22.19</v>
      </c>
      <c r="K6275">
        <v>26.04</v>
      </c>
      <c r="L6275">
        <v>19.67</v>
      </c>
      <c r="M6275">
        <v>5.4</v>
      </c>
      <c r="N6275">
        <v>20.05</v>
      </c>
      <c r="O6275">
        <v>22.61</v>
      </c>
      <c r="P6275">
        <v>26.43</v>
      </c>
      <c r="Q6275">
        <v>20.36</v>
      </c>
      <c r="R6275">
        <v>5.6</v>
      </c>
    </row>
    <row r="6276">
      <c r="A6276" s="9">
        <v>44807</v>
      </c>
      <c r="B6276" s="2" t="inlineStr">
        <is>
          <t xml:space="preserve">2022-09</t>
        </is>
      </c>
      <c r="C6276" s="2" t="inlineStr">
        <is>
          <t xml:space="preserve">2022/23</t>
        </is>
      </c>
      <c r="D6276">
        <v>14.888</v>
      </c>
      <c r="E6276">
        <v>21.84</v>
      </c>
      <c r="F6276">
        <v>27.12</v>
      </c>
      <c r="G6276">
        <v>18.21</v>
      </c>
      <c r="H6276">
        <v>5.04</v>
      </c>
      <c r="I6276">
        <v>4.001</v>
      </c>
      <c r="J6276">
        <v>22.24</v>
      </c>
      <c r="K6276">
        <v>25.71</v>
      </c>
      <c r="L6276">
        <v>19.82</v>
      </c>
      <c r="M6276">
        <v>3.2</v>
      </c>
      <c r="N6276">
        <v>6.204</v>
      </c>
      <c r="O6276">
        <v>21.97</v>
      </c>
      <c r="P6276">
        <v>24.26</v>
      </c>
      <c r="Q6276">
        <v>20.69</v>
      </c>
      <c r="R6276">
        <v>3.78</v>
      </c>
    </row>
    <row r="6277">
      <c r="A6277" s="9">
        <v>44808</v>
      </c>
      <c r="B6277" s="2" t="inlineStr">
        <is>
          <t xml:space="preserve">2022-09</t>
        </is>
      </c>
      <c r="C6277" s="2" t="inlineStr">
        <is>
          <t xml:space="preserve">2022/23</t>
        </is>
      </c>
      <c r="D6277">
        <v>4.188</v>
      </c>
      <c r="E6277">
        <v>21.6</v>
      </c>
      <c r="F6277">
        <v>25.46</v>
      </c>
      <c r="G6277">
        <v>18.57</v>
      </c>
      <c r="H6277">
        <v>3.78</v>
      </c>
      <c r="I6277">
        <v>0.082</v>
      </c>
      <c r="J6277">
        <v>22.39</v>
      </c>
      <c r="K6277">
        <v>26.62</v>
      </c>
      <c r="L6277">
        <v>18.64</v>
      </c>
      <c r="M6277">
        <v>1.19</v>
      </c>
      <c r="N6277">
        <v>0.919</v>
      </c>
      <c r="O6277">
        <v>22.28</v>
      </c>
      <c r="P6277">
        <v>25.52</v>
      </c>
      <c r="Q6277">
        <v>20.17</v>
      </c>
      <c r="R6277">
        <v>3.92</v>
      </c>
    </row>
    <row r="6278">
      <c r="A6278" s="9">
        <v>44809</v>
      </c>
      <c r="B6278" s="2" t="inlineStr">
        <is>
          <t xml:space="preserve">2022-09</t>
        </is>
      </c>
      <c r="C6278" s="2" t="inlineStr">
        <is>
          <t xml:space="preserve">2022/23</t>
        </is>
      </c>
      <c r="D6278">
        <v>1.498</v>
      </c>
      <c r="E6278">
        <v>21.83</v>
      </c>
      <c r="F6278">
        <v>25.47</v>
      </c>
      <c r="G6278">
        <v>18.99</v>
      </c>
      <c r="H6278">
        <v>3.51</v>
      </c>
      <c r="I6278">
        <v>1.221</v>
      </c>
      <c r="J6278">
        <v>22.42</v>
      </c>
      <c r="K6278">
        <v>26.04</v>
      </c>
      <c r="L6278">
        <v>19.49</v>
      </c>
      <c r="M6278">
        <v>1.83</v>
      </c>
      <c r="N6278">
        <v>0.067</v>
      </c>
      <c r="O6278">
        <v>22.64</v>
      </c>
      <c r="P6278">
        <v>26.04</v>
      </c>
      <c r="Q6278">
        <v>20.25</v>
      </c>
      <c r="R6278">
        <v>1.93</v>
      </c>
    </row>
    <row r="6279">
      <c r="A6279" s="9">
        <v>44810</v>
      </c>
      <c r="B6279" s="2" t="inlineStr">
        <is>
          <t xml:space="preserve">2022-09</t>
        </is>
      </c>
      <c r="C6279" s="2" t="inlineStr">
        <is>
          <t xml:space="preserve">2022/23</t>
        </is>
      </c>
      <c r="D6279">
        <v>6.047</v>
      </c>
      <c r="E6279">
        <v>22.18</v>
      </c>
      <c r="F6279">
        <v>26.36</v>
      </c>
      <c r="G6279">
        <v>18.61</v>
      </c>
      <c r="H6279">
        <v>3.17</v>
      </c>
      <c r="I6279">
        <v>6.782</v>
      </c>
      <c r="J6279">
        <v>23.12</v>
      </c>
      <c r="K6279">
        <v>27.04</v>
      </c>
      <c r="L6279">
        <v>20.39</v>
      </c>
      <c r="M6279">
        <v>5.71</v>
      </c>
      <c r="N6279">
        <v>1.115</v>
      </c>
      <c r="O6279">
        <v>22.87</v>
      </c>
      <c r="P6279">
        <v>26.33</v>
      </c>
      <c r="Q6279">
        <v>20.51</v>
      </c>
      <c r="R6279">
        <v>3.15</v>
      </c>
    </row>
    <row r="6280">
      <c r="A6280" s="9">
        <v>44811</v>
      </c>
      <c r="B6280" s="2" t="inlineStr">
        <is>
          <t xml:space="preserve">2022-09</t>
        </is>
      </c>
      <c r="C6280" s="2" t="inlineStr">
        <is>
          <t xml:space="preserve">2022/23</t>
        </is>
      </c>
      <c r="D6280">
        <v>9.41</v>
      </c>
      <c r="E6280">
        <v>22.85</v>
      </c>
      <c r="F6280">
        <v>27.33</v>
      </c>
      <c r="G6280">
        <v>19.24</v>
      </c>
      <c r="H6280">
        <v>7.11</v>
      </c>
      <c r="I6280">
        <v>6.675</v>
      </c>
      <c r="J6280">
        <v>22.99</v>
      </c>
      <c r="K6280">
        <v>26.61</v>
      </c>
      <c r="L6280">
        <v>19.9</v>
      </c>
      <c r="M6280">
        <v>5.17</v>
      </c>
      <c r="N6280">
        <v>6.427</v>
      </c>
      <c r="O6280">
        <v>23.27</v>
      </c>
      <c r="P6280">
        <v>26.83</v>
      </c>
      <c r="Q6280">
        <v>20.53</v>
      </c>
      <c r="R6280">
        <v>5.06</v>
      </c>
    </row>
    <row r="6281">
      <c r="A6281" s="9">
        <v>44812</v>
      </c>
      <c r="B6281" s="2" t="inlineStr">
        <is>
          <t xml:space="preserve">2022-09</t>
        </is>
      </c>
      <c r="C6281" s="2" t="inlineStr">
        <is>
          <t xml:space="preserve">2022/23</t>
        </is>
      </c>
      <c r="D6281">
        <v>1.098</v>
      </c>
      <c r="E6281">
        <v>22.66</v>
      </c>
      <c r="F6281">
        <v>26.45</v>
      </c>
      <c r="G6281">
        <v>19.52</v>
      </c>
      <c r="H6281">
        <v>2.99</v>
      </c>
      <c r="I6281">
        <v>0.399</v>
      </c>
      <c r="J6281">
        <v>22.63</v>
      </c>
      <c r="K6281">
        <v>26.3</v>
      </c>
      <c r="L6281">
        <v>20.0</v>
      </c>
      <c r="M6281">
        <v>1.45</v>
      </c>
      <c r="N6281">
        <v>1.734</v>
      </c>
      <c r="O6281">
        <v>23.23</v>
      </c>
      <c r="P6281">
        <v>27.04</v>
      </c>
      <c r="Q6281">
        <v>20.44</v>
      </c>
      <c r="R6281">
        <v>3.07</v>
      </c>
    </row>
    <row r="6282">
      <c r="A6282" s="9">
        <v>44813</v>
      </c>
      <c r="B6282" s="2" t="inlineStr">
        <is>
          <t xml:space="preserve">2022-09</t>
        </is>
      </c>
      <c r="C6282" s="2" t="inlineStr">
        <is>
          <t xml:space="preserve">2022/23</t>
        </is>
      </c>
      <c r="D6282">
        <v>4.233</v>
      </c>
      <c r="E6282">
        <v>22.74</v>
      </c>
      <c r="F6282">
        <v>27.86</v>
      </c>
      <c r="G6282">
        <v>18.49</v>
      </c>
      <c r="H6282">
        <v>15.07</v>
      </c>
      <c r="I6282">
        <v>1.336</v>
      </c>
      <c r="J6282">
        <v>22.47</v>
      </c>
      <c r="K6282">
        <v>27.1</v>
      </c>
      <c r="L6282">
        <v>19.29</v>
      </c>
      <c r="M6282">
        <v>3.62</v>
      </c>
      <c r="N6282">
        <v>3.776</v>
      </c>
      <c r="O6282">
        <v>23.26</v>
      </c>
      <c r="P6282">
        <v>28.04</v>
      </c>
      <c r="Q6282">
        <v>19.64</v>
      </c>
      <c r="R6282">
        <v>11.36</v>
      </c>
    </row>
    <row r="6283">
      <c r="A6283" s="9">
        <v>44814</v>
      </c>
      <c r="B6283" s="2" t="inlineStr">
        <is>
          <t xml:space="preserve">2022-09</t>
        </is>
      </c>
      <c r="C6283" s="2" t="inlineStr">
        <is>
          <t xml:space="preserve">2022/23</t>
        </is>
      </c>
      <c r="D6283">
        <v>8.57</v>
      </c>
      <c r="E6283">
        <v>22.23</v>
      </c>
      <c r="F6283">
        <v>26.85</v>
      </c>
      <c r="G6283">
        <v>18.9</v>
      </c>
      <c r="H6283">
        <v>17.18</v>
      </c>
      <c r="I6283">
        <v>2.963</v>
      </c>
      <c r="J6283">
        <v>22.46</v>
      </c>
      <c r="K6283">
        <v>26.29</v>
      </c>
      <c r="L6283">
        <v>19.58</v>
      </c>
      <c r="M6283">
        <v>6.51</v>
      </c>
      <c r="N6283">
        <v>1.746</v>
      </c>
      <c r="O6283">
        <v>23.19</v>
      </c>
      <c r="P6283">
        <v>27.41</v>
      </c>
      <c r="Q6283">
        <v>20.3</v>
      </c>
      <c r="R6283">
        <v>8.22</v>
      </c>
    </row>
    <row r="6284">
      <c r="A6284" s="9">
        <v>44815</v>
      </c>
      <c r="B6284" s="2" t="inlineStr">
        <is>
          <t xml:space="preserve">2022-09</t>
        </is>
      </c>
      <c r="C6284" s="2" t="inlineStr">
        <is>
          <t xml:space="preserve">2022/23</t>
        </is>
      </c>
      <c r="D6284">
        <v>31.147</v>
      </c>
      <c r="E6284">
        <v>21.84</v>
      </c>
      <c r="F6284">
        <v>26.29</v>
      </c>
      <c r="G6284">
        <v>18.06</v>
      </c>
      <c r="H6284">
        <v>24.16</v>
      </c>
      <c r="I6284">
        <v>16.565</v>
      </c>
      <c r="J6284">
        <v>22.8</v>
      </c>
      <c r="K6284">
        <v>27.03</v>
      </c>
      <c r="L6284">
        <v>19.33</v>
      </c>
      <c r="M6284">
        <v>21.56</v>
      </c>
      <c r="N6284">
        <v>33.124</v>
      </c>
      <c r="O6284">
        <v>23.36</v>
      </c>
      <c r="P6284">
        <v>26.9</v>
      </c>
      <c r="Q6284">
        <v>20.62</v>
      </c>
      <c r="R6284">
        <v>21.29</v>
      </c>
    </row>
    <row r="6285">
      <c r="A6285" s="9">
        <v>44816</v>
      </c>
      <c r="B6285" s="2" t="inlineStr">
        <is>
          <t xml:space="preserve">2022-09</t>
        </is>
      </c>
      <c r="C6285" s="2" t="inlineStr">
        <is>
          <t xml:space="preserve">2022/23</t>
        </is>
      </c>
      <c r="D6285">
        <v>13.936</v>
      </c>
      <c r="E6285">
        <v>22.29</v>
      </c>
      <c r="F6285">
        <v>26.82</v>
      </c>
      <c r="G6285">
        <v>18.81</v>
      </c>
      <c r="H6285">
        <v>16.82</v>
      </c>
      <c r="I6285">
        <v>1.421</v>
      </c>
      <c r="J6285">
        <v>22.85</v>
      </c>
      <c r="K6285">
        <v>26.95</v>
      </c>
      <c r="L6285">
        <v>19.27</v>
      </c>
      <c r="M6285">
        <v>4.44</v>
      </c>
      <c r="N6285">
        <v>4.75</v>
      </c>
      <c r="O6285">
        <v>23.09</v>
      </c>
      <c r="P6285">
        <v>26.07</v>
      </c>
      <c r="Q6285">
        <v>20.68</v>
      </c>
      <c r="R6285">
        <v>7.19</v>
      </c>
    </row>
    <row r="6286">
      <c r="A6286" s="9">
        <v>44817</v>
      </c>
      <c r="B6286" s="2" t="inlineStr">
        <is>
          <t xml:space="preserve">2022-09</t>
        </is>
      </c>
      <c r="C6286" s="2" t="inlineStr">
        <is>
          <t xml:space="preserve">2022/23</t>
        </is>
      </c>
      <c r="D6286">
        <v>36.908</v>
      </c>
      <c r="E6286">
        <v>21.11</v>
      </c>
      <c r="F6286">
        <v>25.89</v>
      </c>
      <c r="G6286">
        <v>17.6</v>
      </c>
      <c r="H6286">
        <v>8.3</v>
      </c>
      <c r="I6286">
        <v>9.536</v>
      </c>
      <c r="J6286">
        <v>22.31</v>
      </c>
      <c r="K6286">
        <v>26.21</v>
      </c>
      <c r="L6286">
        <v>19.31</v>
      </c>
      <c r="M6286">
        <v>17.1</v>
      </c>
      <c r="N6286">
        <v>26.965</v>
      </c>
      <c r="O6286">
        <v>22.78</v>
      </c>
      <c r="P6286">
        <v>26.14</v>
      </c>
      <c r="Q6286">
        <v>19.92</v>
      </c>
      <c r="R6286">
        <v>14.25</v>
      </c>
    </row>
    <row r="6287">
      <c r="A6287" s="9">
        <v>44818</v>
      </c>
      <c r="B6287" s="2" t="inlineStr">
        <is>
          <t xml:space="preserve">2022-09</t>
        </is>
      </c>
      <c r="C6287" s="2" t="inlineStr">
        <is>
          <t xml:space="preserve">2022/23</t>
        </is>
      </c>
      <c r="D6287">
        <v>15.52</v>
      </c>
      <c r="E6287">
        <v>21.05</v>
      </c>
      <c r="F6287">
        <v>26.56</v>
      </c>
      <c r="G6287">
        <v>16.8</v>
      </c>
      <c r="H6287">
        <v>16.38</v>
      </c>
      <c r="I6287">
        <v>18.144</v>
      </c>
      <c r="J6287">
        <v>21.62</v>
      </c>
      <c r="K6287">
        <v>24.97</v>
      </c>
      <c r="L6287">
        <v>19.09</v>
      </c>
      <c r="M6287">
        <v>16.88</v>
      </c>
      <c r="N6287">
        <v>15.103</v>
      </c>
      <c r="O6287">
        <v>23.0</v>
      </c>
      <c r="P6287">
        <v>26.45</v>
      </c>
      <c r="Q6287">
        <v>20.92</v>
      </c>
      <c r="R6287">
        <v>12.82</v>
      </c>
    </row>
    <row r="6288">
      <c r="A6288" s="9">
        <v>44819</v>
      </c>
      <c r="B6288" s="2" t="inlineStr">
        <is>
          <t xml:space="preserve">2022-09</t>
        </is>
      </c>
      <c r="C6288" s="2" t="inlineStr">
        <is>
          <t xml:space="preserve">2022/23</t>
        </is>
      </c>
      <c r="D6288">
        <v>9.406</v>
      </c>
      <c r="E6288">
        <v>21.61</v>
      </c>
      <c r="F6288">
        <v>26.5</v>
      </c>
      <c r="G6288">
        <v>18.08</v>
      </c>
      <c r="H6288">
        <v>6.88</v>
      </c>
      <c r="I6288">
        <v>5.305</v>
      </c>
      <c r="J6288">
        <v>21.95</v>
      </c>
      <c r="K6288">
        <v>25.94</v>
      </c>
      <c r="L6288">
        <v>18.69</v>
      </c>
      <c r="M6288">
        <v>5.27</v>
      </c>
      <c r="N6288">
        <v>11.116</v>
      </c>
      <c r="O6288">
        <v>23.03</v>
      </c>
      <c r="P6288">
        <v>27.03</v>
      </c>
      <c r="Q6288">
        <v>19.95</v>
      </c>
      <c r="R6288">
        <v>7.23</v>
      </c>
    </row>
    <row r="6289">
      <c r="A6289" s="9">
        <v>44820</v>
      </c>
      <c r="B6289" s="2" t="inlineStr">
        <is>
          <t xml:space="preserve">2022-09</t>
        </is>
      </c>
      <c r="C6289" s="2" t="inlineStr">
        <is>
          <t xml:space="preserve">2022/23</t>
        </is>
      </c>
      <c r="D6289">
        <v>14.608</v>
      </c>
      <c r="E6289">
        <v>21.65</v>
      </c>
      <c r="F6289">
        <v>26.17</v>
      </c>
      <c r="G6289">
        <v>17.92</v>
      </c>
      <c r="H6289">
        <v>11.77</v>
      </c>
      <c r="I6289">
        <v>5.753</v>
      </c>
      <c r="J6289">
        <v>23.08</v>
      </c>
      <c r="K6289">
        <v>27.47</v>
      </c>
      <c r="L6289">
        <v>19.92</v>
      </c>
      <c r="M6289">
        <v>13.05</v>
      </c>
      <c r="N6289">
        <v>23.291</v>
      </c>
      <c r="O6289">
        <v>23.47</v>
      </c>
      <c r="P6289">
        <v>27.33</v>
      </c>
      <c r="Q6289">
        <v>20.45</v>
      </c>
      <c r="R6289">
        <v>17.21</v>
      </c>
    </row>
    <row r="6290">
      <c r="A6290" s="9">
        <v>44821</v>
      </c>
      <c r="B6290" s="2" t="inlineStr">
        <is>
          <t xml:space="preserve">2022-09</t>
        </is>
      </c>
      <c r="C6290" s="2" t="inlineStr">
        <is>
          <t xml:space="preserve">2022/23</t>
        </is>
      </c>
      <c r="D6290">
        <v>19.906</v>
      </c>
      <c r="E6290">
        <v>21.86</v>
      </c>
      <c r="F6290">
        <v>26.37</v>
      </c>
      <c r="G6290">
        <v>18.35</v>
      </c>
      <c r="H6290">
        <v>8.55</v>
      </c>
      <c r="I6290">
        <v>6.437</v>
      </c>
      <c r="J6290">
        <v>23.07</v>
      </c>
      <c r="K6290">
        <v>27.09</v>
      </c>
      <c r="L6290">
        <v>20.1</v>
      </c>
      <c r="M6290">
        <v>5.84</v>
      </c>
      <c r="N6290">
        <v>15.058</v>
      </c>
      <c r="O6290">
        <v>23.39</v>
      </c>
      <c r="P6290">
        <v>26.95</v>
      </c>
      <c r="Q6290">
        <v>21.02</v>
      </c>
      <c r="R6290">
        <v>9.42</v>
      </c>
    </row>
    <row r="6291">
      <c r="A6291" s="9">
        <v>44822</v>
      </c>
      <c r="B6291" s="2" t="inlineStr">
        <is>
          <t xml:space="preserve">2022-09</t>
        </is>
      </c>
      <c r="C6291" s="2" t="inlineStr">
        <is>
          <t xml:space="preserve">2022/23</t>
        </is>
      </c>
      <c r="D6291">
        <v>0.0</v>
      </c>
      <c r="E6291">
        <v>21.59</v>
      </c>
      <c r="F6291">
        <v>27.05</v>
      </c>
      <c r="G6291">
        <v>16.39</v>
      </c>
      <c r="H6291">
        <v>2.56</v>
      </c>
      <c r="I6291">
        <v>0.0</v>
      </c>
      <c r="J6291">
        <v>23.07</v>
      </c>
      <c r="K6291">
        <v>26.89</v>
      </c>
      <c r="L6291">
        <v>20.52</v>
      </c>
      <c r="M6291">
        <v>3.59</v>
      </c>
      <c r="N6291">
        <v>0.0</v>
      </c>
      <c r="O6291">
        <v>23.19</v>
      </c>
      <c r="P6291">
        <v>27.64</v>
      </c>
      <c r="Q6291">
        <v>20.2</v>
      </c>
      <c r="R6291">
        <v>4.37</v>
      </c>
    </row>
    <row r="6292">
      <c r="A6292" s="9">
        <v>44823</v>
      </c>
      <c r="B6292" s="2" t="inlineStr">
        <is>
          <t xml:space="preserve">2022-09</t>
        </is>
      </c>
      <c r="C6292" s="2" t="inlineStr">
        <is>
          <t xml:space="preserve">2022/23</t>
        </is>
      </c>
      <c r="D6292">
        <v>15.667</v>
      </c>
      <c r="E6292">
        <v>21.83</v>
      </c>
      <c r="F6292">
        <v>27.26</v>
      </c>
      <c r="G6292">
        <v>17.47</v>
      </c>
      <c r="H6292">
        <v>11.28</v>
      </c>
      <c r="I6292">
        <v>4.577</v>
      </c>
      <c r="J6292">
        <v>22.88</v>
      </c>
      <c r="K6292">
        <v>27.3</v>
      </c>
      <c r="L6292">
        <v>20.06</v>
      </c>
      <c r="M6292">
        <v>6.37</v>
      </c>
      <c r="N6292">
        <v>9.481</v>
      </c>
      <c r="O6292">
        <v>23.03</v>
      </c>
      <c r="P6292">
        <v>27.41</v>
      </c>
      <c r="Q6292">
        <v>20.56</v>
      </c>
      <c r="R6292">
        <v>7.82</v>
      </c>
    </row>
    <row r="6293">
      <c r="A6293" s="9">
        <v>44824</v>
      </c>
      <c r="B6293" s="2" t="inlineStr">
        <is>
          <t xml:space="preserve">2022-09</t>
        </is>
      </c>
      <c r="C6293" s="2" t="inlineStr">
        <is>
          <t xml:space="preserve">2022/23</t>
        </is>
      </c>
      <c r="D6293">
        <v>10.488</v>
      </c>
      <c r="E6293">
        <v>21.96</v>
      </c>
      <c r="F6293">
        <v>26.8</v>
      </c>
      <c r="G6293">
        <v>18.12</v>
      </c>
      <c r="H6293">
        <v>14.46</v>
      </c>
      <c r="I6293">
        <v>7.668</v>
      </c>
      <c r="J6293">
        <v>22.41</v>
      </c>
      <c r="K6293">
        <v>26.14</v>
      </c>
      <c r="L6293">
        <v>19.71</v>
      </c>
      <c r="M6293">
        <v>15.17</v>
      </c>
      <c r="N6293">
        <v>17.927</v>
      </c>
      <c r="O6293">
        <v>23.27</v>
      </c>
      <c r="P6293">
        <v>28.04</v>
      </c>
      <c r="Q6293">
        <v>19.77</v>
      </c>
      <c r="R6293">
        <v>20.97</v>
      </c>
    </row>
    <row r="6294">
      <c r="A6294" s="9">
        <v>44825</v>
      </c>
      <c r="B6294" s="2" t="inlineStr">
        <is>
          <t xml:space="preserve">2022-09</t>
        </is>
      </c>
      <c r="C6294" s="2" t="inlineStr">
        <is>
          <t xml:space="preserve">2022/23</t>
        </is>
      </c>
      <c r="D6294">
        <v>23.756</v>
      </c>
      <c r="E6294">
        <v>21.16</v>
      </c>
      <c r="F6294">
        <v>24.31</v>
      </c>
      <c r="G6294">
        <v>19.12</v>
      </c>
      <c r="H6294">
        <v>20.02</v>
      </c>
      <c r="I6294">
        <v>17.31</v>
      </c>
      <c r="J6294">
        <v>21.54</v>
      </c>
      <c r="K6294">
        <v>24.72</v>
      </c>
      <c r="L6294">
        <v>19.48</v>
      </c>
      <c r="M6294">
        <v>44.19</v>
      </c>
      <c r="N6294">
        <v>59.327</v>
      </c>
      <c r="O6294">
        <v>21.69</v>
      </c>
      <c r="P6294">
        <v>24.95</v>
      </c>
      <c r="Q6294">
        <v>19.56</v>
      </c>
      <c r="R6294">
        <v>31.42</v>
      </c>
    </row>
    <row r="6295">
      <c r="A6295" s="9">
        <v>44826</v>
      </c>
      <c r="B6295" s="2" t="inlineStr">
        <is>
          <t xml:space="preserve">2022-09</t>
        </is>
      </c>
      <c r="C6295" s="2" t="inlineStr">
        <is>
          <t xml:space="preserve">2022/23</t>
        </is>
      </c>
      <c r="D6295">
        <v>15.861</v>
      </c>
      <c r="E6295">
        <v>20.77</v>
      </c>
      <c r="F6295">
        <v>23.19</v>
      </c>
      <c r="G6295">
        <v>19.05</v>
      </c>
      <c r="H6295">
        <v>22.2</v>
      </c>
      <c r="I6295">
        <v>39.519</v>
      </c>
      <c r="J6295">
        <v>20.9</v>
      </c>
      <c r="K6295">
        <v>23.22</v>
      </c>
      <c r="L6295">
        <v>19.45</v>
      </c>
      <c r="M6295">
        <v>48.41</v>
      </c>
      <c r="N6295">
        <v>83.935</v>
      </c>
      <c r="O6295">
        <v>21.06</v>
      </c>
      <c r="P6295">
        <v>23.19</v>
      </c>
      <c r="Q6295">
        <v>19.6</v>
      </c>
      <c r="R6295">
        <v>55.01</v>
      </c>
    </row>
    <row r="6296">
      <c r="A6296" s="9">
        <v>44827</v>
      </c>
      <c r="B6296" s="2" t="inlineStr">
        <is>
          <t xml:space="preserve">2022-09</t>
        </is>
      </c>
      <c r="C6296" s="2" t="inlineStr">
        <is>
          <t xml:space="preserve">2022/23</t>
        </is>
      </c>
      <c r="D6296">
        <v>1.857</v>
      </c>
      <c r="E6296">
        <v>22.01</v>
      </c>
      <c r="F6296">
        <v>26.62</v>
      </c>
      <c r="G6296">
        <v>18.78</v>
      </c>
      <c r="H6296">
        <v>4.27</v>
      </c>
      <c r="I6296">
        <v>14.806</v>
      </c>
      <c r="J6296">
        <v>22.11</v>
      </c>
      <c r="K6296">
        <v>26.26</v>
      </c>
      <c r="L6296">
        <v>18.5</v>
      </c>
      <c r="M6296">
        <v>11.69</v>
      </c>
      <c r="N6296">
        <v>59.238</v>
      </c>
      <c r="O6296">
        <v>22.17</v>
      </c>
      <c r="P6296">
        <v>27.5</v>
      </c>
      <c r="Q6296">
        <v>18.79</v>
      </c>
      <c r="R6296">
        <v>9.09</v>
      </c>
    </row>
    <row r="6297">
      <c r="A6297" s="9">
        <v>44828</v>
      </c>
      <c r="B6297" s="2" t="inlineStr">
        <is>
          <t xml:space="preserve">2022-09</t>
        </is>
      </c>
      <c r="C6297" s="2" t="inlineStr">
        <is>
          <t xml:space="preserve">2022/23</t>
        </is>
      </c>
      <c r="D6297">
        <v>18.615</v>
      </c>
      <c r="E6297">
        <v>21.18</v>
      </c>
      <c r="F6297">
        <v>24.25</v>
      </c>
      <c r="G6297">
        <v>19.24</v>
      </c>
      <c r="H6297">
        <v>17.04</v>
      </c>
      <c r="I6297">
        <v>2.989</v>
      </c>
      <c r="J6297">
        <v>21.94</v>
      </c>
      <c r="K6297">
        <v>25.33</v>
      </c>
      <c r="L6297">
        <v>19.63</v>
      </c>
      <c r="M6297">
        <v>15.04</v>
      </c>
      <c r="N6297">
        <v>11.366</v>
      </c>
      <c r="O6297">
        <v>22.0</v>
      </c>
      <c r="P6297">
        <v>24.44</v>
      </c>
      <c r="Q6297">
        <v>20.17</v>
      </c>
      <c r="R6297">
        <v>10.89</v>
      </c>
    </row>
    <row r="6298">
      <c r="A6298" s="9">
        <v>44829</v>
      </c>
      <c r="B6298" s="2" t="inlineStr">
        <is>
          <t xml:space="preserve">2022-09</t>
        </is>
      </c>
      <c r="C6298" s="2" t="inlineStr">
        <is>
          <t xml:space="preserve">2022/23</t>
        </is>
      </c>
      <c r="D6298">
        <v>7.985</v>
      </c>
      <c r="E6298">
        <v>21.59</v>
      </c>
      <c r="F6298">
        <v>26.5</v>
      </c>
      <c r="G6298">
        <v>18.21</v>
      </c>
      <c r="H6298">
        <v>2.3</v>
      </c>
      <c r="I6298">
        <v>14.055</v>
      </c>
      <c r="J6298">
        <v>21.99</v>
      </c>
      <c r="K6298">
        <v>26.36</v>
      </c>
      <c r="L6298">
        <v>19.01</v>
      </c>
      <c r="M6298">
        <v>4.68</v>
      </c>
      <c r="N6298">
        <v>13.81</v>
      </c>
      <c r="O6298">
        <v>22.52</v>
      </c>
      <c r="P6298">
        <v>26.65</v>
      </c>
      <c r="Q6298">
        <v>19.99</v>
      </c>
      <c r="R6298">
        <v>3.87</v>
      </c>
    </row>
    <row r="6299">
      <c r="A6299" s="9">
        <v>44830</v>
      </c>
      <c r="B6299" s="2" t="inlineStr">
        <is>
          <t xml:space="preserve">2022-09</t>
        </is>
      </c>
      <c r="C6299" s="2" t="inlineStr">
        <is>
          <t xml:space="preserve">2022/23</t>
        </is>
      </c>
      <c r="D6299">
        <v>5.833</v>
      </c>
      <c r="E6299">
        <v>21.94</v>
      </c>
      <c r="F6299">
        <v>26.61</v>
      </c>
      <c r="G6299">
        <v>18.22</v>
      </c>
      <c r="H6299">
        <v>5.52</v>
      </c>
      <c r="I6299">
        <v>16.074</v>
      </c>
      <c r="J6299">
        <v>22.34</v>
      </c>
      <c r="K6299">
        <v>27.32</v>
      </c>
      <c r="L6299">
        <v>17.96</v>
      </c>
      <c r="M6299">
        <v>10.43</v>
      </c>
      <c r="N6299">
        <v>3.108</v>
      </c>
      <c r="O6299">
        <v>22.98</v>
      </c>
      <c r="P6299">
        <v>27.73</v>
      </c>
      <c r="Q6299">
        <v>19.3</v>
      </c>
      <c r="R6299">
        <v>4.93</v>
      </c>
    </row>
    <row r="6300">
      <c r="A6300" s="9">
        <v>44831</v>
      </c>
      <c r="B6300" s="2" t="inlineStr">
        <is>
          <t xml:space="preserve">2022-09</t>
        </is>
      </c>
      <c r="C6300" s="2" t="inlineStr">
        <is>
          <t xml:space="preserve">2022/23</t>
        </is>
      </c>
      <c r="D6300">
        <v>27.789</v>
      </c>
      <c r="E6300">
        <v>21.3</v>
      </c>
      <c r="F6300">
        <v>24.81</v>
      </c>
      <c r="G6300">
        <v>18.9</v>
      </c>
      <c r="H6300">
        <v>19.41</v>
      </c>
      <c r="I6300">
        <v>0.573</v>
      </c>
      <c r="J6300">
        <v>22.7</v>
      </c>
      <c r="K6300">
        <v>26.52</v>
      </c>
      <c r="L6300">
        <v>19.81</v>
      </c>
      <c r="M6300">
        <v>3.16</v>
      </c>
      <c r="N6300">
        <v>2.115</v>
      </c>
      <c r="O6300">
        <v>22.77</v>
      </c>
      <c r="P6300">
        <v>26.34</v>
      </c>
      <c r="Q6300">
        <v>19.73</v>
      </c>
      <c r="R6300">
        <v>7.51</v>
      </c>
    </row>
    <row r="6301">
      <c r="A6301" s="9">
        <v>44832</v>
      </c>
      <c r="B6301" s="2" t="inlineStr">
        <is>
          <t xml:space="preserve">2022-09</t>
        </is>
      </c>
      <c r="C6301" s="2" t="inlineStr">
        <is>
          <t xml:space="preserve">2022/23</t>
        </is>
      </c>
      <c r="D6301">
        <v>18.615</v>
      </c>
      <c r="E6301">
        <v>21.56</v>
      </c>
      <c r="F6301">
        <v>25.07</v>
      </c>
      <c r="G6301">
        <v>19.15</v>
      </c>
      <c r="H6301">
        <v>14.34</v>
      </c>
      <c r="I6301">
        <v>0.946</v>
      </c>
      <c r="J6301">
        <v>22.35</v>
      </c>
      <c r="K6301">
        <v>26.15</v>
      </c>
      <c r="L6301">
        <v>19.43</v>
      </c>
      <c r="M6301">
        <v>1.68</v>
      </c>
      <c r="N6301">
        <v>2.085</v>
      </c>
      <c r="O6301">
        <v>22.49</v>
      </c>
      <c r="P6301">
        <v>26.44</v>
      </c>
      <c r="Q6301">
        <v>20.01</v>
      </c>
      <c r="R6301">
        <v>3.76</v>
      </c>
    </row>
    <row r="6302">
      <c r="A6302" s="9">
        <v>44833</v>
      </c>
      <c r="B6302" s="2" t="inlineStr">
        <is>
          <t xml:space="preserve">2022-09</t>
        </is>
      </c>
      <c r="C6302" s="2" t="inlineStr">
        <is>
          <t xml:space="preserve">2022/23</t>
        </is>
      </c>
      <c r="D6302">
        <v>3.737</v>
      </c>
      <c r="E6302">
        <v>20.4</v>
      </c>
      <c r="F6302">
        <v>23.86</v>
      </c>
      <c r="G6302">
        <v>18.42</v>
      </c>
      <c r="H6302">
        <v>2.69</v>
      </c>
      <c r="I6302">
        <v>0.527</v>
      </c>
      <c r="J6302">
        <v>21.24</v>
      </c>
      <c r="K6302">
        <v>24.91</v>
      </c>
      <c r="L6302">
        <v>18.47</v>
      </c>
      <c r="M6302">
        <v>1.2</v>
      </c>
      <c r="N6302">
        <v>2.852</v>
      </c>
      <c r="O6302">
        <v>20.94</v>
      </c>
      <c r="P6302">
        <v>24.15</v>
      </c>
      <c r="Q6302">
        <v>18.98</v>
      </c>
      <c r="R6302">
        <v>3.6</v>
      </c>
    </row>
    <row r="6303">
      <c r="A6303" s="9">
        <v>44834</v>
      </c>
      <c r="B6303" s="2" t="inlineStr">
        <is>
          <t xml:space="preserve">2022-09</t>
        </is>
      </c>
      <c r="C6303" s="2" t="inlineStr">
        <is>
          <t xml:space="preserve">2022/23</t>
        </is>
      </c>
      <c r="D6303">
        <v>0.0</v>
      </c>
      <c r="E6303">
        <v>19.86</v>
      </c>
      <c r="F6303">
        <v>23.99</v>
      </c>
      <c r="G6303">
        <v>16.81</v>
      </c>
      <c r="H6303">
        <v>0.32</v>
      </c>
      <c r="I6303">
        <v>0.08</v>
      </c>
      <c r="J6303">
        <v>19.89</v>
      </c>
      <c r="K6303">
        <v>23.69</v>
      </c>
      <c r="L6303">
        <v>17.09</v>
      </c>
      <c r="M6303">
        <v>0.47</v>
      </c>
      <c r="N6303">
        <v>0.977</v>
      </c>
      <c r="O6303">
        <v>20.4</v>
      </c>
      <c r="P6303">
        <v>23.91</v>
      </c>
      <c r="Q6303">
        <v>17.69</v>
      </c>
      <c r="R6303">
        <v>1.19</v>
      </c>
    </row>
    <row r="6304">
      <c r="A6304" s="9">
        <v>44835</v>
      </c>
      <c r="B6304" s="2" t="inlineStr">
        <is>
          <t xml:space="preserve">2022-10</t>
        </is>
      </c>
      <c r="C6304" s="2" t="inlineStr">
        <is>
          <t xml:space="preserve">2022/23</t>
        </is>
      </c>
      <c r="D6304">
        <v>0.0</v>
      </c>
      <c r="E6304">
        <v>20.6</v>
      </c>
      <c r="F6304">
        <v>25.39</v>
      </c>
      <c r="G6304">
        <v>16.56</v>
      </c>
      <c r="H6304">
        <v>1.15</v>
      </c>
      <c r="I6304">
        <v>0.027</v>
      </c>
      <c r="J6304">
        <v>20.22</v>
      </c>
      <c r="K6304">
        <v>24.03</v>
      </c>
      <c r="L6304">
        <v>17.62</v>
      </c>
      <c r="M6304">
        <v>0.92</v>
      </c>
      <c r="N6304">
        <v>0.0</v>
      </c>
      <c r="O6304">
        <v>20.94</v>
      </c>
      <c r="P6304">
        <v>24.82</v>
      </c>
      <c r="Q6304">
        <v>18.02</v>
      </c>
      <c r="R6304">
        <v>0.24</v>
      </c>
    </row>
    <row r="6305">
      <c r="A6305" s="9">
        <v>44836</v>
      </c>
      <c r="B6305" s="2" t="inlineStr">
        <is>
          <t xml:space="preserve">2022-10</t>
        </is>
      </c>
      <c r="C6305" s="2" t="inlineStr">
        <is>
          <t xml:space="preserve">2022/23</t>
        </is>
      </c>
      <c r="D6305">
        <v>3.956</v>
      </c>
      <c r="E6305">
        <v>20.84</v>
      </c>
      <c r="F6305">
        <v>25.32</v>
      </c>
      <c r="G6305">
        <v>17.85</v>
      </c>
      <c r="H6305">
        <v>5.9</v>
      </c>
      <c r="I6305">
        <v>4.378</v>
      </c>
      <c r="J6305">
        <v>21.37</v>
      </c>
      <c r="K6305">
        <v>25.95</v>
      </c>
      <c r="L6305">
        <v>18.42</v>
      </c>
      <c r="M6305">
        <v>2.03</v>
      </c>
      <c r="N6305">
        <v>0.265</v>
      </c>
      <c r="O6305">
        <v>21.26</v>
      </c>
      <c r="P6305">
        <v>25.73</v>
      </c>
      <c r="Q6305">
        <v>18.42</v>
      </c>
      <c r="R6305">
        <v>0.41</v>
      </c>
    </row>
    <row r="6306">
      <c r="A6306" s="9">
        <v>44837</v>
      </c>
      <c r="B6306" s="2" t="inlineStr">
        <is>
          <t xml:space="preserve">2022-10</t>
        </is>
      </c>
      <c r="C6306" s="2" t="inlineStr">
        <is>
          <t xml:space="preserve">2022/23</t>
        </is>
      </c>
      <c r="D6306">
        <v>0.215</v>
      </c>
      <c r="E6306">
        <v>21.1</v>
      </c>
      <c r="F6306">
        <v>25.66</v>
      </c>
      <c r="G6306">
        <v>17.81</v>
      </c>
      <c r="H6306">
        <v>1.36</v>
      </c>
      <c r="I6306">
        <v>1.826</v>
      </c>
      <c r="J6306">
        <v>21.32</v>
      </c>
      <c r="K6306">
        <v>25.99</v>
      </c>
      <c r="L6306">
        <v>17.92</v>
      </c>
      <c r="M6306">
        <v>1.67</v>
      </c>
      <c r="N6306">
        <v>1.781</v>
      </c>
      <c r="O6306">
        <v>21.6</v>
      </c>
      <c r="P6306">
        <v>26.51</v>
      </c>
      <c r="Q6306">
        <v>18.43</v>
      </c>
      <c r="R6306">
        <v>0.8</v>
      </c>
    </row>
    <row r="6307">
      <c r="A6307" s="9">
        <v>44838</v>
      </c>
      <c r="B6307" s="2" t="inlineStr">
        <is>
          <t xml:space="preserve">2022-10</t>
        </is>
      </c>
      <c r="C6307" s="2" t="inlineStr">
        <is>
          <t xml:space="preserve">2022/23</t>
        </is>
      </c>
      <c r="D6307">
        <v>1.674</v>
      </c>
      <c r="E6307">
        <v>20.8</v>
      </c>
      <c r="F6307">
        <v>25.57</v>
      </c>
      <c r="G6307">
        <v>17.09</v>
      </c>
      <c r="H6307">
        <v>1.19</v>
      </c>
      <c r="I6307">
        <v>0.158</v>
      </c>
      <c r="J6307">
        <v>20.38</v>
      </c>
      <c r="K6307">
        <v>23.5</v>
      </c>
      <c r="L6307">
        <v>18.0</v>
      </c>
      <c r="M6307">
        <v>0.38</v>
      </c>
      <c r="N6307">
        <v>1.67</v>
      </c>
      <c r="O6307">
        <v>21.17</v>
      </c>
      <c r="P6307">
        <v>24.82</v>
      </c>
      <c r="Q6307">
        <v>18.45</v>
      </c>
      <c r="R6307">
        <v>0.33</v>
      </c>
    </row>
    <row r="6308">
      <c r="A6308" s="9">
        <v>44839</v>
      </c>
      <c r="B6308" s="2" t="inlineStr">
        <is>
          <t xml:space="preserve">2022-10</t>
        </is>
      </c>
      <c r="C6308" s="2" t="inlineStr">
        <is>
          <t xml:space="preserve">2022/23</t>
        </is>
      </c>
      <c r="D6308">
        <v>0.111</v>
      </c>
      <c r="E6308">
        <v>20.89</v>
      </c>
      <c r="F6308">
        <v>25.56</v>
      </c>
      <c r="G6308">
        <v>17.25</v>
      </c>
      <c r="H6308">
        <v>0.53</v>
      </c>
      <c r="I6308">
        <v>0.0</v>
      </c>
      <c r="J6308">
        <v>21.02</v>
      </c>
      <c r="K6308">
        <v>25.49</v>
      </c>
      <c r="L6308">
        <v>17.28</v>
      </c>
      <c r="M6308">
        <v>0.02</v>
      </c>
      <c r="N6308">
        <v>0.0</v>
      </c>
      <c r="O6308">
        <v>21.48</v>
      </c>
      <c r="P6308">
        <v>26.1</v>
      </c>
      <c r="Q6308">
        <v>18.27</v>
      </c>
      <c r="R6308">
        <v>0.26</v>
      </c>
    </row>
    <row r="6309">
      <c r="A6309" s="9">
        <v>44840</v>
      </c>
      <c r="B6309" s="2" t="inlineStr">
        <is>
          <t xml:space="preserve">2022-10</t>
        </is>
      </c>
      <c r="C6309" s="2" t="inlineStr">
        <is>
          <t xml:space="preserve">2022/23</t>
        </is>
      </c>
      <c r="D6309">
        <v>0.0</v>
      </c>
      <c r="E6309">
        <v>21.15</v>
      </c>
      <c r="F6309">
        <v>25.49</v>
      </c>
      <c r="G6309">
        <v>18.19</v>
      </c>
      <c r="H6309">
        <v>0.71</v>
      </c>
      <c r="I6309">
        <v>0.0</v>
      </c>
      <c r="J6309">
        <v>21.06</v>
      </c>
      <c r="K6309">
        <v>25.44</v>
      </c>
      <c r="L6309">
        <v>17.38</v>
      </c>
      <c r="M6309">
        <v>0.32</v>
      </c>
      <c r="N6309">
        <v>0.0</v>
      </c>
      <c r="O6309">
        <v>21.41</v>
      </c>
      <c r="P6309">
        <v>25.22</v>
      </c>
      <c r="Q6309">
        <v>18.31</v>
      </c>
      <c r="R6309">
        <v>2.17</v>
      </c>
    </row>
    <row r="6310">
      <c r="A6310" s="9">
        <v>44841</v>
      </c>
      <c r="B6310" s="2" t="inlineStr">
        <is>
          <t xml:space="preserve">2022-10</t>
        </is>
      </c>
      <c r="C6310" s="2" t="inlineStr">
        <is>
          <t xml:space="preserve">2022/23</t>
        </is>
      </c>
      <c r="D6310">
        <v>0.035</v>
      </c>
      <c r="E6310">
        <v>21.23</v>
      </c>
      <c r="F6310">
        <v>25.49</v>
      </c>
      <c r="G6310">
        <v>18.34</v>
      </c>
      <c r="H6310">
        <v>2.22</v>
      </c>
      <c r="I6310">
        <v>0.693</v>
      </c>
      <c r="J6310">
        <v>21.3</v>
      </c>
      <c r="K6310">
        <v>25.58</v>
      </c>
      <c r="L6310">
        <v>18.35</v>
      </c>
      <c r="M6310">
        <v>2.64</v>
      </c>
      <c r="N6310">
        <v>2.834</v>
      </c>
      <c r="O6310">
        <v>21.54</v>
      </c>
      <c r="P6310">
        <v>25.5</v>
      </c>
      <c r="Q6310">
        <v>19.13</v>
      </c>
      <c r="R6310">
        <v>6.36</v>
      </c>
    </row>
    <row r="6311">
      <c r="A6311" s="9">
        <v>44842</v>
      </c>
      <c r="B6311" s="2" t="inlineStr">
        <is>
          <t xml:space="preserve">2022-10</t>
        </is>
      </c>
      <c r="C6311" s="2" t="inlineStr">
        <is>
          <t xml:space="preserve">2022/23</t>
        </is>
      </c>
      <c r="D6311">
        <v>0.283</v>
      </c>
      <c r="E6311">
        <v>21.01</v>
      </c>
      <c r="F6311">
        <v>24.24</v>
      </c>
      <c r="G6311">
        <v>18.56</v>
      </c>
      <c r="H6311">
        <v>9.04</v>
      </c>
      <c r="I6311">
        <v>2.401</v>
      </c>
      <c r="J6311">
        <v>20.74</v>
      </c>
      <c r="K6311">
        <v>23.84</v>
      </c>
      <c r="L6311">
        <v>18.14</v>
      </c>
      <c r="M6311">
        <v>6.9</v>
      </c>
      <c r="N6311">
        <v>10.065</v>
      </c>
      <c r="O6311">
        <v>21.21</v>
      </c>
      <c r="P6311">
        <v>23.86</v>
      </c>
      <c r="Q6311">
        <v>19.07</v>
      </c>
      <c r="R6311">
        <v>19.77</v>
      </c>
    </row>
    <row r="6312">
      <c r="A6312" s="9">
        <v>44843</v>
      </c>
      <c r="B6312" s="2" t="inlineStr">
        <is>
          <t xml:space="preserve">2022-10</t>
        </is>
      </c>
      <c r="C6312" s="2" t="inlineStr">
        <is>
          <t xml:space="preserve">2022/23</t>
        </is>
      </c>
      <c r="D6312">
        <v>2.775</v>
      </c>
      <c r="E6312">
        <v>21.01</v>
      </c>
      <c r="F6312">
        <v>23.14</v>
      </c>
      <c r="G6312">
        <v>19.63</v>
      </c>
      <c r="H6312">
        <v>17.96</v>
      </c>
      <c r="I6312">
        <v>4.871</v>
      </c>
      <c r="J6312">
        <v>20.97</v>
      </c>
      <c r="K6312">
        <v>22.41</v>
      </c>
      <c r="L6312">
        <v>19.29</v>
      </c>
      <c r="M6312">
        <v>18.75</v>
      </c>
      <c r="N6312">
        <v>21.221</v>
      </c>
      <c r="O6312">
        <v>21.59</v>
      </c>
      <c r="P6312">
        <v>23.0</v>
      </c>
      <c r="Q6312">
        <v>20.2</v>
      </c>
      <c r="R6312">
        <v>35.32</v>
      </c>
    </row>
    <row r="6313">
      <c r="A6313" s="9">
        <v>44844</v>
      </c>
      <c r="B6313" s="2" t="inlineStr">
        <is>
          <t xml:space="preserve">2022-10</t>
        </is>
      </c>
      <c r="C6313" s="2" t="inlineStr">
        <is>
          <t xml:space="preserve">2022/23</t>
        </is>
      </c>
      <c r="D6313">
        <v>49.318</v>
      </c>
      <c r="E6313">
        <v>20.96</v>
      </c>
      <c r="F6313">
        <v>23.53</v>
      </c>
      <c r="G6313">
        <v>19.31</v>
      </c>
      <c r="H6313">
        <v>22.54</v>
      </c>
      <c r="I6313">
        <v>62.774</v>
      </c>
      <c r="J6313">
        <v>21.37</v>
      </c>
      <c r="K6313">
        <v>24.0</v>
      </c>
      <c r="L6313">
        <v>18.86</v>
      </c>
      <c r="M6313">
        <v>44.7</v>
      </c>
      <c r="N6313">
        <v>23.949</v>
      </c>
      <c r="O6313">
        <v>22.24</v>
      </c>
      <c r="P6313">
        <v>25.52</v>
      </c>
      <c r="Q6313">
        <v>19.73</v>
      </c>
      <c r="R6313">
        <v>20.61</v>
      </c>
    </row>
    <row r="6314">
      <c r="A6314" s="9">
        <v>44845</v>
      </c>
      <c r="B6314" s="2" t="inlineStr">
        <is>
          <t xml:space="preserve">2022-10</t>
        </is>
      </c>
      <c r="C6314" s="2" t="inlineStr">
        <is>
          <t xml:space="preserve">2022/23</t>
        </is>
      </c>
      <c r="D6314">
        <v>3.692</v>
      </c>
      <c r="E6314">
        <v>22.34</v>
      </c>
      <c r="F6314">
        <v>26.73</v>
      </c>
      <c r="G6314">
        <v>18.43</v>
      </c>
      <c r="H6314">
        <v>3.28</v>
      </c>
      <c r="I6314">
        <v>9.139</v>
      </c>
      <c r="J6314">
        <v>22.04</v>
      </c>
      <c r="K6314">
        <v>26.53</v>
      </c>
      <c r="L6314">
        <v>18.37</v>
      </c>
      <c r="M6314">
        <v>14.43</v>
      </c>
      <c r="N6314">
        <v>32.067</v>
      </c>
      <c r="O6314">
        <v>23.1</v>
      </c>
      <c r="P6314">
        <v>27.7</v>
      </c>
      <c r="Q6314">
        <v>18.71</v>
      </c>
      <c r="R6314">
        <v>11.84</v>
      </c>
    </row>
    <row r="6315">
      <c r="A6315" s="9">
        <v>44846</v>
      </c>
      <c r="B6315" s="2" t="inlineStr">
        <is>
          <t xml:space="preserve">2022-10</t>
        </is>
      </c>
      <c r="C6315" s="2" t="inlineStr">
        <is>
          <t xml:space="preserve">2022/23</t>
        </is>
      </c>
      <c r="D6315">
        <v>3.456</v>
      </c>
      <c r="E6315">
        <v>22.11</v>
      </c>
      <c r="F6315">
        <v>26.28</v>
      </c>
      <c r="G6315">
        <v>18.55</v>
      </c>
      <c r="H6315">
        <v>2.65</v>
      </c>
      <c r="I6315">
        <v>1.702</v>
      </c>
      <c r="J6315">
        <v>22.93</v>
      </c>
      <c r="K6315">
        <v>27.15</v>
      </c>
      <c r="L6315">
        <v>19.86</v>
      </c>
      <c r="M6315">
        <v>1.72</v>
      </c>
      <c r="N6315">
        <v>6.798</v>
      </c>
      <c r="O6315">
        <v>23.7</v>
      </c>
      <c r="P6315">
        <v>26.92</v>
      </c>
      <c r="Q6315">
        <v>21.85</v>
      </c>
      <c r="R6315">
        <v>2.77</v>
      </c>
    </row>
    <row r="6316">
      <c r="A6316" s="9">
        <v>44847</v>
      </c>
      <c r="B6316" s="2" t="inlineStr">
        <is>
          <t xml:space="preserve">2022-10</t>
        </is>
      </c>
      <c r="C6316" s="2" t="inlineStr">
        <is>
          <t xml:space="preserve">2022/23</t>
        </is>
      </c>
      <c r="D6316">
        <v>0.353</v>
      </c>
      <c r="E6316">
        <v>22.18</v>
      </c>
      <c r="F6316">
        <v>26.58</v>
      </c>
      <c r="G6316">
        <v>19.22</v>
      </c>
      <c r="H6316">
        <v>3.07</v>
      </c>
      <c r="I6316">
        <v>0.051</v>
      </c>
      <c r="J6316">
        <v>22.29</v>
      </c>
      <c r="K6316">
        <v>25.78</v>
      </c>
      <c r="L6316">
        <v>20.11</v>
      </c>
      <c r="M6316">
        <v>1.17</v>
      </c>
      <c r="N6316">
        <v>0.204</v>
      </c>
      <c r="O6316">
        <v>23.99</v>
      </c>
      <c r="P6316">
        <v>27.63</v>
      </c>
      <c r="Q6316">
        <v>21.61</v>
      </c>
      <c r="R6316">
        <v>2.96</v>
      </c>
    </row>
    <row r="6317">
      <c r="A6317" s="9">
        <v>44848</v>
      </c>
      <c r="B6317" s="2" t="inlineStr">
        <is>
          <t xml:space="preserve">2022-10</t>
        </is>
      </c>
      <c r="C6317" s="2" t="inlineStr">
        <is>
          <t xml:space="preserve">2022/23</t>
        </is>
      </c>
      <c r="D6317">
        <v>13.766</v>
      </c>
      <c r="E6317">
        <v>22.06</v>
      </c>
      <c r="F6317">
        <v>26.37</v>
      </c>
      <c r="G6317">
        <v>19.09</v>
      </c>
      <c r="H6317">
        <v>7.95</v>
      </c>
      <c r="I6317">
        <v>0.544</v>
      </c>
      <c r="J6317">
        <v>22.21</v>
      </c>
      <c r="K6317">
        <v>25.78</v>
      </c>
      <c r="L6317">
        <v>19.77</v>
      </c>
      <c r="M6317">
        <v>9.34</v>
      </c>
      <c r="N6317">
        <v>2.754</v>
      </c>
      <c r="O6317">
        <v>22.88</v>
      </c>
      <c r="P6317">
        <v>26.11</v>
      </c>
      <c r="Q6317">
        <v>21.25</v>
      </c>
      <c r="R6317">
        <v>9.58</v>
      </c>
    </row>
    <row r="6318">
      <c r="A6318" s="9">
        <v>44849</v>
      </c>
      <c r="B6318" s="2" t="inlineStr">
        <is>
          <t xml:space="preserve">2022-10</t>
        </is>
      </c>
      <c r="C6318" s="2" t="inlineStr">
        <is>
          <t xml:space="preserve">2022/23</t>
        </is>
      </c>
      <c r="D6318">
        <v>3.35</v>
      </c>
      <c r="E6318">
        <v>21.94</v>
      </c>
      <c r="F6318">
        <v>27.09</v>
      </c>
      <c r="G6318">
        <v>17.42</v>
      </c>
      <c r="H6318">
        <v>4.04</v>
      </c>
      <c r="I6318">
        <v>7.362</v>
      </c>
      <c r="J6318">
        <v>23.29</v>
      </c>
      <c r="K6318">
        <v>27.65</v>
      </c>
      <c r="L6318">
        <v>20.54</v>
      </c>
      <c r="M6318">
        <v>10.08</v>
      </c>
      <c r="N6318">
        <v>28.97</v>
      </c>
      <c r="O6318">
        <v>23.38</v>
      </c>
      <c r="P6318">
        <v>27.27</v>
      </c>
      <c r="Q6318">
        <v>21.16</v>
      </c>
      <c r="R6318">
        <v>9.27</v>
      </c>
    </row>
    <row r="6319">
      <c r="A6319" s="9">
        <v>44850</v>
      </c>
      <c r="B6319" s="2" t="inlineStr">
        <is>
          <t xml:space="preserve">2022-10</t>
        </is>
      </c>
      <c r="C6319" s="2" t="inlineStr">
        <is>
          <t xml:space="preserve">2022/23</t>
        </is>
      </c>
      <c r="D6319">
        <v>5.835</v>
      </c>
      <c r="E6319">
        <v>21.86</v>
      </c>
      <c r="F6319">
        <v>26.06</v>
      </c>
      <c r="G6319">
        <v>18.31</v>
      </c>
      <c r="H6319">
        <v>10.09</v>
      </c>
      <c r="I6319">
        <v>15.168</v>
      </c>
      <c r="J6319">
        <v>22.66</v>
      </c>
      <c r="K6319">
        <v>26.69</v>
      </c>
      <c r="L6319">
        <v>19.88</v>
      </c>
      <c r="M6319">
        <v>29.76</v>
      </c>
      <c r="N6319">
        <v>36.567</v>
      </c>
      <c r="O6319">
        <v>22.96</v>
      </c>
      <c r="P6319">
        <v>26.33</v>
      </c>
      <c r="Q6319">
        <v>21.11</v>
      </c>
      <c r="R6319">
        <v>22.33</v>
      </c>
    </row>
    <row r="6320">
      <c r="A6320" s="9">
        <v>44851</v>
      </c>
      <c r="B6320" s="2" t="inlineStr">
        <is>
          <t xml:space="preserve">2022-10</t>
        </is>
      </c>
      <c r="C6320" s="2" t="inlineStr">
        <is>
          <t xml:space="preserve">2022/23</t>
        </is>
      </c>
      <c r="D6320">
        <v>14.394</v>
      </c>
      <c r="E6320">
        <v>22.32</v>
      </c>
      <c r="F6320">
        <v>27.46</v>
      </c>
      <c r="G6320">
        <v>18.63</v>
      </c>
      <c r="H6320">
        <v>5.49</v>
      </c>
      <c r="I6320">
        <v>16.323</v>
      </c>
      <c r="J6320">
        <v>22.51</v>
      </c>
      <c r="K6320">
        <v>25.55</v>
      </c>
      <c r="L6320">
        <v>20.15</v>
      </c>
      <c r="M6320">
        <v>11.13</v>
      </c>
      <c r="N6320">
        <v>42.564</v>
      </c>
      <c r="O6320">
        <v>23.51</v>
      </c>
      <c r="P6320">
        <v>27.54</v>
      </c>
      <c r="Q6320">
        <v>20.98</v>
      </c>
      <c r="R6320">
        <v>10.36</v>
      </c>
    </row>
    <row r="6321">
      <c r="A6321" s="9">
        <v>44852</v>
      </c>
      <c r="B6321" s="2" t="inlineStr">
        <is>
          <t xml:space="preserve">2022-10</t>
        </is>
      </c>
      <c r="C6321" s="2" t="inlineStr">
        <is>
          <t xml:space="preserve">2022/23</t>
        </is>
      </c>
      <c r="D6321">
        <v>3.328</v>
      </c>
      <c r="E6321">
        <v>22.8</v>
      </c>
      <c r="F6321">
        <v>27.63</v>
      </c>
      <c r="G6321">
        <v>18.95</v>
      </c>
      <c r="H6321">
        <v>3.88</v>
      </c>
      <c r="I6321">
        <v>2.765</v>
      </c>
      <c r="J6321">
        <v>22.67</v>
      </c>
      <c r="K6321">
        <v>27.29</v>
      </c>
      <c r="L6321">
        <v>18.41</v>
      </c>
      <c r="M6321">
        <v>9.28</v>
      </c>
      <c r="N6321">
        <v>10.017</v>
      </c>
      <c r="O6321">
        <v>23.75</v>
      </c>
      <c r="P6321">
        <v>28.43</v>
      </c>
      <c r="Q6321">
        <v>19.69</v>
      </c>
      <c r="R6321">
        <v>10.96</v>
      </c>
    </row>
    <row r="6322">
      <c r="A6322" s="9">
        <v>44853</v>
      </c>
      <c r="B6322" s="2" t="inlineStr">
        <is>
          <t xml:space="preserve">2022-10</t>
        </is>
      </c>
      <c r="C6322" s="2" t="inlineStr">
        <is>
          <t xml:space="preserve">2022/23</t>
        </is>
      </c>
      <c r="D6322">
        <v>6.466</v>
      </c>
      <c r="E6322">
        <v>21.82</v>
      </c>
      <c r="F6322">
        <v>25.42</v>
      </c>
      <c r="G6322">
        <v>19.68</v>
      </c>
      <c r="H6322">
        <v>6.28</v>
      </c>
      <c r="I6322">
        <v>10.358</v>
      </c>
      <c r="J6322">
        <v>21.87</v>
      </c>
      <c r="K6322">
        <v>25.42</v>
      </c>
      <c r="L6322">
        <v>19.07</v>
      </c>
      <c r="M6322">
        <v>14.58</v>
      </c>
      <c r="N6322">
        <v>41.908</v>
      </c>
      <c r="O6322">
        <v>21.94</v>
      </c>
      <c r="P6322">
        <v>24.99</v>
      </c>
      <c r="Q6322">
        <v>19.61</v>
      </c>
      <c r="R6322">
        <v>16.9</v>
      </c>
    </row>
    <row r="6323">
      <c r="A6323" s="9">
        <v>44854</v>
      </c>
      <c r="B6323" s="2" t="inlineStr">
        <is>
          <t xml:space="preserve">2022-10</t>
        </is>
      </c>
      <c r="C6323" s="2" t="inlineStr">
        <is>
          <t xml:space="preserve">2022/23</t>
        </is>
      </c>
      <c r="D6323">
        <v>0.386</v>
      </c>
      <c r="E6323">
        <v>21.32</v>
      </c>
      <c r="F6323">
        <v>25.3</v>
      </c>
      <c r="G6323">
        <v>18.41</v>
      </c>
      <c r="H6323">
        <v>3.76</v>
      </c>
      <c r="I6323">
        <v>2.909</v>
      </c>
      <c r="J6323">
        <v>21.41</v>
      </c>
      <c r="K6323">
        <v>25.64</v>
      </c>
      <c r="L6323">
        <v>18.49</v>
      </c>
      <c r="M6323">
        <v>4.18</v>
      </c>
      <c r="N6323">
        <v>0.334</v>
      </c>
      <c r="O6323">
        <v>21.55</v>
      </c>
      <c r="P6323">
        <v>25.54</v>
      </c>
      <c r="Q6323">
        <v>18.96</v>
      </c>
      <c r="R6323">
        <v>8.44</v>
      </c>
    </row>
    <row r="6324">
      <c r="A6324" s="9">
        <v>44855</v>
      </c>
      <c r="B6324" s="2" t="inlineStr">
        <is>
          <t xml:space="preserve">2022-10</t>
        </is>
      </c>
      <c r="C6324" s="2" t="inlineStr">
        <is>
          <t xml:space="preserve">2022/23</t>
        </is>
      </c>
      <c r="D6324">
        <v>1.409</v>
      </c>
      <c r="E6324">
        <v>21.01</v>
      </c>
      <c r="F6324">
        <v>25.09</v>
      </c>
      <c r="G6324">
        <v>18.1</v>
      </c>
      <c r="H6324">
        <v>13.72</v>
      </c>
      <c r="I6324">
        <v>7.307</v>
      </c>
      <c r="J6324">
        <v>21.56</v>
      </c>
      <c r="K6324">
        <v>25.12</v>
      </c>
      <c r="L6324">
        <v>19.1</v>
      </c>
      <c r="M6324">
        <v>8.65</v>
      </c>
      <c r="N6324">
        <v>5.92</v>
      </c>
      <c r="O6324">
        <v>21.52</v>
      </c>
      <c r="P6324">
        <v>25.25</v>
      </c>
      <c r="Q6324">
        <v>19.08</v>
      </c>
      <c r="R6324">
        <v>33.36</v>
      </c>
    </row>
    <row r="6325">
      <c r="A6325" s="9">
        <v>44856</v>
      </c>
      <c r="B6325" s="2" t="inlineStr">
        <is>
          <t xml:space="preserve">2022-10</t>
        </is>
      </c>
      <c r="C6325" s="2" t="inlineStr">
        <is>
          <t xml:space="preserve">2022/23</t>
        </is>
      </c>
      <c r="D6325">
        <v>1.024</v>
      </c>
      <c r="E6325">
        <v>20.74</v>
      </c>
      <c r="F6325">
        <v>25.33</v>
      </c>
      <c r="G6325">
        <v>17.86</v>
      </c>
      <c r="H6325">
        <v>4.2</v>
      </c>
      <c r="I6325">
        <v>1.201</v>
      </c>
      <c r="J6325">
        <v>20.86</v>
      </c>
      <c r="K6325">
        <v>25.28</v>
      </c>
      <c r="L6325">
        <v>17.97</v>
      </c>
      <c r="M6325">
        <v>1.96</v>
      </c>
      <c r="N6325">
        <v>4.546</v>
      </c>
      <c r="O6325">
        <v>20.79</v>
      </c>
      <c r="P6325">
        <v>24.75</v>
      </c>
      <c r="Q6325">
        <v>18.55</v>
      </c>
      <c r="R6325">
        <v>6.41</v>
      </c>
    </row>
    <row r="6326">
      <c r="A6326" s="9">
        <v>44857</v>
      </c>
      <c r="B6326" s="2" t="inlineStr">
        <is>
          <t xml:space="preserve">2022-10</t>
        </is>
      </c>
      <c r="C6326" s="2" t="inlineStr">
        <is>
          <t xml:space="preserve">2022/23</t>
        </is>
      </c>
      <c r="D6326">
        <v>0.0</v>
      </c>
      <c r="E6326">
        <v>21.21</v>
      </c>
      <c r="F6326">
        <v>26.3</v>
      </c>
      <c r="G6326">
        <v>17.26</v>
      </c>
      <c r="H6326">
        <v>1.11</v>
      </c>
      <c r="I6326">
        <v>1.162</v>
      </c>
      <c r="J6326">
        <v>21.2</v>
      </c>
      <c r="K6326">
        <v>26.48</v>
      </c>
      <c r="L6326">
        <v>16.97</v>
      </c>
      <c r="M6326">
        <v>1.04</v>
      </c>
      <c r="N6326">
        <v>1.744</v>
      </c>
      <c r="O6326">
        <v>21.14</v>
      </c>
      <c r="P6326">
        <v>25.92</v>
      </c>
      <c r="Q6326">
        <v>17.65</v>
      </c>
      <c r="R6326">
        <v>2.96</v>
      </c>
    </row>
    <row r="6327">
      <c r="A6327" s="9">
        <v>44858</v>
      </c>
      <c r="B6327" s="2" t="inlineStr">
        <is>
          <t xml:space="preserve">2022-10</t>
        </is>
      </c>
      <c r="C6327" s="2" t="inlineStr">
        <is>
          <t xml:space="preserve">2022/23</t>
        </is>
      </c>
      <c r="D6327">
        <v>0.024</v>
      </c>
      <c r="E6327">
        <v>22.03</v>
      </c>
      <c r="F6327">
        <v>26.84</v>
      </c>
      <c r="G6327">
        <v>18.18</v>
      </c>
      <c r="H6327">
        <v>0.46</v>
      </c>
      <c r="I6327">
        <v>0.0</v>
      </c>
      <c r="J6327">
        <v>22.86</v>
      </c>
      <c r="K6327">
        <v>27.75</v>
      </c>
      <c r="L6327">
        <v>18.89</v>
      </c>
      <c r="M6327">
        <v>0.55</v>
      </c>
      <c r="N6327">
        <v>0.0</v>
      </c>
      <c r="O6327">
        <v>23.16</v>
      </c>
      <c r="P6327">
        <v>28.09</v>
      </c>
      <c r="Q6327">
        <v>19.44</v>
      </c>
      <c r="R6327">
        <v>0.59</v>
      </c>
    </row>
    <row r="6328">
      <c r="A6328" s="9">
        <v>44859</v>
      </c>
      <c r="B6328" s="2" t="inlineStr">
        <is>
          <t xml:space="preserve">2022-10</t>
        </is>
      </c>
      <c r="C6328" s="2" t="inlineStr">
        <is>
          <t xml:space="preserve">2022/23</t>
        </is>
      </c>
      <c r="D6328">
        <v>0.805</v>
      </c>
      <c r="E6328">
        <v>22.53</v>
      </c>
      <c r="F6328">
        <v>27.52</v>
      </c>
      <c r="G6328">
        <v>17.98</v>
      </c>
      <c r="H6328">
        <v>0.31</v>
      </c>
      <c r="I6328">
        <v>0.687</v>
      </c>
      <c r="J6328">
        <v>23.18</v>
      </c>
      <c r="K6328">
        <v>27.77</v>
      </c>
      <c r="L6328">
        <v>20.0</v>
      </c>
      <c r="M6328">
        <v>0.72</v>
      </c>
      <c r="N6328">
        <v>2.626</v>
      </c>
      <c r="O6328">
        <v>24.34</v>
      </c>
      <c r="P6328">
        <v>28.74</v>
      </c>
      <c r="Q6328">
        <v>21.09</v>
      </c>
      <c r="R6328">
        <v>0.67</v>
      </c>
    </row>
    <row r="6329">
      <c r="A6329" s="9">
        <v>44860</v>
      </c>
      <c r="B6329" s="2" t="inlineStr">
        <is>
          <t xml:space="preserve">2022-10</t>
        </is>
      </c>
      <c r="C6329" s="2" t="inlineStr">
        <is>
          <t xml:space="preserve">2022/23</t>
        </is>
      </c>
      <c r="D6329">
        <v>0.0</v>
      </c>
      <c r="E6329">
        <v>21.77</v>
      </c>
      <c r="F6329">
        <v>26.19</v>
      </c>
      <c r="G6329">
        <v>18.64</v>
      </c>
      <c r="H6329">
        <v>0.52</v>
      </c>
      <c r="I6329">
        <v>0.0</v>
      </c>
      <c r="J6329">
        <v>22.48</v>
      </c>
      <c r="K6329">
        <v>26.53</v>
      </c>
      <c r="L6329">
        <v>19.48</v>
      </c>
      <c r="M6329">
        <v>0.02</v>
      </c>
      <c r="N6329">
        <v>0.0</v>
      </c>
      <c r="O6329">
        <v>23.16</v>
      </c>
      <c r="P6329">
        <v>26.91</v>
      </c>
      <c r="Q6329">
        <v>20.33</v>
      </c>
      <c r="R6329">
        <v>0.01</v>
      </c>
    </row>
    <row r="6330">
      <c r="A6330" s="9">
        <v>44861</v>
      </c>
      <c r="B6330" s="2" t="inlineStr">
        <is>
          <t xml:space="preserve">2022-10</t>
        </is>
      </c>
      <c r="C6330" s="2" t="inlineStr">
        <is>
          <t xml:space="preserve">2022/23</t>
        </is>
      </c>
      <c r="D6330">
        <v>0.578</v>
      </c>
      <c r="E6330">
        <v>20.29</v>
      </c>
      <c r="F6330">
        <v>25.21</v>
      </c>
      <c r="G6330">
        <v>17.0</v>
      </c>
      <c r="H6330">
        <v>0.32</v>
      </c>
      <c r="I6330">
        <v>0.0</v>
      </c>
      <c r="J6330">
        <v>21.13</v>
      </c>
      <c r="K6330">
        <v>26.08</v>
      </c>
      <c r="L6330">
        <v>17.48</v>
      </c>
      <c r="M6330">
        <v>0.0</v>
      </c>
      <c r="N6330">
        <v>0.0</v>
      </c>
      <c r="O6330">
        <v>21.63</v>
      </c>
      <c r="P6330">
        <v>25.84</v>
      </c>
      <c r="Q6330">
        <v>18.78</v>
      </c>
      <c r="R6330">
        <v>0.0</v>
      </c>
    </row>
    <row r="6331">
      <c r="A6331" s="9">
        <v>44862</v>
      </c>
      <c r="B6331" s="2" t="inlineStr">
        <is>
          <t xml:space="preserve">2022-10</t>
        </is>
      </c>
      <c r="C6331" s="2" t="inlineStr">
        <is>
          <t xml:space="preserve">2022/23</t>
        </is>
      </c>
      <c r="D6331">
        <v>0.0</v>
      </c>
      <c r="E6331">
        <v>19.96</v>
      </c>
      <c r="F6331">
        <v>25.4</v>
      </c>
      <c r="G6331">
        <v>15.36</v>
      </c>
      <c r="H6331">
        <v>0.1</v>
      </c>
      <c r="I6331">
        <v>0.0</v>
      </c>
      <c r="J6331">
        <v>20.12</v>
      </c>
      <c r="K6331">
        <v>25.7</v>
      </c>
      <c r="L6331">
        <v>15.81</v>
      </c>
      <c r="M6331">
        <v>0.0</v>
      </c>
      <c r="N6331">
        <v>0.0</v>
      </c>
      <c r="O6331">
        <v>20.68</v>
      </c>
      <c r="P6331">
        <v>25.42</v>
      </c>
      <c r="Q6331">
        <v>17.1</v>
      </c>
      <c r="R6331">
        <v>0.0</v>
      </c>
    </row>
    <row r="6332">
      <c r="A6332" s="9">
        <v>44863</v>
      </c>
      <c r="B6332" s="2" t="inlineStr">
        <is>
          <t xml:space="preserve">2022-10</t>
        </is>
      </c>
      <c r="C6332" s="2" t="inlineStr">
        <is>
          <t xml:space="preserve">2022/23</t>
        </is>
      </c>
      <c r="D6332">
        <v>0.375</v>
      </c>
      <c r="E6332">
        <v>20.63</v>
      </c>
      <c r="F6332">
        <v>25.67</v>
      </c>
      <c r="G6332">
        <v>17.36</v>
      </c>
      <c r="H6332">
        <v>0.95</v>
      </c>
      <c r="I6332">
        <v>0.0</v>
      </c>
      <c r="J6332">
        <v>20.93</v>
      </c>
      <c r="K6332">
        <v>26.4</v>
      </c>
      <c r="L6332">
        <v>16.41</v>
      </c>
      <c r="M6332">
        <v>0.01</v>
      </c>
      <c r="N6332">
        <v>0.0</v>
      </c>
      <c r="O6332">
        <v>21.39</v>
      </c>
      <c r="P6332">
        <v>26.33</v>
      </c>
      <c r="Q6332">
        <v>17.94</v>
      </c>
      <c r="R6332">
        <v>0.19</v>
      </c>
    </row>
    <row r="6333">
      <c r="A6333" s="9">
        <v>44864</v>
      </c>
      <c r="B6333" s="2" t="inlineStr">
        <is>
          <t xml:space="preserve">2022-10</t>
        </is>
      </c>
      <c r="C6333" s="2" t="inlineStr">
        <is>
          <t xml:space="preserve">2022/23</t>
        </is>
      </c>
      <c r="D6333">
        <v>0.53</v>
      </c>
      <c r="E6333">
        <v>20.61</v>
      </c>
      <c r="F6333">
        <v>25.37</v>
      </c>
      <c r="G6333">
        <v>17.47</v>
      </c>
      <c r="H6333">
        <v>0.98</v>
      </c>
      <c r="I6333">
        <v>0.0</v>
      </c>
      <c r="J6333">
        <v>20.41</v>
      </c>
      <c r="K6333">
        <v>24.64</v>
      </c>
      <c r="L6333">
        <v>17.37</v>
      </c>
      <c r="M6333">
        <v>0.11</v>
      </c>
      <c r="N6333">
        <v>0.064</v>
      </c>
      <c r="O6333">
        <v>21.13</v>
      </c>
      <c r="P6333">
        <v>24.78</v>
      </c>
      <c r="Q6333">
        <v>18.79</v>
      </c>
      <c r="R6333">
        <v>0.75</v>
      </c>
    </row>
    <row r="6334">
      <c r="A6334" s="9">
        <v>44865</v>
      </c>
      <c r="B6334" s="2" t="inlineStr">
        <is>
          <t xml:space="preserve">2022-10</t>
        </is>
      </c>
      <c r="C6334" s="2" t="inlineStr">
        <is>
          <t xml:space="preserve">2022/23</t>
        </is>
      </c>
      <c r="D6334">
        <v>0.063</v>
      </c>
      <c r="E6334">
        <v>19.71</v>
      </c>
      <c r="F6334">
        <v>24.63</v>
      </c>
      <c r="G6334">
        <v>16.42</v>
      </c>
      <c r="H6334">
        <v>0.05</v>
      </c>
      <c r="I6334">
        <v>0.0</v>
      </c>
      <c r="J6334">
        <v>20.14</v>
      </c>
      <c r="K6334">
        <v>25.06</v>
      </c>
      <c r="L6334">
        <v>16.68</v>
      </c>
      <c r="M6334">
        <v>0.01</v>
      </c>
      <c r="N6334">
        <v>0.0</v>
      </c>
      <c r="O6334">
        <v>20.65</v>
      </c>
      <c r="P6334">
        <v>24.9</v>
      </c>
      <c r="Q6334">
        <v>17.9</v>
      </c>
      <c r="R6334">
        <v>0.0</v>
      </c>
    </row>
    <row r="6335">
      <c r="A6335" s="9">
        <v>44866</v>
      </c>
      <c r="B6335" s="2" t="inlineStr">
        <is>
          <t xml:space="preserve">2022-11</t>
        </is>
      </c>
      <c r="C6335" s="2" t="inlineStr">
        <is>
          <t xml:space="preserve">2022/23</t>
        </is>
      </c>
      <c r="D6335">
        <v>0.0</v>
      </c>
      <c r="E6335">
        <v>20.06</v>
      </c>
      <c r="F6335">
        <v>25.07</v>
      </c>
      <c r="G6335">
        <v>16.86</v>
      </c>
      <c r="H6335">
        <v>0.23</v>
      </c>
      <c r="I6335">
        <v>0.0</v>
      </c>
      <c r="J6335">
        <v>19.63</v>
      </c>
      <c r="K6335">
        <v>25.36</v>
      </c>
      <c r="L6335">
        <v>15.76</v>
      </c>
      <c r="M6335">
        <v>0.09</v>
      </c>
      <c r="N6335">
        <v>0.0</v>
      </c>
      <c r="O6335">
        <v>20.28</v>
      </c>
      <c r="P6335">
        <v>24.95</v>
      </c>
      <c r="Q6335">
        <v>17.29</v>
      </c>
      <c r="R6335">
        <v>0.3</v>
      </c>
    </row>
    <row r="6336">
      <c r="A6336" s="9">
        <v>44867</v>
      </c>
      <c r="B6336" s="2" t="inlineStr">
        <is>
          <t xml:space="preserve">2022-11</t>
        </is>
      </c>
      <c r="C6336" s="2" t="inlineStr">
        <is>
          <t xml:space="preserve">2022/23</t>
        </is>
      </c>
      <c r="D6336">
        <v>4.711</v>
      </c>
      <c r="E6336">
        <v>21.1</v>
      </c>
      <c r="F6336">
        <v>26.08</v>
      </c>
      <c r="G6336">
        <v>16.6</v>
      </c>
      <c r="H6336">
        <v>11.5</v>
      </c>
      <c r="I6336">
        <v>0.531</v>
      </c>
      <c r="J6336">
        <v>20.87</v>
      </c>
      <c r="K6336">
        <v>26.2</v>
      </c>
      <c r="L6336">
        <v>16.33</v>
      </c>
      <c r="M6336">
        <v>2.1</v>
      </c>
      <c r="N6336">
        <v>1.684</v>
      </c>
      <c r="O6336">
        <v>20.98</v>
      </c>
      <c r="P6336">
        <v>25.7</v>
      </c>
      <c r="Q6336">
        <v>17.33</v>
      </c>
      <c r="R6336">
        <v>7.27</v>
      </c>
    </row>
    <row r="6337">
      <c r="A6337" s="9">
        <v>44868</v>
      </c>
      <c r="B6337" s="2" t="inlineStr">
        <is>
          <t xml:space="preserve">2022-11</t>
        </is>
      </c>
      <c r="C6337" s="2" t="inlineStr">
        <is>
          <t xml:space="preserve">2022/23</t>
        </is>
      </c>
      <c r="D6337">
        <v>5.184</v>
      </c>
      <c r="E6337">
        <v>21.61</v>
      </c>
      <c r="F6337">
        <v>26.16</v>
      </c>
      <c r="G6337">
        <v>18.48</v>
      </c>
      <c r="H6337">
        <v>6.06</v>
      </c>
      <c r="I6337">
        <v>0.182</v>
      </c>
      <c r="J6337">
        <v>22.25</v>
      </c>
      <c r="K6337">
        <v>26.18</v>
      </c>
      <c r="L6337">
        <v>18.81</v>
      </c>
      <c r="M6337">
        <v>1.54</v>
      </c>
      <c r="N6337">
        <v>0.361</v>
      </c>
      <c r="O6337">
        <v>22.83</v>
      </c>
      <c r="P6337">
        <v>27.41</v>
      </c>
      <c r="Q6337">
        <v>19.37</v>
      </c>
      <c r="R6337">
        <v>2.09</v>
      </c>
    </row>
    <row r="6338">
      <c r="A6338" s="9">
        <v>44869</v>
      </c>
      <c r="B6338" s="2" t="inlineStr">
        <is>
          <t xml:space="preserve">2022-11</t>
        </is>
      </c>
      <c r="C6338" s="2" t="inlineStr">
        <is>
          <t xml:space="preserve">2022/23</t>
        </is>
      </c>
      <c r="D6338">
        <v>10.565</v>
      </c>
      <c r="E6338">
        <v>21.56</v>
      </c>
      <c r="F6338">
        <v>26.05</v>
      </c>
      <c r="G6338">
        <v>18.02</v>
      </c>
      <c r="H6338">
        <v>6.58</v>
      </c>
      <c r="I6338">
        <v>2.029</v>
      </c>
      <c r="J6338">
        <v>22.34</v>
      </c>
      <c r="K6338">
        <v>25.55</v>
      </c>
      <c r="L6338">
        <v>20.34</v>
      </c>
      <c r="M6338">
        <v>1.96</v>
      </c>
      <c r="N6338">
        <v>3.491</v>
      </c>
      <c r="O6338">
        <v>23.41</v>
      </c>
      <c r="P6338">
        <v>27.63</v>
      </c>
      <c r="Q6338">
        <v>20.69</v>
      </c>
      <c r="R6338">
        <v>2.24</v>
      </c>
    </row>
    <row r="6339">
      <c r="A6339" s="9">
        <v>44870</v>
      </c>
      <c r="B6339" s="2" t="inlineStr">
        <is>
          <t xml:space="preserve">2022-11</t>
        </is>
      </c>
      <c r="C6339" s="2" t="inlineStr">
        <is>
          <t xml:space="preserve">2022/23</t>
        </is>
      </c>
      <c r="D6339">
        <v>2.272</v>
      </c>
      <c r="E6339">
        <v>21.87</v>
      </c>
      <c r="F6339">
        <v>27.12</v>
      </c>
      <c r="G6339">
        <v>17.98</v>
      </c>
      <c r="H6339">
        <v>3.4</v>
      </c>
      <c r="I6339">
        <v>0.152</v>
      </c>
      <c r="J6339">
        <v>21.72</v>
      </c>
      <c r="K6339">
        <v>24.31</v>
      </c>
      <c r="L6339">
        <v>19.91</v>
      </c>
      <c r="M6339">
        <v>8.29</v>
      </c>
      <c r="N6339">
        <v>0.459</v>
      </c>
      <c r="O6339">
        <v>22.58</v>
      </c>
      <c r="P6339">
        <v>25.04</v>
      </c>
      <c r="Q6339">
        <v>20.63</v>
      </c>
      <c r="R6339">
        <v>8.52</v>
      </c>
    </row>
    <row r="6340">
      <c r="A6340" s="9">
        <v>44871</v>
      </c>
      <c r="B6340" s="2" t="inlineStr">
        <is>
          <t xml:space="preserve">2022-11</t>
        </is>
      </c>
      <c r="C6340" s="2" t="inlineStr">
        <is>
          <t xml:space="preserve">2022/23</t>
        </is>
      </c>
      <c r="D6340">
        <v>2.245</v>
      </c>
      <c r="E6340">
        <v>21.34</v>
      </c>
      <c r="F6340">
        <v>26.28</v>
      </c>
      <c r="G6340">
        <v>17.73</v>
      </c>
      <c r="H6340">
        <v>2.84</v>
      </c>
      <c r="I6340">
        <v>9.3</v>
      </c>
      <c r="J6340">
        <v>22.45</v>
      </c>
      <c r="K6340">
        <v>26.99</v>
      </c>
      <c r="L6340">
        <v>18.9</v>
      </c>
      <c r="M6340">
        <v>11.57</v>
      </c>
      <c r="N6340">
        <v>37.171</v>
      </c>
      <c r="O6340">
        <v>22.27</v>
      </c>
      <c r="P6340">
        <v>26.86</v>
      </c>
      <c r="Q6340">
        <v>19.52</v>
      </c>
      <c r="R6340">
        <v>7.59</v>
      </c>
    </row>
    <row r="6341">
      <c r="A6341" s="9">
        <v>44872</v>
      </c>
      <c r="B6341" s="2" t="inlineStr">
        <is>
          <t xml:space="preserve">2022-11</t>
        </is>
      </c>
      <c r="C6341" s="2" t="inlineStr">
        <is>
          <t xml:space="preserve">2022/23</t>
        </is>
      </c>
      <c r="D6341">
        <v>2.726</v>
      </c>
      <c r="E6341">
        <v>19.39</v>
      </c>
      <c r="F6341">
        <v>24.56</v>
      </c>
      <c r="G6341">
        <v>16.0</v>
      </c>
      <c r="H6341">
        <v>0.65</v>
      </c>
      <c r="I6341">
        <v>4.849</v>
      </c>
      <c r="J6341">
        <v>20.41</v>
      </c>
      <c r="K6341">
        <v>25.29</v>
      </c>
      <c r="L6341">
        <v>16.9</v>
      </c>
      <c r="M6341">
        <v>0.84</v>
      </c>
      <c r="N6341">
        <v>0.312</v>
      </c>
      <c r="O6341">
        <v>20.68</v>
      </c>
      <c r="P6341">
        <v>25.2</v>
      </c>
      <c r="Q6341">
        <v>17.88</v>
      </c>
      <c r="R6341">
        <v>0.24</v>
      </c>
    </row>
    <row r="6342">
      <c r="A6342" s="9">
        <v>44873</v>
      </c>
      <c r="B6342" s="2" t="inlineStr">
        <is>
          <t xml:space="preserve">2022-11</t>
        </is>
      </c>
      <c r="C6342" s="2" t="inlineStr">
        <is>
          <t xml:space="preserve">2022/23</t>
        </is>
      </c>
      <c r="D6342">
        <v>0.0</v>
      </c>
      <c r="E6342">
        <v>19.49</v>
      </c>
      <c r="F6342">
        <v>24.24</v>
      </c>
      <c r="G6342">
        <v>15.98</v>
      </c>
      <c r="H6342">
        <v>0.76</v>
      </c>
      <c r="I6342">
        <v>0.0</v>
      </c>
      <c r="J6342">
        <v>20.22</v>
      </c>
      <c r="K6342">
        <v>25.17</v>
      </c>
      <c r="L6342">
        <v>16.09</v>
      </c>
      <c r="M6342">
        <v>0.16</v>
      </c>
      <c r="N6342">
        <v>0.0</v>
      </c>
      <c r="O6342">
        <v>20.65</v>
      </c>
      <c r="P6342">
        <v>24.92</v>
      </c>
      <c r="Q6342">
        <v>17.37</v>
      </c>
      <c r="R6342">
        <v>1.69</v>
      </c>
    </row>
    <row r="6343">
      <c r="A6343" s="9">
        <v>44874</v>
      </c>
      <c r="B6343" s="2" t="inlineStr">
        <is>
          <t xml:space="preserve">2022-11</t>
        </is>
      </c>
      <c r="C6343" s="2" t="inlineStr">
        <is>
          <t xml:space="preserve">2022/23</t>
        </is>
      </c>
      <c r="D6343">
        <v>0.0</v>
      </c>
      <c r="E6343">
        <v>19.73</v>
      </c>
      <c r="F6343">
        <v>24.43</v>
      </c>
      <c r="G6343">
        <v>15.77</v>
      </c>
      <c r="H6343">
        <v>1.34</v>
      </c>
      <c r="I6343">
        <v>0.023</v>
      </c>
      <c r="J6343">
        <v>20.15</v>
      </c>
      <c r="K6343">
        <v>24.57</v>
      </c>
      <c r="L6343">
        <v>16.75</v>
      </c>
      <c r="M6343">
        <v>0.46</v>
      </c>
      <c r="N6343">
        <v>0.417</v>
      </c>
      <c r="O6343">
        <v>20.41</v>
      </c>
      <c r="P6343">
        <v>24.42</v>
      </c>
      <c r="Q6343">
        <v>17.88</v>
      </c>
      <c r="R6343">
        <v>3.69</v>
      </c>
    </row>
    <row r="6344">
      <c r="A6344" s="9">
        <v>44875</v>
      </c>
      <c r="B6344" s="2" t="inlineStr">
        <is>
          <t xml:space="preserve">2022-11</t>
        </is>
      </c>
      <c r="C6344" s="2" t="inlineStr">
        <is>
          <t xml:space="preserve">2022/23</t>
        </is>
      </c>
      <c r="D6344">
        <v>0.0</v>
      </c>
      <c r="E6344">
        <v>20.02</v>
      </c>
      <c r="F6344">
        <v>24.91</v>
      </c>
      <c r="G6344">
        <v>15.65</v>
      </c>
      <c r="H6344">
        <v>0.2</v>
      </c>
      <c r="I6344">
        <v>0.053</v>
      </c>
      <c r="J6344">
        <v>20.67</v>
      </c>
      <c r="K6344">
        <v>25.63</v>
      </c>
      <c r="L6344">
        <v>16.7</v>
      </c>
      <c r="M6344">
        <v>0.23</v>
      </c>
      <c r="N6344">
        <v>0.585</v>
      </c>
      <c r="O6344">
        <v>20.67</v>
      </c>
      <c r="P6344">
        <v>25.22</v>
      </c>
      <c r="Q6344">
        <v>16.93</v>
      </c>
      <c r="R6344">
        <v>0.18</v>
      </c>
    </row>
    <row r="6345">
      <c r="A6345" s="9">
        <v>44876</v>
      </c>
      <c r="B6345" s="2" t="inlineStr">
        <is>
          <t xml:space="preserve">2022-11</t>
        </is>
      </c>
      <c r="C6345" s="2" t="inlineStr">
        <is>
          <t xml:space="preserve">2022/23</t>
        </is>
      </c>
      <c r="D6345">
        <v>0.915</v>
      </c>
      <c r="E6345">
        <v>20.92</v>
      </c>
      <c r="F6345">
        <v>25.97</v>
      </c>
      <c r="G6345">
        <v>16.51</v>
      </c>
      <c r="H6345">
        <v>0.97</v>
      </c>
      <c r="I6345">
        <v>0.0</v>
      </c>
      <c r="J6345">
        <v>21.34</v>
      </c>
      <c r="K6345">
        <v>26.08</v>
      </c>
      <c r="L6345">
        <v>18.05</v>
      </c>
      <c r="M6345">
        <v>0.05</v>
      </c>
      <c r="N6345">
        <v>0.0</v>
      </c>
      <c r="O6345">
        <v>22.24</v>
      </c>
      <c r="P6345">
        <v>27.38</v>
      </c>
      <c r="Q6345">
        <v>17.88</v>
      </c>
      <c r="R6345">
        <v>0.03</v>
      </c>
    </row>
    <row r="6346">
      <c r="A6346" s="9">
        <v>44877</v>
      </c>
      <c r="B6346" s="2" t="inlineStr">
        <is>
          <t xml:space="preserve">2022-11</t>
        </is>
      </c>
      <c r="C6346" s="2" t="inlineStr">
        <is>
          <t xml:space="preserve">2022/23</t>
        </is>
      </c>
      <c r="D6346">
        <v>0.501</v>
      </c>
      <c r="E6346">
        <v>21.42</v>
      </c>
      <c r="F6346">
        <v>26.47</v>
      </c>
      <c r="G6346">
        <v>17.46</v>
      </c>
      <c r="H6346">
        <v>0.48</v>
      </c>
      <c r="I6346">
        <v>0.0</v>
      </c>
      <c r="J6346">
        <v>22.31</v>
      </c>
      <c r="K6346">
        <v>28.13</v>
      </c>
      <c r="L6346">
        <v>17.97</v>
      </c>
      <c r="M6346">
        <v>0.0</v>
      </c>
      <c r="N6346">
        <v>0.0</v>
      </c>
      <c r="O6346">
        <v>22.23</v>
      </c>
      <c r="P6346">
        <v>27.55</v>
      </c>
      <c r="Q6346">
        <v>17.72</v>
      </c>
      <c r="R6346">
        <v>0.0</v>
      </c>
    </row>
    <row r="6347">
      <c r="A6347" s="9">
        <v>44878</v>
      </c>
      <c r="B6347" s="2" t="inlineStr">
        <is>
          <t xml:space="preserve">2022-11</t>
        </is>
      </c>
      <c r="C6347" s="2" t="inlineStr">
        <is>
          <t xml:space="preserve">2022/23</t>
        </is>
      </c>
      <c r="D6347">
        <v>0.0</v>
      </c>
      <c r="E6347">
        <v>20.51</v>
      </c>
      <c r="F6347">
        <v>25.03</v>
      </c>
      <c r="G6347">
        <v>17.15</v>
      </c>
      <c r="H6347">
        <v>0.85</v>
      </c>
      <c r="I6347">
        <v>0.0</v>
      </c>
      <c r="J6347">
        <v>20.74</v>
      </c>
      <c r="K6347">
        <v>24.86</v>
      </c>
      <c r="L6347">
        <v>17.85</v>
      </c>
      <c r="M6347">
        <v>0.05</v>
      </c>
      <c r="N6347">
        <v>0.0</v>
      </c>
      <c r="O6347">
        <v>21.31</v>
      </c>
      <c r="P6347">
        <v>25.07</v>
      </c>
      <c r="Q6347">
        <v>18.75</v>
      </c>
      <c r="R6347">
        <v>0.71</v>
      </c>
    </row>
    <row r="6348">
      <c r="A6348" s="9">
        <v>44879</v>
      </c>
      <c r="B6348" s="2" t="inlineStr">
        <is>
          <t xml:space="preserve">2022-11</t>
        </is>
      </c>
      <c r="C6348" s="2" t="inlineStr">
        <is>
          <t xml:space="preserve">2022/23</t>
        </is>
      </c>
      <c r="D6348">
        <v>1.349</v>
      </c>
      <c r="E6348">
        <v>20.52</v>
      </c>
      <c r="F6348">
        <v>24.99</v>
      </c>
      <c r="G6348">
        <v>17.19</v>
      </c>
      <c r="H6348">
        <v>1.86</v>
      </c>
      <c r="I6348">
        <v>0.0</v>
      </c>
      <c r="J6348">
        <v>21.07</v>
      </c>
      <c r="K6348">
        <v>26.07</v>
      </c>
      <c r="L6348">
        <v>17.28</v>
      </c>
      <c r="M6348">
        <v>0.35</v>
      </c>
      <c r="N6348">
        <v>0.103</v>
      </c>
      <c r="O6348">
        <v>21.0</v>
      </c>
      <c r="P6348">
        <v>25.44</v>
      </c>
      <c r="Q6348">
        <v>17.85</v>
      </c>
      <c r="R6348">
        <v>3.21</v>
      </c>
    </row>
    <row r="6349">
      <c r="A6349" s="9">
        <v>44880</v>
      </c>
      <c r="B6349" s="2" t="inlineStr">
        <is>
          <t xml:space="preserve">2022-11</t>
        </is>
      </c>
      <c r="C6349" s="2" t="inlineStr">
        <is>
          <t xml:space="preserve">2022/23</t>
        </is>
      </c>
      <c r="D6349">
        <v>0.0</v>
      </c>
      <c r="E6349">
        <v>21.09</v>
      </c>
      <c r="F6349">
        <v>25.68</v>
      </c>
      <c r="G6349">
        <v>17.62</v>
      </c>
      <c r="H6349">
        <v>0.17</v>
      </c>
      <c r="I6349">
        <v>0.0</v>
      </c>
      <c r="J6349">
        <v>21.6</v>
      </c>
      <c r="K6349">
        <v>26.54</v>
      </c>
      <c r="L6349">
        <v>17.87</v>
      </c>
      <c r="M6349">
        <v>0.08</v>
      </c>
      <c r="N6349">
        <v>0.0</v>
      </c>
      <c r="O6349">
        <v>21.82</v>
      </c>
      <c r="P6349">
        <v>26.07</v>
      </c>
      <c r="Q6349">
        <v>18.67</v>
      </c>
      <c r="R6349">
        <v>0.36</v>
      </c>
    </row>
    <row r="6350">
      <c r="A6350" s="9">
        <v>44881</v>
      </c>
      <c r="B6350" s="2" t="inlineStr">
        <is>
          <t xml:space="preserve">2022-11</t>
        </is>
      </c>
      <c r="C6350" s="2" t="inlineStr">
        <is>
          <t xml:space="preserve">2022/23</t>
        </is>
      </c>
      <c r="D6350">
        <v>0.024</v>
      </c>
      <c r="E6350">
        <v>21.06</v>
      </c>
      <c r="F6350">
        <v>25.33</v>
      </c>
      <c r="G6350">
        <v>18.03</v>
      </c>
      <c r="H6350">
        <v>0.4</v>
      </c>
      <c r="I6350">
        <v>0.048</v>
      </c>
      <c r="J6350">
        <v>21.18</v>
      </c>
      <c r="K6350">
        <v>24.69</v>
      </c>
      <c r="L6350">
        <v>18.86</v>
      </c>
      <c r="M6350">
        <v>0.31</v>
      </c>
      <c r="N6350">
        <v>0.526</v>
      </c>
      <c r="O6350">
        <v>21.83</v>
      </c>
      <c r="P6350">
        <v>25.62</v>
      </c>
      <c r="Q6350">
        <v>19.41</v>
      </c>
      <c r="R6350">
        <v>1.36</v>
      </c>
    </row>
    <row r="6351">
      <c r="A6351" s="9">
        <v>44882</v>
      </c>
      <c r="B6351" s="2" t="inlineStr">
        <is>
          <t xml:space="preserve">2022-11</t>
        </is>
      </c>
      <c r="C6351" s="2" t="inlineStr">
        <is>
          <t xml:space="preserve">2022/23</t>
        </is>
      </c>
      <c r="D6351">
        <v>0.0</v>
      </c>
      <c r="E6351">
        <v>20.73</v>
      </c>
      <c r="F6351">
        <v>24.98</v>
      </c>
      <c r="G6351">
        <v>17.88</v>
      </c>
      <c r="H6351">
        <v>0.53</v>
      </c>
      <c r="I6351">
        <v>0.034</v>
      </c>
      <c r="J6351">
        <v>21.07</v>
      </c>
      <c r="K6351">
        <v>25.1</v>
      </c>
      <c r="L6351">
        <v>18.17</v>
      </c>
      <c r="M6351">
        <v>0.5</v>
      </c>
      <c r="N6351">
        <v>0.469</v>
      </c>
      <c r="O6351">
        <v>21.65</v>
      </c>
      <c r="P6351">
        <v>25.27</v>
      </c>
      <c r="Q6351">
        <v>18.86</v>
      </c>
      <c r="R6351">
        <v>1.84</v>
      </c>
    </row>
    <row r="6352">
      <c r="A6352" s="9">
        <v>44883</v>
      </c>
      <c r="B6352" s="2" t="inlineStr">
        <is>
          <t xml:space="preserve">2022-11</t>
        </is>
      </c>
      <c r="C6352" s="2" t="inlineStr">
        <is>
          <t xml:space="preserve">2022/23</t>
        </is>
      </c>
      <c r="D6352">
        <v>0.0</v>
      </c>
      <c r="E6352">
        <v>20.68</v>
      </c>
      <c r="F6352">
        <v>25.06</v>
      </c>
      <c r="G6352">
        <v>17.42</v>
      </c>
      <c r="H6352">
        <v>1.94</v>
      </c>
      <c r="I6352">
        <v>0.424</v>
      </c>
      <c r="J6352">
        <v>20.16</v>
      </c>
      <c r="K6352">
        <v>24.6</v>
      </c>
      <c r="L6352">
        <v>16.88</v>
      </c>
      <c r="M6352">
        <v>1.13</v>
      </c>
      <c r="N6352">
        <v>1.775</v>
      </c>
      <c r="O6352">
        <v>20.59</v>
      </c>
      <c r="P6352">
        <v>24.4</v>
      </c>
      <c r="Q6352">
        <v>17.7</v>
      </c>
      <c r="R6352">
        <v>3.0</v>
      </c>
    </row>
    <row r="6353">
      <c r="A6353" s="9">
        <v>44884</v>
      </c>
      <c r="B6353" s="2" t="inlineStr">
        <is>
          <t xml:space="preserve">2022-11</t>
        </is>
      </c>
      <c r="C6353" s="2" t="inlineStr">
        <is>
          <t xml:space="preserve">2022/23</t>
        </is>
      </c>
      <c r="D6353">
        <v>0.557</v>
      </c>
      <c r="E6353">
        <v>20.48</v>
      </c>
      <c r="F6353">
        <v>25.39</v>
      </c>
      <c r="G6353">
        <v>17.31</v>
      </c>
      <c r="H6353">
        <v>0.52</v>
      </c>
      <c r="I6353">
        <v>0.778</v>
      </c>
      <c r="J6353">
        <v>21.54</v>
      </c>
      <c r="K6353">
        <v>26.15</v>
      </c>
      <c r="L6353">
        <v>18.78</v>
      </c>
      <c r="M6353">
        <v>1.06</v>
      </c>
      <c r="N6353">
        <v>1.857</v>
      </c>
      <c r="O6353">
        <v>21.8</v>
      </c>
      <c r="P6353">
        <v>25.53</v>
      </c>
      <c r="Q6353">
        <v>19.53</v>
      </c>
      <c r="R6353">
        <v>1.39</v>
      </c>
    </row>
    <row r="6354">
      <c r="A6354" s="9">
        <v>44885</v>
      </c>
      <c r="B6354" s="2" t="inlineStr">
        <is>
          <t xml:space="preserve">2022-11</t>
        </is>
      </c>
      <c r="C6354" s="2" t="inlineStr">
        <is>
          <t xml:space="preserve">2022/23</t>
        </is>
      </c>
      <c r="D6354">
        <v>0.0</v>
      </c>
      <c r="E6354">
        <v>19.69</v>
      </c>
      <c r="F6354">
        <v>23.63</v>
      </c>
      <c r="G6354">
        <v>16.78</v>
      </c>
      <c r="H6354">
        <v>3.46</v>
      </c>
      <c r="I6354">
        <v>0.43</v>
      </c>
      <c r="J6354">
        <v>20.51</v>
      </c>
      <c r="K6354">
        <v>24.58</v>
      </c>
      <c r="L6354">
        <v>17.94</v>
      </c>
      <c r="M6354">
        <v>2.64</v>
      </c>
      <c r="N6354">
        <v>1.854</v>
      </c>
      <c r="O6354">
        <v>20.89</v>
      </c>
      <c r="P6354">
        <v>24.62</v>
      </c>
      <c r="Q6354">
        <v>18.8</v>
      </c>
      <c r="R6354">
        <v>7.45</v>
      </c>
    </row>
    <row r="6355">
      <c r="A6355" s="9">
        <v>44886</v>
      </c>
      <c r="B6355" s="2" t="inlineStr">
        <is>
          <t xml:space="preserve">2022-11</t>
        </is>
      </c>
      <c r="C6355" s="2" t="inlineStr">
        <is>
          <t xml:space="preserve">2022/23</t>
        </is>
      </c>
      <c r="D6355">
        <v>1.902</v>
      </c>
      <c r="E6355">
        <v>19.14</v>
      </c>
      <c r="F6355">
        <v>22.67</v>
      </c>
      <c r="G6355">
        <v>16.7</v>
      </c>
      <c r="H6355">
        <v>8.24</v>
      </c>
      <c r="I6355">
        <v>3.423</v>
      </c>
      <c r="J6355">
        <v>19.04</v>
      </c>
      <c r="K6355">
        <v>21.45</v>
      </c>
      <c r="L6355">
        <v>17.64</v>
      </c>
      <c r="M6355">
        <v>6.18</v>
      </c>
      <c r="N6355">
        <v>14.017</v>
      </c>
      <c r="O6355">
        <v>19.63</v>
      </c>
      <c r="P6355">
        <v>22.13</v>
      </c>
      <c r="Q6355">
        <v>18.06</v>
      </c>
      <c r="R6355">
        <v>15.0</v>
      </c>
    </row>
    <row r="6356">
      <c r="A6356" s="9">
        <v>44887</v>
      </c>
      <c r="B6356" s="2" t="inlineStr">
        <is>
          <t xml:space="preserve">2022-11</t>
        </is>
      </c>
      <c r="C6356" s="2" t="inlineStr">
        <is>
          <t xml:space="preserve">2022/23</t>
        </is>
      </c>
      <c r="D6356">
        <v>0.729</v>
      </c>
      <c r="E6356">
        <v>19.54</v>
      </c>
      <c r="F6356">
        <v>24.31</v>
      </c>
      <c r="G6356">
        <v>16.02</v>
      </c>
      <c r="H6356">
        <v>1.42</v>
      </c>
      <c r="I6356">
        <v>0.707</v>
      </c>
      <c r="J6356">
        <v>20.4</v>
      </c>
      <c r="K6356">
        <v>25.16</v>
      </c>
      <c r="L6356">
        <v>17.6</v>
      </c>
      <c r="M6356">
        <v>1.44</v>
      </c>
      <c r="N6356">
        <v>3.04</v>
      </c>
      <c r="O6356">
        <v>20.56</v>
      </c>
      <c r="P6356">
        <v>24.68</v>
      </c>
      <c r="Q6356">
        <v>18.16</v>
      </c>
      <c r="R6356">
        <v>4.42</v>
      </c>
    </row>
    <row r="6357">
      <c r="A6357" s="9">
        <v>44888</v>
      </c>
      <c r="B6357" s="2" t="inlineStr">
        <is>
          <t xml:space="preserve">2022-11</t>
        </is>
      </c>
      <c r="C6357" s="2" t="inlineStr">
        <is>
          <t xml:space="preserve">2022/23</t>
        </is>
      </c>
      <c r="D6357">
        <v>0.0</v>
      </c>
      <c r="E6357">
        <v>19.79</v>
      </c>
      <c r="F6357">
        <v>24.72</v>
      </c>
      <c r="G6357">
        <v>16.1</v>
      </c>
      <c r="H6357">
        <v>0.55</v>
      </c>
      <c r="I6357">
        <v>0.068</v>
      </c>
      <c r="J6357">
        <v>20.27</v>
      </c>
      <c r="K6357">
        <v>25.32</v>
      </c>
      <c r="L6357">
        <v>16.44</v>
      </c>
      <c r="M6357">
        <v>0.34</v>
      </c>
      <c r="N6357">
        <v>0.122</v>
      </c>
      <c r="O6357">
        <v>20.37</v>
      </c>
      <c r="P6357">
        <v>25.05</v>
      </c>
      <c r="Q6357">
        <v>17.02</v>
      </c>
      <c r="R6357">
        <v>1.71</v>
      </c>
    </row>
    <row r="6358">
      <c r="A6358" s="9">
        <v>44889</v>
      </c>
      <c r="B6358" s="2" t="inlineStr">
        <is>
          <t xml:space="preserve">2022-11</t>
        </is>
      </c>
      <c r="C6358" s="2" t="inlineStr">
        <is>
          <t xml:space="preserve">2022/23</t>
        </is>
      </c>
      <c r="D6358">
        <v>0.0</v>
      </c>
      <c r="E6358">
        <v>20.26</v>
      </c>
      <c r="F6358">
        <v>24.34</v>
      </c>
      <c r="G6358">
        <v>17.28</v>
      </c>
      <c r="H6358">
        <v>0.56</v>
      </c>
      <c r="I6358">
        <v>0.046</v>
      </c>
      <c r="J6358">
        <v>20.96</v>
      </c>
      <c r="K6358">
        <v>25.63</v>
      </c>
      <c r="L6358">
        <v>17.57</v>
      </c>
      <c r="M6358">
        <v>0.21</v>
      </c>
      <c r="N6358">
        <v>0.546</v>
      </c>
      <c r="O6358">
        <v>20.94</v>
      </c>
      <c r="P6358">
        <v>25.26</v>
      </c>
      <c r="Q6358">
        <v>17.81</v>
      </c>
      <c r="R6358">
        <v>0.65</v>
      </c>
    </row>
    <row r="6359">
      <c r="A6359" s="9">
        <v>44890</v>
      </c>
      <c r="B6359" s="2" t="inlineStr">
        <is>
          <t xml:space="preserve">2022-11</t>
        </is>
      </c>
      <c r="C6359" s="2" t="inlineStr">
        <is>
          <t xml:space="preserve">2022/23</t>
        </is>
      </c>
      <c r="D6359">
        <v>0.0</v>
      </c>
      <c r="E6359">
        <v>20.29</v>
      </c>
      <c r="F6359">
        <v>25.53</v>
      </c>
      <c r="G6359">
        <v>16.37</v>
      </c>
      <c r="H6359">
        <v>0.47</v>
      </c>
      <c r="I6359">
        <v>0.0</v>
      </c>
      <c r="J6359">
        <v>21.91</v>
      </c>
      <c r="K6359">
        <v>27.28</v>
      </c>
      <c r="L6359">
        <v>18.01</v>
      </c>
      <c r="M6359">
        <v>0.05</v>
      </c>
      <c r="N6359">
        <v>0.0</v>
      </c>
      <c r="O6359">
        <v>21.64</v>
      </c>
      <c r="P6359">
        <v>26.39</v>
      </c>
      <c r="Q6359">
        <v>19.06</v>
      </c>
      <c r="R6359">
        <v>0.2</v>
      </c>
    </row>
    <row r="6360">
      <c r="A6360" s="9">
        <v>44891</v>
      </c>
      <c r="B6360" s="2" t="inlineStr">
        <is>
          <t xml:space="preserve">2022-11</t>
        </is>
      </c>
      <c r="C6360" s="2" t="inlineStr">
        <is>
          <t xml:space="preserve">2022/23</t>
        </is>
      </c>
      <c r="D6360">
        <v>1.875</v>
      </c>
      <c r="E6360">
        <v>21.05</v>
      </c>
      <c r="F6360">
        <v>25.64</v>
      </c>
      <c r="G6360">
        <v>16.52</v>
      </c>
      <c r="H6360">
        <v>7.09</v>
      </c>
      <c r="I6360">
        <v>0.1</v>
      </c>
      <c r="J6360">
        <v>21.77</v>
      </c>
      <c r="K6360">
        <v>26.5</v>
      </c>
      <c r="L6360">
        <v>17.55</v>
      </c>
      <c r="M6360">
        <v>2.09</v>
      </c>
      <c r="N6360">
        <v>0.181</v>
      </c>
      <c r="O6360">
        <v>22.15</v>
      </c>
      <c r="P6360">
        <v>26.66</v>
      </c>
      <c r="Q6360">
        <v>18.73</v>
      </c>
      <c r="R6360">
        <v>3.87</v>
      </c>
    </row>
    <row r="6361">
      <c r="A6361" s="9">
        <v>44892</v>
      </c>
      <c r="B6361" s="2" t="inlineStr">
        <is>
          <t xml:space="preserve">2022-11</t>
        </is>
      </c>
      <c r="C6361" s="2" t="inlineStr">
        <is>
          <t xml:space="preserve">2022/23</t>
        </is>
      </c>
      <c r="D6361">
        <v>27.205</v>
      </c>
      <c r="E6361">
        <v>20.69</v>
      </c>
      <c r="F6361">
        <v>23.76</v>
      </c>
      <c r="G6361">
        <v>18.21</v>
      </c>
      <c r="H6361">
        <v>11.7</v>
      </c>
      <c r="I6361">
        <v>5.305</v>
      </c>
      <c r="J6361">
        <v>22.04</v>
      </c>
      <c r="K6361">
        <v>25.77</v>
      </c>
      <c r="L6361">
        <v>18.99</v>
      </c>
      <c r="M6361">
        <v>6.07</v>
      </c>
      <c r="N6361">
        <v>4.638</v>
      </c>
      <c r="O6361">
        <v>22.2</v>
      </c>
      <c r="P6361">
        <v>25.45</v>
      </c>
      <c r="Q6361">
        <v>20.0</v>
      </c>
      <c r="R6361">
        <v>6.61</v>
      </c>
    </row>
    <row r="6362">
      <c r="A6362" s="9">
        <v>44893</v>
      </c>
      <c r="B6362" s="2" t="inlineStr">
        <is>
          <t xml:space="preserve">2022-11</t>
        </is>
      </c>
      <c r="C6362" s="2" t="inlineStr">
        <is>
          <t xml:space="preserve">2022/23</t>
        </is>
      </c>
      <c r="D6362">
        <v>29.561</v>
      </c>
      <c r="E6362">
        <v>20.81</v>
      </c>
      <c r="F6362">
        <v>25.15</v>
      </c>
      <c r="G6362">
        <v>17.74</v>
      </c>
      <c r="H6362">
        <v>13.49</v>
      </c>
      <c r="I6362">
        <v>18.34</v>
      </c>
      <c r="J6362">
        <v>21.7</v>
      </c>
      <c r="K6362">
        <v>24.13</v>
      </c>
      <c r="L6362">
        <v>20.12</v>
      </c>
      <c r="M6362">
        <v>16.22</v>
      </c>
      <c r="N6362">
        <v>1.555</v>
      </c>
      <c r="O6362">
        <v>22.3</v>
      </c>
      <c r="P6362">
        <v>25.56</v>
      </c>
      <c r="Q6362">
        <v>20.51</v>
      </c>
      <c r="R6362">
        <v>11.0</v>
      </c>
    </row>
    <row r="6363">
      <c r="A6363" s="9">
        <v>44894</v>
      </c>
      <c r="B6363" s="2" t="inlineStr">
        <is>
          <t xml:space="preserve">2022-11</t>
        </is>
      </c>
      <c r="C6363" s="2" t="inlineStr">
        <is>
          <t xml:space="preserve">2022/23</t>
        </is>
      </c>
      <c r="D6363">
        <v>1.681</v>
      </c>
      <c r="E6363">
        <v>19.71</v>
      </c>
      <c r="F6363">
        <v>25.16</v>
      </c>
      <c r="G6363">
        <v>15.64</v>
      </c>
      <c r="H6363">
        <v>0.2</v>
      </c>
      <c r="I6363">
        <v>4.704</v>
      </c>
      <c r="J6363">
        <v>22.02</v>
      </c>
      <c r="K6363">
        <v>27.2</v>
      </c>
      <c r="L6363">
        <v>17.96</v>
      </c>
      <c r="M6363">
        <v>0.69</v>
      </c>
      <c r="N6363">
        <v>18.724</v>
      </c>
      <c r="O6363">
        <v>21.81</v>
      </c>
      <c r="P6363">
        <v>26.44</v>
      </c>
      <c r="Q6363">
        <v>19.0</v>
      </c>
      <c r="R6363">
        <v>0.33</v>
      </c>
    </row>
    <row r="6364">
      <c r="A6364" s="9">
        <v>44895</v>
      </c>
      <c r="B6364" s="2" t="inlineStr">
        <is>
          <t xml:space="preserve">2022-11</t>
        </is>
      </c>
      <c r="C6364" s="2" t="inlineStr">
        <is>
          <t xml:space="preserve">2022/23</t>
        </is>
      </c>
      <c r="D6364">
        <v>0.023</v>
      </c>
      <c r="E6364">
        <v>19.85</v>
      </c>
      <c r="F6364">
        <v>24.3</v>
      </c>
      <c r="G6364">
        <v>16.1</v>
      </c>
      <c r="H6364">
        <v>57.69</v>
      </c>
      <c r="I6364">
        <v>0.0</v>
      </c>
      <c r="J6364">
        <v>20.64</v>
      </c>
      <c r="K6364">
        <v>25.66</v>
      </c>
      <c r="L6364">
        <v>16.71</v>
      </c>
      <c r="M6364">
        <v>35.0</v>
      </c>
      <c r="N6364">
        <v>0.0</v>
      </c>
      <c r="O6364">
        <v>21.08</v>
      </c>
      <c r="P6364">
        <v>24.91</v>
      </c>
      <c r="Q6364">
        <v>18.35</v>
      </c>
      <c r="R6364">
        <v>51.38</v>
      </c>
    </row>
    <row r="6365">
      <c r="A6365" s="9">
        <v>44896</v>
      </c>
      <c r="B6365" s="2" t="inlineStr">
        <is>
          <t xml:space="preserve">2022-12</t>
        </is>
      </c>
      <c r="C6365" s="2" t="inlineStr">
        <is>
          <t xml:space="preserve">2022/23</t>
        </is>
      </c>
      <c r="D6365">
        <v>0.0</v>
      </c>
      <c r="E6365">
        <v>19.56</v>
      </c>
      <c r="F6365">
        <v>23.7</v>
      </c>
      <c r="G6365">
        <v>16.65</v>
      </c>
      <c r="H6365">
        <v>82.27</v>
      </c>
      <c r="I6365">
        <v>0.0</v>
      </c>
      <c r="J6365">
        <v>20.39</v>
      </c>
      <c r="K6365">
        <v>24.04</v>
      </c>
      <c r="L6365">
        <v>18.04</v>
      </c>
      <c r="M6365">
        <v>53.07</v>
      </c>
      <c r="N6365">
        <v>0.0</v>
      </c>
      <c r="O6365">
        <v>20.81</v>
      </c>
      <c r="P6365">
        <v>23.97</v>
      </c>
      <c r="Q6365">
        <v>18.49</v>
      </c>
      <c r="R6365">
        <v>85.67</v>
      </c>
    </row>
    <row r="6366">
      <c r="A6366" s="9">
        <v>44897</v>
      </c>
      <c r="B6366" s="2" t="inlineStr">
        <is>
          <t xml:space="preserve">2022-12</t>
        </is>
      </c>
      <c r="C6366" s="2" t="inlineStr">
        <is>
          <t xml:space="preserve">2022/23</t>
        </is>
      </c>
      <c r="D6366">
        <v>0.0</v>
      </c>
      <c r="E6366">
        <v>19.64</v>
      </c>
      <c r="F6366">
        <v>23.89</v>
      </c>
      <c r="G6366">
        <v>17.1</v>
      </c>
      <c r="H6366">
        <v>0.91</v>
      </c>
      <c r="I6366">
        <v>0.0</v>
      </c>
      <c r="J6366">
        <v>20.1</v>
      </c>
      <c r="K6366">
        <v>24.09</v>
      </c>
      <c r="L6366">
        <v>17.49</v>
      </c>
      <c r="M6366">
        <v>0.24</v>
      </c>
      <c r="N6366">
        <v>0.168</v>
      </c>
      <c r="O6366">
        <v>20.83</v>
      </c>
      <c r="P6366">
        <v>24.21</v>
      </c>
      <c r="Q6366">
        <v>18.74</v>
      </c>
      <c r="R6366">
        <v>2.45</v>
      </c>
    </row>
    <row r="6367">
      <c r="A6367" s="9">
        <v>44898</v>
      </c>
      <c r="B6367" s="2" t="inlineStr">
        <is>
          <t xml:space="preserve">2022-12</t>
        </is>
      </c>
      <c r="C6367" s="2" t="inlineStr">
        <is>
          <t xml:space="preserve">2022/23</t>
        </is>
      </c>
      <c r="D6367">
        <v>0.0</v>
      </c>
      <c r="E6367">
        <v>19.54</v>
      </c>
      <c r="F6367">
        <v>23.79</v>
      </c>
      <c r="G6367">
        <v>16.65</v>
      </c>
      <c r="H6367">
        <v>0.88</v>
      </c>
      <c r="I6367">
        <v>0.0</v>
      </c>
      <c r="J6367">
        <v>20.48</v>
      </c>
      <c r="K6367">
        <v>24.46</v>
      </c>
      <c r="L6367">
        <v>17.77</v>
      </c>
      <c r="M6367">
        <v>0.15</v>
      </c>
      <c r="N6367">
        <v>0.0</v>
      </c>
      <c r="O6367">
        <v>21.15</v>
      </c>
      <c r="P6367">
        <v>24.22</v>
      </c>
      <c r="Q6367">
        <v>19.02</v>
      </c>
      <c r="R6367">
        <v>1.57</v>
      </c>
    </row>
    <row r="6368">
      <c r="A6368" s="9">
        <v>44899</v>
      </c>
      <c r="B6368" s="2" t="inlineStr">
        <is>
          <t xml:space="preserve">2022-12</t>
        </is>
      </c>
      <c r="C6368" s="2" t="inlineStr">
        <is>
          <t xml:space="preserve">2022/23</t>
        </is>
      </c>
      <c r="D6368">
        <v>0.021</v>
      </c>
      <c r="E6368">
        <v>19.03</v>
      </c>
      <c r="F6368">
        <v>23.34</v>
      </c>
      <c r="G6368">
        <v>16.43</v>
      </c>
      <c r="H6368">
        <v>1.2</v>
      </c>
      <c r="I6368">
        <v>0.057</v>
      </c>
      <c r="J6368">
        <v>19.9</v>
      </c>
      <c r="K6368">
        <v>24.38</v>
      </c>
      <c r="L6368">
        <v>16.78</v>
      </c>
      <c r="M6368">
        <v>0.41</v>
      </c>
      <c r="N6368">
        <v>0.727</v>
      </c>
      <c r="O6368">
        <v>20.42</v>
      </c>
      <c r="P6368">
        <v>24.07</v>
      </c>
      <c r="Q6368">
        <v>18.0</v>
      </c>
      <c r="R6368">
        <v>2.41</v>
      </c>
    </row>
    <row r="6369">
      <c r="A6369" s="9">
        <v>44900</v>
      </c>
      <c r="B6369" s="2" t="inlineStr">
        <is>
          <t xml:space="preserve">2022-12</t>
        </is>
      </c>
      <c r="C6369" s="2" t="inlineStr">
        <is>
          <t xml:space="preserve">2022/23</t>
        </is>
      </c>
      <c r="D6369">
        <v>0.0</v>
      </c>
      <c r="E6369">
        <v>17.87</v>
      </c>
      <c r="F6369">
        <v>22.54</v>
      </c>
      <c r="G6369">
        <v>14.94</v>
      </c>
      <c r="H6369">
        <v>8.59</v>
      </c>
      <c r="I6369">
        <v>0.0</v>
      </c>
      <c r="J6369">
        <v>18.53</v>
      </c>
      <c r="K6369">
        <v>23.25</v>
      </c>
      <c r="L6369">
        <v>14.68</v>
      </c>
      <c r="M6369">
        <v>0.08</v>
      </c>
      <c r="N6369">
        <v>0.0</v>
      </c>
      <c r="O6369">
        <v>19.04</v>
      </c>
      <c r="P6369">
        <v>22.83</v>
      </c>
      <c r="Q6369">
        <v>16.59</v>
      </c>
      <c r="R6369">
        <v>2.19</v>
      </c>
    </row>
    <row r="6370">
      <c r="A6370" s="9">
        <v>44901</v>
      </c>
      <c r="B6370" s="2" t="inlineStr">
        <is>
          <t xml:space="preserve">2022-12</t>
        </is>
      </c>
      <c r="C6370" s="2" t="inlineStr">
        <is>
          <t xml:space="preserve">2022/23</t>
        </is>
      </c>
      <c r="D6370">
        <v>0.0</v>
      </c>
      <c r="E6370">
        <v>17.81</v>
      </c>
      <c r="F6370">
        <v>22.65</v>
      </c>
      <c r="G6370">
        <v>14.62</v>
      </c>
      <c r="H6370">
        <v>88.68</v>
      </c>
      <c r="I6370">
        <v>0.0</v>
      </c>
      <c r="J6370">
        <v>18.33</v>
      </c>
      <c r="K6370">
        <v>23.82</v>
      </c>
      <c r="L6370">
        <v>14.03</v>
      </c>
      <c r="M6370">
        <v>0.35</v>
      </c>
      <c r="N6370">
        <v>0.0</v>
      </c>
      <c r="O6370">
        <v>18.89</v>
      </c>
      <c r="P6370">
        <v>23.16</v>
      </c>
      <c r="Q6370">
        <v>15.73</v>
      </c>
      <c r="R6370">
        <v>22.83</v>
      </c>
    </row>
    <row r="6371">
      <c r="A6371" s="9">
        <v>44902</v>
      </c>
      <c r="B6371" s="2" t="inlineStr">
        <is>
          <t xml:space="preserve">2022-12</t>
        </is>
      </c>
      <c r="C6371" s="2" t="inlineStr">
        <is>
          <t xml:space="preserve">2022/23</t>
        </is>
      </c>
      <c r="D6371">
        <v>0.0</v>
      </c>
      <c r="E6371">
        <v>18.2</v>
      </c>
      <c r="F6371">
        <v>22.94</v>
      </c>
      <c r="G6371">
        <v>14.79</v>
      </c>
      <c r="H6371">
        <v>0.34</v>
      </c>
      <c r="I6371">
        <v>0.0</v>
      </c>
      <c r="J6371">
        <v>18.87</v>
      </c>
      <c r="K6371">
        <v>23.86</v>
      </c>
      <c r="L6371">
        <v>15.02</v>
      </c>
      <c r="M6371">
        <v>0.14</v>
      </c>
      <c r="N6371">
        <v>0.0</v>
      </c>
      <c r="O6371">
        <v>19.33</v>
      </c>
      <c r="P6371">
        <v>23.52</v>
      </c>
      <c r="Q6371">
        <v>16.29</v>
      </c>
      <c r="R6371">
        <v>0.91</v>
      </c>
    </row>
    <row r="6372">
      <c r="A6372" s="9">
        <v>44903</v>
      </c>
      <c r="B6372" s="2" t="inlineStr">
        <is>
          <t xml:space="preserve">2022-12</t>
        </is>
      </c>
      <c r="C6372" s="2" t="inlineStr">
        <is>
          <t xml:space="preserve">2022/23</t>
        </is>
      </c>
      <c r="D6372">
        <v>0.0</v>
      </c>
      <c r="E6372">
        <v>18.27</v>
      </c>
      <c r="F6372">
        <v>22.49</v>
      </c>
      <c r="G6372">
        <v>15.66</v>
      </c>
      <c r="H6372">
        <v>1.4</v>
      </c>
      <c r="I6372">
        <v>0.785</v>
      </c>
      <c r="J6372">
        <v>19.27</v>
      </c>
      <c r="K6372">
        <v>23.45</v>
      </c>
      <c r="L6372">
        <v>16.7</v>
      </c>
      <c r="M6372">
        <v>1.16</v>
      </c>
      <c r="N6372">
        <v>1.126</v>
      </c>
      <c r="O6372">
        <v>19.71</v>
      </c>
      <c r="P6372">
        <v>23.37</v>
      </c>
      <c r="Q6372">
        <v>17.44</v>
      </c>
      <c r="R6372">
        <v>3.37</v>
      </c>
    </row>
    <row r="6373">
      <c r="A6373" s="9">
        <v>44904</v>
      </c>
      <c r="B6373" s="2" t="inlineStr">
        <is>
          <t xml:space="preserve">2022-12</t>
        </is>
      </c>
      <c r="C6373" s="2" t="inlineStr">
        <is>
          <t xml:space="preserve">2022/23</t>
        </is>
      </c>
      <c r="D6373">
        <v>0.045</v>
      </c>
      <c r="E6373">
        <v>18.87</v>
      </c>
      <c r="F6373">
        <v>23.89</v>
      </c>
      <c r="G6373">
        <v>15.27</v>
      </c>
      <c r="H6373">
        <v>2.15</v>
      </c>
      <c r="I6373">
        <v>0.546</v>
      </c>
      <c r="J6373">
        <v>19.15</v>
      </c>
      <c r="K6373">
        <v>23.85</v>
      </c>
      <c r="L6373">
        <v>15.62</v>
      </c>
      <c r="M6373">
        <v>1.43</v>
      </c>
      <c r="N6373">
        <v>2.341</v>
      </c>
      <c r="O6373">
        <v>19.48</v>
      </c>
      <c r="P6373">
        <v>23.62</v>
      </c>
      <c r="Q6373">
        <v>17.18</v>
      </c>
      <c r="R6373">
        <v>4.34</v>
      </c>
    </row>
    <row r="6374">
      <c r="A6374" s="9">
        <v>44905</v>
      </c>
      <c r="B6374" s="2" t="inlineStr">
        <is>
          <t xml:space="preserve">2022-12</t>
        </is>
      </c>
      <c r="C6374" s="2" t="inlineStr">
        <is>
          <t xml:space="preserve">2022/23</t>
        </is>
      </c>
      <c r="D6374">
        <v>0.051</v>
      </c>
      <c r="E6374">
        <v>18.4</v>
      </c>
      <c r="F6374">
        <v>23.17</v>
      </c>
      <c r="G6374">
        <v>15.15</v>
      </c>
      <c r="H6374">
        <v>0.57</v>
      </c>
      <c r="I6374">
        <v>0.418</v>
      </c>
      <c r="J6374">
        <v>19.29</v>
      </c>
      <c r="K6374">
        <v>23.72</v>
      </c>
      <c r="L6374">
        <v>16.32</v>
      </c>
      <c r="M6374">
        <v>0.63</v>
      </c>
      <c r="N6374">
        <v>1.698</v>
      </c>
      <c r="O6374">
        <v>19.34</v>
      </c>
      <c r="P6374">
        <v>23.34</v>
      </c>
      <c r="Q6374">
        <v>16.72</v>
      </c>
      <c r="R6374">
        <v>1.85</v>
      </c>
    </row>
    <row r="6375">
      <c r="A6375" s="9">
        <v>44906</v>
      </c>
      <c r="B6375" s="2" t="inlineStr">
        <is>
          <t xml:space="preserve">2022-12</t>
        </is>
      </c>
      <c r="C6375" s="2" t="inlineStr">
        <is>
          <t xml:space="preserve">2022/23</t>
        </is>
      </c>
      <c r="D6375">
        <v>0.047</v>
      </c>
      <c r="E6375">
        <v>18.27</v>
      </c>
      <c r="F6375">
        <v>23.38</v>
      </c>
      <c r="G6375">
        <v>14.86</v>
      </c>
      <c r="H6375">
        <v>0.02</v>
      </c>
      <c r="I6375">
        <v>0.0</v>
      </c>
      <c r="J6375">
        <v>19.1</v>
      </c>
      <c r="K6375">
        <v>24.13</v>
      </c>
      <c r="L6375">
        <v>15.34</v>
      </c>
      <c r="M6375">
        <v>0.01</v>
      </c>
      <c r="N6375">
        <v>0.0</v>
      </c>
      <c r="O6375">
        <v>19.45</v>
      </c>
      <c r="P6375">
        <v>23.96</v>
      </c>
      <c r="Q6375">
        <v>16.24</v>
      </c>
      <c r="R6375">
        <v>0.02</v>
      </c>
    </row>
    <row r="6376">
      <c r="A6376" s="9">
        <v>44907</v>
      </c>
      <c r="B6376" s="2" t="inlineStr">
        <is>
          <t xml:space="preserve">2022-12</t>
        </is>
      </c>
      <c r="C6376" s="2" t="inlineStr">
        <is>
          <t xml:space="preserve">2022/23</t>
        </is>
      </c>
      <c r="D6376">
        <v>0.0</v>
      </c>
      <c r="E6376">
        <v>18.24</v>
      </c>
      <c r="F6376">
        <v>23.8</v>
      </c>
      <c r="G6376">
        <v>13.68</v>
      </c>
      <c r="H6376">
        <v>0.0</v>
      </c>
      <c r="I6376">
        <v>0.0</v>
      </c>
      <c r="J6376">
        <v>19.73</v>
      </c>
      <c r="K6376">
        <v>25.06</v>
      </c>
      <c r="L6376">
        <v>15.88</v>
      </c>
      <c r="M6376">
        <v>0.05</v>
      </c>
      <c r="N6376">
        <v>0.0</v>
      </c>
      <c r="O6376">
        <v>20.01</v>
      </c>
      <c r="P6376">
        <v>24.38</v>
      </c>
      <c r="Q6376">
        <v>17.14</v>
      </c>
      <c r="R6376">
        <v>0.0</v>
      </c>
    </row>
    <row r="6377">
      <c r="A6377" s="9">
        <v>44908</v>
      </c>
      <c r="B6377" s="2" t="inlineStr">
        <is>
          <t xml:space="preserve">2022-12</t>
        </is>
      </c>
      <c r="C6377" s="2" t="inlineStr">
        <is>
          <t xml:space="preserve">2022/23</t>
        </is>
      </c>
      <c r="D6377">
        <v>0.0</v>
      </c>
      <c r="E6377">
        <v>19.1</v>
      </c>
      <c r="F6377">
        <v>24.65</v>
      </c>
      <c r="G6377">
        <v>14.97</v>
      </c>
      <c r="H6377">
        <v>0.0</v>
      </c>
      <c r="I6377">
        <v>0.143</v>
      </c>
      <c r="J6377">
        <v>20.55</v>
      </c>
      <c r="K6377">
        <v>26.09</v>
      </c>
      <c r="L6377">
        <v>15.9</v>
      </c>
      <c r="M6377">
        <v>0.01</v>
      </c>
      <c r="N6377">
        <v>0.0</v>
      </c>
      <c r="O6377">
        <v>20.93</v>
      </c>
      <c r="P6377">
        <v>25.7</v>
      </c>
      <c r="Q6377">
        <v>17.53</v>
      </c>
      <c r="R6377">
        <v>0.0</v>
      </c>
    </row>
    <row r="6378">
      <c r="A6378" s="9">
        <v>44909</v>
      </c>
      <c r="B6378" s="2" t="inlineStr">
        <is>
          <t xml:space="preserve">2022-12</t>
        </is>
      </c>
      <c r="C6378" s="2" t="inlineStr">
        <is>
          <t xml:space="preserve">2022/23</t>
        </is>
      </c>
      <c r="D6378">
        <v>0.0</v>
      </c>
      <c r="E6378">
        <v>19.12</v>
      </c>
      <c r="F6378">
        <v>25.02</v>
      </c>
      <c r="G6378">
        <v>14.31</v>
      </c>
      <c r="H6378">
        <v>0.0</v>
      </c>
      <c r="I6378">
        <v>0.0</v>
      </c>
      <c r="J6378">
        <v>20.65</v>
      </c>
      <c r="K6378">
        <v>25.39</v>
      </c>
      <c r="L6378">
        <v>17.23</v>
      </c>
      <c r="M6378">
        <v>0.0</v>
      </c>
      <c r="N6378">
        <v>0.0</v>
      </c>
      <c r="O6378">
        <v>21.69</v>
      </c>
      <c r="P6378">
        <v>26.77</v>
      </c>
      <c r="Q6378">
        <v>17.31</v>
      </c>
      <c r="R6378">
        <v>0.0</v>
      </c>
    </row>
    <row r="6379">
      <c r="A6379" s="9">
        <v>44910</v>
      </c>
      <c r="B6379" s="2" t="inlineStr">
        <is>
          <t xml:space="preserve">2022-12</t>
        </is>
      </c>
      <c r="C6379" s="2" t="inlineStr">
        <is>
          <t xml:space="preserve">2022/23</t>
        </is>
      </c>
      <c r="D6379">
        <v>0.036</v>
      </c>
      <c r="E6379">
        <v>19.05</v>
      </c>
      <c r="F6379">
        <v>25.18</v>
      </c>
      <c r="G6379">
        <v>13.77</v>
      </c>
      <c r="H6379">
        <v>0.02</v>
      </c>
      <c r="I6379">
        <v>0.0</v>
      </c>
      <c r="J6379">
        <v>20.59</v>
      </c>
      <c r="K6379">
        <v>26.8</v>
      </c>
      <c r="L6379">
        <v>15.59</v>
      </c>
      <c r="M6379">
        <v>0.01</v>
      </c>
      <c r="N6379">
        <v>0.0</v>
      </c>
      <c r="O6379">
        <v>20.6</v>
      </c>
      <c r="P6379">
        <v>26.22</v>
      </c>
      <c r="Q6379">
        <v>16.25</v>
      </c>
      <c r="R6379">
        <v>0.02</v>
      </c>
    </row>
    <row r="6380">
      <c r="A6380" s="9">
        <v>44911</v>
      </c>
      <c r="B6380" s="2" t="inlineStr">
        <is>
          <t xml:space="preserve">2022-12</t>
        </is>
      </c>
      <c r="C6380" s="2" t="inlineStr">
        <is>
          <t xml:space="preserve">2022/23</t>
        </is>
      </c>
      <c r="D6380">
        <v>0.0</v>
      </c>
      <c r="E6380">
        <v>19.04</v>
      </c>
      <c r="F6380">
        <v>24.76</v>
      </c>
      <c r="G6380">
        <v>13.64</v>
      </c>
      <c r="H6380">
        <v>0.04</v>
      </c>
      <c r="I6380">
        <v>0.0</v>
      </c>
      <c r="J6380">
        <v>19.92</v>
      </c>
      <c r="K6380">
        <v>25.3</v>
      </c>
      <c r="L6380">
        <v>15.49</v>
      </c>
      <c r="M6380">
        <v>0.0</v>
      </c>
      <c r="N6380">
        <v>0.0</v>
      </c>
      <c r="O6380">
        <v>20.62</v>
      </c>
      <c r="P6380">
        <v>25.06</v>
      </c>
      <c r="Q6380">
        <v>17.26</v>
      </c>
      <c r="R6380">
        <v>0.0</v>
      </c>
    </row>
    <row r="6381">
      <c r="A6381" s="9">
        <v>44912</v>
      </c>
      <c r="B6381" s="2" t="inlineStr">
        <is>
          <t xml:space="preserve">2022-12</t>
        </is>
      </c>
      <c r="C6381" s="2" t="inlineStr">
        <is>
          <t xml:space="preserve">2022/23</t>
        </is>
      </c>
      <c r="D6381">
        <v>0.0</v>
      </c>
      <c r="E6381">
        <v>19.72</v>
      </c>
      <c r="F6381">
        <v>24.84</v>
      </c>
      <c r="G6381">
        <v>15.3</v>
      </c>
      <c r="H6381">
        <v>0.44</v>
      </c>
      <c r="I6381">
        <v>0.0</v>
      </c>
      <c r="J6381">
        <v>20.56</v>
      </c>
      <c r="K6381">
        <v>25.65</v>
      </c>
      <c r="L6381">
        <v>16.56</v>
      </c>
      <c r="M6381">
        <v>0.01</v>
      </c>
      <c r="N6381">
        <v>0.0</v>
      </c>
      <c r="O6381">
        <v>21.27</v>
      </c>
      <c r="P6381">
        <v>25.62</v>
      </c>
      <c r="Q6381">
        <v>18.35</v>
      </c>
      <c r="R6381">
        <v>0.09</v>
      </c>
    </row>
    <row r="6382">
      <c r="A6382" s="9">
        <v>44913</v>
      </c>
      <c r="B6382" s="2" t="inlineStr">
        <is>
          <t xml:space="preserve">2022-12</t>
        </is>
      </c>
      <c r="C6382" s="2" t="inlineStr">
        <is>
          <t xml:space="preserve">2022/23</t>
        </is>
      </c>
      <c r="D6382">
        <v>0.387</v>
      </c>
      <c r="E6382">
        <v>19.31</v>
      </c>
      <c r="F6382">
        <v>24.3</v>
      </c>
      <c r="G6382">
        <v>15.89</v>
      </c>
      <c r="H6382">
        <v>0.65</v>
      </c>
      <c r="I6382">
        <v>0.0</v>
      </c>
      <c r="J6382">
        <v>20.49</v>
      </c>
      <c r="K6382">
        <v>25.42</v>
      </c>
      <c r="L6382">
        <v>17.23</v>
      </c>
      <c r="M6382">
        <v>0.1</v>
      </c>
      <c r="N6382">
        <v>0.066</v>
      </c>
      <c r="O6382">
        <v>21.14</v>
      </c>
      <c r="P6382">
        <v>25.29</v>
      </c>
      <c r="Q6382">
        <v>18.71</v>
      </c>
      <c r="R6382">
        <v>0.55</v>
      </c>
    </row>
    <row r="6383">
      <c r="A6383" s="9">
        <v>44914</v>
      </c>
      <c r="B6383" s="2" t="inlineStr">
        <is>
          <t xml:space="preserve">2022-12</t>
        </is>
      </c>
      <c r="C6383" s="2" t="inlineStr">
        <is>
          <t xml:space="preserve">2022/23</t>
        </is>
      </c>
      <c r="D6383">
        <v>0.0</v>
      </c>
      <c r="E6383">
        <v>18.45</v>
      </c>
      <c r="F6383">
        <v>23.07</v>
      </c>
      <c r="G6383">
        <v>14.86</v>
      </c>
      <c r="H6383">
        <v>0.05</v>
      </c>
      <c r="I6383">
        <v>0.0</v>
      </c>
      <c r="J6383">
        <v>19.4</v>
      </c>
      <c r="K6383">
        <v>24.34</v>
      </c>
      <c r="L6383">
        <v>15.9</v>
      </c>
      <c r="M6383">
        <v>0.0</v>
      </c>
      <c r="N6383">
        <v>0.0</v>
      </c>
      <c r="O6383">
        <v>19.97</v>
      </c>
      <c r="P6383">
        <v>23.82</v>
      </c>
      <c r="Q6383">
        <v>16.62</v>
      </c>
      <c r="R6383">
        <v>0.0</v>
      </c>
    </row>
    <row r="6384">
      <c r="A6384" s="9">
        <v>44915</v>
      </c>
      <c r="B6384" s="2" t="inlineStr">
        <is>
          <t xml:space="preserve">2022-12</t>
        </is>
      </c>
      <c r="C6384" s="2" t="inlineStr">
        <is>
          <t xml:space="preserve">2022/23</t>
        </is>
      </c>
      <c r="D6384">
        <v>0.0</v>
      </c>
      <c r="E6384">
        <v>18.76</v>
      </c>
      <c r="F6384">
        <v>22.95</v>
      </c>
      <c r="G6384">
        <v>14.99</v>
      </c>
      <c r="H6384">
        <v>0.29</v>
      </c>
      <c r="I6384">
        <v>0.0</v>
      </c>
      <c r="J6384">
        <v>20.06</v>
      </c>
      <c r="K6384">
        <v>25.12</v>
      </c>
      <c r="L6384">
        <v>16.05</v>
      </c>
      <c r="M6384">
        <v>0.1</v>
      </c>
      <c r="N6384">
        <v>0.0</v>
      </c>
      <c r="O6384">
        <v>20.42</v>
      </c>
      <c r="P6384">
        <v>24.88</v>
      </c>
      <c r="Q6384">
        <v>17.21</v>
      </c>
      <c r="R6384">
        <v>0.78</v>
      </c>
    </row>
    <row r="6385">
      <c r="A6385" s="9">
        <v>44916</v>
      </c>
      <c r="B6385" s="2" t="inlineStr">
        <is>
          <t xml:space="preserve">2022-12</t>
        </is>
      </c>
      <c r="C6385" s="2" t="inlineStr">
        <is>
          <t xml:space="preserve">2022/23</t>
        </is>
      </c>
      <c r="D6385">
        <v>0.0</v>
      </c>
      <c r="E6385">
        <v>18.59</v>
      </c>
      <c r="F6385">
        <v>23.94</v>
      </c>
      <c r="G6385">
        <v>14.49</v>
      </c>
      <c r="H6385">
        <v>0.14</v>
      </c>
      <c r="I6385">
        <v>0.0</v>
      </c>
      <c r="J6385">
        <v>19.12</v>
      </c>
      <c r="K6385">
        <v>23.86</v>
      </c>
      <c r="L6385">
        <v>16.04</v>
      </c>
      <c r="M6385">
        <v>0.05</v>
      </c>
      <c r="N6385">
        <v>0.084</v>
      </c>
      <c r="O6385">
        <v>19.56</v>
      </c>
      <c r="P6385">
        <v>23.8</v>
      </c>
      <c r="Q6385">
        <v>16.68</v>
      </c>
      <c r="R6385">
        <v>0.4</v>
      </c>
    </row>
    <row r="6386">
      <c r="A6386" s="9">
        <v>44917</v>
      </c>
      <c r="B6386" s="2" t="inlineStr">
        <is>
          <t xml:space="preserve">2022-12</t>
        </is>
      </c>
      <c r="C6386" s="2" t="inlineStr">
        <is>
          <t xml:space="preserve">2022/23</t>
        </is>
      </c>
      <c r="D6386">
        <v>0.0</v>
      </c>
      <c r="E6386">
        <v>18.87</v>
      </c>
      <c r="F6386">
        <v>23.99</v>
      </c>
      <c r="G6386">
        <v>14.84</v>
      </c>
      <c r="H6386">
        <v>0.01</v>
      </c>
      <c r="I6386">
        <v>0.0</v>
      </c>
      <c r="J6386">
        <v>19.76</v>
      </c>
      <c r="K6386">
        <v>25.54</v>
      </c>
      <c r="L6386">
        <v>15.27</v>
      </c>
      <c r="M6386">
        <v>0.0</v>
      </c>
      <c r="N6386">
        <v>0.0</v>
      </c>
      <c r="O6386">
        <v>20.38</v>
      </c>
      <c r="P6386">
        <v>25.04</v>
      </c>
      <c r="Q6386">
        <v>17.46</v>
      </c>
      <c r="R6386">
        <v>0.04</v>
      </c>
    </row>
    <row r="6387">
      <c r="A6387" s="9">
        <v>44918</v>
      </c>
      <c r="B6387" s="2" t="inlineStr">
        <is>
          <t xml:space="preserve">2022-12</t>
        </is>
      </c>
      <c r="C6387" s="2" t="inlineStr">
        <is>
          <t xml:space="preserve">2022/23</t>
        </is>
      </c>
      <c r="D6387">
        <v>0.0</v>
      </c>
      <c r="E6387">
        <v>18.39</v>
      </c>
      <c r="F6387">
        <v>24.07</v>
      </c>
      <c r="G6387">
        <v>14.05</v>
      </c>
      <c r="H6387">
        <v>0.1</v>
      </c>
      <c r="I6387">
        <v>0.0</v>
      </c>
      <c r="J6387">
        <v>19.62</v>
      </c>
      <c r="K6387">
        <v>24.61</v>
      </c>
      <c r="L6387">
        <v>16.3</v>
      </c>
      <c r="M6387">
        <v>0.02</v>
      </c>
      <c r="N6387">
        <v>0.0</v>
      </c>
      <c r="O6387">
        <v>20.05</v>
      </c>
      <c r="P6387">
        <v>24.29</v>
      </c>
      <c r="Q6387">
        <v>17.11</v>
      </c>
      <c r="R6387">
        <v>0.12</v>
      </c>
    </row>
    <row r="6388">
      <c r="A6388" s="9">
        <v>44919</v>
      </c>
      <c r="B6388" s="2" t="inlineStr">
        <is>
          <t xml:space="preserve">2022-12</t>
        </is>
      </c>
      <c r="C6388" s="2" t="inlineStr">
        <is>
          <t xml:space="preserve">2022/23</t>
        </is>
      </c>
      <c r="D6388">
        <v>0.0</v>
      </c>
      <c r="E6388">
        <v>18.94</v>
      </c>
      <c r="F6388">
        <v>23.42</v>
      </c>
      <c r="G6388">
        <v>15.81</v>
      </c>
      <c r="H6388">
        <v>1.49</v>
      </c>
      <c r="I6388">
        <v>0.0</v>
      </c>
      <c r="J6388">
        <v>19.0</v>
      </c>
      <c r="K6388">
        <v>23.25</v>
      </c>
      <c r="L6388">
        <v>16.02</v>
      </c>
      <c r="M6388">
        <v>0.23</v>
      </c>
      <c r="N6388">
        <v>0.114</v>
      </c>
      <c r="O6388">
        <v>19.43</v>
      </c>
      <c r="P6388">
        <v>22.93</v>
      </c>
      <c r="Q6388">
        <v>17.16</v>
      </c>
      <c r="R6388">
        <v>1.61</v>
      </c>
    </row>
    <row r="6389">
      <c r="A6389" s="9">
        <v>44920</v>
      </c>
      <c r="B6389" s="2" t="inlineStr">
        <is>
          <t xml:space="preserve">2022-12</t>
        </is>
      </c>
      <c r="C6389" s="2" t="inlineStr">
        <is>
          <t xml:space="preserve">2022/23</t>
        </is>
      </c>
      <c r="D6389">
        <v>0.059</v>
      </c>
      <c r="E6389">
        <v>18.27</v>
      </c>
      <c r="F6389">
        <v>23.06</v>
      </c>
      <c r="G6389">
        <v>15.41</v>
      </c>
      <c r="H6389">
        <v>0.88</v>
      </c>
      <c r="I6389">
        <v>0.453</v>
      </c>
      <c r="J6389">
        <v>18.94</v>
      </c>
      <c r="K6389">
        <v>22.96</v>
      </c>
      <c r="L6389">
        <v>16.37</v>
      </c>
      <c r="M6389">
        <v>1.61</v>
      </c>
      <c r="N6389">
        <v>1.924</v>
      </c>
      <c r="O6389">
        <v>19.48</v>
      </c>
      <c r="P6389">
        <v>22.72</v>
      </c>
      <c r="Q6389">
        <v>17.29</v>
      </c>
      <c r="R6389">
        <v>3.54</v>
      </c>
    </row>
    <row r="6390">
      <c r="A6390" s="9">
        <v>44921</v>
      </c>
      <c r="B6390" s="2" t="inlineStr">
        <is>
          <t xml:space="preserve">2022-12</t>
        </is>
      </c>
      <c r="C6390" s="2" t="inlineStr">
        <is>
          <t xml:space="preserve">2022/23</t>
        </is>
      </c>
      <c r="D6390">
        <v>0.079</v>
      </c>
      <c r="E6390">
        <v>18.24</v>
      </c>
      <c r="F6390">
        <v>22.65</v>
      </c>
      <c r="G6390">
        <v>15.05</v>
      </c>
      <c r="H6390">
        <v>3.53</v>
      </c>
      <c r="I6390">
        <v>0.604</v>
      </c>
      <c r="J6390">
        <v>17.84</v>
      </c>
      <c r="K6390">
        <v>21.87</v>
      </c>
      <c r="L6390">
        <v>15.43</v>
      </c>
      <c r="M6390">
        <v>1.12</v>
      </c>
      <c r="N6390">
        <v>2.497</v>
      </c>
      <c r="O6390">
        <v>18.09</v>
      </c>
      <c r="P6390">
        <v>20.71</v>
      </c>
      <c r="Q6390">
        <v>16.31</v>
      </c>
      <c r="R6390">
        <v>6.95</v>
      </c>
    </row>
    <row r="6391">
      <c r="A6391" s="9">
        <v>44922</v>
      </c>
      <c r="B6391" s="2" t="inlineStr">
        <is>
          <t xml:space="preserve">2022-12</t>
        </is>
      </c>
      <c r="C6391" s="2" t="inlineStr">
        <is>
          <t xml:space="preserve">2022/23</t>
        </is>
      </c>
      <c r="D6391">
        <v>0.0</v>
      </c>
      <c r="E6391">
        <v>16.98</v>
      </c>
      <c r="F6391">
        <v>20.29</v>
      </c>
      <c r="G6391">
        <v>15.01</v>
      </c>
      <c r="H6391">
        <v>2.86</v>
      </c>
      <c r="I6391">
        <v>0.333</v>
      </c>
      <c r="J6391">
        <v>16.73</v>
      </c>
      <c r="K6391">
        <v>20.33</v>
      </c>
      <c r="L6391">
        <v>14.29</v>
      </c>
      <c r="M6391">
        <v>0.63</v>
      </c>
      <c r="N6391">
        <v>1.368</v>
      </c>
      <c r="O6391">
        <v>16.56</v>
      </c>
      <c r="P6391">
        <v>19.75</v>
      </c>
      <c r="Q6391">
        <v>14.66</v>
      </c>
      <c r="R6391">
        <v>4.36</v>
      </c>
    </row>
    <row r="6392">
      <c r="A6392" s="9">
        <v>44923</v>
      </c>
      <c r="B6392" s="2" t="inlineStr">
        <is>
          <t xml:space="preserve">2022-12</t>
        </is>
      </c>
      <c r="C6392" s="2" t="inlineStr">
        <is>
          <t xml:space="preserve">2022/23</t>
        </is>
      </c>
      <c r="D6392">
        <v>0.0</v>
      </c>
      <c r="E6392">
        <v>18.7</v>
      </c>
      <c r="F6392">
        <v>23.81</v>
      </c>
      <c r="G6392">
        <v>15.07</v>
      </c>
      <c r="H6392">
        <v>1.16</v>
      </c>
      <c r="I6392">
        <v>0.416</v>
      </c>
      <c r="J6392">
        <v>17.51</v>
      </c>
      <c r="K6392">
        <v>22.08</v>
      </c>
      <c r="L6392">
        <v>14.05</v>
      </c>
      <c r="M6392">
        <v>0.82</v>
      </c>
      <c r="N6392">
        <v>1.691</v>
      </c>
      <c r="O6392">
        <v>17.36</v>
      </c>
      <c r="P6392">
        <v>21.18</v>
      </c>
      <c r="Q6392">
        <v>14.5</v>
      </c>
      <c r="R6392">
        <v>3.32</v>
      </c>
    </row>
    <row r="6393">
      <c r="A6393" s="9">
        <v>44924</v>
      </c>
      <c r="B6393" s="2" t="inlineStr">
        <is>
          <t xml:space="preserve">2022-12</t>
        </is>
      </c>
      <c r="C6393" s="2" t="inlineStr">
        <is>
          <t xml:space="preserve">2022/23</t>
        </is>
      </c>
      <c r="D6393">
        <v>0.0</v>
      </c>
      <c r="E6393">
        <v>19.19</v>
      </c>
      <c r="F6393">
        <v>24.28</v>
      </c>
      <c r="G6393">
        <v>15.51</v>
      </c>
      <c r="H6393">
        <v>0.04</v>
      </c>
      <c r="I6393">
        <v>0.0</v>
      </c>
      <c r="J6393">
        <v>20.1</v>
      </c>
      <c r="K6393">
        <v>25.6</v>
      </c>
      <c r="L6393">
        <v>15.48</v>
      </c>
      <c r="M6393">
        <v>0.01</v>
      </c>
      <c r="N6393">
        <v>0.0</v>
      </c>
      <c r="O6393">
        <v>19.98</v>
      </c>
      <c r="P6393">
        <v>25.3</v>
      </c>
      <c r="Q6393">
        <v>16.64</v>
      </c>
      <c r="R6393">
        <v>0.14</v>
      </c>
    </row>
    <row r="6394">
      <c r="A6394" s="9">
        <v>44925</v>
      </c>
      <c r="B6394" s="2" t="inlineStr">
        <is>
          <t xml:space="preserve">2022-12</t>
        </is>
      </c>
      <c r="C6394" s="2" t="inlineStr">
        <is>
          <t xml:space="preserve">2022/23</t>
        </is>
      </c>
      <c r="D6394">
        <v>0.0</v>
      </c>
      <c r="E6394">
        <v>18.7</v>
      </c>
      <c r="F6394">
        <v>24.54</v>
      </c>
      <c r="G6394">
        <v>13.43</v>
      </c>
      <c r="H6394">
        <v>0.13</v>
      </c>
      <c r="I6394">
        <v>0.0</v>
      </c>
      <c r="J6394">
        <v>21.08</v>
      </c>
      <c r="K6394">
        <v>26.14</v>
      </c>
      <c r="L6394">
        <v>17.31</v>
      </c>
      <c r="M6394">
        <v>0.0</v>
      </c>
      <c r="N6394">
        <v>0.0</v>
      </c>
      <c r="O6394">
        <v>20.41</v>
      </c>
      <c r="P6394">
        <v>25.15</v>
      </c>
      <c r="Q6394">
        <v>17.44</v>
      </c>
      <c r="R6394">
        <v>0.0</v>
      </c>
    </row>
    <row r="6395">
      <c r="A6395" s="9">
        <v>44926</v>
      </c>
      <c r="B6395" s="2" t="inlineStr">
        <is>
          <t xml:space="preserve">2022-12</t>
        </is>
      </c>
      <c r="C6395" s="2" t="inlineStr">
        <is>
          <t xml:space="preserve">2022/23</t>
        </is>
      </c>
      <c r="D6395">
        <v>0.115</v>
      </c>
      <c r="E6395">
        <v>19.86</v>
      </c>
      <c r="F6395">
        <v>25.19</v>
      </c>
      <c r="G6395">
        <v>15.41</v>
      </c>
      <c r="H6395">
        <v>0.19</v>
      </c>
      <c r="I6395">
        <v>0.0</v>
      </c>
      <c r="J6395">
        <v>20.74</v>
      </c>
      <c r="K6395">
        <v>26.91</v>
      </c>
      <c r="L6395">
        <v>15.89</v>
      </c>
      <c r="M6395">
        <v>0.03</v>
      </c>
      <c r="N6395">
        <v>0.0</v>
      </c>
      <c r="O6395">
        <v>20.88</v>
      </c>
      <c r="P6395">
        <v>26.05</v>
      </c>
      <c r="Q6395">
        <v>16.75</v>
      </c>
      <c r="R6395">
        <v>0.0</v>
      </c>
    </row>
    <row r="6396">
      <c r="A6396" s="9">
        <v>44927</v>
      </c>
      <c r="B6396" s="2" t="inlineStr">
        <is>
          <t xml:space="preserve">2023-01</t>
        </is>
      </c>
      <c r="C6396" s="2" t="inlineStr">
        <is>
          <t xml:space="preserve">2022/23</t>
        </is>
      </c>
      <c r="D6396">
        <v>0.0</v>
      </c>
      <c r="E6396">
        <v>19.68</v>
      </c>
      <c r="F6396">
        <v>24.99</v>
      </c>
      <c r="G6396">
        <v>15.99</v>
      </c>
      <c r="H6396">
        <v>0.0</v>
      </c>
      <c r="I6396">
        <v>0.142</v>
      </c>
      <c r="J6396">
        <v>20.82</v>
      </c>
      <c r="K6396">
        <v>26.1</v>
      </c>
      <c r="L6396">
        <v>17.25</v>
      </c>
      <c r="M6396">
        <v>0.03</v>
      </c>
      <c r="N6396">
        <v>0.0</v>
      </c>
      <c r="O6396">
        <v>21.04</v>
      </c>
      <c r="P6396">
        <v>25.54</v>
      </c>
      <c r="Q6396">
        <v>18.17</v>
      </c>
      <c r="R6396">
        <v>0.0</v>
      </c>
    </row>
    <row r="6397">
      <c r="A6397" s="9">
        <v>44928</v>
      </c>
      <c r="B6397" s="2" t="inlineStr">
        <is>
          <t xml:space="preserve">2023-01</t>
        </is>
      </c>
      <c r="C6397" s="2" t="inlineStr">
        <is>
          <t xml:space="preserve">2022/23</t>
        </is>
      </c>
      <c r="D6397">
        <v>0.0</v>
      </c>
      <c r="E6397">
        <v>19.34</v>
      </c>
      <c r="F6397">
        <v>24.62</v>
      </c>
      <c r="G6397">
        <v>15.03</v>
      </c>
      <c r="H6397">
        <v>0.0</v>
      </c>
      <c r="I6397">
        <v>0.0</v>
      </c>
      <c r="J6397">
        <v>21.12</v>
      </c>
      <c r="K6397">
        <v>26.41</v>
      </c>
      <c r="L6397">
        <v>16.36</v>
      </c>
      <c r="M6397">
        <v>0.0</v>
      </c>
      <c r="N6397">
        <v>0.0</v>
      </c>
      <c r="O6397">
        <v>21.31</v>
      </c>
      <c r="P6397">
        <v>26.15</v>
      </c>
      <c r="Q6397">
        <v>17.93</v>
      </c>
      <c r="R6397">
        <v>0.0</v>
      </c>
    </row>
    <row r="6398">
      <c r="A6398" s="9">
        <v>44929</v>
      </c>
      <c r="B6398" s="2" t="inlineStr">
        <is>
          <t xml:space="preserve">2023-01</t>
        </is>
      </c>
      <c r="C6398" s="2" t="inlineStr">
        <is>
          <t xml:space="preserve">2022/23</t>
        </is>
      </c>
      <c r="D6398">
        <v>0.0</v>
      </c>
      <c r="E6398">
        <v>19.46</v>
      </c>
      <c r="F6398">
        <v>25.37</v>
      </c>
      <c r="G6398">
        <v>14.31</v>
      </c>
      <c r="H6398">
        <v>0.0</v>
      </c>
      <c r="I6398">
        <v>0.0</v>
      </c>
      <c r="J6398">
        <v>21.94</v>
      </c>
      <c r="K6398">
        <v>27.53</v>
      </c>
      <c r="L6398">
        <v>17.44</v>
      </c>
      <c r="M6398">
        <v>0.0</v>
      </c>
      <c r="N6398">
        <v>0.0</v>
      </c>
      <c r="O6398">
        <v>21.59</v>
      </c>
      <c r="P6398">
        <v>26.52</v>
      </c>
      <c r="Q6398">
        <v>17.62</v>
      </c>
      <c r="R6398">
        <v>0.0</v>
      </c>
    </row>
    <row r="6399">
      <c r="A6399" s="9">
        <v>44930</v>
      </c>
      <c r="B6399" s="2" t="inlineStr">
        <is>
          <t xml:space="preserve">2023-01</t>
        </is>
      </c>
      <c r="C6399" s="2" t="inlineStr">
        <is>
          <t xml:space="preserve">2022/23</t>
        </is>
      </c>
      <c r="D6399">
        <v>0.0</v>
      </c>
      <c r="E6399">
        <v>19.11</v>
      </c>
      <c r="F6399">
        <v>25.01</v>
      </c>
      <c r="G6399">
        <v>14.3</v>
      </c>
      <c r="H6399">
        <v>0.02</v>
      </c>
      <c r="I6399">
        <v>0.0</v>
      </c>
      <c r="J6399">
        <v>20.9</v>
      </c>
      <c r="K6399">
        <v>26.39</v>
      </c>
      <c r="L6399">
        <v>17.08</v>
      </c>
      <c r="M6399">
        <v>0.0</v>
      </c>
      <c r="N6399">
        <v>0.0</v>
      </c>
      <c r="O6399">
        <v>21.03</v>
      </c>
      <c r="P6399">
        <v>25.83</v>
      </c>
      <c r="Q6399">
        <v>17.36</v>
      </c>
      <c r="R6399">
        <v>0.0</v>
      </c>
    </row>
    <row r="6400">
      <c r="A6400" s="9">
        <v>44931</v>
      </c>
      <c r="B6400" s="2" t="inlineStr">
        <is>
          <t xml:space="preserve">2023-01</t>
        </is>
      </c>
      <c r="C6400" s="2" t="inlineStr">
        <is>
          <t xml:space="preserve">2022/23</t>
        </is>
      </c>
      <c r="D6400">
        <v>0.0</v>
      </c>
      <c r="E6400">
        <v>18.91</v>
      </c>
      <c r="F6400">
        <v>23.72</v>
      </c>
      <c r="G6400">
        <v>15.72</v>
      </c>
      <c r="H6400">
        <v>0.11</v>
      </c>
      <c r="I6400">
        <v>0.0</v>
      </c>
      <c r="J6400">
        <v>19.73</v>
      </c>
      <c r="K6400">
        <v>24.74</v>
      </c>
      <c r="L6400">
        <v>16.25</v>
      </c>
      <c r="M6400">
        <v>0.05</v>
      </c>
      <c r="N6400">
        <v>0.0</v>
      </c>
      <c r="O6400">
        <v>20.37</v>
      </c>
      <c r="P6400">
        <v>24.63</v>
      </c>
      <c r="Q6400">
        <v>17.43</v>
      </c>
      <c r="R6400">
        <v>0.21</v>
      </c>
    </row>
    <row r="6401">
      <c r="A6401" s="9">
        <v>44932</v>
      </c>
      <c r="B6401" s="2" t="inlineStr">
        <is>
          <t xml:space="preserve">2023-01</t>
        </is>
      </c>
      <c r="C6401" s="2" t="inlineStr">
        <is>
          <t xml:space="preserve">2022/23</t>
        </is>
      </c>
      <c r="D6401">
        <v>0.0</v>
      </c>
      <c r="E6401">
        <v>18.36</v>
      </c>
      <c r="F6401">
        <v>22.82</v>
      </c>
      <c r="G6401">
        <v>14.97</v>
      </c>
      <c r="H6401">
        <v>0.61</v>
      </c>
      <c r="I6401">
        <v>0.0</v>
      </c>
      <c r="J6401">
        <v>18.66</v>
      </c>
      <c r="K6401">
        <v>22.96</v>
      </c>
      <c r="L6401">
        <v>15.88</v>
      </c>
      <c r="M6401">
        <v>0.28</v>
      </c>
      <c r="N6401">
        <v>0.061</v>
      </c>
      <c r="O6401">
        <v>19.02</v>
      </c>
      <c r="P6401">
        <v>22.74</v>
      </c>
      <c r="Q6401">
        <v>16.75</v>
      </c>
      <c r="R6401">
        <v>1.36</v>
      </c>
    </row>
    <row r="6402">
      <c r="A6402" s="9">
        <v>44933</v>
      </c>
      <c r="B6402" s="2" t="inlineStr">
        <is>
          <t xml:space="preserve">2023-01</t>
        </is>
      </c>
      <c r="C6402" s="2" t="inlineStr">
        <is>
          <t xml:space="preserve">2022/23</t>
        </is>
      </c>
      <c r="D6402">
        <v>0.033</v>
      </c>
      <c r="E6402">
        <v>18.99</v>
      </c>
      <c r="F6402">
        <v>23.65</v>
      </c>
      <c r="G6402">
        <v>15.34</v>
      </c>
      <c r="H6402">
        <v>1.61</v>
      </c>
      <c r="I6402">
        <v>0.419</v>
      </c>
      <c r="J6402">
        <v>19.07</v>
      </c>
      <c r="K6402">
        <v>23.86</v>
      </c>
      <c r="L6402">
        <v>15.35</v>
      </c>
      <c r="M6402">
        <v>1.08</v>
      </c>
      <c r="N6402">
        <v>1.725</v>
      </c>
      <c r="O6402">
        <v>19.58</v>
      </c>
      <c r="P6402">
        <v>23.85</v>
      </c>
      <c r="Q6402">
        <v>16.28</v>
      </c>
      <c r="R6402">
        <v>2.71</v>
      </c>
    </row>
    <row r="6403">
      <c r="A6403" s="9">
        <v>44934</v>
      </c>
      <c r="B6403" s="2" t="inlineStr">
        <is>
          <t xml:space="preserve">2023-01</t>
        </is>
      </c>
      <c r="C6403" s="2" t="inlineStr">
        <is>
          <t xml:space="preserve">2022/23</t>
        </is>
      </c>
      <c r="D6403">
        <v>0.297</v>
      </c>
      <c r="E6403">
        <v>19.18</v>
      </c>
      <c r="F6403">
        <v>23.62</v>
      </c>
      <c r="G6403">
        <v>16.25</v>
      </c>
      <c r="H6403">
        <v>18.6</v>
      </c>
      <c r="I6403">
        <v>0.435</v>
      </c>
      <c r="J6403">
        <v>20.0</v>
      </c>
      <c r="K6403">
        <v>24.81</v>
      </c>
      <c r="L6403">
        <v>16.72</v>
      </c>
      <c r="M6403">
        <v>103.18</v>
      </c>
      <c r="N6403">
        <v>1.79</v>
      </c>
      <c r="O6403">
        <v>20.07</v>
      </c>
      <c r="P6403">
        <v>24.1</v>
      </c>
      <c r="Q6403">
        <v>17.71</v>
      </c>
      <c r="R6403">
        <v>94.89</v>
      </c>
    </row>
    <row r="6404">
      <c r="A6404" s="9">
        <v>44935</v>
      </c>
      <c r="B6404" s="2" t="inlineStr">
        <is>
          <t xml:space="preserve">2023-01</t>
        </is>
      </c>
      <c r="C6404" s="2" t="inlineStr">
        <is>
          <t xml:space="preserve">2022/23</t>
        </is>
      </c>
      <c r="D6404">
        <v>0.0</v>
      </c>
      <c r="E6404">
        <v>19.06</v>
      </c>
      <c r="F6404">
        <v>23.41</v>
      </c>
      <c r="G6404">
        <v>16.04</v>
      </c>
      <c r="H6404">
        <v>29.84</v>
      </c>
      <c r="I6404">
        <v>0.0</v>
      </c>
      <c r="J6404">
        <v>19.49</v>
      </c>
      <c r="K6404">
        <v>23.68</v>
      </c>
      <c r="L6404">
        <v>16.28</v>
      </c>
      <c r="M6404">
        <v>242.91</v>
      </c>
      <c r="N6404">
        <v>1.01</v>
      </c>
      <c r="O6404">
        <v>19.78</v>
      </c>
      <c r="P6404">
        <v>23.58</v>
      </c>
      <c r="Q6404">
        <v>17.21</v>
      </c>
      <c r="R6404">
        <v>213.56</v>
      </c>
    </row>
    <row r="6405">
      <c r="A6405" s="9">
        <v>44936</v>
      </c>
      <c r="B6405" s="2" t="inlineStr">
        <is>
          <t xml:space="preserve">2023-01</t>
        </is>
      </c>
      <c r="C6405" s="2" t="inlineStr">
        <is>
          <t xml:space="preserve">2022/23</t>
        </is>
      </c>
      <c r="D6405">
        <v>0.0</v>
      </c>
      <c r="E6405">
        <v>18.95</v>
      </c>
      <c r="F6405">
        <v>23.21</v>
      </c>
      <c r="G6405">
        <v>15.88</v>
      </c>
      <c r="H6405">
        <v>0.77</v>
      </c>
      <c r="I6405">
        <v>1.677</v>
      </c>
      <c r="J6405">
        <v>19.37</v>
      </c>
      <c r="K6405">
        <v>23.66</v>
      </c>
      <c r="L6405">
        <v>16.38</v>
      </c>
      <c r="M6405">
        <v>3.13</v>
      </c>
      <c r="N6405">
        <v>6.871</v>
      </c>
      <c r="O6405">
        <v>19.6</v>
      </c>
      <c r="P6405">
        <v>23.38</v>
      </c>
      <c r="Q6405">
        <v>16.9</v>
      </c>
      <c r="R6405">
        <v>4.03</v>
      </c>
    </row>
    <row r="6406">
      <c r="A6406" s="9">
        <v>44937</v>
      </c>
      <c r="B6406" s="2" t="inlineStr">
        <is>
          <t xml:space="preserve">2023-01</t>
        </is>
      </c>
      <c r="C6406" s="2" t="inlineStr">
        <is>
          <t xml:space="preserve">2022/23</t>
        </is>
      </c>
      <c r="D6406">
        <v>0.0</v>
      </c>
      <c r="E6406">
        <v>19.03</v>
      </c>
      <c r="F6406">
        <v>23.72</v>
      </c>
      <c r="G6406">
        <v>15.6</v>
      </c>
      <c r="H6406">
        <v>0.26</v>
      </c>
      <c r="I6406">
        <v>0.626</v>
      </c>
      <c r="J6406">
        <v>19.4</v>
      </c>
      <c r="K6406">
        <v>24.12</v>
      </c>
      <c r="L6406">
        <v>16.17</v>
      </c>
      <c r="M6406">
        <v>0.85</v>
      </c>
      <c r="N6406">
        <v>2.544</v>
      </c>
      <c r="O6406">
        <v>19.66</v>
      </c>
      <c r="P6406">
        <v>24.03</v>
      </c>
      <c r="Q6406">
        <v>16.64</v>
      </c>
      <c r="R6406">
        <v>0.91</v>
      </c>
    </row>
    <row r="6407">
      <c r="A6407" s="9">
        <v>44938</v>
      </c>
      <c r="B6407" s="2" t="inlineStr">
        <is>
          <t xml:space="preserve">2023-01</t>
        </is>
      </c>
      <c r="C6407" s="2" t="inlineStr">
        <is>
          <t xml:space="preserve">2022/23</t>
        </is>
      </c>
      <c r="D6407">
        <v>0.0</v>
      </c>
      <c r="E6407">
        <v>19.35</v>
      </c>
      <c r="F6407">
        <v>24.37</v>
      </c>
      <c r="G6407">
        <v>15.44</v>
      </c>
      <c r="H6407">
        <v>1.18</v>
      </c>
      <c r="I6407">
        <v>0.0</v>
      </c>
      <c r="J6407">
        <v>20.13</v>
      </c>
      <c r="K6407">
        <v>25.39</v>
      </c>
      <c r="L6407">
        <v>16.11</v>
      </c>
      <c r="M6407">
        <v>0.19</v>
      </c>
      <c r="N6407">
        <v>0.0</v>
      </c>
      <c r="O6407">
        <v>20.22</v>
      </c>
      <c r="P6407">
        <v>24.95</v>
      </c>
      <c r="Q6407">
        <v>16.75</v>
      </c>
      <c r="R6407">
        <v>1.28</v>
      </c>
    </row>
    <row r="6408">
      <c r="A6408" s="9">
        <v>44939</v>
      </c>
      <c r="B6408" s="2" t="inlineStr">
        <is>
          <t xml:space="preserve">2023-01</t>
        </is>
      </c>
      <c r="C6408" s="2" t="inlineStr">
        <is>
          <t xml:space="preserve">2022/23</t>
        </is>
      </c>
      <c r="D6408">
        <v>0.18</v>
      </c>
      <c r="E6408">
        <v>18.32</v>
      </c>
      <c r="F6408">
        <v>22.38</v>
      </c>
      <c r="G6408">
        <v>15.28</v>
      </c>
      <c r="H6408">
        <v>1.82</v>
      </c>
      <c r="I6408">
        <v>0.21</v>
      </c>
      <c r="J6408">
        <v>19.14</v>
      </c>
      <c r="K6408">
        <v>22.64</v>
      </c>
      <c r="L6408">
        <v>17.05</v>
      </c>
      <c r="M6408">
        <v>0.82</v>
      </c>
      <c r="N6408">
        <v>1.053</v>
      </c>
      <c r="O6408">
        <v>19.33</v>
      </c>
      <c r="P6408">
        <v>22.82</v>
      </c>
      <c r="Q6408">
        <v>17.14</v>
      </c>
      <c r="R6408">
        <v>3.98</v>
      </c>
    </row>
    <row r="6409">
      <c r="A6409" s="9">
        <v>44940</v>
      </c>
      <c r="B6409" s="2" t="inlineStr">
        <is>
          <t xml:space="preserve">2023-01</t>
        </is>
      </c>
      <c r="C6409" s="2" t="inlineStr">
        <is>
          <t xml:space="preserve">2022/23</t>
        </is>
      </c>
      <c r="D6409">
        <v>0.0</v>
      </c>
      <c r="E6409">
        <v>15.91</v>
      </c>
      <c r="F6409">
        <v>21.17</v>
      </c>
      <c r="G6409">
        <v>12.07</v>
      </c>
      <c r="H6409">
        <v>1.64</v>
      </c>
      <c r="I6409">
        <v>0.425</v>
      </c>
      <c r="J6409">
        <v>16.14</v>
      </c>
      <c r="K6409">
        <v>19.03</v>
      </c>
      <c r="L6409">
        <v>12.67</v>
      </c>
      <c r="M6409">
        <v>0.99</v>
      </c>
      <c r="N6409">
        <v>1.808</v>
      </c>
      <c r="O6409">
        <v>16.27</v>
      </c>
      <c r="P6409">
        <v>18.5</v>
      </c>
      <c r="Q6409">
        <v>13.65</v>
      </c>
      <c r="R6409">
        <v>4.58</v>
      </c>
    </row>
    <row r="6410">
      <c r="A6410" s="9">
        <v>44941</v>
      </c>
      <c r="B6410" s="2" t="inlineStr">
        <is>
          <t xml:space="preserve">2023-01</t>
        </is>
      </c>
      <c r="C6410" s="2" t="inlineStr">
        <is>
          <t xml:space="preserve">2022/23</t>
        </is>
      </c>
      <c r="D6410">
        <v>0.0</v>
      </c>
      <c r="E6410">
        <v>15.59</v>
      </c>
      <c r="F6410">
        <v>21.45</v>
      </c>
      <c r="G6410">
        <v>11.29</v>
      </c>
      <c r="H6410">
        <v>0.04</v>
      </c>
      <c r="I6410">
        <v>0.0</v>
      </c>
      <c r="J6410">
        <v>15.13</v>
      </c>
      <c r="K6410">
        <v>21.06</v>
      </c>
      <c r="L6410">
        <v>10.89</v>
      </c>
      <c r="M6410">
        <v>0.0</v>
      </c>
      <c r="N6410">
        <v>0.0</v>
      </c>
      <c r="O6410">
        <v>15.92</v>
      </c>
      <c r="P6410">
        <v>20.91</v>
      </c>
      <c r="Q6410">
        <v>12.36</v>
      </c>
      <c r="R6410">
        <v>0.18</v>
      </c>
    </row>
    <row r="6411">
      <c r="A6411" s="9">
        <v>44942</v>
      </c>
      <c r="B6411" s="2" t="inlineStr">
        <is>
          <t xml:space="preserve">2023-01</t>
        </is>
      </c>
      <c r="C6411" s="2" t="inlineStr">
        <is>
          <t xml:space="preserve">2022/23</t>
        </is>
      </c>
      <c r="D6411">
        <v>0.0</v>
      </c>
      <c r="E6411">
        <v>17.72</v>
      </c>
      <c r="F6411">
        <v>24.7</v>
      </c>
      <c r="G6411">
        <v>11.65</v>
      </c>
      <c r="H6411">
        <v>0.0</v>
      </c>
      <c r="I6411">
        <v>0.0</v>
      </c>
      <c r="J6411">
        <v>18.93</v>
      </c>
      <c r="K6411">
        <v>26.06</v>
      </c>
      <c r="L6411">
        <v>12.85</v>
      </c>
      <c r="M6411">
        <v>0.0</v>
      </c>
      <c r="N6411">
        <v>0.0</v>
      </c>
      <c r="O6411">
        <v>18.88</v>
      </c>
      <c r="P6411">
        <v>25.14</v>
      </c>
      <c r="Q6411">
        <v>14.17</v>
      </c>
      <c r="R6411">
        <v>0.0</v>
      </c>
    </row>
    <row r="6412">
      <c r="A6412" s="9">
        <v>44943</v>
      </c>
      <c r="B6412" s="2" t="inlineStr">
        <is>
          <t xml:space="preserve">2023-01</t>
        </is>
      </c>
      <c r="C6412" s="2" t="inlineStr">
        <is>
          <t xml:space="preserve">2022/23</t>
        </is>
      </c>
      <c r="D6412">
        <v>0.0</v>
      </c>
      <c r="E6412">
        <v>18.69</v>
      </c>
      <c r="F6412">
        <v>25.4</v>
      </c>
      <c r="G6412">
        <v>12.44</v>
      </c>
      <c r="H6412">
        <v>0.0</v>
      </c>
      <c r="I6412">
        <v>0.0</v>
      </c>
      <c r="J6412">
        <v>19.51</v>
      </c>
      <c r="K6412">
        <v>25.68</v>
      </c>
      <c r="L6412">
        <v>14.27</v>
      </c>
      <c r="M6412">
        <v>0.0</v>
      </c>
      <c r="N6412">
        <v>0.0</v>
      </c>
      <c r="O6412">
        <v>20.19</v>
      </c>
      <c r="P6412">
        <v>26.29</v>
      </c>
      <c r="Q6412">
        <v>14.19</v>
      </c>
      <c r="R6412">
        <v>0.0</v>
      </c>
    </row>
    <row r="6413">
      <c r="A6413" s="9">
        <v>44944</v>
      </c>
      <c r="B6413" s="2" t="inlineStr">
        <is>
          <t xml:space="preserve">2023-01</t>
        </is>
      </c>
      <c r="C6413" s="2" t="inlineStr">
        <is>
          <t xml:space="preserve">2022/23</t>
        </is>
      </c>
      <c r="D6413">
        <v>0.0</v>
      </c>
      <c r="E6413">
        <v>18.94</v>
      </c>
      <c r="F6413">
        <v>25.46</v>
      </c>
      <c r="G6413">
        <v>13.34</v>
      </c>
      <c r="H6413">
        <v>0.0</v>
      </c>
      <c r="I6413">
        <v>0.0</v>
      </c>
      <c r="J6413">
        <v>19.55</v>
      </c>
      <c r="K6413">
        <v>25.48</v>
      </c>
      <c r="L6413">
        <v>15.73</v>
      </c>
      <c r="M6413">
        <v>0.0</v>
      </c>
      <c r="N6413">
        <v>0.0</v>
      </c>
      <c r="O6413">
        <v>20.61</v>
      </c>
      <c r="P6413">
        <v>26.44</v>
      </c>
      <c r="Q6413">
        <v>15.24</v>
      </c>
      <c r="R6413">
        <v>0.0</v>
      </c>
    </row>
    <row r="6414">
      <c r="A6414" s="9">
        <v>44945</v>
      </c>
      <c r="B6414" s="2" t="inlineStr">
        <is>
          <t xml:space="preserve">2023-01</t>
        </is>
      </c>
      <c r="C6414" s="2" t="inlineStr">
        <is>
          <t xml:space="preserve">2022/23</t>
        </is>
      </c>
      <c r="D6414">
        <v>0.0</v>
      </c>
      <c r="E6414">
        <v>19.57</v>
      </c>
      <c r="F6414">
        <v>25.83</v>
      </c>
      <c r="G6414">
        <v>13.95</v>
      </c>
      <c r="H6414">
        <v>0.0</v>
      </c>
      <c r="I6414">
        <v>0.0</v>
      </c>
      <c r="J6414">
        <v>20.11</v>
      </c>
      <c r="K6414">
        <v>26.35</v>
      </c>
      <c r="L6414">
        <v>14.71</v>
      </c>
      <c r="M6414">
        <v>0.0</v>
      </c>
      <c r="N6414">
        <v>0.0</v>
      </c>
      <c r="O6414">
        <v>20.13</v>
      </c>
      <c r="P6414">
        <v>26.44</v>
      </c>
      <c r="Q6414">
        <v>14.95</v>
      </c>
      <c r="R6414">
        <v>0.0</v>
      </c>
    </row>
    <row r="6415">
      <c r="A6415" s="9">
        <v>44946</v>
      </c>
      <c r="B6415" s="2" t="inlineStr">
        <is>
          <t xml:space="preserve">2023-01</t>
        </is>
      </c>
      <c r="C6415" s="2" t="inlineStr">
        <is>
          <t xml:space="preserve">2022/23</t>
        </is>
      </c>
      <c r="D6415">
        <v>0.0</v>
      </c>
      <c r="E6415">
        <v>19.61</v>
      </c>
      <c r="F6415">
        <v>25.2</v>
      </c>
      <c r="G6415">
        <v>15.24</v>
      </c>
      <c r="H6415">
        <v>0.03</v>
      </c>
      <c r="I6415">
        <v>0.0</v>
      </c>
      <c r="J6415">
        <v>20.55</v>
      </c>
      <c r="K6415">
        <v>25.78</v>
      </c>
      <c r="L6415">
        <v>15.86</v>
      </c>
      <c r="M6415">
        <v>0.0</v>
      </c>
      <c r="N6415">
        <v>0.0</v>
      </c>
      <c r="O6415">
        <v>21.02</v>
      </c>
      <c r="P6415">
        <v>25.63</v>
      </c>
      <c r="Q6415">
        <v>17.41</v>
      </c>
      <c r="R6415">
        <v>0.0</v>
      </c>
    </row>
    <row r="6416">
      <c r="A6416" s="9">
        <v>44947</v>
      </c>
      <c r="B6416" s="2" t="inlineStr">
        <is>
          <t xml:space="preserve">2023-01</t>
        </is>
      </c>
      <c r="C6416" s="2" t="inlineStr">
        <is>
          <t xml:space="preserve">2022/23</t>
        </is>
      </c>
      <c r="D6416">
        <v>0.0</v>
      </c>
      <c r="E6416">
        <v>18.77</v>
      </c>
      <c r="F6416">
        <v>24.45</v>
      </c>
      <c r="G6416">
        <v>13.68</v>
      </c>
      <c r="H6416">
        <v>0.01</v>
      </c>
      <c r="I6416">
        <v>0.0</v>
      </c>
      <c r="J6416">
        <v>20.52</v>
      </c>
      <c r="K6416">
        <v>25.98</v>
      </c>
      <c r="L6416">
        <v>16.85</v>
      </c>
      <c r="M6416">
        <v>0.0</v>
      </c>
      <c r="N6416">
        <v>0.0</v>
      </c>
      <c r="O6416">
        <v>20.27</v>
      </c>
      <c r="P6416">
        <v>25.06</v>
      </c>
      <c r="Q6416">
        <v>17.21</v>
      </c>
      <c r="R6416">
        <v>0.0</v>
      </c>
    </row>
    <row r="6417">
      <c r="A6417" s="9">
        <v>44948</v>
      </c>
      <c r="B6417" s="2" t="inlineStr">
        <is>
          <t xml:space="preserve">2023-01</t>
        </is>
      </c>
      <c r="C6417" s="2" t="inlineStr">
        <is>
          <t xml:space="preserve">2022/23</t>
        </is>
      </c>
      <c r="D6417">
        <v>0.0</v>
      </c>
      <c r="E6417">
        <v>18.95</v>
      </c>
      <c r="F6417">
        <v>25.11</v>
      </c>
      <c r="G6417">
        <v>14.12</v>
      </c>
      <c r="H6417">
        <v>0.0</v>
      </c>
      <c r="I6417">
        <v>0.0</v>
      </c>
      <c r="J6417">
        <v>20.73</v>
      </c>
      <c r="K6417">
        <v>25.86</v>
      </c>
      <c r="L6417">
        <v>16.58</v>
      </c>
      <c r="M6417">
        <v>0.0</v>
      </c>
      <c r="N6417">
        <v>0.0</v>
      </c>
      <c r="O6417">
        <v>20.69</v>
      </c>
      <c r="P6417">
        <v>26.58</v>
      </c>
      <c r="Q6417">
        <v>15.88</v>
      </c>
      <c r="R6417">
        <v>0.0</v>
      </c>
    </row>
    <row r="6418">
      <c r="A6418" s="9">
        <v>44949</v>
      </c>
      <c r="B6418" s="2" t="inlineStr">
        <is>
          <t xml:space="preserve">2023-01</t>
        </is>
      </c>
      <c r="C6418" s="2" t="inlineStr">
        <is>
          <t xml:space="preserve">2022/23</t>
        </is>
      </c>
      <c r="D6418">
        <v>0.0</v>
      </c>
      <c r="E6418">
        <v>18.31</v>
      </c>
      <c r="F6418">
        <v>24.68</v>
      </c>
      <c r="G6418">
        <v>12.39</v>
      </c>
      <c r="H6418">
        <v>0.01</v>
      </c>
      <c r="I6418">
        <v>0.0</v>
      </c>
      <c r="J6418">
        <v>19.67</v>
      </c>
      <c r="K6418">
        <v>24.95</v>
      </c>
      <c r="L6418">
        <v>15.5</v>
      </c>
      <c r="M6418">
        <v>0.0</v>
      </c>
      <c r="N6418">
        <v>0.0</v>
      </c>
      <c r="O6418">
        <v>20.23</v>
      </c>
      <c r="P6418">
        <v>24.8</v>
      </c>
      <c r="Q6418">
        <v>17.0</v>
      </c>
      <c r="R6418">
        <v>0.0</v>
      </c>
    </row>
    <row r="6419">
      <c r="A6419" s="9">
        <v>44950</v>
      </c>
      <c r="B6419" s="2" t="inlineStr">
        <is>
          <t xml:space="preserve">2023-01</t>
        </is>
      </c>
      <c r="C6419" s="2" t="inlineStr">
        <is>
          <t xml:space="preserve">2022/23</t>
        </is>
      </c>
      <c r="D6419">
        <v>0.0</v>
      </c>
      <c r="E6419">
        <v>19.4</v>
      </c>
      <c r="F6419">
        <v>25.31</v>
      </c>
      <c r="G6419">
        <v>14.15</v>
      </c>
      <c r="H6419">
        <v>0.02</v>
      </c>
      <c r="I6419">
        <v>0.0</v>
      </c>
      <c r="J6419">
        <v>20.57</v>
      </c>
      <c r="K6419">
        <v>26.09</v>
      </c>
      <c r="L6419">
        <v>15.93</v>
      </c>
      <c r="M6419">
        <v>0.0</v>
      </c>
      <c r="N6419">
        <v>0.0</v>
      </c>
      <c r="O6419">
        <v>20.55</v>
      </c>
      <c r="P6419">
        <v>25.59</v>
      </c>
      <c r="Q6419">
        <v>16.78</v>
      </c>
      <c r="R6419">
        <v>0.0</v>
      </c>
    </row>
    <row r="6420">
      <c r="A6420" s="9">
        <v>44951</v>
      </c>
      <c r="B6420" s="2" t="inlineStr">
        <is>
          <t xml:space="preserve">2023-01</t>
        </is>
      </c>
      <c r="C6420" s="2" t="inlineStr">
        <is>
          <t xml:space="preserve">2022/23</t>
        </is>
      </c>
      <c r="D6420">
        <v>0.0</v>
      </c>
      <c r="E6420">
        <v>20.67</v>
      </c>
      <c r="F6420">
        <v>27.36</v>
      </c>
      <c r="G6420">
        <v>14.62</v>
      </c>
      <c r="H6420">
        <v>0.14</v>
      </c>
      <c r="I6420">
        <v>0.0</v>
      </c>
      <c r="J6420">
        <v>21.32</v>
      </c>
      <c r="K6420">
        <v>28.25</v>
      </c>
      <c r="L6420">
        <v>16.2</v>
      </c>
      <c r="M6420">
        <v>0.21</v>
      </c>
      <c r="N6420">
        <v>0.0</v>
      </c>
      <c r="O6420">
        <v>21.52</v>
      </c>
      <c r="P6420">
        <v>27.97</v>
      </c>
      <c r="Q6420">
        <v>16.34</v>
      </c>
      <c r="R6420">
        <v>0.33</v>
      </c>
    </row>
    <row r="6421">
      <c r="A6421" s="9">
        <v>44952</v>
      </c>
      <c r="B6421" s="2" t="inlineStr">
        <is>
          <t xml:space="preserve">2023-01</t>
        </is>
      </c>
      <c r="C6421" s="2" t="inlineStr">
        <is>
          <t xml:space="preserve">2022/23</t>
        </is>
      </c>
      <c r="D6421">
        <v>0.0</v>
      </c>
      <c r="E6421">
        <v>19.69</v>
      </c>
      <c r="F6421">
        <v>24.32</v>
      </c>
      <c r="G6421">
        <v>16.78</v>
      </c>
      <c r="H6421">
        <v>0.54</v>
      </c>
      <c r="I6421">
        <v>0.836</v>
      </c>
      <c r="J6421">
        <v>19.98</v>
      </c>
      <c r="K6421">
        <v>24.21</v>
      </c>
      <c r="L6421">
        <v>17.23</v>
      </c>
      <c r="M6421">
        <v>1.45</v>
      </c>
      <c r="N6421">
        <v>3.414</v>
      </c>
      <c r="O6421">
        <v>20.08</v>
      </c>
      <c r="P6421">
        <v>24.15</v>
      </c>
      <c r="Q6421">
        <v>17.25</v>
      </c>
      <c r="R6421">
        <v>2.29</v>
      </c>
    </row>
    <row r="6422">
      <c r="A6422" s="9">
        <v>44953</v>
      </c>
      <c r="B6422" s="2" t="inlineStr">
        <is>
          <t xml:space="preserve">2023-01</t>
        </is>
      </c>
      <c r="C6422" s="2" t="inlineStr">
        <is>
          <t xml:space="preserve">2022/23</t>
        </is>
      </c>
      <c r="D6422">
        <v>0.0</v>
      </c>
      <c r="E6422">
        <v>18.48</v>
      </c>
      <c r="F6422">
        <v>23.59</v>
      </c>
      <c r="G6422">
        <v>14.67</v>
      </c>
      <c r="H6422">
        <v>0.27</v>
      </c>
      <c r="I6422">
        <v>0.0</v>
      </c>
      <c r="J6422">
        <v>19.3</v>
      </c>
      <c r="K6422">
        <v>23.39</v>
      </c>
      <c r="L6422">
        <v>16.26</v>
      </c>
      <c r="M6422">
        <v>0.1</v>
      </c>
      <c r="N6422">
        <v>0.072</v>
      </c>
      <c r="O6422">
        <v>19.62</v>
      </c>
      <c r="P6422">
        <v>23.16</v>
      </c>
      <c r="Q6422">
        <v>17.64</v>
      </c>
      <c r="R6422">
        <v>0.82</v>
      </c>
    </row>
    <row r="6423">
      <c r="A6423" s="9">
        <v>44954</v>
      </c>
      <c r="B6423" s="2" t="inlineStr">
        <is>
          <t xml:space="preserve">2023-01</t>
        </is>
      </c>
      <c r="C6423" s="2" t="inlineStr">
        <is>
          <t xml:space="preserve">2022/23</t>
        </is>
      </c>
      <c r="D6423">
        <v>0.0</v>
      </c>
      <c r="E6423">
        <v>18.0</v>
      </c>
      <c r="F6423">
        <v>24.25</v>
      </c>
      <c r="G6423">
        <v>13.33</v>
      </c>
      <c r="H6423">
        <v>0.0</v>
      </c>
      <c r="I6423">
        <v>0.0</v>
      </c>
      <c r="J6423">
        <v>18.97</v>
      </c>
      <c r="K6423">
        <v>24.28</v>
      </c>
      <c r="L6423">
        <v>14.94</v>
      </c>
      <c r="M6423">
        <v>0.0</v>
      </c>
      <c r="N6423">
        <v>0.0</v>
      </c>
      <c r="O6423">
        <v>19.43</v>
      </c>
      <c r="P6423">
        <v>23.9</v>
      </c>
      <c r="Q6423">
        <v>15.83</v>
      </c>
      <c r="R6423">
        <v>0.0</v>
      </c>
    </row>
    <row r="6424">
      <c r="A6424" s="9">
        <v>44955</v>
      </c>
      <c r="B6424" s="2" t="inlineStr">
        <is>
          <t xml:space="preserve">2023-01</t>
        </is>
      </c>
      <c r="C6424" s="2" t="inlineStr">
        <is>
          <t xml:space="preserve">2022/23</t>
        </is>
      </c>
      <c r="D6424">
        <v>0.0</v>
      </c>
      <c r="E6424">
        <v>18.62</v>
      </c>
      <c r="F6424">
        <v>24.96</v>
      </c>
      <c r="G6424">
        <v>13.22</v>
      </c>
      <c r="H6424">
        <v>0.04</v>
      </c>
      <c r="I6424">
        <v>0.0</v>
      </c>
      <c r="J6424">
        <v>18.97</v>
      </c>
      <c r="K6424">
        <v>24.31</v>
      </c>
      <c r="L6424">
        <v>14.73</v>
      </c>
      <c r="M6424">
        <v>0.0</v>
      </c>
      <c r="N6424">
        <v>0.0</v>
      </c>
      <c r="O6424">
        <v>19.31</v>
      </c>
      <c r="P6424">
        <v>24.11</v>
      </c>
      <c r="Q6424">
        <v>15.76</v>
      </c>
      <c r="R6424">
        <v>0.06</v>
      </c>
    </row>
    <row r="6425">
      <c r="A6425" s="9">
        <v>44956</v>
      </c>
      <c r="B6425" s="2" t="inlineStr">
        <is>
          <t xml:space="preserve">2023-01</t>
        </is>
      </c>
      <c r="C6425" s="2" t="inlineStr">
        <is>
          <t xml:space="preserve">2022/23</t>
        </is>
      </c>
      <c r="D6425">
        <v>0.0</v>
      </c>
      <c r="E6425">
        <v>19.06</v>
      </c>
      <c r="F6425">
        <v>24.95</v>
      </c>
      <c r="G6425">
        <v>13.95</v>
      </c>
      <c r="H6425">
        <v>0.06</v>
      </c>
      <c r="I6425">
        <v>0.0</v>
      </c>
      <c r="J6425">
        <v>19.78</v>
      </c>
      <c r="K6425">
        <v>25.41</v>
      </c>
      <c r="L6425">
        <v>15.67</v>
      </c>
      <c r="M6425">
        <v>0.0</v>
      </c>
      <c r="N6425">
        <v>0.0</v>
      </c>
      <c r="O6425">
        <v>19.92</v>
      </c>
      <c r="P6425">
        <v>24.54</v>
      </c>
      <c r="Q6425">
        <v>16.46</v>
      </c>
      <c r="R6425">
        <v>0.11</v>
      </c>
    </row>
    <row r="6426">
      <c r="A6426" s="9">
        <v>44957</v>
      </c>
      <c r="B6426" s="2" t="inlineStr">
        <is>
          <t xml:space="preserve">2023-01</t>
        </is>
      </c>
      <c r="C6426" s="2" t="inlineStr">
        <is>
          <t xml:space="preserve">2022/23</t>
        </is>
      </c>
      <c r="D6426">
        <v>0.0</v>
      </c>
      <c r="E6426">
        <v>19.42</v>
      </c>
      <c r="F6426">
        <v>25.48</v>
      </c>
      <c r="G6426">
        <v>14.58</v>
      </c>
      <c r="H6426">
        <v>0.05</v>
      </c>
      <c r="I6426">
        <v>0.0</v>
      </c>
      <c r="J6426">
        <v>20.39</v>
      </c>
      <c r="K6426">
        <v>26.18</v>
      </c>
      <c r="L6426">
        <v>16.07</v>
      </c>
      <c r="M6426">
        <v>0.0</v>
      </c>
      <c r="N6426">
        <v>0.0</v>
      </c>
      <c r="O6426">
        <v>20.49</v>
      </c>
      <c r="P6426">
        <v>25.31</v>
      </c>
      <c r="Q6426">
        <v>17.25</v>
      </c>
      <c r="R6426">
        <v>0.01</v>
      </c>
    </row>
    <row r="6427">
      <c r="A6427" s="9">
        <v>44958</v>
      </c>
      <c r="B6427" s="2" t="inlineStr">
        <is>
          <t xml:space="preserve">2023-02</t>
        </is>
      </c>
      <c r="C6427" s="2" t="inlineStr">
        <is>
          <t xml:space="preserve">2022/23</t>
        </is>
      </c>
      <c r="D6427">
        <v>0.0</v>
      </c>
      <c r="E6427">
        <v>19.19</v>
      </c>
      <c r="F6427">
        <v>24.99</v>
      </c>
      <c r="G6427">
        <v>14.81</v>
      </c>
      <c r="H6427">
        <v>0.01</v>
      </c>
      <c r="I6427">
        <v>0.0</v>
      </c>
      <c r="J6427">
        <v>20.22</v>
      </c>
      <c r="K6427">
        <v>25.59</v>
      </c>
      <c r="L6427">
        <v>16.52</v>
      </c>
      <c r="M6427">
        <v>0.0</v>
      </c>
      <c r="N6427">
        <v>0.0</v>
      </c>
      <c r="O6427">
        <v>20.4</v>
      </c>
      <c r="P6427">
        <v>24.73</v>
      </c>
      <c r="Q6427">
        <v>17.26</v>
      </c>
      <c r="R6427">
        <v>0.02</v>
      </c>
    </row>
    <row r="6428">
      <c r="A6428" s="9">
        <v>44959</v>
      </c>
      <c r="B6428" s="2" t="inlineStr">
        <is>
          <t xml:space="preserve">2023-02</t>
        </is>
      </c>
      <c r="C6428" s="2" t="inlineStr">
        <is>
          <t xml:space="preserve">2022/23</t>
        </is>
      </c>
      <c r="D6428">
        <v>0.0</v>
      </c>
      <c r="E6428">
        <v>18.55</v>
      </c>
      <c r="F6428">
        <v>25.01</v>
      </c>
      <c r="G6428">
        <v>12.96</v>
      </c>
      <c r="H6428">
        <v>0.0</v>
      </c>
      <c r="I6428">
        <v>0.0</v>
      </c>
      <c r="J6428">
        <v>19.47</v>
      </c>
      <c r="K6428">
        <v>24.5</v>
      </c>
      <c r="L6428">
        <v>16.13</v>
      </c>
      <c r="M6428">
        <v>0.0</v>
      </c>
      <c r="N6428">
        <v>0.0</v>
      </c>
      <c r="O6428">
        <v>19.64</v>
      </c>
      <c r="P6428">
        <v>23.9</v>
      </c>
      <c r="Q6428">
        <v>16.38</v>
      </c>
      <c r="R6428">
        <v>0.0</v>
      </c>
    </row>
    <row r="6429">
      <c r="A6429" s="9">
        <v>44960</v>
      </c>
      <c r="B6429" s="2" t="inlineStr">
        <is>
          <t xml:space="preserve">2023-02</t>
        </is>
      </c>
      <c r="C6429" s="2" t="inlineStr">
        <is>
          <t xml:space="preserve">2022/23</t>
        </is>
      </c>
      <c r="D6429">
        <v>0.0</v>
      </c>
      <c r="E6429">
        <v>18.8</v>
      </c>
      <c r="F6429">
        <v>24.66</v>
      </c>
      <c r="G6429">
        <v>14.41</v>
      </c>
      <c r="H6429">
        <v>0.0</v>
      </c>
      <c r="I6429">
        <v>0.0</v>
      </c>
      <c r="J6429">
        <v>19.49</v>
      </c>
      <c r="K6429">
        <v>24.28</v>
      </c>
      <c r="L6429">
        <v>16.27</v>
      </c>
      <c r="M6429">
        <v>0.0</v>
      </c>
      <c r="N6429">
        <v>0.0</v>
      </c>
      <c r="O6429">
        <v>19.98</v>
      </c>
      <c r="P6429">
        <v>24.02</v>
      </c>
      <c r="Q6429">
        <v>16.8</v>
      </c>
      <c r="R6429">
        <v>0.0</v>
      </c>
    </row>
    <row r="6430">
      <c r="A6430" s="9">
        <v>44961</v>
      </c>
      <c r="B6430" s="2" t="inlineStr">
        <is>
          <t xml:space="preserve">2023-02</t>
        </is>
      </c>
      <c r="C6430" s="2" t="inlineStr">
        <is>
          <t xml:space="preserve">2022/23</t>
        </is>
      </c>
      <c r="D6430">
        <v>0.0</v>
      </c>
      <c r="E6430">
        <v>18.84</v>
      </c>
      <c r="F6430">
        <v>24.52</v>
      </c>
      <c r="G6430">
        <v>14.46</v>
      </c>
      <c r="H6430">
        <v>0.24</v>
      </c>
      <c r="I6430">
        <v>0.0</v>
      </c>
      <c r="J6430">
        <v>19.04</v>
      </c>
      <c r="K6430">
        <v>24.05</v>
      </c>
      <c r="L6430">
        <v>15.46</v>
      </c>
      <c r="M6430">
        <v>0.06</v>
      </c>
      <c r="N6430">
        <v>0.0</v>
      </c>
      <c r="O6430">
        <v>19.21</v>
      </c>
      <c r="P6430">
        <v>23.95</v>
      </c>
      <c r="Q6430">
        <v>15.76</v>
      </c>
      <c r="R6430">
        <v>0.5</v>
      </c>
    </row>
    <row r="6431">
      <c r="A6431" s="9">
        <v>44962</v>
      </c>
      <c r="B6431" s="2" t="inlineStr">
        <is>
          <t xml:space="preserve">2023-02</t>
        </is>
      </c>
      <c r="C6431" s="2" t="inlineStr">
        <is>
          <t xml:space="preserve">2022/23</t>
        </is>
      </c>
      <c r="D6431">
        <v>0.0</v>
      </c>
      <c r="E6431">
        <v>18.62</v>
      </c>
      <c r="F6431">
        <v>23.97</v>
      </c>
      <c r="G6431">
        <v>14.88</v>
      </c>
      <c r="H6431">
        <v>0.7</v>
      </c>
      <c r="I6431">
        <v>0.0</v>
      </c>
      <c r="J6431">
        <v>18.79</v>
      </c>
      <c r="K6431">
        <v>23.61</v>
      </c>
      <c r="L6431">
        <v>15.26</v>
      </c>
      <c r="M6431">
        <v>0.19</v>
      </c>
      <c r="N6431">
        <v>0.104</v>
      </c>
      <c r="O6431">
        <v>19.05</v>
      </c>
      <c r="P6431">
        <v>23.43</v>
      </c>
      <c r="Q6431">
        <v>16.37</v>
      </c>
      <c r="R6431">
        <v>1.62</v>
      </c>
    </row>
    <row r="6432">
      <c r="A6432" s="9">
        <v>44963</v>
      </c>
      <c r="B6432" s="2" t="inlineStr">
        <is>
          <t xml:space="preserve">2023-02</t>
        </is>
      </c>
      <c r="C6432" s="2" t="inlineStr">
        <is>
          <t xml:space="preserve">2022/23</t>
        </is>
      </c>
      <c r="D6432">
        <v>0.0</v>
      </c>
      <c r="E6432">
        <v>18.77</v>
      </c>
      <c r="F6432">
        <v>24.87</v>
      </c>
      <c r="G6432">
        <v>14.76</v>
      </c>
      <c r="H6432">
        <v>0.31</v>
      </c>
      <c r="I6432">
        <v>0.0</v>
      </c>
      <c r="J6432">
        <v>18.71</v>
      </c>
      <c r="K6432">
        <v>23.79</v>
      </c>
      <c r="L6432">
        <v>15.27</v>
      </c>
      <c r="M6432">
        <v>0.14</v>
      </c>
      <c r="N6432">
        <v>0.082</v>
      </c>
      <c r="O6432">
        <v>19.02</v>
      </c>
      <c r="P6432">
        <v>23.33</v>
      </c>
      <c r="Q6432">
        <v>16.44</v>
      </c>
      <c r="R6432">
        <v>1.1</v>
      </c>
    </row>
    <row r="6433">
      <c r="A6433" s="9">
        <v>44964</v>
      </c>
      <c r="B6433" s="2" t="inlineStr">
        <is>
          <t xml:space="preserve">2023-02</t>
        </is>
      </c>
      <c r="C6433" s="2" t="inlineStr">
        <is>
          <t xml:space="preserve">2022/23</t>
        </is>
      </c>
      <c r="D6433">
        <v>0.0</v>
      </c>
      <c r="E6433">
        <v>19.88</v>
      </c>
      <c r="F6433">
        <v>26.34</v>
      </c>
      <c r="G6433">
        <v>14.7</v>
      </c>
      <c r="H6433">
        <v>0.04</v>
      </c>
      <c r="I6433">
        <v>0.0</v>
      </c>
      <c r="J6433">
        <v>19.92</v>
      </c>
      <c r="K6433">
        <v>26.28</v>
      </c>
      <c r="L6433">
        <v>14.92</v>
      </c>
      <c r="M6433">
        <v>0.0</v>
      </c>
      <c r="N6433">
        <v>0.0</v>
      </c>
      <c r="O6433">
        <v>20.0</v>
      </c>
      <c r="P6433">
        <v>25.46</v>
      </c>
      <c r="Q6433">
        <v>15.71</v>
      </c>
      <c r="R6433">
        <v>0.0</v>
      </c>
    </row>
    <row r="6434">
      <c r="A6434" s="9">
        <v>44965</v>
      </c>
      <c r="B6434" s="2" t="inlineStr">
        <is>
          <t xml:space="preserve">2023-02</t>
        </is>
      </c>
      <c r="C6434" s="2" t="inlineStr">
        <is>
          <t xml:space="preserve">2022/23</t>
        </is>
      </c>
      <c r="D6434">
        <v>0.0</v>
      </c>
      <c r="E6434">
        <v>20.55</v>
      </c>
      <c r="F6434">
        <v>27.31</v>
      </c>
      <c r="G6434">
        <v>14.81</v>
      </c>
      <c r="H6434">
        <v>0.02</v>
      </c>
      <c r="I6434">
        <v>0.0</v>
      </c>
      <c r="J6434">
        <v>21.23</v>
      </c>
      <c r="K6434">
        <v>27.19</v>
      </c>
      <c r="L6434">
        <v>16.98</v>
      </c>
      <c r="M6434">
        <v>0.0</v>
      </c>
      <c r="N6434">
        <v>0.0</v>
      </c>
      <c r="O6434">
        <v>21.38</v>
      </c>
      <c r="P6434">
        <v>26.21</v>
      </c>
      <c r="Q6434">
        <v>18.42</v>
      </c>
      <c r="R6434">
        <v>0.0</v>
      </c>
    </row>
    <row r="6435">
      <c r="A6435" s="9">
        <v>44966</v>
      </c>
      <c r="B6435" s="2" t="inlineStr">
        <is>
          <t xml:space="preserve">2023-02</t>
        </is>
      </c>
      <c r="C6435" s="2" t="inlineStr">
        <is>
          <t xml:space="preserve">2022/23</t>
        </is>
      </c>
      <c r="D6435">
        <v>0.0</v>
      </c>
      <c r="E6435">
        <v>20.33</v>
      </c>
      <c r="F6435">
        <v>26.56</v>
      </c>
      <c r="G6435">
        <v>14.73</v>
      </c>
      <c r="H6435">
        <v>0.45</v>
      </c>
      <c r="I6435">
        <v>0.0</v>
      </c>
      <c r="J6435">
        <v>20.77</v>
      </c>
      <c r="K6435">
        <v>25.91</v>
      </c>
      <c r="L6435">
        <v>17.11</v>
      </c>
      <c r="M6435">
        <v>0.0</v>
      </c>
      <c r="N6435">
        <v>0.0</v>
      </c>
      <c r="O6435">
        <v>21.14</v>
      </c>
      <c r="P6435">
        <v>25.6</v>
      </c>
      <c r="Q6435">
        <v>18.42</v>
      </c>
      <c r="R6435">
        <v>0.09</v>
      </c>
    </row>
    <row r="6436">
      <c r="A6436" s="9">
        <v>44967</v>
      </c>
      <c r="B6436" s="2" t="inlineStr">
        <is>
          <t xml:space="preserve">2023-02</t>
        </is>
      </c>
      <c r="C6436" s="2" t="inlineStr">
        <is>
          <t xml:space="preserve">2022/23</t>
        </is>
      </c>
      <c r="D6436">
        <v>0.088</v>
      </c>
      <c r="E6436">
        <v>19.78</v>
      </c>
      <c r="F6436">
        <v>26.19</v>
      </c>
      <c r="G6436">
        <v>15.23</v>
      </c>
      <c r="H6436">
        <v>0.23</v>
      </c>
      <c r="I6436">
        <v>0.0</v>
      </c>
      <c r="J6436">
        <v>20.54</v>
      </c>
      <c r="K6436">
        <v>26.25</v>
      </c>
      <c r="L6436">
        <v>16.89</v>
      </c>
      <c r="M6436">
        <v>0.0</v>
      </c>
      <c r="N6436">
        <v>0.0</v>
      </c>
      <c r="O6436">
        <v>20.66</v>
      </c>
      <c r="P6436">
        <v>25.26</v>
      </c>
      <c r="Q6436">
        <v>17.7</v>
      </c>
      <c r="R6436">
        <v>0.06</v>
      </c>
    </row>
    <row r="6437">
      <c r="A6437" s="9">
        <v>44968</v>
      </c>
      <c r="B6437" s="2" t="inlineStr">
        <is>
          <t xml:space="preserve">2023-02</t>
        </is>
      </c>
      <c r="C6437" s="2" t="inlineStr">
        <is>
          <t xml:space="preserve">2022/23</t>
        </is>
      </c>
      <c r="D6437">
        <v>0.0</v>
      </c>
      <c r="E6437">
        <v>19.46</v>
      </c>
      <c r="F6437">
        <v>25.69</v>
      </c>
      <c r="G6437">
        <v>14.41</v>
      </c>
      <c r="H6437">
        <v>0.38</v>
      </c>
      <c r="I6437">
        <v>0.0</v>
      </c>
      <c r="J6437">
        <v>19.88</v>
      </c>
      <c r="K6437">
        <v>24.74</v>
      </c>
      <c r="L6437">
        <v>16.18</v>
      </c>
      <c r="M6437">
        <v>0.34</v>
      </c>
      <c r="N6437">
        <v>0.0</v>
      </c>
      <c r="O6437">
        <v>20.18</v>
      </c>
      <c r="P6437">
        <v>24.51</v>
      </c>
      <c r="Q6437">
        <v>17.27</v>
      </c>
      <c r="R6437">
        <v>0.81</v>
      </c>
    </row>
    <row r="6438">
      <c r="A6438" s="9">
        <v>44969</v>
      </c>
      <c r="B6438" s="2" t="inlineStr">
        <is>
          <t xml:space="preserve">2023-02</t>
        </is>
      </c>
      <c r="C6438" s="2" t="inlineStr">
        <is>
          <t xml:space="preserve">2022/23</t>
        </is>
      </c>
      <c r="D6438">
        <v>0.0</v>
      </c>
      <c r="E6438">
        <v>19.11</v>
      </c>
      <c r="F6438">
        <v>24.32</v>
      </c>
      <c r="G6438">
        <v>15.82</v>
      </c>
      <c r="H6438">
        <v>2.79</v>
      </c>
      <c r="I6438">
        <v>1.395</v>
      </c>
      <c r="J6438">
        <v>18.73</v>
      </c>
      <c r="K6438">
        <v>23.18</v>
      </c>
      <c r="L6438">
        <v>15.97</v>
      </c>
      <c r="M6438">
        <v>2.53</v>
      </c>
      <c r="N6438">
        <v>5.707</v>
      </c>
      <c r="O6438">
        <v>18.56</v>
      </c>
      <c r="P6438">
        <v>22.35</v>
      </c>
      <c r="Q6438">
        <v>16.11</v>
      </c>
      <c r="R6438">
        <v>6.3</v>
      </c>
    </row>
    <row r="6439">
      <c r="A6439" s="9">
        <v>44970</v>
      </c>
      <c r="B6439" s="2" t="inlineStr">
        <is>
          <t xml:space="preserve">2023-02</t>
        </is>
      </c>
      <c r="C6439" s="2" t="inlineStr">
        <is>
          <t xml:space="preserve">2022/23</t>
        </is>
      </c>
      <c r="D6439">
        <v>0.103</v>
      </c>
      <c r="E6439">
        <v>18.83</v>
      </c>
      <c r="F6439">
        <v>24.77</v>
      </c>
      <c r="G6439">
        <v>14.81</v>
      </c>
      <c r="H6439">
        <v>1.52</v>
      </c>
      <c r="I6439">
        <v>0.0</v>
      </c>
      <c r="J6439">
        <v>18.81</v>
      </c>
      <c r="K6439">
        <v>24.33</v>
      </c>
      <c r="L6439">
        <v>14.92</v>
      </c>
      <c r="M6439">
        <v>0.15</v>
      </c>
      <c r="N6439">
        <v>0.169</v>
      </c>
      <c r="O6439">
        <v>18.83</v>
      </c>
      <c r="P6439">
        <v>23.54</v>
      </c>
      <c r="Q6439">
        <v>15.85</v>
      </c>
      <c r="R6439">
        <v>1.68</v>
      </c>
    </row>
    <row r="6440">
      <c r="A6440" s="9">
        <v>44971</v>
      </c>
      <c r="B6440" s="2" t="inlineStr">
        <is>
          <t xml:space="preserve">2023-02</t>
        </is>
      </c>
      <c r="C6440" s="2" t="inlineStr">
        <is>
          <t xml:space="preserve">2022/23</t>
        </is>
      </c>
      <c r="D6440">
        <v>0.0</v>
      </c>
      <c r="E6440">
        <v>19.9</v>
      </c>
      <c r="F6440">
        <v>27.22</v>
      </c>
      <c r="G6440">
        <v>14.41</v>
      </c>
      <c r="H6440">
        <v>0.12</v>
      </c>
      <c r="I6440">
        <v>0.0</v>
      </c>
      <c r="J6440">
        <v>20.65</v>
      </c>
      <c r="K6440">
        <v>27.07</v>
      </c>
      <c r="L6440">
        <v>15.37</v>
      </c>
      <c r="M6440">
        <v>0.0</v>
      </c>
      <c r="N6440">
        <v>0.0</v>
      </c>
      <c r="O6440">
        <v>20.04</v>
      </c>
      <c r="P6440">
        <v>25.89</v>
      </c>
      <c r="Q6440">
        <v>16.02</v>
      </c>
      <c r="R6440">
        <v>0.07</v>
      </c>
    </row>
    <row r="6441">
      <c r="A6441" s="9">
        <v>44972</v>
      </c>
      <c r="B6441" s="2" t="inlineStr">
        <is>
          <t xml:space="preserve">2023-02</t>
        </is>
      </c>
      <c r="C6441" s="2" t="inlineStr">
        <is>
          <t xml:space="preserve">2022/23</t>
        </is>
      </c>
      <c r="D6441">
        <v>0.0</v>
      </c>
      <c r="E6441">
        <v>20.58</v>
      </c>
      <c r="F6441">
        <v>28.26</v>
      </c>
      <c r="G6441">
        <v>14.12</v>
      </c>
      <c r="H6441">
        <v>0.0</v>
      </c>
      <c r="I6441">
        <v>0.0</v>
      </c>
      <c r="J6441">
        <v>21.85</v>
      </c>
      <c r="K6441">
        <v>27.93</v>
      </c>
      <c r="L6441">
        <v>15.79</v>
      </c>
      <c r="M6441">
        <v>0.0</v>
      </c>
      <c r="N6441">
        <v>0.0</v>
      </c>
      <c r="O6441">
        <v>21.53</v>
      </c>
      <c r="P6441">
        <v>27.38</v>
      </c>
      <c r="Q6441">
        <v>17.52</v>
      </c>
      <c r="R6441">
        <v>0.0</v>
      </c>
    </row>
    <row r="6442">
      <c r="A6442" s="9">
        <v>44973</v>
      </c>
      <c r="B6442" s="2" t="inlineStr">
        <is>
          <t xml:space="preserve">2023-02</t>
        </is>
      </c>
      <c r="C6442" s="2" t="inlineStr">
        <is>
          <t xml:space="preserve">2022/23</t>
        </is>
      </c>
      <c r="D6442">
        <v>0.0</v>
      </c>
      <c r="E6442">
        <v>21.08</v>
      </c>
      <c r="F6442">
        <v>28.6</v>
      </c>
      <c r="G6442">
        <v>14.37</v>
      </c>
      <c r="H6442">
        <v>0.0</v>
      </c>
      <c r="I6442">
        <v>0.0</v>
      </c>
      <c r="J6442">
        <v>21.88</v>
      </c>
      <c r="K6442">
        <v>27.77</v>
      </c>
      <c r="L6442">
        <v>16.8</v>
      </c>
      <c r="M6442">
        <v>0.0</v>
      </c>
      <c r="N6442">
        <v>0.0</v>
      </c>
      <c r="O6442">
        <v>21.51</v>
      </c>
      <c r="P6442">
        <v>27.83</v>
      </c>
      <c r="Q6442">
        <v>15.56</v>
      </c>
      <c r="R6442">
        <v>0.0</v>
      </c>
    </row>
    <row r="6443">
      <c r="A6443" s="9">
        <v>44974</v>
      </c>
      <c r="B6443" s="2" t="inlineStr">
        <is>
          <t xml:space="preserve">2023-02</t>
        </is>
      </c>
      <c r="C6443" s="2" t="inlineStr">
        <is>
          <t xml:space="preserve">2022/23</t>
        </is>
      </c>
      <c r="D6443">
        <v>0.0</v>
      </c>
      <c r="E6443">
        <v>20.48</v>
      </c>
      <c r="F6443">
        <v>27.42</v>
      </c>
      <c r="G6443">
        <v>14.57</v>
      </c>
      <c r="H6443">
        <v>0.01</v>
      </c>
      <c r="I6443">
        <v>0.0</v>
      </c>
      <c r="J6443">
        <v>21.05</v>
      </c>
      <c r="K6443">
        <v>26.53</v>
      </c>
      <c r="L6443">
        <v>16.54</v>
      </c>
      <c r="M6443">
        <v>0.0</v>
      </c>
      <c r="N6443">
        <v>0.0</v>
      </c>
      <c r="O6443">
        <v>21.09</v>
      </c>
      <c r="P6443">
        <v>25.98</v>
      </c>
      <c r="Q6443">
        <v>18.06</v>
      </c>
      <c r="R6443">
        <v>0.03</v>
      </c>
    </row>
    <row r="6444">
      <c r="A6444" s="9">
        <v>44975</v>
      </c>
      <c r="B6444" s="2" t="inlineStr">
        <is>
          <t xml:space="preserve">2023-02</t>
        </is>
      </c>
      <c r="C6444" s="2" t="inlineStr">
        <is>
          <t xml:space="preserve">2022/23</t>
        </is>
      </c>
      <c r="D6444">
        <v>0.0</v>
      </c>
      <c r="E6444">
        <v>19.78</v>
      </c>
      <c r="F6444">
        <v>26.15</v>
      </c>
      <c r="G6444">
        <v>14.45</v>
      </c>
      <c r="H6444">
        <v>0.43</v>
      </c>
      <c r="I6444">
        <v>0.0</v>
      </c>
      <c r="J6444">
        <v>19.7</v>
      </c>
      <c r="K6444">
        <v>24.43</v>
      </c>
      <c r="L6444">
        <v>16.19</v>
      </c>
      <c r="M6444">
        <v>0.32</v>
      </c>
      <c r="N6444">
        <v>0.0</v>
      </c>
      <c r="O6444">
        <v>20.01</v>
      </c>
      <c r="P6444">
        <v>24.0</v>
      </c>
      <c r="Q6444">
        <v>17.23</v>
      </c>
      <c r="R6444">
        <v>0.94</v>
      </c>
    </row>
    <row r="6445">
      <c r="A6445" s="9">
        <v>44976</v>
      </c>
      <c r="B6445" s="2" t="inlineStr">
        <is>
          <t xml:space="preserve">2023-02</t>
        </is>
      </c>
      <c r="C6445" s="2" t="inlineStr">
        <is>
          <t xml:space="preserve">2022/23</t>
        </is>
      </c>
      <c r="D6445">
        <v>0.0</v>
      </c>
      <c r="E6445">
        <v>19.59</v>
      </c>
      <c r="F6445">
        <v>26.01</v>
      </c>
      <c r="G6445">
        <v>15.32</v>
      </c>
      <c r="H6445">
        <v>0.43</v>
      </c>
      <c r="I6445">
        <v>0.419</v>
      </c>
      <c r="J6445">
        <v>19.86</v>
      </c>
      <c r="K6445">
        <v>25.15</v>
      </c>
      <c r="L6445">
        <v>16.41</v>
      </c>
      <c r="M6445">
        <v>0.56</v>
      </c>
      <c r="N6445">
        <v>1.73</v>
      </c>
      <c r="O6445">
        <v>19.9</v>
      </c>
      <c r="P6445">
        <v>23.99</v>
      </c>
      <c r="Q6445">
        <v>17.37</v>
      </c>
      <c r="R6445">
        <v>1.03</v>
      </c>
    </row>
    <row r="6446">
      <c r="A6446" s="9">
        <v>44977</v>
      </c>
      <c r="B6446" s="2" t="inlineStr">
        <is>
          <t xml:space="preserve">2023-02</t>
        </is>
      </c>
      <c r="C6446" s="2" t="inlineStr">
        <is>
          <t xml:space="preserve">2022/23</t>
        </is>
      </c>
      <c r="D6446">
        <v>0.0</v>
      </c>
      <c r="E6446">
        <v>19.77</v>
      </c>
      <c r="F6446">
        <v>26.47</v>
      </c>
      <c r="G6446">
        <v>14.79</v>
      </c>
      <c r="H6446">
        <v>0.12</v>
      </c>
      <c r="I6446">
        <v>0.0</v>
      </c>
      <c r="J6446">
        <v>20.09</v>
      </c>
      <c r="K6446">
        <v>25.94</v>
      </c>
      <c r="L6446">
        <v>15.98</v>
      </c>
      <c r="M6446">
        <v>0.05</v>
      </c>
      <c r="N6446">
        <v>0.0</v>
      </c>
      <c r="O6446">
        <v>20.18</v>
      </c>
      <c r="P6446">
        <v>24.79</v>
      </c>
      <c r="Q6446">
        <v>17.27</v>
      </c>
      <c r="R6446">
        <v>0.51</v>
      </c>
    </row>
    <row r="6447">
      <c r="A6447" s="9">
        <v>44978</v>
      </c>
      <c r="B6447" s="2" t="inlineStr">
        <is>
          <t xml:space="preserve">2023-02</t>
        </is>
      </c>
      <c r="C6447" s="2" t="inlineStr">
        <is>
          <t xml:space="preserve">2022/23</t>
        </is>
      </c>
      <c r="D6447">
        <v>0.0</v>
      </c>
      <c r="E6447">
        <v>20.57</v>
      </c>
      <c r="F6447">
        <v>27.44</v>
      </c>
      <c r="G6447">
        <v>15.33</v>
      </c>
      <c r="H6447">
        <v>0.03</v>
      </c>
      <c r="I6447">
        <v>0.0</v>
      </c>
      <c r="J6447">
        <v>20.61</v>
      </c>
      <c r="K6447">
        <v>26.26</v>
      </c>
      <c r="L6447">
        <v>16.11</v>
      </c>
      <c r="M6447">
        <v>0.01</v>
      </c>
      <c r="N6447">
        <v>0.0</v>
      </c>
      <c r="O6447">
        <v>20.32</v>
      </c>
      <c r="P6447">
        <v>25.72</v>
      </c>
      <c r="Q6447">
        <v>16.32</v>
      </c>
      <c r="R6447">
        <v>0.14</v>
      </c>
    </row>
    <row r="6448">
      <c r="A6448" s="9">
        <v>44979</v>
      </c>
      <c r="B6448" s="2" t="inlineStr">
        <is>
          <t xml:space="preserve">2023-02</t>
        </is>
      </c>
      <c r="C6448" s="2" t="inlineStr">
        <is>
          <t xml:space="preserve">2022/23</t>
        </is>
      </c>
      <c r="D6448">
        <v>0.0</v>
      </c>
      <c r="E6448">
        <v>21.18</v>
      </c>
      <c r="F6448">
        <v>29.75</v>
      </c>
      <c r="G6448">
        <v>14.35</v>
      </c>
      <c r="H6448">
        <v>0.0</v>
      </c>
      <c r="I6448">
        <v>0.0</v>
      </c>
      <c r="J6448">
        <v>22.16</v>
      </c>
      <c r="K6448">
        <v>28.05</v>
      </c>
      <c r="L6448">
        <v>17.35</v>
      </c>
      <c r="M6448">
        <v>0.0</v>
      </c>
      <c r="N6448">
        <v>0.0</v>
      </c>
      <c r="O6448">
        <v>21.73</v>
      </c>
      <c r="P6448">
        <v>28.35</v>
      </c>
      <c r="Q6448">
        <v>16.03</v>
      </c>
      <c r="R6448">
        <v>0.0</v>
      </c>
    </row>
    <row r="6449">
      <c r="A6449" s="9">
        <v>44980</v>
      </c>
      <c r="B6449" s="2" t="inlineStr">
        <is>
          <t xml:space="preserve">2023-02</t>
        </is>
      </c>
      <c r="C6449" s="2" t="inlineStr">
        <is>
          <t xml:space="preserve">2022/23</t>
        </is>
      </c>
      <c r="D6449">
        <v>0.0</v>
      </c>
      <c r="E6449">
        <v>20.34</v>
      </c>
      <c r="F6449">
        <v>28.47</v>
      </c>
      <c r="G6449">
        <v>13.26</v>
      </c>
      <c r="H6449">
        <v>0.0</v>
      </c>
      <c r="I6449">
        <v>0.0</v>
      </c>
      <c r="J6449">
        <v>21.76</v>
      </c>
      <c r="K6449">
        <v>27.9</v>
      </c>
      <c r="L6449">
        <v>16.77</v>
      </c>
      <c r="M6449">
        <v>0.0</v>
      </c>
      <c r="N6449">
        <v>0.0</v>
      </c>
      <c r="O6449">
        <v>20.77</v>
      </c>
      <c r="P6449">
        <v>26.93</v>
      </c>
      <c r="Q6449">
        <v>15.16</v>
      </c>
      <c r="R6449">
        <v>0.0</v>
      </c>
    </row>
    <row r="6450">
      <c r="A6450" s="9">
        <v>44981</v>
      </c>
      <c r="B6450" s="2" t="inlineStr">
        <is>
          <t xml:space="preserve">2023-02</t>
        </is>
      </c>
      <c r="C6450" s="2" t="inlineStr">
        <is>
          <t xml:space="preserve">2022/23</t>
        </is>
      </c>
      <c r="D6450">
        <v>0.0</v>
      </c>
      <c r="E6450">
        <v>20.27</v>
      </c>
      <c r="F6450">
        <v>28.56</v>
      </c>
      <c r="G6450">
        <v>13.1</v>
      </c>
      <c r="H6450">
        <v>0.0</v>
      </c>
      <c r="I6450">
        <v>0.0</v>
      </c>
      <c r="J6450">
        <v>20.98</v>
      </c>
      <c r="K6450">
        <v>27.52</v>
      </c>
      <c r="L6450">
        <v>16.55</v>
      </c>
      <c r="M6450">
        <v>0.0</v>
      </c>
      <c r="N6450">
        <v>0.0</v>
      </c>
      <c r="O6450">
        <v>20.57</v>
      </c>
      <c r="P6450">
        <v>25.52</v>
      </c>
      <c r="Q6450">
        <v>17.44</v>
      </c>
      <c r="R6450">
        <v>0.0</v>
      </c>
    </row>
    <row r="6451">
      <c r="A6451" s="9">
        <v>44982</v>
      </c>
      <c r="B6451" s="2" t="inlineStr">
        <is>
          <t xml:space="preserve">2023-02</t>
        </is>
      </c>
      <c r="C6451" s="2" t="inlineStr">
        <is>
          <t xml:space="preserve">2022/23</t>
        </is>
      </c>
      <c r="D6451">
        <v>0.0</v>
      </c>
      <c r="E6451">
        <v>20.26</v>
      </c>
      <c r="F6451">
        <v>28.06</v>
      </c>
      <c r="G6451">
        <v>13.66</v>
      </c>
      <c r="H6451">
        <v>0.04</v>
      </c>
      <c r="I6451">
        <v>0.0</v>
      </c>
      <c r="J6451">
        <v>20.87</v>
      </c>
      <c r="K6451">
        <v>26.86</v>
      </c>
      <c r="L6451">
        <v>16.65</v>
      </c>
      <c r="M6451">
        <v>0.0</v>
      </c>
      <c r="N6451">
        <v>0.0</v>
      </c>
      <c r="O6451">
        <v>20.53</v>
      </c>
      <c r="P6451">
        <v>25.38</v>
      </c>
      <c r="Q6451">
        <v>16.98</v>
      </c>
      <c r="R6451">
        <v>0.01</v>
      </c>
    </row>
    <row r="6452">
      <c r="A6452" s="9">
        <v>44983</v>
      </c>
      <c r="B6452" s="2" t="inlineStr">
        <is>
          <t xml:space="preserve">2023-02</t>
        </is>
      </c>
      <c r="C6452" s="2" t="inlineStr">
        <is>
          <t xml:space="preserve">2022/23</t>
        </is>
      </c>
      <c r="D6452">
        <v>0.0</v>
      </c>
      <c r="E6452">
        <v>20.44</v>
      </c>
      <c r="F6452">
        <v>28.0</v>
      </c>
      <c r="G6452">
        <v>13.99</v>
      </c>
      <c r="H6452">
        <v>0.0</v>
      </c>
      <c r="I6452">
        <v>0.0</v>
      </c>
      <c r="J6452">
        <v>20.13</v>
      </c>
      <c r="K6452">
        <v>26.23</v>
      </c>
      <c r="L6452">
        <v>16.13</v>
      </c>
      <c r="M6452">
        <v>0.0</v>
      </c>
      <c r="N6452">
        <v>0.0</v>
      </c>
      <c r="O6452">
        <v>19.85</v>
      </c>
      <c r="P6452">
        <v>24.95</v>
      </c>
      <c r="Q6452">
        <v>16.35</v>
      </c>
      <c r="R6452">
        <v>0.01</v>
      </c>
    </row>
    <row r="6453">
      <c r="A6453" s="9">
        <v>44984</v>
      </c>
      <c r="B6453" s="2" t="inlineStr">
        <is>
          <t xml:space="preserve">2023-02</t>
        </is>
      </c>
      <c r="C6453" s="2" t="inlineStr">
        <is>
          <t xml:space="preserve">2022/23</t>
        </is>
      </c>
      <c r="D6453">
        <v>0.0</v>
      </c>
      <c r="E6453">
        <v>21.75</v>
      </c>
      <c r="F6453">
        <v>30.1</v>
      </c>
      <c r="G6453">
        <v>14.05</v>
      </c>
      <c r="H6453">
        <v>0.0</v>
      </c>
      <c r="I6453">
        <v>0.0</v>
      </c>
      <c r="J6453">
        <v>21.71</v>
      </c>
      <c r="K6453">
        <v>28.85</v>
      </c>
      <c r="L6453">
        <v>15.81</v>
      </c>
      <c r="M6453">
        <v>0.0</v>
      </c>
      <c r="N6453">
        <v>0.0</v>
      </c>
      <c r="O6453">
        <v>21.58</v>
      </c>
      <c r="P6453">
        <v>27.61</v>
      </c>
      <c r="Q6453">
        <v>17.21</v>
      </c>
      <c r="R6453">
        <v>0.0</v>
      </c>
    </row>
    <row r="6454">
      <c r="A6454" s="9">
        <v>44985</v>
      </c>
      <c r="B6454" s="2" t="inlineStr">
        <is>
          <t xml:space="preserve">2023-02</t>
        </is>
      </c>
      <c r="C6454" s="2" t="inlineStr">
        <is>
          <t xml:space="preserve">2022/23</t>
        </is>
      </c>
      <c r="D6454">
        <v>0.0</v>
      </c>
      <c r="E6454">
        <v>22.84</v>
      </c>
      <c r="F6454">
        <v>31.11</v>
      </c>
      <c r="G6454">
        <v>15.15</v>
      </c>
      <c r="H6454">
        <v>0.0</v>
      </c>
      <c r="I6454">
        <v>0.0</v>
      </c>
      <c r="J6454">
        <v>22.91</v>
      </c>
      <c r="K6454">
        <v>29.28</v>
      </c>
      <c r="L6454">
        <v>17.17</v>
      </c>
      <c r="M6454">
        <v>0.0</v>
      </c>
      <c r="N6454">
        <v>0.0</v>
      </c>
      <c r="O6454">
        <v>22.51</v>
      </c>
      <c r="P6454">
        <v>28.3</v>
      </c>
      <c r="Q6454">
        <v>18.38</v>
      </c>
      <c r="R6454">
        <v>0.0</v>
      </c>
    </row>
    <row r="6455">
      <c r="A6455" s="9">
        <v>44986</v>
      </c>
      <c r="B6455" s="2" t="inlineStr">
        <is>
          <t xml:space="preserve">2023-03</t>
        </is>
      </c>
      <c r="C6455" s="2" t="inlineStr">
        <is>
          <t xml:space="preserve">2022/23</t>
        </is>
      </c>
      <c r="D6455">
        <v>0.0</v>
      </c>
      <c r="E6455">
        <v>23.49</v>
      </c>
      <c r="F6455">
        <v>31.79</v>
      </c>
      <c r="G6455">
        <v>16.38</v>
      </c>
      <c r="H6455">
        <v>0.0</v>
      </c>
      <c r="I6455">
        <v>0.0</v>
      </c>
      <c r="J6455">
        <v>23.63</v>
      </c>
      <c r="K6455">
        <v>30.22</v>
      </c>
      <c r="L6455">
        <v>18.27</v>
      </c>
      <c r="M6455">
        <v>0.0</v>
      </c>
      <c r="N6455">
        <v>0.0</v>
      </c>
      <c r="O6455">
        <v>23.03</v>
      </c>
      <c r="P6455">
        <v>28.75</v>
      </c>
      <c r="Q6455">
        <v>18.81</v>
      </c>
      <c r="R6455">
        <v>0.0</v>
      </c>
    </row>
    <row r="6456">
      <c r="A6456" s="9">
        <v>44987</v>
      </c>
      <c r="B6456" s="2" t="inlineStr">
        <is>
          <t xml:space="preserve">2023-03</t>
        </is>
      </c>
      <c r="C6456" s="2" t="inlineStr">
        <is>
          <t xml:space="preserve">2022/23</t>
        </is>
      </c>
      <c r="D6456">
        <v>0.0</v>
      </c>
      <c r="E6456">
        <v>23.58</v>
      </c>
      <c r="F6456">
        <v>32.43</v>
      </c>
      <c r="G6456">
        <v>16.31</v>
      </c>
      <c r="H6456">
        <v>0.0</v>
      </c>
      <c r="I6456">
        <v>0.0</v>
      </c>
      <c r="J6456">
        <v>23.0</v>
      </c>
      <c r="K6456">
        <v>30.12</v>
      </c>
      <c r="L6456">
        <v>17.46</v>
      </c>
      <c r="M6456">
        <v>0.0</v>
      </c>
      <c r="N6456">
        <v>0.0</v>
      </c>
      <c r="O6456">
        <v>23.48</v>
      </c>
      <c r="P6456">
        <v>29.59</v>
      </c>
      <c r="Q6456">
        <v>18.63</v>
      </c>
      <c r="R6456">
        <v>0.0</v>
      </c>
    </row>
    <row r="6457">
      <c r="A6457" s="9">
        <v>44988</v>
      </c>
      <c r="B6457" s="2" t="inlineStr">
        <is>
          <t xml:space="preserve">2023-03</t>
        </is>
      </c>
      <c r="C6457" s="2" t="inlineStr">
        <is>
          <t xml:space="preserve">2022/23</t>
        </is>
      </c>
      <c r="D6457">
        <v>0.0</v>
      </c>
      <c r="E6457">
        <v>23.41</v>
      </c>
      <c r="F6457">
        <v>32.75</v>
      </c>
      <c r="G6457">
        <v>15.79</v>
      </c>
      <c r="H6457">
        <v>0.0</v>
      </c>
      <c r="I6457">
        <v>0.0</v>
      </c>
      <c r="J6457">
        <v>21.66</v>
      </c>
      <c r="K6457">
        <v>29.47</v>
      </c>
      <c r="L6457">
        <v>16.0</v>
      </c>
      <c r="M6457">
        <v>0.0</v>
      </c>
      <c r="N6457">
        <v>0.0</v>
      </c>
      <c r="O6457">
        <v>22.13</v>
      </c>
      <c r="P6457">
        <v>29.04</v>
      </c>
      <c r="Q6457">
        <v>16.61</v>
      </c>
      <c r="R6457">
        <v>0.0</v>
      </c>
    </row>
    <row r="6458">
      <c r="A6458" s="9">
        <v>44989</v>
      </c>
      <c r="B6458" s="2" t="inlineStr">
        <is>
          <t xml:space="preserve">2023-03</t>
        </is>
      </c>
      <c r="C6458" s="2" t="inlineStr">
        <is>
          <t xml:space="preserve">2022/23</t>
        </is>
      </c>
      <c r="D6458">
        <v>0.0</v>
      </c>
      <c r="E6458">
        <v>23.36</v>
      </c>
      <c r="F6458">
        <v>32.01</v>
      </c>
      <c r="G6458">
        <v>15.47</v>
      </c>
      <c r="H6458">
        <v>0.0</v>
      </c>
      <c r="I6458">
        <v>0.0</v>
      </c>
      <c r="J6458">
        <v>22.94</v>
      </c>
      <c r="K6458">
        <v>30.6</v>
      </c>
      <c r="L6458">
        <v>16.25</v>
      </c>
      <c r="M6458">
        <v>0.0</v>
      </c>
      <c r="N6458">
        <v>0.0</v>
      </c>
      <c r="O6458">
        <v>22.14</v>
      </c>
      <c r="P6458">
        <v>28.85</v>
      </c>
      <c r="Q6458">
        <v>16.68</v>
      </c>
      <c r="R6458">
        <v>0.0</v>
      </c>
    </row>
    <row r="6459">
      <c r="A6459" s="9">
        <v>44990</v>
      </c>
      <c r="B6459" s="2" t="inlineStr">
        <is>
          <t xml:space="preserve">2023-03</t>
        </is>
      </c>
      <c r="C6459" s="2" t="inlineStr">
        <is>
          <t xml:space="preserve">2022/23</t>
        </is>
      </c>
      <c r="D6459">
        <v>0.0</v>
      </c>
      <c r="E6459">
        <v>23.3</v>
      </c>
      <c r="F6459">
        <v>31.72</v>
      </c>
      <c r="G6459">
        <v>17.24</v>
      </c>
      <c r="H6459">
        <v>0.0</v>
      </c>
      <c r="I6459">
        <v>0.0</v>
      </c>
      <c r="J6459">
        <v>22.87</v>
      </c>
      <c r="K6459">
        <v>29.51</v>
      </c>
      <c r="L6459">
        <v>17.43</v>
      </c>
      <c r="M6459">
        <v>0.0</v>
      </c>
      <c r="N6459">
        <v>0.0</v>
      </c>
      <c r="O6459">
        <v>22.05</v>
      </c>
      <c r="P6459">
        <v>27.38</v>
      </c>
      <c r="Q6459">
        <v>18.32</v>
      </c>
      <c r="R6459">
        <v>0.0</v>
      </c>
    </row>
    <row r="6460">
      <c r="A6460" s="9">
        <v>44991</v>
      </c>
      <c r="B6460" s="2" t="inlineStr">
        <is>
          <t xml:space="preserve">2023-03</t>
        </is>
      </c>
      <c r="C6460" s="2" t="inlineStr">
        <is>
          <t xml:space="preserve">2022/23</t>
        </is>
      </c>
      <c r="D6460">
        <v>0.0</v>
      </c>
      <c r="E6460">
        <v>22.42</v>
      </c>
      <c r="F6460">
        <v>30.9</v>
      </c>
      <c r="G6460">
        <v>16.7</v>
      </c>
      <c r="H6460">
        <v>0.0</v>
      </c>
      <c r="I6460">
        <v>0.0</v>
      </c>
      <c r="J6460">
        <v>21.76</v>
      </c>
      <c r="K6460">
        <v>27.82</v>
      </c>
      <c r="L6460">
        <v>17.33</v>
      </c>
      <c r="M6460">
        <v>0.0</v>
      </c>
      <c r="N6460">
        <v>0.0</v>
      </c>
      <c r="O6460">
        <v>21.27</v>
      </c>
      <c r="P6460">
        <v>26.81</v>
      </c>
      <c r="Q6460">
        <v>17.77</v>
      </c>
      <c r="R6460">
        <v>0.0</v>
      </c>
    </row>
    <row r="6461">
      <c r="A6461" s="9">
        <v>44992</v>
      </c>
      <c r="B6461" s="2" t="inlineStr">
        <is>
          <t xml:space="preserve">2023-03</t>
        </is>
      </c>
      <c r="C6461" s="2" t="inlineStr">
        <is>
          <t xml:space="preserve">2022/23</t>
        </is>
      </c>
      <c r="D6461">
        <v>0.0</v>
      </c>
      <c r="E6461">
        <v>20.8</v>
      </c>
      <c r="F6461">
        <v>28.52</v>
      </c>
      <c r="G6461">
        <v>15.2</v>
      </c>
      <c r="H6461">
        <v>0.0</v>
      </c>
      <c r="I6461">
        <v>0.0</v>
      </c>
      <c r="J6461">
        <v>20.29</v>
      </c>
      <c r="K6461">
        <v>27.26</v>
      </c>
      <c r="L6461">
        <v>15.87</v>
      </c>
      <c r="M6461">
        <v>0.0</v>
      </c>
      <c r="N6461">
        <v>0.0</v>
      </c>
      <c r="O6461">
        <v>19.75</v>
      </c>
      <c r="P6461">
        <v>24.88</v>
      </c>
      <c r="Q6461">
        <v>16.46</v>
      </c>
      <c r="R6461">
        <v>0.0</v>
      </c>
    </row>
    <row r="6462">
      <c r="A6462" s="9">
        <v>44993</v>
      </c>
      <c r="B6462" s="2" t="inlineStr">
        <is>
          <t xml:space="preserve">2023-03</t>
        </is>
      </c>
      <c r="C6462" s="2" t="inlineStr">
        <is>
          <t xml:space="preserve">2022/23</t>
        </is>
      </c>
      <c r="D6462">
        <v>0.0</v>
      </c>
      <c r="E6462">
        <v>21.05</v>
      </c>
      <c r="F6462">
        <v>27.13</v>
      </c>
      <c r="G6462">
        <v>16.88</v>
      </c>
      <c r="H6462">
        <v>0.02</v>
      </c>
      <c r="I6462">
        <v>0.0</v>
      </c>
      <c r="J6462">
        <v>21.65</v>
      </c>
      <c r="K6462">
        <v>29.01</v>
      </c>
      <c r="L6462">
        <v>15.25</v>
      </c>
      <c r="M6462">
        <v>0.0</v>
      </c>
      <c r="N6462">
        <v>0.0</v>
      </c>
      <c r="O6462">
        <v>21.18</v>
      </c>
      <c r="P6462">
        <v>27.13</v>
      </c>
      <c r="Q6462">
        <v>16.84</v>
      </c>
      <c r="R6462">
        <v>0.02</v>
      </c>
    </row>
    <row r="6463">
      <c r="A6463" s="9">
        <v>44994</v>
      </c>
      <c r="B6463" s="2" t="inlineStr">
        <is>
          <t xml:space="preserve">2023-03</t>
        </is>
      </c>
      <c r="C6463" s="2" t="inlineStr">
        <is>
          <t xml:space="preserve">2022/23</t>
        </is>
      </c>
      <c r="D6463">
        <v>0.0</v>
      </c>
      <c r="E6463">
        <v>21.42</v>
      </c>
      <c r="F6463">
        <v>27.5</v>
      </c>
      <c r="G6463">
        <v>16.8</v>
      </c>
      <c r="H6463">
        <v>0.02</v>
      </c>
      <c r="I6463">
        <v>0.0</v>
      </c>
      <c r="J6463">
        <v>21.81</v>
      </c>
      <c r="K6463">
        <v>27.79</v>
      </c>
      <c r="L6463">
        <v>16.87</v>
      </c>
      <c r="M6463">
        <v>0.0</v>
      </c>
      <c r="N6463">
        <v>0.0</v>
      </c>
      <c r="O6463">
        <v>21.14</v>
      </c>
      <c r="P6463">
        <v>26.0</v>
      </c>
      <c r="Q6463">
        <v>17.77</v>
      </c>
      <c r="R6463">
        <v>0.0</v>
      </c>
    </row>
    <row r="6464">
      <c r="A6464" s="9">
        <v>44995</v>
      </c>
      <c r="B6464" s="2" t="inlineStr">
        <is>
          <t xml:space="preserve">2023-03</t>
        </is>
      </c>
      <c r="C6464" s="2" t="inlineStr">
        <is>
          <t xml:space="preserve">2022/23</t>
        </is>
      </c>
      <c r="D6464">
        <v>0.025</v>
      </c>
      <c r="E6464">
        <v>21.55</v>
      </c>
      <c r="F6464">
        <v>26.71</v>
      </c>
      <c r="G6464">
        <v>17.68</v>
      </c>
      <c r="H6464">
        <v>0.26</v>
      </c>
      <c r="I6464">
        <v>0.0</v>
      </c>
      <c r="J6464">
        <v>22.58</v>
      </c>
      <c r="K6464">
        <v>29.0</v>
      </c>
      <c r="L6464">
        <v>16.63</v>
      </c>
      <c r="M6464">
        <v>0.0</v>
      </c>
      <c r="N6464">
        <v>0.0</v>
      </c>
      <c r="O6464">
        <v>21.59</v>
      </c>
      <c r="P6464">
        <v>27.02</v>
      </c>
      <c r="Q6464">
        <v>18.09</v>
      </c>
      <c r="R6464">
        <v>0.06</v>
      </c>
    </row>
    <row r="6465">
      <c r="A6465" s="9">
        <v>44996</v>
      </c>
      <c r="B6465" s="2" t="inlineStr">
        <is>
          <t xml:space="preserve">2023-03</t>
        </is>
      </c>
      <c r="C6465" s="2" t="inlineStr">
        <is>
          <t xml:space="preserve">2022/23</t>
        </is>
      </c>
      <c r="D6465">
        <v>0.0</v>
      </c>
      <c r="E6465">
        <v>22.95</v>
      </c>
      <c r="F6465">
        <v>30.37</v>
      </c>
      <c r="G6465">
        <v>17.01</v>
      </c>
      <c r="H6465">
        <v>0.52</v>
      </c>
      <c r="I6465">
        <v>0.0</v>
      </c>
      <c r="J6465">
        <v>23.09</v>
      </c>
      <c r="K6465">
        <v>30.09</v>
      </c>
      <c r="L6465">
        <v>17.76</v>
      </c>
      <c r="M6465">
        <v>0.06</v>
      </c>
      <c r="N6465">
        <v>0.0</v>
      </c>
      <c r="O6465">
        <v>21.81</v>
      </c>
      <c r="P6465">
        <v>27.57</v>
      </c>
      <c r="Q6465">
        <v>17.38</v>
      </c>
      <c r="R6465">
        <v>0.13</v>
      </c>
    </row>
    <row r="6466">
      <c r="A6466" s="9">
        <v>44997</v>
      </c>
      <c r="B6466" s="2" t="inlineStr">
        <is>
          <t xml:space="preserve">2023-03</t>
        </is>
      </c>
      <c r="C6466" s="2" t="inlineStr">
        <is>
          <t xml:space="preserve">2022/23</t>
        </is>
      </c>
      <c r="D6466">
        <v>0.641</v>
      </c>
      <c r="E6466">
        <v>22.95</v>
      </c>
      <c r="F6466">
        <v>28.67</v>
      </c>
      <c r="G6466">
        <v>19.3</v>
      </c>
      <c r="H6466">
        <v>0.42</v>
      </c>
      <c r="I6466">
        <v>0.06</v>
      </c>
      <c r="J6466">
        <v>23.13</v>
      </c>
      <c r="K6466">
        <v>30.52</v>
      </c>
      <c r="L6466">
        <v>17.72</v>
      </c>
      <c r="M6466">
        <v>0.14</v>
      </c>
      <c r="N6466">
        <v>0.182</v>
      </c>
      <c r="O6466">
        <v>22.88</v>
      </c>
      <c r="P6466">
        <v>29.47</v>
      </c>
      <c r="Q6466">
        <v>17.3</v>
      </c>
      <c r="R6466">
        <v>0.21</v>
      </c>
    </row>
    <row r="6467">
      <c r="A6467" s="9">
        <v>44998</v>
      </c>
      <c r="B6467" s="2" t="inlineStr">
        <is>
          <t xml:space="preserve">2023-03</t>
        </is>
      </c>
      <c r="C6467" s="2" t="inlineStr">
        <is>
          <t xml:space="preserve">2022/23</t>
        </is>
      </c>
      <c r="D6467">
        <v>0.0</v>
      </c>
      <c r="E6467">
        <v>24.68</v>
      </c>
      <c r="F6467">
        <v>32.81</v>
      </c>
      <c r="G6467">
        <v>17.67</v>
      </c>
      <c r="H6467">
        <v>1.53</v>
      </c>
      <c r="I6467">
        <v>0.0</v>
      </c>
      <c r="J6467">
        <v>23.48</v>
      </c>
      <c r="K6467">
        <v>31.72</v>
      </c>
      <c r="L6467">
        <v>16.77</v>
      </c>
      <c r="M6467">
        <v>0.72</v>
      </c>
      <c r="N6467">
        <v>0.0</v>
      </c>
      <c r="O6467">
        <v>23.76</v>
      </c>
      <c r="P6467">
        <v>30.5</v>
      </c>
      <c r="Q6467">
        <v>18.24</v>
      </c>
      <c r="R6467">
        <v>1.32</v>
      </c>
    </row>
    <row r="6468">
      <c r="A6468" s="9">
        <v>44999</v>
      </c>
      <c r="B6468" s="2" t="inlineStr">
        <is>
          <t xml:space="preserve">2023-03</t>
        </is>
      </c>
      <c r="C6468" s="2" t="inlineStr">
        <is>
          <t xml:space="preserve">2022/23</t>
        </is>
      </c>
      <c r="D6468">
        <v>20.706</v>
      </c>
      <c r="E6468">
        <v>24.1</v>
      </c>
      <c r="F6468">
        <v>30.63</v>
      </c>
      <c r="G6468">
        <v>18.8</v>
      </c>
      <c r="H6468">
        <v>13.34</v>
      </c>
      <c r="I6468">
        <v>0.904</v>
      </c>
      <c r="J6468">
        <v>24.48</v>
      </c>
      <c r="K6468">
        <v>32.16</v>
      </c>
      <c r="L6468">
        <v>18.45</v>
      </c>
      <c r="M6468">
        <v>2.76</v>
      </c>
      <c r="N6468">
        <v>2.972</v>
      </c>
      <c r="O6468">
        <v>24.04</v>
      </c>
      <c r="P6468">
        <v>31.72</v>
      </c>
      <c r="Q6468">
        <v>18.41</v>
      </c>
      <c r="R6468">
        <v>6.84</v>
      </c>
    </row>
    <row r="6469">
      <c r="A6469" s="9">
        <v>45000</v>
      </c>
      <c r="B6469" s="2" t="inlineStr">
        <is>
          <t xml:space="preserve">2023-03</t>
        </is>
      </c>
      <c r="C6469" s="2" t="inlineStr">
        <is>
          <t xml:space="preserve">2022/23</t>
        </is>
      </c>
      <c r="D6469">
        <v>3.675</v>
      </c>
      <c r="E6469">
        <v>22.47</v>
      </c>
      <c r="F6469">
        <v>28.34</v>
      </c>
      <c r="G6469">
        <v>18.17</v>
      </c>
      <c r="H6469">
        <v>3.46</v>
      </c>
      <c r="I6469">
        <v>0.035</v>
      </c>
      <c r="J6469">
        <v>23.74</v>
      </c>
      <c r="K6469">
        <v>29.22</v>
      </c>
      <c r="L6469">
        <v>19.57</v>
      </c>
      <c r="M6469">
        <v>0.14</v>
      </c>
      <c r="N6469">
        <v>0.37</v>
      </c>
      <c r="O6469">
        <v>22.51</v>
      </c>
      <c r="P6469">
        <v>26.86</v>
      </c>
      <c r="Q6469">
        <v>19.3</v>
      </c>
      <c r="R6469">
        <v>1.06</v>
      </c>
    </row>
    <row r="6470">
      <c r="A6470" s="9">
        <v>45001</v>
      </c>
      <c r="B6470" s="2" t="inlineStr">
        <is>
          <t xml:space="preserve">2023-03</t>
        </is>
      </c>
      <c r="C6470" s="2" t="inlineStr">
        <is>
          <t xml:space="preserve">2022/23</t>
        </is>
      </c>
      <c r="D6470">
        <v>0.0</v>
      </c>
      <c r="E6470">
        <v>22.03</v>
      </c>
      <c r="F6470">
        <v>28.62</v>
      </c>
      <c r="G6470">
        <v>16.9</v>
      </c>
      <c r="H6470">
        <v>0.3</v>
      </c>
      <c r="I6470">
        <v>0.0</v>
      </c>
      <c r="J6470">
        <v>23.18</v>
      </c>
      <c r="K6470">
        <v>29.67</v>
      </c>
      <c r="L6470">
        <v>17.62</v>
      </c>
      <c r="M6470">
        <v>0.01</v>
      </c>
      <c r="N6470">
        <v>0.0</v>
      </c>
      <c r="O6470">
        <v>21.41</v>
      </c>
      <c r="P6470">
        <v>26.55</v>
      </c>
      <c r="Q6470">
        <v>17.84</v>
      </c>
      <c r="R6470">
        <v>0.31</v>
      </c>
    </row>
    <row r="6471">
      <c r="A6471" s="9">
        <v>45002</v>
      </c>
      <c r="B6471" s="2" t="inlineStr">
        <is>
          <t xml:space="preserve">2023-03</t>
        </is>
      </c>
      <c r="C6471" s="2" t="inlineStr">
        <is>
          <t xml:space="preserve">2022/23</t>
        </is>
      </c>
      <c r="D6471">
        <v>0.0</v>
      </c>
      <c r="E6471">
        <v>23.08</v>
      </c>
      <c r="F6471">
        <v>30.23</v>
      </c>
      <c r="G6471">
        <v>17.34</v>
      </c>
      <c r="H6471">
        <v>2.94</v>
      </c>
      <c r="I6471">
        <v>0.0</v>
      </c>
      <c r="J6471">
        <v>22.74</v>
      </c>
      <c r="K6471">
        <v>28.96</v>
      </c>
      <c r="L6471">
        <v>18.68</v>
      </c>
      <c r="M6471">
        <v>1.16</v>
      </c>
      <c r="N6471">
        <v>0.0</v>
      </c>
      <c r="O6471">
        <v>22.83</v>
      </c>
      <c r="P6471">
        <v>29.35</v>
      </c>
      <c r="Q6471">
        <v>18.07</v>
      </c>
      <c r="R6471">
        <v>1.35</v>
      </c>
    </row>
    <row r="6472">
      <c r="A6472" s="9">
        <v>45003</v>
      </c>
      <c r="B6472" s="2" t="inlineStr">
        <is>
          <t xml:space="preserve">2023-03</t>
        </is>
      </c>
      <c r="C6472" s="2" t="inlineStr">
        <is>
          <t xml:space="preserve">2022/23</t>
        </is>
      </c>
      <c r="D6472">
        <v>18.405</v>
      </c>
      <c r="E6472">
        <v>23.72</v>
      </c>
      <c r="F6472">
        <v>31.18</v>
      </c>
      <c r="G6472">
        <v>18.3</v>
      </c>
      <c r="H6472">
        <v>9.4</v>
      </c>
      <c r="I6472">
        <v>1.71</v>
      </c>
      <c r="J6472">
        <v>23.73</v>
      </c>
      <c r="K6472">
        <v>30.5</v>
      </c>
      <c r="L6472">
        <v>18.66</v>
      </c>
      <c r="M6472">
        <v>2.86</v>
      </c>
      <c r="N6472">
        <v>6.293</v>
      </c>
      <c r="O6472">
        <v>23.32</v>
      </c>
      <c r="P6472">
        <v>29.43</v>
      </c>
      <c r="Q6472">
        <v>18.34</v>
      </c>
      <c r="R6472">
        <v>4.96</v>
      </c>
    </row>
    <row r="6473">
      <c r="A6473" s="9">
        <v>45004</v>
      </c>
      <c r="B6473" s="2" t="inlineStr">
        <is>
          <t xml:space="preserve">2023-03</t>
        </is>
      </c>
      <c r="C6473" s="2" t="inlineStr">
        <is>
          <t xml:space="preserve">2022/23</t>
        </is>
      </c>
      <c r="D6473">
        <v>0.937</v>
      </c>
      <c r="E6473">
        <v>22.27</v>
      </c>
      <c r="F6473">
        <v>28.43</v>
      </c>
      <c r="G6473">
        <v>18.53</v>
      </c>
      <c r="H6473">
        <v>3.99</v>
      </c>
      <c r="I6473">
        <v>0.551</v>
      </c>
      <c r="J6473">
        <v>22.23</v>
      </c>
      <c r="K6473">
        <v>26.52</v>
      </c>
      <c r="L6473">
        <v>19.63</v>
      </c>
      <c r="M6473">
        <v>2.57</v>
      </c>
      <c r="N6473">
        <v>2.576</v>
      </c>
      <c r="O6473">
        <v>21.4</v>
      </c>
      <c r="P6473">
        <v>24.51</v>
      </c>
      <c r="Q6473">
        <v>19.19</v>
      </c>
      <c r="R6473">
        <v>10.87</v>
      </c>
    </row>
    <row r="6474">
      <c r="A6474" s="9">
        <v>45005</v>
      </c>
      <c r="B6474" s="2" t="inlineStr">
        <is>
          <t xml:space="preserve">2023-03</t>
        </is>
      </c>
      <c r="C6474" s="2" t="inlineStr">
        <is>
          <t xml:space="preserve">2022/23</t>
        </is>
      </c>
      <c r="D6474">
        <v>0.42</v>
      </c>
      <c r="E6474">
        <v>20.19</v>
      </c>
      <c r="F6474">
        <v>24.35</v>
      </c>
      <c r="G6474">
        <v>17.44</v>
      </c>
      <c r="H6474">
        <v>7.99</v>
      </c>
      <c r="I6474">
        <v>2.656</v>
      </c>
      <c r="J6474">
        <v>21.69</v>
      </c>
      <c r="K6474">
        <v>26.41</v>
      </c>
      <c r="L6474">
        <v>18.92</v>
      </c>
      <c r="M6474">
        <v>5.81</v>
      </c>
      <c r="N6474">
        <v>9.551</v>
      </c>
      <c r="O6474">
        <v>21.04</v>
      </c>
      <c r="P6474">
        <v>24.94</v>
      </c>
      <c r="Q6474">
        <v>18.96</v>
      </c>
      <c r="R6474">
        <v>21.44</v>
      </c>
    </row>
    <row r="6475">
      <c r="A6475" s="9">
        <v>45006</v>
      </c>
      <c r="B6475" s="2" t="inlineStr">
        <is>
          <t xml:space="preserve">2023-03</t>
        </is>
      </c>
      <c r="C6475" s="2" t="inlineStr">
        <is>
          <t xml:space="preserve">2022/23</t>
        </is>
      </c>
      <c r="D6475">
        <v>0.322</v>
      </c>
      <c r="E6475">
        <v>20.81</v>
      </c>
      <c r="F6475">
        <v>26.72</v>
      </c>
      <c r="G6475">
        <v>16.36</v>
      </c>
      <c r="H6475">
        <v>1.57</v>
      </c>
      <c r="I6475">
        <v>1.262</v>
      </c>
      <c r="J6475">
        <v>21.88</v>
      </c>
      <c r="K6475">
        <v>27.6</v>
      </c>
      <c r="L6475">
        <v>18.19</v>
      </c>
      <c r="M6475">
        <v>2.09</v>
      </c>
      <c r="N6475">
        <v>5.27</v>
      </c>
      <c r="O6475">
        <v>21.01</v>
      </c>
      <c r="P6475">
        <v>25.43</v>
      </c>
      <c r="Q6475">
        <v>18.43</v>
      </c>
      <c r="R6475">
        <v>3.72</v>
      </c>
    </row>
    <row r="6476">
      <c r="A6476" s="9">
        <v>45007</v>
      </c>
      <c r="B6476" s="2" t="inlineStr">
        <is>
          <t xml:space="preserve">2023-03</t>
        </is>
      </c>
      <c r="C6476" s="2" t="inlineStr">
        <is>
          <t xml:space="preserve">2022/23</t>
        </is>
      </c>
      <c r="D6476">
        <v>0.137</v>
      </c>
      <c r="E6476">
        <v>22.3</v>
      </c>
      <c r="F6476">
        <v>29.44</v>
      </c>
      <c r="G6476">
        <v>16.88</v>
      </c>
      <c r="H6476">
        <v>0.1</v>
      </c>
      <c r="I6476">
        <v>0.045</v>
      </c>
      <c r="J6476">
        <v>22.56</v>
      </c>
      <c r="K6476">
        <v>29.11</v>
      </c>
      <c r="L6476">
        <v>18.07</v>
      </c>
      <c r="M6476">
        <v>0.12</v>
      </c>
      <c r="N6476">
        <v>0.498</v>
      </c>
      <c r="O6476">
        <v>21.59</v>
      </c>
      <c r="P6476">
        <v>26.55</v>
      </c>
      <c r="Q6476">
        <v>18.0</v>
      </c>
      <c r="R6476">
        <v>0.23</v>
      </c>
    </row>
    <row r="6477">
      <c r="A6477" s="9">
        <v>45008</v>
      </c>
      <c r="B6477" s="2" t="inlineStr">
        <is>
          <t xml:space="preserve">2023-03</t>
        </is>
      </c>
      <c r="C6477" s="2" t="inlineStr">
        <is>
          <t xml:space="preserve">2022/23</t>
        </is>
      </c>
      <c r="D6477">
        <v>0.0</v>
      </c>
      <c r="E6477">
        <v>22.2</v>
      </c>
      <c r="F6477">
        <v>29.33</v>
      </c>
      <c r="G6477">
        <v>15.82</v>
      </c>
      <c r="H6477">
        <v>0.0</v>
      </c>
      <c r="I6477">
        <v>0.0</v>
      </c>
      <c r="J6477">
        <v>23.03</v>
      </c>
      <c r="K6477">
        <v>29.28</v>
      </c>
      <c r="L6477">
        <v>18.2</v>
      </c>
      <c r="M6477">
        <v>0.01</v>
      </c>
      <c r="N6477">
        <v>0.0</v>
      </c>
      <c r="O6477">
        <v>21.82</v>
      </c>
      <c r="P6477">
        <v>26.5</v>
      </c>
      <c r="Q6477">
        <v>18.31</v>
      </c>
      <c r="R6477">
        <v>0.0</v>
      </c>
    </row>
    <row r="6478">
      <c r="A6478" s="9">
        <v>45009</v>
      </c>
      <c r="B6478" s="2" t="inlineStr">
        <is>
          <t xml:space="preserve">2023-03</t>
        </is>
      </c>
      <c r="C6478" s="2" t="inlineStr">
        <is>
          <t xml:space="preserve">2022/23</t>
        </is>
      </c>
      <c r="D6478">
        <v>0.0</v>
      </c>
      <c r="E6478">
        <v>22.99</v>
      </c>
      <c r="F6478">
        <v>30.89</v>
      </c>
      <c r="G6478">
        <v>14.8</v>
      </c>
      <c r="H6478">
        <v>0.0</v>
      </c>
      <c r="I6478">
        <v>0.036</v>
      </c>
      <c r="J6478">
        <v>24.04</v>
      </c>
      <c r="K6478">
        <v>31.51</v>
      </c>
      <c r="L6478">
        <v>18.04</v>
      </c>
      <c r="M6478">
        <v>0.01</v>
      </c>
      <c r="N6478">
        <v>0.0</v>
      </c>
      <c r="O6478">
        <v>22.99</v>
      </c>
      <c r="P6478">
        <v>29.11</v>
      </c>
      <c r="Q6478">
        <v>18.74</v>
      </c>
      <c r="R6478">
        <v>0.0</v>
      </c>
    </row>
    <row r="6479">
      <c r="A6479" s="9">
        <v>45010</v>
      </c>
      <c r="B6479" s="2" t="inlineStr">
        <is>
          <t xml:space="preserve">2023-03</t>
        </is>
      </c>
      <c r="C6479" s="2" t="inlineStr">
        <is>
          <t xml:space="preserve">2022/23</t>
        </is>
      </c>
      <c r="D6479">
        <v>0.0</v>
      </c>
      <c r="E6479">
        <v>24.4</v>
      </c>
      <c r="F6479">
        <v>32.14</v>
      </c>
      <c r="G6479">
        <v>17.4</v>
      </c>
      <c r="H6479">
        <v>0.0</v>
      </c>
      <c r="I6479">
        <v>0.0</v>
      </c>
      <c r="J6479">
        <v>24.26</v>
      </c>
      <c r="K6479">
        <v>31.65</v>
      </c>
      <c r="L6479">
        <v>18.36</v>
      </c>
      <c r="M6479">
        <v>0.0</v>
      </c>
      <c r="N6479">
        <v>0.0</v>
      </c>
      <c r="O6479">
        <v>23.41</v>
      </c>
      <c r="P6479">
        <v>30.17</v>
      </c>
      <c r="Q6479">
        <v>16.66</v>
      </c>
      <c r="R6479">
        <v>0.0</v>
      </c>
    </row>
    <row r="6480">
      <c r="A6480" s="9">
        <v>45011</v>
      </c>
      <c r="B6480" s="2" t="inlineStr">
        <is>
          <t xml:space="preserve">2023-03</t>
        </is>
      </c>
      <c r="C6480" s="2" t="inlineStr">
        <is>
          <t xml:space="preserve">2022/23</t>
        </is>
      </c>
      <c r="D6480">
        <v>0.0</v>
      </c>
      <c r="E6480">
        <v>24.19</v>
      </c>
      <c r="F6480">
        <v>32.34</v>
      </c>
      <c r="G6480">
        <v>16.62</v>
      </c>
      <c r="H6480">
        <v>0.01</v>
      </c>
      <c r="I6480">
        <v>0.0</v>
      </c>
      <c r="J6480">
        <v>24.44</v>
      </c>
      <c r="K6480">
        <v>31.87</v>
      </c>
      <c r="L6480">
        <v>17.61</v>
      </c>
      <c r="M6480">
        <v>0.0</v>
      </c>
      <c r="N6480">
        <v>0.0</v>
      </c>
      <c r="O6480">
        <v>23.52</v>
      </c>
      <c r="P6480">
        <v>30.36</v>
      </c>
      <c r="Q6480">
        <v>17.02</v>
      </c>
      <c r="R6480">
        <v>0.0</v>
      </c>
    </row>
    <row r="6481">
      <c r="A6481" s="9">
        <v>45012</v>
      </c>
      <c r="B6481" s="2" t="inlineStr">
        <is>
          <t xml:space="preserve">2023-03</t>
        </is>
      </c>
      <c r="C6481" s="2" t="inlineStr">
        <is>
          <t xml:space="preserve">2022/23</t>
        </is>
      </c>
      <c r="D6481">
        <v>0.0</v>
      </c>
      <c r="E6481">
        <v>23.95</v>
      </c>
      <c r="F6481">
        <v>32.11</v>
      </c>
      <c r="G6481">
        <v>16.3</v>
      </c>
      <c r="H6481">
        <v>0.0</v>
      </c>
      <c r="I6481">
        <v>0.0</v>
      </c>
      <c r="J6481">
        <v>25.15</v>
      </c>
      <c r="K6481">
        <v>32.23</v>
      </c>
      <c r="L6481">
        <v>18.86</v>
      </c>
      <c r="M6481">
        <v>0.0</v>
      </c>
      <c r="N6481">
        <v>0.0</v>
      </c>
      <c r="O6481">
        <v>23.63</v>
      </c>
      <c r="P6481">
        <v>30.32</v>
      </c>
      <c r="Q6481">
        <v>18.07</v>
      </c>
      <c r="R6481">
        <v>0.0</v>
      </c>
    </row>
    <row r="6482">
      <c r="A6482" s="9">
        <v>45013</v>
      </c>
      <c r="B6482" s="2" t="inlineStr">
        <is>
          <t xml:space="preserve">2023-03</t>
        </is>
      </c>
      <c r="C6482" s="2" t="inlineStr">
        <is>
          <t xml:space="preserve">2022/23</t>
        </is>
      </c>
      <c r="D6482">
        <v>0.0</v>
      </c>
      <c r="E6482">
        <v>24.26</v>
      </c>
      <c r="F6482">
        <v>32.29</v>
      </c>
      <c r="G6482">
        <v>17.19</v>
      </c>
      <c r="H6482">
        <v>0.0</v>
      </c>
      <c r="I6482">
        <v>0.0</v>
      </c>
      <c r="J6482">
        <v>25.58</v>
      </c>
      <c r="K6482">
        <v>33.06</v>
      </c>
      <c r="L6482">
        <v>19.25</v>
      </c>
      <c r="M6482">
        <v>0.0</v>
      </c>
      <c r="N6482">
        <v>0.0</v>
      </c>
      <c r="O6482">
        <v>23.55</v>
      </c>
      <c r="P6482">
        <v>30.26</v>
      </c>
      <c r="Q6482">
        <v>18.56</v>
      </c>
      <c r="R6482">
        <v>0.0</v>
      </c>
    </row>
    <row r="6483">
      <c r="A6483" s="9">
        <v>45014</v>
      </c>
      <c r="B6483" s="2" t="inlineStr">
        <is>
          <t xml:space="preserve">2023-03</t>
        </is>
      </c>
      <c r="C6483" s="2" t="inlineStr">
        <is>
          <t xml:space="preserve">2022/23</t>
        </is>
      </c>
      <c r="D6483">
        <v>0.0</v>
      </c>
      <c r="E6483">
        <v>23.35</v>
      </c>
      <c r="F6483">
        <v>31.55</v>
      </c>
      <c r="G6483">
        <v>17.02</v>
      </c>
      <c r="H6483">
        <v>0.0</v>
      </c>
      <c r="I6483">
        <v>0.0</v>
      </c>
      <c r="J6483">
        <v>23.56</v>
      </c>
      <c r="K6483">
        <v>30.23</v>
      </c>
      <c r="L6483">
        <v>18.42</v>
      </c>
      <c r="M6483">
        <v>0.0</v>
      </c>
      <c r="N6483">
        <v>0.0</v>
      </c>
      <c r="O6483">
        <v>22.12</v>
      </c>
      <c r="P6483">
        <v>27.71</v>
      </c>
      <c r="Q6483">
        <v>18.25</v>
      </c>
      <c r="R6483">
        <v>0.0</v>
      </c>
    </row>
    <row r="6484">
      <c r="A6484" s="9">
        <v>45015</v>
      </c>
      <c r="B6484" s="2" t="inlineStr">
        <is>
          <t xml:space="preserve">2023-03</t>
        </is>
      </c>
      <c r="C6484" s="2" t="inlineStr">
        <is>
          <t xml:space="preserve">2022/23</t>
        </is>
      </c>
      <c r="D6484">
        <v>0.0</v>
      </c>
      <c r="E6484">
        <v>22.67</v>
      </c>
      <c r="F6484">
        <v>30.52</v>
      </c>
      <c r="G6484">
        <v>16.43</v>
      </c>
      <c r="H6484">
        <v>0.0</v>
      </c>
      <c r="I6484">
        <v>0.0</v>
      </c>
      <c r="J6484">
        <v>22.93</v>
      </c>
      <c r="K6484">
        <v>30.08</v>
      </c>
      <c r="L6484">
        <v>17.1</v>
      </c>
      <c r="M6484">
        <v>0.0</v>
      </c>
      <c r="N6484">
        <v>0.0</v>
      </c>
      <c r="O6484">
        <v>21.76</v>
      </c>
      <c r="P6484">
        <v>27.39</v>
      </c>
      <c r="Q6484">
        <v>17.6</v>
      </c>
      <c r="R6484">
        <v>0.0</v>
      </c>
    </row>
    <row r="6485">
      <c r="A6485" s="9">
        <v>45016</v>
      </c>
      <c r="B6485" s="2" t="inlineStr">
        <is>
          <t xml:space="preserve">2023-03</t>
        </is>
      </c>
      <c r="C6485" s="2" t="inlineStr">
        <is>
          <t xml:space="preserve">2022/23</t>
        </is>
      </c>
      <c r="D6485">
        <v>0.0</v>
      </c>
      <c r="E6485">
        <v>22.66</v>
      </c>
      <c r="F6485">
        <v>30.98</v>
      </c>
      <c r="G6485">
        <v>15.67</v>
      </c>
      <c r="H6485">
        <v>0.0</v>
      </c>
      <c r="I6485">
        <v>0.0</v>
      </c>
      <c r="J6485">
        <v>23.93</v>
      </c>
      <c r="K6485">
        <v>32.1</v>
      </c>
      <c r="L6485">
        <v>17.65</v>
      </c>
      <c r="M6485">
        <v>0.0</v>
      </c>
      <c r="N6485">
        <v>0.0</v>
      </c>
      <c r="O6485">
        <v>22.25</v>
      </c>
      <c r="P6485">
        <v>28.77</v>
      </c>
      <c r="Q6485">
        <v>17.82</v>
      </c>
      <c r="R6485">
        <v>0.0</v>
      </c>
    </row>
    <row r="6486">
      <c r="A6486" s="9">
        <v>45017</v>
      </c>
      <c r="B6486" s="2" t="inlineStr">
        <is>
          <t xml:space="preserve">2023-04</t>
        </is>
      </c>
      <c r="C6486" s="2" t="inlineStr">
        <is>
          <t xml:space="preserve">2022/23</t>
        </is>
      </c>
      <c r="D6486">
        <v>0.0</v>
      </c>
      <c r="E6486">
        <v>22.75</v>
      </c>
      <c r="F6486">
        <v>31.64</v>
      </c>
      <c r="G6486">
        <v>14.77</v>
      </c>
      <c r="H6486">
        <v>0.0</v>
      </c>
      <c r="I6486">
        <v>0.0</v>
      </c>
      <c r="J6486">
        <v>23.99</v>
      </c>
      <c r="K6486">
        <v>32.03</v>
      </c>
      <c r="L6486">
        <v>17.39</v>
      </c>
      <c r="M6486">
        <v>0.0</v>
      </c>
      <c r="N6486">
        <v>0.0</v>
      </c>
      <c r="O6486">
        <v>22.49</v>
      </c>
      <c r="P6486">
        <v>28.95</v>
      </c>
      <c r="Q6486">
        <v>18.36</v>
      </c>
      <c r="R6486">
        <v>0.0</v>
      </c>
    </row>
    <row r="6487">
      <c r="A6487" s="9">
        <v>45018</v>
      </c>
      <c r="B6487" s="2" t="inlineStr">
        <is>
          <t xml:space="preserve">2023-04</t>
        </is>
      </c>
      <c r="C6487" s="2" t="inlineStr">
        <is>
          <t xml:space="preserve">2022/23</t>
        </is>
      </c>
      <c r="D6487">
        <v>0.0</v>
      </c>
      <c r="E6487">
        <v>22.91</v>
      </c>
      <c r="F6487">
        <v>31.73</v>
      </c>
      <c r="G6487">
        <v>15.16</v>
      </c>
      <c r="H6487">
        <v>0.0</v>
      </c>
      <c r="I6487">
        <v>0.0</v>
      </c>
      <c r="J6487">
        <v>23.95</v>
      </c>
      <c r="K6487">
        <v>31.99</v>
      </c>
      <c r="L6487">
        <v>17.74</v>
      </c>
      <c r="M6487">
        <v>0.0</v>
      </c>
      <c r="N6487">
        <v>0.0</v>
      </c>
      <c r="O6487">
        <v>22.62</v>
      </c>
      <c r="P6487">
        <v>28.89</v>
      </c>
      <c r="Q6487">
        <v>18.44</v>
      </c>
      <c r="R6487">
        <v>0.0</v>
      </c>
    </row>
    <row r="6488">
      <c r="A6488" s="9">
        <v>45019</v>
      </c>
      <c r="B6488" s="2" t="inlineStr">
        <is>
          <t xml:space="preserve">2023-04</t>
        </is>
      </c>
      <c r="C6488" s="2" t="inlineStr">
        <is>
          <t xml:space="preserve">2022/23</t>
        </is>
      </c>
      <c r="D6488">
        <v>0.0</v>
      </c>
      <c r="E6488">
        <v>23.02</v>
      </c>
      <c r="F6488">
        <v>32.2</v>
      </c>
      <c r="G6488">
        <v>14.19</v>
      </c>
      <c r="H6488">
        <v>0.01</v>
      </c>
      <c r="I6488">
        <v>0.0</v>
      </c>
      <c r="J6488">
        <v>24.79</v>
      </c>
      <c r="K6488">
        <v>32.81</v>
      </c>
      <c r="L6488">
        <v>17.98</v>
      </c>
      <c r="M6488">
        <v>0.0</v>
      </c>
      <c r="N6488">
        <v>0.0</v>
      </c>
      <c r="O6488">
        <v>22.88</v>
      </c>
      <c r="P6488">
        <v>29.82</v>
      </c>
      <c r="Q6488">
        <v>18.33</v>
      </c>
      <c r="R6488">
        <v>0.0</v>
      </c>
    </row>
    <row r="6489">
      <c r="A6489" s="9">
        <v>45020</v>
      </c>
      <c r="B6489" s="2" t="inlineStr">
        <is>
          <t xml:space="preserve">2023-04</t>
        </is>
      </c>
      <c r="C6489" s="2" t="inlineStr">
        <is>
          <t xml:space="preserve">2022/23</t>
        </is>
      </c>
      <c r="D6489">
        <v>0.0</v>
      </c>
      <c r="E6489">
        <v>24.35</v>
      </c>
      <c r="F6489">
        <v>33.63</v>
      </c>
      <c r="G6489">
        <v>16.36</v>
      </c>
      <c r="H6489">
        <v>0.0</v>
      </c>
      <c r="I6489">
        <v>0.0</v>
      </c>
      <c r="J6489">
        <v>25.37</v>
      </c>
      <c r="K6489">
        <v>34.03</v>
      </c>
      <c r="L6489">
        <v>17.68</v>
      </c>
      <c r="M6489">
        <v>0.0</v>
      </c>
      <c r="N6489">
        <v>0.0</v>
      </c>
      <c r="O6489">
        <v>24.02</v>
      </c>
      <c r="P6489">
        <v>31.87</v>
      </c>
      <c r="Q6489">
        <v>18.39</v>
      </c>
      <c r="R6489">
        <v>0.0</v>
      </c>
    </row>
    <row r="6490">
      <c r="A6490" s="9">
        <v>45021</v>
      </c>
      <c r="B6490" s="2" t="inlineStr">
        <is>
          <t xml:space="preserve">2023-04</t>
        </is>
      </c>
      <c r="C6490" s="2" t="inlineStr">
        <is>
          <t xml:space="preserve">2022/23</t>
        </is>
      </c>
      <c r="D6490">
        <v>0.0</v>
      </c>
      <c r="E6490">
        <v>24.2</v>
      </c>
      <c r="F6490">
        <v>33.42</v>
      </c>
      <c r="G6490">
        <v>15.94</v>
      </c>
      <c r="H6490">
        <v>0.0</v>
      </c>
      <c r="I6490">
        <v>0.0</v>
      </c>
      <c r="J6490">
        <v>26.21</v>
      </c>
      <c r="K6490">
        <v>34.43</v>
      </c>
      <c r="L6490">
        <v>19.18</v>
      </c>
      <c r="M6490">
        <v>0.0</v>
      </c>
      <c r="N6490">
        <v>0.0</v>
      </c>
      <c r="O6490">
        <v>24.01</v>
      </c>
      <c r="P6490">
        <v>32.06</v>
      </c>
      <c r="Q6490">
        <v>18.29</v>
      </c>
      <c r="R6490">
        <v>0.0</v>
      </c>
    </row>
    <row r="6491">
      <c r="A6491" s="9">
        <v>45022</v>
      </c>
      <c r="B6491" s="2" t="inlineStr">
        <is>
          <t xml:space="preserve">2023-04</t>
        </is>
      </c>
      <c r="C6491" s="2" t="inlineStr">
        <is>
          <t xml:space="preserve">2022/23</t>
        </is>
      </c>
      <c r="D6491">
        <v>0.0</v>
      </c>
      <c r="E6491">
        <v>24.42</v>
      </c>
      <c r="F6491">
        <v>32.94</v>
      </c>
      <c r="G6491">
        <v>16.59</v>
      </c>
      <c r="H6491">
        <v>0.0</v>
      </c>
      <c r="I6491">
        <v>0.0</v>
      </c>
      <c r="J6491">
        <v>25.89</v>
      </c>
      <c r="K6491">
        <v>33.63</v>
      </c>
      <c r="L6491">
        <v>19.55</v>
      </c>
      <c r="M6491">
        <v>0.0</v>
      </c>
      <c r="N6491">
        <v>0.0</v>
      </c>
      <c r="O6491">
        <v>23.87</v>
      </c>
      <c r="P6491">
        <v>31.31</v>
      </c>
      <c r="Q6491">
        <v>18.34</v>
      </c>
      <c r="R6491">
        <v>0.0</v>
      </c>
    </row>
    <row r="6492">
      <c r="A6492" s="9">
        <v>45023</v>
      </c>
      <c r="B6492" s="2" t="inlineStr">
        <is>
          <t xml:space="preserve">2023-04</t>
        </is>
      </c>
      <c r="C6492" s="2" t="inlineStr">
        <is>
          <t xml:space="preserve">2022/23</t>
        </is>
      </c>
      <c r="D6492">
        <v>0.0</v>
      </c>
      <c r="E6492">
        <v>23.86</v>
      </c>
      <c r="F6492">
        <v>32.04</v>
      </c>
      <c r="G6492">
        <v>16.44</v>
      </c>
      <c r="H6492">
        <v>0.0</v>
      </c>
      <c r="I6492">
        <v>0.0</v>
      </c>
      <c r="J6492">
        <v>24.68</v>
      </c>
      <c r="K6492">
        <v>31.76</v>
      </c>
      <c r="L6492">
        <v>18.89</v>
      </c>
      <c r="M6492">
        <v>0.0</v>
      </c>
      <c r="N6492">
        <v>0.0</v>
      </c>
      <c r="O6492">
        <v>23.2</v>
      </c>
      <c r="P6492">
        <v>29.42</v>
      </c>
      <c r="Q6492">
        <v>19.4</v>
      </c>
      <c r="R6492">
        <v>0.0</v>
      </c>
    </row>
    <row r="6493">
      <c r="A6493" s="9">
        <v>45024</v>
      </c>
      <c r="B6493" s="2" t="inlineStr">
        <is>
          <t xml:space="preserve">2023-04</t>
        </is>
      </c>
      <c r="C6493" s="2" t="inlineStr">
        <is>
          <t xml:space="preserve">2022/23</t>
        </is>
      </c>
      <c r="D6493">
        <v>0.0</v>
      </c>
      <c r="E6493">
        <v>23.46</v>
      </c>
      <c r="F6493">
        <v>30.91</v>
      </c>
      <c r="G6493">
        <v>17.74</v>
      </c>
      <c r="H6493">
        <v>0.0</v>
      </c>
      <c r="I6493">
        <v>0.0</v>
      </c>
      <c r="J6493">
        <v>23.8</v>
      </c>
      <c r="K6493">
        <v>31.37</v>
      </c>
      <c r="L6493">
        <v>17.82</v>
      </c>
      <c r="M6493">
        <v>0.0</v>
      </c>
      <c r="N6493">
        <v>0.0</v>
      </c>
      <c r="O6493">
        <v>22.43</v>
      </c>
      <c r="P6493">
        <v>28.62</v>
      </c>
      <c r="Q6493">
        <v>17.9</v>
      </c>
      <c r="R6493">
        <v>0.0</v>
      </c>
    </row>
    <row r="6494">
      <c r="A6494" s="9">
        <v>45025</v>
      </c>
      <c r="B6494" s="2" t="inlineStr">
        <is>
          <t xml:space="preserve">2023-04</t>
        </is>
      </c>
      <c r="C6494" s="2" t="inlineStr">
        <is>
          <t xml:space="preserve">2022/23</t>
        </is>
      </c>
      <c r="D6494">
        <v>0.0</v>
      </c>
      <c r="E6494">
        <v>22.71</v>
      </c>
      <c r="F6494">
        <v>29.82</v>
      </c>
      <c r="G6494">
        <v>17.21</v>
      </c>
      <c r="H6494">
        <v>0.0</v>
      </c>
      <c r="I6494">
        <v>0.0</v>
      </c>
      <c r="J6494">
        <v>23.13</v>
      </c>
      <c r="K6494">
        <v>30.75</v>
      </c>
      <c r="L6494">
        <v>17.54</v>
      </c>
      <c r="M6494">
        <v>0.0</v>
      </c>
      <c r="N6494">
        <v>0.0</v>
      </c>
      <c r="O6494">
        <v>21.64</v>
      </c>
      <c r="P6494">
        <v>27.73</v>
      </c>
      <c r="Q6494">
        <v>17.11</v>
      </c>
      <c r="R6494">
        <v>0.0</v>
      </c>
    </row>
    <row r="6495">
      <c r="A6495" s="9">
        <v>45026</v>
      </c>
      <c r="B6495" s="2" t="inlineStr">
        <is>
          <t xml:space="preserve">2023-04</t>
        </is>
      </c>
      <c r="C6495" s="2" t="inlineStr">
        <is>
          <t xml:space="preserve">2022/23</t>
        </is>
      </c>
      <c r="D6495">
        <v>0.0</v>
      </c>
      <c r="E6495">
        <v>22.27</v>
      </c>
      <c r="F6495">
        <v>30.53</v>
      </c>
      <c r="G6495">
        <v>15.71</v>
      </c>
      <c r="H6495">
        <v>0.0</v>
      </c>
      <c r="I6495">
        <v>0.0</v>
      </c>
      <c r="J6495">
        <v>22.03</v>
      </c>
      <c r="K6495">
        <v>30.3</v>
      </c>
      <c r="L6495">
        <v>14.54</v>
      </c>
      <c r="M6495">
        <v>0.0</v>
      </c>
      <c r="N6495">
        <v>0.0</v>
      </c>
      <c r="O6495">
        <v>20.74</v>
      </c>
      <c r="P6495">
        <v>27.98</v>
      </c>
      <c r="Q6495">
        <v>15.07</v>
      </c>
      <c r="R6495">
        <v>0.02</v>
      </c>
    </row>
    <row r="6496">
      <c r="A6496" s="9">
        <v>45027</v>
      </c>
      <c r="B6496" s="2" t="inlineStr">
        <is>
          <t xml:space="preserve">2023-04</t>
        </is>
      </c>
      <c r="C6496" s="2" t="inlineStr">
        <is>
          <t xml:space="preserve">2022/23</t>
        </is>
      </c>
      <c r="D6496">
        <v>0.0</v>
      </c>
      <c r="E6496">
        <v>23.04</v>
      </c>
      <c r="F6496">
        <v>31.62</v>
      </c>
      <c r="G6496">
        <v>16.01</v>
      </c>
      <c r="H6496">
        <v>0.0</v>
      </c>
      <c r="I6496">
        <v>0.0</v>
      </c>
      <c r="J6496">
        <v>22.42</v>
      </c>
      <c r="K6496">
        <v>31.17</v>
      </c>
      <c r="L6496">
        <v>14.4</v>
      </c>
      <c r="M6496">
        <v>0.0</v>
      </c>
      <c r="N6496">
        <v>0.0</v>
      </c>
      <c r="O6496">
        <v>21.14</v>
      </c>
      <c r="P6496">
        <v>28.68</v>
      </c>
      <c r="Q6496">
        <v>14.76</v>
      </c>
      <c r="R6496">
        <v>0.0</v>
      </c>
    </row>
    <row r="6497">
      <c r="A6497" s="9">
        <v>45028</v>
      </c>
      <c r="B6497" s="2" t="inlineStr">
        <is>
          <t xml:space="preserve">2023-04</t>
        </is>
      </c>
      <c r="C6497" s="2" t="inlineStr">
        <is>
          <t xml:space="preserve">2022/23</t>
        </is>
      </c>
      <c r="D6497">
        <v>0.0</v>
      </c>
      <c r="E6497">
        <v>23.86</v>
      </c>
      <c r="F6497">
        <v>32.04</v>
      </c>
      <c r="G6497">
        <v>16.3</v>
      </c>
      <c r="H6497">
        <v>0.0</v>
      </c>
      <c r="I6497">
        <v>0.0</v>
      </c>
      <c r="J6497">
        <v>23.65</v>
      </c>
      <c r="K6497">
        <v>32.04</v>
      </c>
      <c r="L6497">
        <v>15.76</v>
      </c>
      <c r="M6497">
        <v>0.0</v>
      </c>
      <c r="N6497">
        <v>0.0</v>
      </c>
      <c r="O6497">
        <v>22.29</v>
      </c>
      <c r="P6497">
        <v>29.54</v>
      </c>
      <c r="Q6497">
        <v>16.1</v>
      </c>
      <c r="R6497">
        <v>0.0</v>
      </c>
    </row>
    <row r="6498">
      <c r="A6498" s="9">
        <v>45029</v>
      </c>
      <c r="B6498" s="2" t="inlineStr">
        <is>
          <t xml:space="preserve">2023-04</t>
        </is>
      </c>
      <c r="C6498" s="2" t="inlineStr">
        <is>
          <t xml:space="preserve">2022/23</t>
        </is>
      </c>
      <c r="D6498">
        <v>0.0</v>
      </c>
      <c r="E6498">
        <v>24.57</v>
      </c>
      <c r="F6498">
        <v>32.85</v>
      </c>
      <c r="G6498">
        <v>17.97</v>
      </c>
      <c r="H6498">
        <v>0.0</v>
      </c>
      <c r="I6498">
        <v>0.0</v>
      </c>
      <c r="J6498">
        <v>24.92</v>
      </c>
      <c r="K6498">
        <v>32.66</v>
      </c>
      <c r="L6498">
        <v>18.13</v>
      </c>
      <c r="M6498">
        <v>0.35</v>
      </c>
      <c r="N6498">
        <v>0.0</v>
      </c>
      <c r="O6498">
        <v>23.31</v>
      </c>
      <c r="P6498">
        <v>30.56</v>
      </c>
      <c r="Q6498">
        <v>17.83</v>
      </c>
      <c r="R6498">
        <v>0.04</v>
      </c>
    </row>
    <row r="6499">
      <c r="A6499" s="9">
        <v>45030</v>
      </c>
      <c r="B6499" s="2" t="inlineStr">
        <is>
          <t xml:space="preserve">2023-04</t>
        </is>
      </c>
      <c r="C6499" s="2" t="inlineStr">
        <is>
          <t xml:space="preserve">2022/23</t>
        </is>
      </c>
      <c r="D6499">
        <v>0.0</v>
      </c>
      <c r="E6499">
        <v>24.44</v>
      </c>
      <c r="F6499">
        <v>30.65</v>
      </c>
      <c r="G6499">
        <v>19.23</v>
      </c>
      <c r="H6499">
        <v>0.0</v>
      </c>
      <c r="I6499">
        <v>1.328</v>
      </c>
      <c r="J6499">
        <v>25.03</v>
      </c>
      <c r="K6499">
        <v>33.07</v>
      </c>
      <c r="L6499">
        <v>18.9</v>
      </c>
      <c r="M6499">
        <v>0.31</v>
      </c>
      <c r="N6499">
        <v>0.052</v>
      </c>
      <c r="O6499">
        <v>23.91</v>
      </c>
      <c r="P6499">
        <v>31.59</v>
      </c>
      <c r="Q6499">
        <v>18.09</v>
      </c>
      <c r="R6499">
        <v>0.01</v>
      </c>
    </row>
    <row r="6500">
      <c r="A6500" s="9">
        <v>45031</v>
      </c>
      <c r="B6500" s="2" t="inlineStr">
        <is>
          <t xml:space="preserve">2023-04</t>
        </is>
      </c>
      <c r="C6500" s="2" t="inlineStr">
        <is>
          <t xml:space="preserve">2022/23</t>
        </is>
      </c>
      <c r="D6500">
        <v>0.0</v>
      </c>
      <c r="E6500">
        <v>25.64</v>
      </c>
      <c r="F6500">
        <v>33.43</v>
      </c>
      <c r="G6500">
        <v>17.89</v>
      </c>
      <c r="H6500">
        <v>0.25</v>
      </c>
      <c r="I6500">
        <v>0.0</v>
      </c>
      <c r="J6500">
        <v>26.79</v>
      </c>
      <c r="K6500">
        <v>34.48</v>
      </c>
      <c r="L6500">
        <v>20.09</v>
      </c>
      <c r="M6500">
        <v>0.08</v>
      </c>
      <c r="N6500">
        <v>0.0</v>
      </c>
      <c r="O6500">
        <v>25.84</v>
      </c>
      <c r="P6500">
        <v>33.33</v>
      </c>
      <c r="Q6500">
        <v>19.53</v>
      </c>
      <c r="R6500">
        <v>0.15</v>
      </c>
    </row>
    <row r="6501">
      <c r="A6501" s="9">
        <v>45032</v>
      </c>
      <c r="B6501" s="2" t="inlineStr">
        <is>
          <t xml:space="preserve">2023-04</t>
        </is>
      </c>
      <c r="C6501" s="2" t="inlineStr">
        <is>
          <t xml:space="preserve">2022/23</t>
        </is>
      </c>
      <c r="D6501">
        <v>1.327</v>
      </c>
      <c r="E6501">
        <v>25.61</v>
      </c>
      <c r="F6501">
        <v>33.53</v>
      </c>
      <c r="G6501">
        <v>18.99</v>
      </c>
      <c r="H6501">
        <v>0.43</v>
      </c>
      <c r="I6501">
        <v>0.078</v>
      </c>
      <c r="J6501">
        <v>26.82</v>
      </c>
      <c r="K6501">
        <v>34.62</v>
      </c>
      <c r="L6501">
        <v>20.65</v>
      </c>
      <c r="M6501">
        <v>0.56</v>
      </c>
      <c r="N6501">
        <v>0.442</v>
      </c>
      <c r="O6501">
        <v>25.37</v>
      </c>
      <c r="P6501">
        <v>32.61</v>
      </c>
      <c r="Q6501">
        <v>20.45</v>
      </c>
      <c r="R6501">
        <v>0.34</v>
      </c>
    </row>
    <row r="6502">
      <c r="A6502" s="9">
        <v>45033</v>
      </c>
      <c r="B6502" s="2" t="inlineStr">
        <is>
          <t xml:space="preserve">2023-04</t>
        </is>
      </c>
      <c r="C6502" s="2" t="inlineStr">
        <is>
          <t xml:space="preserve">2022/23</t>
        </is>
      </c>
      <c r="D6502">
        <v>0.0</v>
      </c>
      <c r="E6502">
        <v>23.79</v>
      </c>
      <c r="F6502">
        <v>30.82</v>
      </c>
      <c r="G6502">
        <v>18.58</v>
      </c>
      <c r="H6502">
        <v>0.2</v>
      </c>
      <c r="I6502">
        <v>1.504</v>
      </c>
      <c r="J6502">
        <v>24.74</v>
      </c>
      <c r="K6502">
        <v>31.43</v>
      </c>
      <c r="L6502">
        <v>19.36</v>
      </c>
      <c r="M6502">
        <v>0.59</v>
      </c>
      <c r="N6502">
        <v>0.102</v>
      </c>
      <c r="O6502">
        <v>23.42</v>
      </c>
      <c r="P6502">
        <v>29.19</v>
      </c>
      <c r="Q6502">
        <v>19.4</v>
      </c>
      <c r="R6502">
        <v>0.15</v>
      </c>
    </row>
    <row r="6503">
      <c r="A6503" s="9">
        <v>45034</v>
      </c>
      <c r="B6503" s="2" t="inlineStr">
        <is>
          <t xml:space="preserve">2023-04</t>
        </is>
      </c>
      <c r="C6503" s="2" t="inlineStr">
        <is>
          <t xml:space="preserve">2022/23</t>
        </is>
      </c>
      <c r="D6503">
        <v>0.0</v>
      </c>
      <c r="E6503">
        <v>24.35</v>
      </c>
      <c r="F6503">
        <v>31.99</v>
      </c>
      <c r="G6503">
        <v>18.51</v>
      </c>
      <c r="H6503">
        <v>3.74</v>
      </c>
      <c r="I6503">
        <v>0.0</v>
      </c>
      <c r="J6503">
        <v>24.89</v>
      </c>
      <c r="K6503">
        <v>32.77</v>
      </c>
      <c r="L6503">
        <v>18.07</v>
      </c>
      <c r="M6503">
        <v>0.26</v>
      </c>
      <c r="N6503">
        <v>0.0</v>
      </c>
      <c r="O6503">
        <v>23.43</v>
      </c>
      <c r="P6503">
        <v>30.24</v>
      </c>
      <c r="Q6503">
        <v>18.28</v>
      </c>
      <c r="R6503">
        <v>0.6</v>
      </c>
    </row>
    <row r="6504">
      <c r="A6504" s="9">
        <v>45035</v>
      </c>
      <c r="B6504" s="2" t="inlineStr">
        <is>
          <t xml:space="preserve">2023-04</t>
        </is>
      </c>
      <c r="C6504" s="2" t="inlineStr">
        <is>
          <t xml:space="preserve">2022/23</t>
        </is>
      </c>
      <c r="D6504">
        <v>28.9</v>
      </c>
      <c r="E6504">
        <v>23.92</v>
      </c>
      <c r="F6504">
        <v>31.37</v>
      </c>
      <c r="G6504">
        <v>17.66</v>
      </c>
      <c r="H6504">
        <v>8.76</v>
      </c>
      <c r="I6504">
        <v>3.407</v>
      </c>
      <c r="J6504">
        <v>25.3</v>
      </c>
      <c r="K6504">
        <v>33.06</v>
      </c>
      <c r="L6504">
        <v>18.45</v>
      </c>
      <c r="M6504">
        <v>3.78</v>
      </c>
      <c r="N6504">
        <v>0.584</v>
      </c>
      <c r="O6504">
        <v>23.92</v>
      </c>
      <c r="P6504">
        <v>30.86</v>
      </c>
      <c r="Q6504">
        <v>18.98</v>
      </c>
      <c r="R6504">
        <v>2.91</v>
      </c>
    </row>
    <row r="6505">
      <c r="A6505" s="9">
        <v>45036</v>
      </c>
      <c r="B6505" s="2" t="inlineStr">
        <is>
          <t xml:space="preserve">2023-04</t>
        </is>
      </c>
      <c r="C6505" s="2" t="inlineStr">
        <is>
          <t xml:space="preserve">2022/23</t>
        </is>
      </c>
      <c r="D6505">
        <v>0.1</v>
      </c>
      <c r="E6505">
        <v>25.2</v>
      </c>
      <c r="F6505">
        <v>32.67</v>
      </c>
      <c r="G6505">
        <v>18.27</v>
      </c>
      <c r="H6505">
        <v>0.07</v>
      </c>
      <c r="I6505">
        <v>4.7</v>
      </c>
      <c r="J6505">
        <v>25.92</v>
      </c>
      <c r="K6505">
        <v>33.4</v>
      </c>
      <c r="L6505">
        <v>19.36</v>
      </c>
      <c r="M6505">
        <v>1.29</v>
      </c>
      <c r="N6505">
        <v>0.246</v>
      </c>
      <c r="O6505">
        <v>25.24</v>
      </c>
      <c r="P6505">
        <v>32.93</v>
      </c>
      <c r="Q6505">
        <v>19.63</v>
      </c>
      <c r="R6505">
        <v>0.15</v>
      </c>
    </row>
    <row r="6506">
      <c r="A6506" s="9">
        <v>45037</v>
      </c>
      <c r="B6506" s="2" t="inlineStr">
        <is>
          <t xml:space="preserve">2023-04</t>
        </is>
      </c>
      <c r="C6506" s="2" t="inlineStr">
        <is>
          <t xml:space="preserve">2022/23</t>
        </is>
      </c>
      <c r="D6506">
        <v>0.535</v>
      </c>
      <c r="E6506">
        <v>25.73</v>
      </c>
      <c r="F6506">
        <v>33.25</v>
      </c>
      <c r="G6506">
        <v>18.27</v>
      </c>
      <c r="H6506">
        <v>0.19</v>
      </c>
      <c r="I6506">
        <v>0.0</v>
      </c>
      <c r="J6506">
        <v>26.28</v>
      </c>
      <c r="K6506">
        <v>33.5</v>
      </c>
      <c r="L6506">
        <v>20.63</v>
      </c>
      <c r="M6506">
        <v>0.0</v>
      </c>
      <c r="N6506">
        <v>0.0</v>
      </c>
      <c r="O6506">
        <v>26.26</v>
      </c>
      <c r="P6506">
        <v>33.81</v>
      </c>
      <c r="Q6506">
        <v>19.83</v>
      </c>
      <c r="R6506">
        <v>0.02</v>
      </c>
    </row>
    <row r="6507">
      <c r="A6507" s="9">
        <v>45038</v>
      </c>
      <c r="B6507" s="2" t="inlineStr">
        <is>
          <t xml:space="preserve">2023-04</t>
        </is>
      </c>
      <c r="C6507" s="2" t="inlineStr">
        <is>
          <t xml:space="preserve">2022/23</t>
        </is>
      </c>
      <c r="D6507">
        <v>0.0</v>
      </c>
      <c r="E6507">
        <v>26.79</v>
      </c>
      <c r="F6507">
        <v>34.94</v>
      </c>
      <c r="G6507">
        <v>19.42</v>
      </c>
      <c r="H6507">
        <v>0.68</v>
      </c>
      <c r="I6507">
        <v>0.0</v>
      </c>
      <c r="J6507">
        <v>27.02</v>
      </c>
      <c r="K6507">
        <v>35.14</v>
      </c>
      <c r="L6507">
        <v>20.8</v>
      </c>
      <c r="M6507">
        <v>0.14</v>
      </c>
      <c r="N6507">
        <v>0.0</v>
      </c>
      <c r="O6507">
        <v>26.54</v>
      </c>
      <c r="P6507">
        <v>34.53</v>
      </c>
      <c r="Q6507">
        <v>21.16</v>
      </c>
      <c r="R6507">
        <v>0.03</v>
      </c>
    </row>
    <row r="6508">
      <c r="A6508" s="9">
        <v>45039</v>
      </c>
      <c r="B6508" s="2" t="inlineStr">
        <is>
          <t xml:space="preserve">2023-04</t>
        </is>
      </c>
      <c r="C6508" s="2" t="inlineStr">
        <is>
          <t xml:space="preserve">2022/23</t>
        </is>
      </c>
      <c r="D6508">
        <v>5.211</v>
      </c>
      <c r="E6508">
        <v>25.0</v>
      </c>
      <c r="F6508">
        <v>30.9</v>
      </c>
      <c r="G6508">
        <v>20.12</v>
      </c>
      <c r="H6508">
        <v>8.73</v>
      </c>
      <c r="I6508">
        <v>0.867</v>
      </c>
      <c r="J6508">
        <v>25.01</v>
      </c>
      <c r="K6508">
        <v>30.3</v>
      </c>
      <c r="L6508">
        <v>21.37</v>
      </c>
      <c r="M6508">
        <v>1.56</v>
      </c>
      <c r="N6508">
        <v>0.062</v>
      </c>
      <c r="O6508">
        <v>25.9</v>
      </c>
      <c r="P6508">
        <v>32.6</v>
      </c>
      <c r="Q6508">
        <v>20.45</v>
      </c>
      <c r="R6508">
        <v>1.72</v>
      </c>
    </row>
    <row r="6509">
      <c r="A6509" s="9">
        <v>45040</v>
      </c>
      <c r="B6509" s="2" t="inlineStr">
        <is>
          <t xml:space="preserve">2023-04</t>
        </is>
      </c>
      <c r="C6509" s="2" t="inlineStr">
        <is>
          <t xml:space="preserve">2022/23</t>
        </is>
      </c>
      <c r="D6509">
        <v>5.168</v>
      </c>
      <c r="E6509">
        <v>25.3</v>
      </c>
      <c r="F6509">
        <v>31.82</v>
      </c>
      <c r="G6509">
        <v>19.34</v>
      </c>
      <c r="H6509">
        <v>4.66</v>
      </c>
      <c r="I6509">
        <v>2.914</v>
      </c>
      <c r="J6509">
        <v>24.78</v>
      </c>
      <c r="K6509">
        <v>30.45</v>
      </c>
      <c r="L6509">
        <v>20.92</v>
      </c>
      <c r="M6509">
        <v>5.06</v>
      </c>
      <c r="N6509">
        <v>11.281</v>
      </c>
      <c r="O6509">
        <v>26.0</v>
      </c>
      <c r="P6509">
        <v>32.46</v>
      </c>
      <c r="Q6509">
        <v>20.6</v>
      </c>
      <c r="R6509">
        <v>4.04</v>
      </c>
    </row>
    <row r="6510">
      <c r="A6510" s="9">
        <v>45041</v>
      </c>
      <c r="B6510" s="2" t="inlineStr">
        <is>
          <t xml:space="preserve">2023-04</t>
        </is>
      </c>
      <c r="C6510" s="2" t="inlineStr">
        <is>
          <t xml:space="preserve">2022/23</t>
        </is>
      </c>
      <c r="D6510">
        <v>2.362</v>
      </c>
      <c r="E6510">
        <v>25.54</v>
      </c>
      <c r="F6510">
        <v>32.43</v>
      </c>
      <c r="G6510">
        <v>19.58</v>
      </c>
      <c r="H6510">
        <v>0.73</v>
      </c>
      <c r="I6510">
        <v>4.106</v>
      </c>
      <c r="J6510">
        <v>25.44</v>
      </c>
      <c r="K6510">
        <v>31.5</v>
      </c>
      <c r="L6510">
        <v>21.15</v>
      </c>
      <c r="M6510">
        <v>1.95</v>
      </c>
      <c r="N6510">
        <v>0.314</v>
      </c>
      <c r="O6510">
        <v>25.36</v>
      </c>
      <c r="P6510">
        <v>30.63</v>
      </c>
      <c r="Q6510">
        <v>21.79</v>
      </c>
      <c r="R6510">
        <v>0.35</v>
      </c>
    </row>
    <row r="6511">
      <c r="A6511" s="9">
        <v>45042</v>
      </c>
      <c r="B6511" s="2" t="inlineStr">
        <is>
          <t xml:space="preserve">2023-04</t>
        </is>
      </c>
      <c r="C6511" s="2" t="inlineStr">
        <is>
          <t xml:space="preserve">2022/23</t>
        </is>
      </c>
      <c r="D6511">
        <v>0.0</v>
      </c>
      <c r="E6511">
        <v>26.21</v>
      </c>
      <c r="F6511">
        <v>32.95</v>
      </c>
      <c r="G6511">
        <v>20.35</v>
      </c>
      <c r="H6511">
        <v>0.28</v>
      </c>
      <c r="I6511">
        <v>0.44</v>
      </c>
      <c r="J6511">
        <v>25.71</v>
      </c>
      <c r="K6511">
        <v>32.43</v>
      </c>
      <c r="L6511">
        <v>20.88</v>
      </c>
      <c r="M6511">
        <v>0.19</v>
      </c>
      <c r="N6511">
        <v>0.0</v>
      </c>
      <c r="O6511">
        <v>26.92</v>
      </c>
      <c r="P6511">
        <v>34.15</v>
      </c>
      <c r="Q6511">
        <v>20.81</v>
      </c>
      <c r="R6511">
        <v>0.02</v>
      </c>
    </row>
    <row r="6512">
      <c r="A6512" s="9">
        <v>45043</v>
      </c>
      <c r="B6512" s="2" t="inlineStr">
        <is>
          <t xml:space="preserve">2023-04</t>
        </is>
      </c>
      <c r="C6512" s="2" t="inlineStr">
        <is>
          <t xml:space="preserve">2022/23</t>
        </is>
      </c>
      <c r="D6512">
        <v>0.151</v>
      </c>
      <c r="E6512">
        <v>26.26</v>
      </c>
      <c r="F6512">
        <v>33.39</v>
      </c>
      <c r="G6512">
        <v>20.53</v>
      </c>
      <c r="H6512">
        <v>0.18</v>
      </c>
      <c r="I6512">
        <v>0.0</v>
      </c>
      <c r="J6512">
        <v>24.95</v>
      </c>
      <c r="K6512">
        <v>29.9</v>
      </c>
      <c r="L6512">
        <v>21.31</v>
      </c>
      <c r="M6512">
        <v>0.01</v>
      </c>
      <c r="N6512">
        <v>0.0</v>
      </c>
      <c r="O6512">
        <v>26.49</v>
      </c>
      <c r="P6512">
        <v>31.99</v>
      </c>
      <c r="Q6512">
        <v>21.71</v>
      </c>
      <c r="R6512">
        <v>0.0</v>
      </c>
    </row>
    <row r="6513">
      <c r="A6513" s="9">
        <v>45044</v>
      </c>
      <c r="B6513" s="2" t="inlineStr">
        <is>
          <t xml:space="preserve">2023-04</t>
        </is>
      </c>
      <c r="C6513" s="2" t="inlineStr">
        <is>
          <t xml:space="preserve">2022/23</t>
        </is>
      </c>
      <c r="D6513">
        <v>0.0</v>
      </c>
      <c r="E6513">
        <v>25.75</v>
      </c>
      <c r="F6513">
        <v>31.87</v>
      </c>
      <c r="G6513">
        <v>20.67</v>
      </c>
      <c r="H6513">
        <v>0.03</v>
      </c>
      <c r="I6513">
        <v>0.0</v>
      </c>
      <c r="J6513">
        <v>26.09</v>
      </c>
      <c r="K6513">
        <v>33.48</v>
      </c>
      <c r="L6513">
        <v>20.98</v>
      </c>
      <c r="M6513">
        <v>0.14</v>
      </c>
      <c r="N6513">
        <v>0.0</v>
      </c>
      <c r="O6513">
        <v>27.09</v>
      </c>
      <c r="P6513">
        <v>34.26</v>
      </c>
      <c r="Q6513">
        <v>21.9</v>
      </c>
      <c r="R6513">
        <v>0.14</v>
      </c>
    </row>
    <row r="6514">
      <c r="A6514" s="9">
        <v>45045</v>
      </c>
      <c r="B6514" s="2" t="inlineStr">
        <is>
          <t xml:space="preserve">2023-04</t>
        </is>
      </c>
      <c r="C6514" s="2" t="inlineStr">
        <is>
          <t xml:space="preserve">2022/23</t>
        </is>
      </c>
      <c r="D6514">
        <v>0.0</v>
      </c>
      <c r="E6514">
        <v>25.68</v>
      </c>
      <c r="F6514">
        <v>32.44</v>
      </c>
      <c r="G6514">
        <v>20.88</v>
      </c>
      <c r="H6514">
        <v>1.22</v>
      </c>
      <c r="I6514">
        <v>0.39</v>
      </c>
      <c r="J6514">
        <v>25.37</v>
      </c>
      <c r="K6514">
        <v>32.37</v>
      </c>
      <c r="L6514">
        <v>20.72</v>
      </c>
      <c r="M6514">
        <v>0.53</v>
      </c>
      <c r="N6514">
        <v>0.84</v>
      </c>
      <c r="O6514">
        <v>26.91</v>
      </c>
      <c r="P6514">
        <v>34.16</v>
      </c>
      <c r="Q6514">
        <v>21.78</v>
      </c>
      <c r="R6514">
        <v>1.53</v>
      </c>
    </row>
    <row r="6515">
      <c r="A6515" s="9">
        <v>45046</v>
      </c>
      <c r="B6515" s="2" t="inlineStr">
        <is>
          <t xml:space="preserve">2023-04</t>
        </is>
      </c>
      <c r="C6515" s="2" t="inlineStr">
        <is>
          <t xml:space="preserve">2022/23</t>
        </is>
      </c>
      <c r="D6515">
        <v>2.3</v>
      </c>
      <c r="E6515">
        <v>23.36</v>
      </c>
      <c r="F6515">
        <v>27.75</v>
      </c>
      <c r="G6515">
        <v>20.26</v>
      </c>
      <c r="H6515">
        <v>4.97</v>
      </c>
      <c r="I6515">
        <v>0.0</v>
      </c>
      <c r="J6515">
        <v>25.19</v>
      </c>
      <c r="K6515">
        <v>31.46</v>
      </c>
      <c r="L6515">
        <v>21.67</v>
      </c>
      <c r="M6515">
        <v>1.51</v>
      </c>
      <c r="N6515">
        <v>0.811</v>
      </c>
      <c r="O6515">
        <v>23.98</v>
      </c>
      <c r="P6515">
        <v>28.81</v>
      </c>
      <c r="Q6515">
        <v>21.32</v>
      </c>
      <c r="R6515">
        <v>10.06</v>
      </c>
    </row>
    <row r="6516">
      <c r="A6516" s="9">
        <v>45047</v>
      </c>
      <c r="B6516" s="2" t="inlineStr">
        <is>
          <t xml:space="preserve">2023-05</t>
        </is>
      </c>
      <c r="C6516" s="2" t="inlineStr">
        <is>
          <t xml:space="preserve">2022/23</t>
        </is>
      </c>
      <c r="D6516">
        <v>12.514</v>
      </c>
      <c r="E6516">
        <v>21.65</v>
      </c>
      <c r="F6516">
        <v>24.3</v>
      </c>
      <c r="G6516">
        <v>19.82</v>
      </c>
      <c r="H6516">
        <v>6.8</v>
      </c>
      <c r="I6516">
        <v>1.426</v>
      </c>
      <c r="J6516">
        <v>24.13</v>
      </c>
      <c r="K6516">
        <v>29.35</v>
      </c>
      <c r="L6516">
        <v>20.2</v>
      </c>
      <c r="M6516">
        <v>4.76</v>
      </c>
      <c r="N6516">
        <v>4.429</v>
      </c>
      <c r="O6516">
        <v>23.18</v>
      </c>
      <c r="P6516">
        <v>27.49</v>
      </c>
      <c r="Q6516">
        <v>20.01</v>
      </c>
      <c r="R6516">
        <v>6.81</v>
      </c>
    </row>
    <row r="6517">
      <c r="A6517" s="9">
        <v>45048</v>
      </c>
      <c r="B6517" s="2" t="inlineStr">
        <is>
          <t xml:space="preserve">2023-05</t>
        </is>
      </c>
      <c r="C6517" s="2" t="inlineStr">
        <is>
          <t xml:space="preserve">2022/23</t>
        </is>
      </c>
      <c r="D6517">
        <v>8.703</v>
      </c>
      <c r="E6517">
        <v>23.95</v>
      </c>
      <c r="F6517">
        <v>29.62</v>
      </c>
      <c r="G6517">
        <v>19.41</v>
      </c>
      <c r="H6517">
        <v>8.68</v>
      </c>
      <c r="I6517">
        <v>0.0</v>
      </c>
      <c r="J6517">
        <v>24.31</v>
      </c>
      <c r="K6517">
        <v>29.01</v>
      </c>
      <c r="L6517">
        <v>20.9</v>
      </c>
      <c r="M6517">
        <v>1.14</v>
      </c>
      <c r="N6517">
        <v>0.096</v>
      </c>
      <c r="O6517">
        <v>23.78</v>
      </c>
      <c r="P6517">
        <v>29.14</v>
      </c>
      <c r="Q6517">
        <v>20.12</v>
      </c>
      <c r="R6517">
        <v>3.18</v>
      </c>
    </row>
    <row r="6518">
      <c r="A6518" s="9">
        <v>45049</v>
      </c>
      <c r="B6518" s="2" t="inlineStr">
        <is>
          <t xml:space="preserve">2023-05</t>
        </is>
      </c>
      <c r="C6518" s="2" t="inlineStr">
        <is>
          <t xml:space="preserve">2022/23</t>
        </is>
      </c>
      <c r="D6518">
        <v>19.387</v>
      </c>
      <c r="E6518">
        <v>24.05</v>
      </c>
      <c r="F6518">
        <v>29.76</v>
      </c>
      <c r="G6518">
        <v>20.13</v>
      </c>
      <c r="H6518">
        <v>6.2</v>
      </c>
      <c r="I6518">
        <v>1.143</v>
      </c>
      <c r="J6518">
        <v>25.08</v>
      </c>
      <c r="K6518">
        <v>31.39</v>
      </c>
      <c r="L6518">
        <v>20.46</v>
      </c>
      <c r="M6518">
        <v>2.65</v>
      </c>
      <c r="N6518">
        <v>3.916</v>
      </c>
      <c r="O6518">
        <v>24.51</v>
      </c>
      <c r="P6518">
        <v>29.49</v>
      </c>
      <c r="Q6518">
        <v>21.16</v>
      </c>
      <c r="R6518">
        <v>2.65</v>
      </c>
    </row>
    <row r="6519">
      <c r="A6519" s="9">
        <v>45050</v>
      </c>
      <c r="B6519" s="2" t="inlineStr">
        <is>
          <t xml:space="preserve">2023-05</t>
        </is>
      </c>
      <c r="C6519" s="2" t="inlineStr">
        <is>
          <t xml:space="preserve">2022/23</t>
        </is>
      </c>
      <c r="D6519">
        <v>1.41</v>
      </c>
      <c r="E6519">
        <v>25.31</v>
      </c>
      <c r="F6519">
        <v>32.89</v>
      </c>
      <c r="G6519">
        <v>18.79</v>
      </c>
      <c r="H6519">
        <v>1.32</v>
      </c>
      <c r="I6519">
        <v>4.561</v>
      </c>
      <c r="J6519">
        <v>26.32</v>
      </c>
      <c r="K6519">
        <v>33.4</v>
      </c>
      <c r="L6519">
        <v>20.34</v>
      </c>
      <c r="M6519">
        <v>3.04</v>
      </c>
      <c r="N6519">
        <v>4.791</v>
      </c>
      <c r="O6519">
        <v>25.16</v>
      </c>
      <c r="P6519">
        <v>31.11</v>
      </c>
      <c r="Q6519">
        <v>20.87</v>
      </c>
      <c r="R6519">
        <v>2.34</v>
      </c>
    </row>
    <row r="6520">
      <c r="A6520" s="9">
        <v>45051</v>
      </c>
      <c r="B6520" s="2" t="inlineStr">
        <is>
          <t xml:space="preserve">2023-05</t>
        </is>
      </c>
      <c r="C6520" s="2" t="inlineStr">
        <is>
          <t xml:space="preserve">2022/23</t>
        </is>
      </c>
      <c r="D6520">
        <v>0.0</v>
      </c>
      <c r="E6520">
        <v>25.71</v>
      </c>
      <c r="F6520">
        <v>34.03</v>
      </c>
      <c r="G6520">
        <v>18.12</v>
      </c>
      <c r="H6520">
        <v>0.0</v>
      </c>
      <c r="I6520">
        <v>0.0</v>
      </c>
      <c r="J6520">
        <v>27.25</v>
      </c>
      <c r="K6520">
        <v>34.92</v>
      </c>
      <c r="L6520">
        <v>20.67</v>
      </c>
      <c r="M6520">
        <v>0.0</v>
      </c>
      <c r="N6520">
        <v>0.0</v>
      </c>
      <c r="O6520">
        <v>25.76</v>
      </c>
      <c r="P6520">
        <v>32.88</v>
      </c>
      <c r="Q6520">
        <v>20.77</v>
      </c>
      <c r="R6520">
        <v>0.0</v>
      </c>
    </row>
    <row r="6521">
      <c r="A6521" s="9">
        <v>45052</v>
      </c>
      <c r="B6521" s="2" t="inlineStr">
        <is>
          <t xml:space="preserve">2023-05</t>
        </is>
      </c>
      <c r="C6521" s="2" t="inlineStr">
        <is>
          <t xml:space="preserve">2022/23</t>
        </is>
      </c>
      <c r="D6521">
        <v>0.0</v>
      </c>
      <c r="E6521">
        <v>25.39</v>
      </c>
      <c r="F6521">
        <v>33.38</v>
      </c>
      <c r="G6521">
        <v>17.69</v>
      </c>
      <c r="H6521">
        <v>0.0</v>
      </c>
      <c r="I6521">
        <v>0.0</v>
      </c>
      <c r="J6521">
        <v>26.29</v>
      </c>
      <c r="K6521">
        <v>33.8</v>
      </c>
      <c r="L6521">
        <v>20.86</v>
      </c>
      <c r="M6521">
        <v>0.0</v>
      </c>
      <c r="N6521">
        <v>0.0</v>
      </c>
      <c r="O6521">
        <v>25.22</v>
      </c>
      <c r="P6521">
        <v>31.68</v>
      </c>
      <c r="Q6521">
        <v>20.97</v>
      </c>
      <c r="R6521">
        <v>0.01</v>
      </c>
    </row>
    <row r="6522">
      <c r="A6522" s="9">
        <v>45053</v>
      </c>
      <c r="B6522" s="2" t="inlineStr">
        <is>
          <t xml:space="preserve">2023-05</t>
        </is>
      </c>
      <c r="C6522" s="2" t="inlineStr">
        <is>
          <t xml:space="preserve">2022/23</t>
        </is>
      </c>
      <c r="D6522">
        <v>0.0</v>
      </c>
      <c r="E6522">
        <v>25.68</v>
      </c>
      <c r="F6522">
        <v>34.24</v>
      </c>
      <c r="G6522">
        <v>18.31</v>
      </c>
      <c r="H6522">
        <v>0.0</v>
      </c>
      <c r="I6522">
        <v>0.0</v>
      </c>
      <c r="J6522">
        <v>26.39</v>
      </c>
      <c r="K6522">
        <v>33.96</v>
      </c>
      <c r="L6522">
        <v>20.43</v>
      </c>
      <c r="M6522">
        <v>0.0</v>
      </c>
      <c r="N6522">
        <v>0.0</v>
      </c>
      <c r="O6522">
        <v>25.17</v>
      </c>
      <c r="P6522">
        <v>31.88</v>
      </c>
      <c r="Q6522">
        <v>20.71</v>
      </c>
      <c r="R6522">
        <v>0.01</v>
      </c>
    </row>
    <row r="6523">
      <c r="A6523" s="9">
        <v>45054</v>
      </c>
      <c r="B6523" s="2" t="inlineStr">
        <is>
          <t xml:space="preserve">2023-05</t>
        </is>
      </c>
      <c r="C6523" s="2" t="inlineStr">
        <is>
          <t xml:space="preserve">2022/23</t>
        </is>
      </c>
      <c r="D6523">
        <v>0.0</v>
      </c>
      <c r="E6523">
        <v>25.89</v>
      </c>
      <c r="F6523">
        <v>32.61</v>
      </c>
      <c r="G6523">
        <v>20.13</v>
      </c>
      <c r="H6523">
        <v>0.05</v>
      </c>
      <c r="I6523">
        <v>0.0</v>
      </c>
      <c r="J6523">
        <v>26.54</v>
      </c>
      <c r="K6523">
        <v>33.59</v>
      </c>
      <c r="L6523">
        <v>20.32</v>
      </c>
      <c r="M6523">
        <v>0.07</v>
      </c>
      <c r="N6523">
        <v>0.0</v>
      </c>
      <c r="O6523">
        <v>25.4</v>
      </c>
      <c r="P6523">
        <v>31.79</v>
      </c>
      <c r="Q6523">
        <v>20.6</v>
      </c>
      <c r="R6523">
        <v>0.04</v>
      </c>
    </row>
    <row r="6524">
      <c r="A6524" s="9">
        <v>45055</v>
      </c>
      <c r="B6524" s="2" t="inlineStr">
        <is>
          <t xml:space="preserve">2023-05</t>
        </is>
      </c>
      <c r="C6524" s="2" t="inlineStr">
        <is>
          <t xml:space="preserve">2022/23</t>
        </is>
      </c>
      <c r="D6524">
        <v>0.767</v>
      </c>
      <c r="E6524">
        <v>25.98</v>
      </c>
      <c r="F6524">
        <v>32.21</v>
      </c>
      <c r="G6524">
        <v>20.7</v>
      </c>
      <c r="H6524">
        <v>2.36</v>
      </c>
      <c r="I6524">
        <v>0.565</v>
      </c>
      <c r="J6524">
        <v>26.82</v>
      </c>
      <c r="K6524">
        <v>33.74</v>
      </c>
      <c r="L6524">
        <v>21.75</v>
      </c>
      <c r="M6524">
        <v>8.5</v>
      </c>
      <c r="N6524">
        <v>0.294</v>
      </c>
      <c r="O6524">
        <v>25.37</v>
      </c>
      <c r="P6524">
        <v>31.66</v>
      </c>
      <c r="Q6524">
        <v>21.16</v>
      </c>
      <c r="R6524">
        <v>9.0</v>
      </c>
    </row>
    <row r="6525">
      <c r="A6525" s="9">
        <v>45056</v>
      </c>
      <c r="B6525" s="2" t="inlineStr">
        <is>
          <t xml:space="preserve">2023-05</t>
        </is>
      </c>
      <c r="C6525" s="2" t="inlineStr">
        <is>
          <t xml:space="preserve">2022/23</t>
        </is>
      </c>
      <c r="D6525">
        <v>0.914</v>
      </c>
      <c r="E6525">
        <v>25.54</v>
      </c>
      <c r="F6525">
        <v>31.39</v>
      </c>
      <c r="G6525">
        <v>20.27</v>
      </c>
      <c r="H6525">
        <v>3.52</v>
      </c>
      <c r="I6525">
        <v>6.225</v>
      </c>
      <c r="J6525">
        <v>25.23</v>
      </c>
      <c r="K6525">
        <v>30.04</v>
      </c>
      <c r="L6525">
        <v>21.94</v>
      </c>
      <c r="M6525">
        <v>4.18</v>
      </c>
      <c r="N6525">
        <v>24.696</v>
      </c>
      <c r="O6525">
        <v>25.91</v>
      </c>
      <c r="P6525">
        <v>31.46</v>
      </c>
      <c r="Q6525">
        <v>21.66</v>
      </c>
      <c r="R6525">
        <v>3.66</v>
      </c>
    </row>
    <row r="6526">
      <c r="A6526" s="9">
        <v>45057</v>
      </c>
      <c r="B6526" s="2" t="inlineStr">
        <is>
          <t xml:space="preserve">2023-05</t>
        </is>
      </c>
      <c r="C6526" s="2" t="inlineStr">
        <is>
          <t xml:space="preserve">2022/23</t>
        </is>
      </c>
      <c r="D6526">
        <v>12.184</v>
      </c>
      <c r="E6526">
        <v>24.86</v>
      </c>
      <c r="F6526">
        <v>29.82</v>
      </c>
      <c r="G6526">
        <v>20.16</v>
      </c>
      <c r="H6526">
        <v>9.32</v>
      </c>
      <c r="I6526">
        <v>2.946</v>
      </c>
      <c r="J6526">
        <v>25.25</v>
      </c>
      <c r="K6526">
        <v>31.6</v>
      </c>
      <c r="L6526">
        <v>21.0</v>
      </c>
      <c r="M6526">
        <v>4.96</v>
      </c>
      <c r="N6526">
        <v>5.489</v>
      </c>
      <c r="O6526">
        <v>25.46</v>
      </c>
      <c r="P6526">
        <v>30.93</v>
      </c>
      <c r="Q6526">
        <v>21.32</v>
      </c>
      <c r="R6526">
        <v>6.68</v>
      </c>
    </row>
    <row r="6527">
      <c r="A6527" s="9">
        <v>45058</v>
      </c>
      <c r="B6527" s="2" t="inlineStr">
        <is>
          <t xml:space="preserve">2023-05</t>
        </is>
      </c>
      <c r="C6527" s="2" t="inlineStr">
        <is>
          <t xml:space="preserve">2022/23</t>
        </is>
      </c>
      <c r="D6527">
        <v>15.005</v>
      </c>
      <c r="E6527">
        <v>24.07</v>
      </c>
      <c r="F6527">
        <v>28.16</v>
      </c>
      <c r="G6527">
        <v>20.3</v>
      </c>
      <c r="H6527">
        <v>13.45</v>
      </c>
      <c r="I6527">
        <v>1.081</v>
      </c>
      <c r="J6527">
        <v>25.77</v>
      </c>
      <c r="K6527">
        <v>32.26</v>
      </c>
      <c r="L6527">
        <v>20.28</v>
      </c>
      <c r="M6527">
        <v>6.67</v>
      </c>
      <c r="N6527">
        <v>2.917</v>
      </c>
      <c r="O6527">
        <v>25.2</v>
      </c>
      <c r="P6527">
        <v>31.06</v>
      </c>
      <c r="Q6527">
        <v>20.91</v>
      </c>
      <c r="R6527">
        <v>7.89</v>
      </c>
    </row>
    <row r="6528">
      <c r="A6528" s="9">
        <v>45059</v>
      </c>
      <c r="B6528" s="2" t="inlineStr">
        <is>
          <t xml:space="preserve">2023-05</t>
        </is>
      </c>
      <c r="C6528" s="2" t="inlineStr">
        <is>
          <t xml:space="preserve">2022/23</t>
        </is>
      </c>
      <c r="D6528">
        <v>16.033</v>
      </c>
      <c r="E6528">
        <v>24.33</v>
      </c>
      <c r="F6528">
        <v>29.96</v>
      </c>
      <c r="G6528">
        <v>19.77</v>
      </c>
      <c r="H6528">
        <v>6.39</v>
      </c>
      <c r="I6528">
        <v>3.001</v>
      </c>
      <c r="J6528">
        <v>25.28</v>
      </c>
      <c r="K6528">
        <v>30.98</v>
      </c>
      <c r="L6528">
        <v>21.31</v>
      </c>
      <c r="M6528">
        <v>1.63</v>
      </c>
      <c r="N6528">
        <v>10.342</v>
      </c>
      <c r="O6528">
        <v>24.67</v>
      </c>
      <c r="P6528">
        <v>30.89</v>
      </c>
      <c r="Q6528">
        <v>20.34</v>
      </c>
      <c r="R6528">
        <v>3.63</v>
      </c>
    </row>
    <row r="6529">
      <c r="A6529" s="9">
        <v>45060</v>
      </c>
      <c r="B6529" s="2" t="inlineStr">
        <is>
          <t xml:space="preserve">2023-05</t>
        </is>
      </c>
      <c r="C6529" s="2" t="inlineStr">
        <is>
          <t xml:space="preserve">2022/23</t>
        </is>
      </c>
      <c r="D6529">
        <v>2.017</v>
      </c>
      <c r="E6529">
        <v>24.24</v>
      </c>
      <c r="F6529">
        <v>31.56</v>
      </c>
      <c r="G6529">
        <v>19.54</v>
      </c>
      <c r="H6529">
        <v>2.39</v>
      </c>
      <c r="I6529">
        <v>2.808</v>
      </c>
      <c r="J6529">
        <v>25.13</v>
      </c>
      <c r="K6529">
        <v>30.51</v>
      </c>
      <c r="L6529">
        <v>21.03</v>
      </c>
      <c r="M6529">
        <v>4.47</v>
      </c>
      <c r="N6529">
        <v>10.656</v>
      </c>
      <c r="O6529">
        <v>23.27</v>
      </c>
      <c r="P6529">
        <v>27.4</v>
      </c>
      <c r="Q6529">
        <v>20.6</v>
      </c>
      <c r="R6529">
        <v>6.14</v>
      </c>
    </row>
    <row r="6530">
      <c r="A6530" s="9">
        <v>45061</v>
      </c>
      <c r="B6530" s="2" t="inlineStr">
        <is>
          <t xml:space="preserve">2023-05</t>
        </is>
      </c>
      <c r="C6530" s="2" t="inlineStr">
        <is>
          <t xml:space="preserve">2022/23</t>
        </is>
      </c>
      <c r="D6530">
        <v>0.086</v>
      </c>
      <c r="E6530">
        <v>23.88</v>
      </c>
      <c r="F6530">
        <v>30.25</v>
      </c>
      <c r="G6530">
        <v>19.39</v>
      </c>
      <c r="H6530">
        <v>4.19</v>
      </c>
      <c r="I6530">
        <v>0.0</v>
      </c>
      <c r="J6530">
        <v>25.12</v>
      </c>
      <c r="K6530">
        <v>31.56</v>
      </c>
      <c r="L6530">
        <v>20.03</v>
      </c>
      <c r="M6530">
        <v>0.19</v>
      </c>
      <c r="N6530">
        <v>0.0</v>
      </c>
      <c r="O6530">
        <v>23.52</v>
      </c>
      <c r="P6530">
        <v>29.08</v>
      </c>
      <c r="Q6530">
        <v>20.21</v>
      </c>
      <c r="R6530">
        <v>1.91</v>
      </c>
    </row>
    <row r="6531">
      <c r="A6531" s="9">
        <v>45062</v>
      </c>
      <c r="B6531" s="2" t="inlineStr">
        <is>
          <t xml:space="preserve">2023-05</t>
        </is>
      </c>
      <c r="C6531" s="2" t="inlineStr">
        <is>
          <t xml:space="preserve">2022/23</t>
        </is>
      </c>
      <c r="D6531">
        <v>2.089</v>
      </c>
      <c r="E6531">
        <v>24.04</v>
      </c>
      <c r="F6531">
        <v>29.35</v>
      </c>
      <c r="G6531">
        <v>19.93</v>
      </c>
      <c r="H6531">
        <v>1.6</v>
      </c>
      <c r="I6531">
        <v>0.236</v>
      </c>
      <c r="J6531">
        <v>25.37</v>
      </c>
      <c r="K6531">
        <v>31.1</v>
      </c>
      <c r="L6531">
        <v>20.8</v>
      </c>
      <c r="M6531">
        <v>0.89</v>
      </c>
      <c r="N6531">
        <v>0.734</v>
      </c>
      <c r="O6531">
        <v>24.02</v>
      </c>
      <c r="P6531">
        <v>29.51</v>
      </c>
      <c r="Q6531">
        <v>19.95</v>
      </c>
      <c r="R6531">
        <v>1.76</v>
      </c>
    </row>
    <row r="6532">
      <c r="A6532" s="9">
        <v>45063</v>
      </c>
      <c r="B6532" s="2" t="inlineStr">
        <is>
          <t xml:space="preserve">2023-05</t>
        </is>
      </c>
      <c r="C6532" s="2" t="inlineStr">
        <is>
          <t xml:space="preserve">2022/23</t>
        </is>
      </c>
      <c r="D6532">
        <v>1.091</v>
      </c>
      <c r="E6532">
        <v>24.77</v>
      </c>
      <c r="F6532">
        <v>30.44</v>
      </c>
      <c r="G6532">
        <v>19.57</v>
      </c>
      <c r="H6532">
        <v>0.42</v>
      </c>
      <c r="I6532">
        <v>0.118</v>
      </c>
      <c r="J6532">
        <v>26.13</v>
      </c>
      <c r="K6532">
        <v>33.13</v>
      </c>
      <c r="L6532">
        <v>21.4</v>
      </c>
      <c r="M6532">
        <v>0.18</v>
      </c>
      <c r="N6532">
        <v>0.369</v>
      </c>
      <c r="O6532">
        <v>25.68</v>
      </c>
      <c r="P6532">
        <v>32.41</v>
      </c>
      <c r="Q6532">
        <v>20.75</v>
      </c>
      <c r="R6532">
        <v>0.23</v>
      </c>
    </row>
    <row r="6533">
      <c r="A6533" s="9">
        <v>45064</v>
      </c>
      <c r="B6533" s="2" t="inlineStr">
        <is>
          <t xml:space="preserve">2023-05</t>
        </is>
      </c>
      <c r="C6533" s="2" t="inlineStr">
        <is>
          <t xml:space="preserve">2022/23</t>
        </is>
      </c>
      <c r="D6533">
        <v>0.0</v>
      </c>
      <c r="E6533">
        <v>26.32</v>
      </c>
      <c r="F6533">
        <v>33.68</v>
      </c>
      <c r="G6533">
        <v>19.83</v>
      </c>
      <c r="H6533">
        <v>0.05</v>
      </c>
      <c r="I6533">
        <v>0.0</v>
      </c>
      <c r="J6533">
        <v>27.14</v>
      </c>
      <c r="K6533">
        <v>34.03</v>
      </c>
      <c r="L6533">
        <v>21.33</v>
      </c>
      <c r="M6533">
        <v>0.0</v>
      </c>
      <c r="N6533">
        <v>0.0</v>
      </c>
      <c r="O6533">
        <v>25.95</v>
      </c>
      <c r="P6533">
        <v>32.39</v>
      </c>
      <c r="Q6533">
        <v>21.4</v>
      </c>
      <c r="R6533">
        <v>0.0</v>
      </c>
    </row>
    <row r="6534">
      <c r="A6534" s="9">
        <v>45065</v>
      </c>
      <c r="B6534" s="2" t="inlineStr">
        <is>
          <t xml:space="preserve">2023-05</t>
        </is>
      </c>
      <c r="C6534" s="2" t="inlineStr">
        <is>
          <t xml:space="preserve">2022/23</t>
        </is>
      </c>
      <c r="D6534">
        <v>0.0</v>
      </c>
      <c r="E6534">
        <v>26.04</v>
      </c>
      <c r="F6534">
        <v>33.39</v>
      </c>
      <c r="G6534">
        <v>20.52</v>
      </c>
      <c r="H6534">
        <v>0.01</v>
      </c>
      <c r="I6534">
        <v>0.0</v>
      </c>
      <c r="J6534">
        <v>26.24</v>
      </c>
      <c r="K6534">
        <v>33.53</v>
      </c>
      <c r="L6534">
        <v>20.37</v>
      </c>
      <c r="M6534">
        <v>0.0</v>
      </c>
      <c r="N6534">
        <v>0.0</v>
      </c>
      <c r="O6534">
        <v>25.26</v>
      </c>
      <c r="P6534">
        <v>32.03</v>
      </c>
      <c r="Q6534">
        <v>20.62</v>
      </c>
      <c r="R6534">
        <v>0.0</v>
      </c>
    </row>
    <row r="6535">
      <c r="A6535" s="9">
        <v>45066</v>
      </c>
      <c r="B6535" s="2" t="inlineStr">
        <is>
          <t xml:space="preserve">2023-05</t>
        </is>
      </c>
      <c r="C6535" s="2" t="inlineStr">
        <is>
          <t xml:space="preserve">2022/23</t>
        </is>
      </c>
      <c r="D6535">
        <v>0.0</v>
      </c>
      <c r="E6535">
        <v>25.26</v>
      </c>
      <c r="F6535">
        <v>32.13</v>
      </c>
      <c r="G6535">
        <v>20.2</v>
      </c>
      <c r="H6535">
        <v>0.52</v>
      </c>
      <c r="I6535">
        <v>0.0</v>
      </c>
      <c r="J6535">
        <v>25.61</v>
      </c>
      <c r="K6535">
        <v>32.59</v>
      </c>
      <c r="L6535">
        <v>19.63</v>
      </c>
      <c r="M6535">
        <v>0.0</v>
      </c>
      <c r="N6535">
        <v>0.0</v>
      </c>
      <c r="O6535">
        <v>24.71</v>
      </c>
      <c r="P6535">
        <v>30.51</v>
      </c>
      <c r="Q6535">
        <v>19.9</v>
      </c>
      <c r="R6535">
        <v>0.0</v>
      </c>
    </row>
    <row r="6536">
      <c r="A6536" s="9">
        <v>45067</v>
      </c>
      <c r="B6536" s="2" t="inlineStr">
        <is>
          <t xml:space="preserve">2023-05</t>
        </is>
      </c>
      <c r="C6536" s="2" t="inlineStr">
        <is>
          <t xml:space="preserve">2022/23</t>
        </is>
      </c>
      <c r="D6536">
        <v>0.507</v>
      </c>
      <c r="E6536">
        <v>24.9</v>
      </c>
      <c r="F6536">
        <v>32.11</v>
      </c>
      <c r="G6536">
        <v>19.59</v>
      </c>
      <c r="H6536">
        <v>0.32</v>
      </c>
      <c r="I6536">
        <v>0.0</v>
      </c>
      <c r="J6536">
        <v>25.63</v>
      </c>
      <c r="K6536">
        <v>32.89</v>
      </c>
      <c r="L6536">
        <v>19.91</v>
      </c>
      <c r="M6536">
        <v>0.05</v>
      </c>
      <c r="N6536">
        <v>0.0</v>
      </c>
      <c r="O6536">
        <v>24.64</v>
      </c>
      <c r="P6536">
        <v>31.1</v>
      </c>
      <c r="Q6536">
        <v>19.65</v>
      </c>
      <c r="R6536">
        <v>0.05</v>
      </c>
    </row>
    <row r="6537">
      <c r="A6537" s="9">
        <v>45068</v>
      </c>
      <c r="B6537" s="2" t="inlineStr">
        <is>
          <t xml:space="preserve">2023-05</t>
        </is>
      </c>
      <c r="C6537" s="2" t="inlineStr">
        <is>
          <t xml:space="preserve">2022/23</t>
        </is>
      </c>
      <c r="D6537">
        <v>0.0</v>
      </c>
      <c r="E6537">
        <v>24.96</v>
      </c>
      <c r="F6537">
        <v>32.5</v>
      </c>
      <c r="G6537">
        <v>18.3</v>
      </c>
      <c r="H6537">
        <v>0.02</v>
      </c>
      <c r="I6537">
        <v>0.03</v>
      </c>
      <c r="J6537">
        <v>26.26</v>
      </c>
      <c r="K6537">
        <v>33.63</v>
      </c>
      <c r="L6537">
        <v>19.09</v>
      </c>
      <c r="M6537">
        <v>0.08</v>
      </c>
      <c r="N6537">
        <v>0.334</v>
      </c>
      <c r="O6537">
        <v>24.84</v>
      </c>
      <c r="P6537">
        <v>31.46</v>
      </c>
      <c r="Q6537">
        <v>19.43</v>
      </c>
      <c r="R6537">
        <v>0.06</v>
      </c>
    </row>
    <row r="6538">
      <c r="A6538" s="9">
        <v>45069</v>
      </c>
      <c r="B6538" s="2" t="inlineStr">
        <is>
          <t xml:space="preserve">2023-05</t>
        </is>
      </c>
      <c r="C6538" s="2" t="inlineStr">
        <is>
          <t xml:space="preserve">2022/23</t>
        </is>
      </c>
      <c r="D6538">
        <v>0.0</v>
      </c>
      <c r="E6538">
        <v>25.67</v>
      </c>
      <c r="F6538">
        <v>33.44</v>
      </c>
      <c r="G6538">
        <v>19.05</v>
      </c>
      <c r="H6538">
        <v>0.0</v>
      </c>
      <c r="I6538">
        <v>0.0</v>
      </c>
      <c r="J6538">
        <v>27.72</v>
      </c>
      <c r="K6538">
        <v>35.46</v>
      </c>
      <c r="L6538">
        <v>21.32</v>
      </c>
      <c r="M6538">
        <v>0.0</v>
      </c>
      <c r="N6538">
        <v>0.0</v>
      </c>
      <c r="O6538">
        <v>25.93</v>
      </c>
      <c r="P6538">
        <v>33.6</v>
      </c>
      <c r="Q6538">
        <v>19.75</v>
      </c>
      <c r="R6538">
        <v>0.0</v>
      </c>
    </row>
    <row r="6539">
      <c r="A6539" s="9">
        <v>45070</v>
      </c>
      <c r="B6539" s="2" t="inlineStr">
        <is>
          <t xml:space="preserve">2023-05</t>
        </is>
      </c>
      <c r="C6539" s="2" t="inlineStr">
        <is>
          <t xml:space="preserve">2022/23</t>
        </is>
      </c>
      <c r="D6539">
        <v>0.0</v>
      </c>
      <c r="E6539">
        <v>26.34</v>
      </c>
      <c r="F6539">
        <v>33.72</v>
      </c>
      <c r="G6539">
        <v>19.12</v>
      </c>
      <c r="H6539">
        <v>0.01</v>
      </c>
      <c r="I6539">
        <v>0.0</v>
      </c>
      <c r="J6539">
        <v>27.89</v>
      </c>
      <c r="K6539">
        <v>35.49</v>
      </c>
      <c r="L6539">
        <v>20.97</v>
      </c>
      <c r="M6539">
        <v>0.0</v>
      </c>
      <c r="N6539">
        <v>0.0</v>
      </c>
      <c r="O6539">
        <v>26.82</v>
      </c>
      <c r="P6539">
        <v>34.08</v>
      </c>
      <c r="Q6539">
        <v>20.2</v>
      </c>
      <c r="R6539">
        <v>0.0</v>
      </c>
    </row>
    <row r="6540">
      <c r="A6540" s="9">
        <v>45071</v>
      </c>
      <c r="B6540" s="2" t="inlineStr">
        <is>
          <t xml:space="preserve">2023-05</t>
        </is>
      </c>
      <c r="C6540" s="2" t="inlineStr">
        <is>
          <t xml:space="preserve">2022/23</t>
        </is>
      </c>
      <c r="D6540">
        <v>0.0</v>
      </c>
      <c r="E6540">
        <v>26.55</v>
      </c>
      <c r="F6540">
        <v>33.55</v>
      </c>
      <c r="G6540">
        <v>20.29</v>
      </c>
      <c r="H6540">
        <v>1.37</v>
      </c>
      <c r="I6540">
        <v>0.0</v>
      </c>
      <c r="J6540">
        <v>27.42</v>
      </c>
      <c r="K6540">
        <v>34.41</v>
      </c>
      <c r="L6540">
        <v>21.94</v>
      </c>
      <c r="M6540">
        <v>2.51</v>
      </c>
      <c r="N6540">
        <v>0.0</v>
      </c>
      <c r="O6540">
        <v>27.4</v>
      </c>
      <c r="P6540">
        <v>33.7</v>
      </c>
      <c r="Q6540">
        <v>21.53</v>
      </c>
      <c r="R6540">
        <v>0.23</v>
      </c>
    </row>
    <row r="6541">
      <c r="A6541" s="9">
        <v>45072</v>
      </c>
      <c r="B6541" s="2" t="inlineStr">
        <is>
          <t xml:space="preserve">2023-05</t>
        </is>
      </c>
      <c r="C6541" s="2" t="inlineStr">
        <is>
          <t xml:space="preserve">2022/23</t>
        </is>
      </c>
      <c r="D6541">
        <v>3.648</v>
      </c>
      <c r="E6541">
        <v>25.94</v>
      </c>
      <c r="F6541">
        <v>32.58</v>
      </c>
      <c r="G6541">
        <v>20.77</v>
      </c>
      <c r="H6541">
        <v>3.47</v>
      </c>
      <c r="I6541">
        <v>9.467</v>
      </c>
      <c r="J6541">
        <v>26.51</v>
      </c>
      <c r="K6541">
        <v>32.34</v>
      </c>
      <c r="L6541">
        <v>21.63</v>
      </c>
      <c r="M6541">
        <v>6.67</v>
      </c>
      <c r="N6541">
        <v>1.19</v>
      </c>
      <c r="O6541">
        <v>26.64</v>
      </c>
      <c r="P6541">
        <v>33.14</v>
      </c>
      <c r="Q6541">
        <v>21.94</v>
      </c>
      <c r="R6541">
        <v>1.75</v>
      </c>
    </row>
    <row r="6542">
      <c r="A6542" s="9">
        <v>45073</v>
      </c>
      <c r="B6542" s="2" t="inlineStr">
        <is>
          <t xml:space="preserve">2023-05</t>
        </is>
      </c>
      <c r="C6542" s="2" t="inlineStr">
        <is>
          <t xml:space="preserve">2022/23</t>
        </is>
      </c>
      <c r="D6542">
        <v>2.606</v>
      </c>
      <c r="E6542">
        <v>24.62</v>
      </c>
      <c r="F6542">
        <v>30.46</v>
      </c>
      <c r="G6542">
        <v>20.35</v>
      </c>
      <c r="H6542">
        <v>6.33</v>
      </c>
      <c r="I6542">
        <v>10.886</v>
      </c>
      <c r="J6542">
        <v>26.14</v>
      </c>
      <c r="K6542">
        <v>32.2</v>
      </c>
      <c r="L6542">
        <v>21.15</v>
      </c>
      <c r="M6542">
        <v>7.51</v>
      </c>
      <c r="N6542">
        <v>0.864</v>
      </c>
      <c r="O6542">
        <v>25.88</v>
      </c>
      <c r="P6542">
        <v>31.89</v>
      </c>
      <c r="Q6542">
        <v>20.88</v>
      </c>
      <c r="R6542">
        <v>2.69</v>
      </c>
    </row>
    <row r="6543">
      <c r="A6543" s="9">
        <v>45074</v>
      </c>
      <c r="B6543" s="2" t="inlineStr">
        <is>
          <t xml:space="preserve">2023-05</t>
        </is>
      </c>
      <c r="C6543" s="2" t="inlineStr">
        <is>
          <t xml:space="preserve">2022/23</t>
        </is>
      </c>
      <c r="D6543">
        <v>13.682</v>
      </c>
      <c r="E6543">
        <v>24.38</v>
      </c>
      <c r="F6543">
        <v>29.52</v>
      </c>
      <c r="G6543">
        <v>19.81</v>
      </c>
      <c r="H6543">
        <v>2.01</v>
      </c>
      <c r="I6543">
        <v>9.833</v>
      </c>
      <c r="J6543">
        <v>25.21</v>
      </c>
      <c r="K6543">
        <v>30.0</v>
      </c>
      <c r="L6543">
        <v>21.67</v>
      </c>
      <c r="M6543">
        <v>4.73</v>
      </c>
      <c r="N6543">
        <v>0.699</v>
      </c>
      <c r="O6543">
        <v>26.98</v>
      </c>
      <c r="P6543">
        <v>33.97</v>
      </c>
      <c r="Q6543">
        <v>21.35</v>
      </c>
      <c r="R6543">
        <v>1.25</v>
      </c>
    </row>
    <row r="6544">
      <c r="A6544" s="9">
        <v>45075</v>
      </c>
      <c r="B6544" s="2" t="inlineStr">
        <is>
          <t xml:space="preserve">2023-05</t>
        </is>
      </c>
      <c r="C6544" s="2" t="inlineStr">
        <is>
          <t xml:space="preserve">2022/23</t>
        </is>
      </c>
      <c r="D6544">
        <v>18.749</v>
      </c>
      <c r="E6544">
        <v>24.29</v>
      </c>
      <c r="F6544">
        <v>29.87</v>
      </c>
      <c r="G6544">
        <v>20.85</v>
      </c>
      <c r="H6544">
        <v>29.69</v>
      </c>
      <c r="I6544">
        <v>2.213</v>
      </c>
      <c r="J6544">
        <v>25.39</v>
      </c>
      <c r="K6544">
        <v>31.61</v>
      </c>
      <c r="L6544">
        <v>21.46</v>
      </c>
      <c r="M6544">
        <v>10.84</v>
      </c>
      <c r="N6544">
        <v>8.069</v>
      </c>
      <c r="O6544">
        <v>25.47</v>
      </c>
      <c r="P6544">
        <v>31.54</v>
      </c>
      <c r="Q6544">
        <v>22.26</v>
      </c>
      <c r="R6544">
        <v>16.5</v>
      </c>
    </row>
    <row r="6545">
      <c r="A6545" s="9">
        <v>45076</v>
      </c>
      <c r="B6545" s="2" t="inlineStr">
        <is>
          <t xml:space="preserve">2023-05</t>
        </is>
      </c>
      <c r="C6545" s="2" t="inlineStr">
        <is>
          <t xml:space="preserve">2022/23</t>
        </is>
      </c>
      <c r="D6545">
        <v>46.676</v>
      </c>
      <c r="E6545">
        <v>23.22</v>
      </c>
      <c r="F6545">
        <v>28.23</v>
      </c>
      <c r="G6545">
        <v>20.17</v>
      </c>
      <c r="H6545">
        <v>19.96</v>
      </c>
      <c r="I6545">
        <v>15.159</v>
      </c>
      <c r="J6545">
        <v>24.44</v>
      </c>
      <c r="K6545">
        <v>29.23</v>
      </c>
      <c r="L6545">
        <v>21.27</v>
      </c>
      <c r="M6545">
        <v>10.43</v>
      </c>
      <c r="N6545">
        <v>7.547</v>
      </c>
      <c r="O6545">
        <v>25.68</v>
      </c>
      <c r="P6545">
        <v>31.98</v>
      </c>
      <c r="Q6545">
        <v>21.31</v>
      </c>
      <c r="R6545">
        <v>5.43</v>
      </c>
    </row>
    <row r="6546">
      <c r="A6546" s="9">
        <v>45077</v>
      </c>
      <c r="B6546" s="2" t="inlineStr">
        <is>
          <t xml:space="preserve">2023-05</t>
        </is>
      </c>
      <c r="C6546" s="2" t="inlineStr">
        <is>
          <t xml:space="preserve">2022/23</t>
        </is>
      </c>
      <c r="D6546">
        <v>1.559</v>
      </c>
      <c r="E6546">
        <v>23.17</v>
      </c>
      <c r="F6546">
        <v>28.04</v>
      </c>
      <c r="G6546">
        <v>19.63</v>
      </c>
      <c r="H6546">
        <v>2.67</v>
      </c>
      <c r="I6546">
        <v>0.229</v>
      </c>
      <c r="J6546">
        <v>23.9</v>
      </c>
      <c r="K6546">
        <v>28.81</v>
      </c>
      <c r="L6546">
        <v>20.36</v>
      </c>
      <c r="M6546">
        <v>0.7</v>
      </c>
      <c r="N6546">
        <v>2.548</v>
      </c>
      <c r="O6546">
        <v>25.31</v>
      </c>
      <c r="P6546">
        <v>30.88</v>
      </c>
      <c r="Q6546">
        <v>20.8</v>
      </c>
      <c r="R6546">
        <v>0.8</v>
      </c>
    </row>
    <row r="6547">
      <c r="A6547" s="9">
        <v>45078</v>
      </c>
      <c r="B6547" s="2" t="inlineStr">
        <is>
          <t xml:space="preserve">2023-06</t>
        </is>
      </c>
      <c r="C6547" s="2" t="inlineStr">
        <is>
          <t xml:space="preserve">2022/23</t>
        </is>
      </c>
      <c r="D6547">
        <v>5.779</v>
      </c>
      <c r="E6547">
        <v>24.13</v>
      </c>
      <c r="F6547">
        <v>29.93</v>
      </c>
      <c r="G6547">
        <v>19.49</v>
      </c>
      <c r="H6547">
        <v>8.04</v>
      </c>
      <c r="I6547">
        <v>0.0</v>
      </c>
      <c r="J6547">
        <v>25.4</v>
      </c>
      <c r="K6547">
        <v>31.71</v>
      </c>
      <c r="L6547">
        <v>20.64</v>
      </c>
      <c r="M6547">
        <v>0.0</v>
      </c>
      <c r="N6547">
        <v>0.0</v>
      </c>
      <c r="O6547">
        <v>26.37</v>
      </c>
      <c r="P6547">
        <v>32.49</v>
      </c>
      <c r="Q6547">
        <v>21.7</v>
      </c>
      <c r="R6547">
        <v>0.04</v>
      </c>
    </row>
    <row r="6548">
      <c r="A6548" s="9">
        <v>45079</v>
      </c>
      <c r="B6548" s="2" t="inlineStr">
        <is>
          <t xml:space="preserve">2023-06</t>
        </is>
      </c>
      <c r="C6548" s="2" t="inlineStr">
        <is>
          <t xml:space="preserve">2022/23</t>
        </is>
      </c>
      <c r="D6548">
        <v>0.0</v>
      </c>
      <c r="E6548">
        <v>25.52</v>
      </c>
      <c r="F6548">
        <v>31.58</v>
      </c>
      <c r="G6548">
        <v>19.37</v>
      </c>
      <c r="H6548">
        <v>0.29</v>
      </c>
      <c r="I6548">
        <v>0.0</v>
      </c>
      <c r="J6548">
        <v>25.78</v>
      </c>
      <c r="K6548">
        <v>31.51</v>
      </c>
      <c r="L6548">
        <v>20.9</v>
      </c>
      <c r="M6548">
        <v>0.11</v>
      </c>
      <c r="N6548">
        <v>0.0</v>
      </c>
      <c r="O6548">
        <v>27.19</v>
      </c>
      <c r="P6548">
        <v>33.47</v>
      </c>
      <c r="Q6548">
        <v>21.43</v>
      </c>
      <c r="R6548">
        <v>0.11</v>
      </c>
    </row>
    <row r="6549">
      <c r="A6549" s="9">
        <v>45080</v>
      </c>
      <c r="B6549" s="2" t="inlineStr">
        <is>
          <t xml:space="preserve">2023-06</t>
        </is>
      </c>
      <c r="C6549" s="2" t="inlineStr">
        <is>
          <t xml:space="preserve">2022/23</t>
        </is>
      </c>
      <c r="D6549">
        <v>1.495</v>
      </c>
      <c r="E6549">
        <v>26.21</v>
      </c>
      <c r="F6549">
        <v>32.16</v>
      </c>
      <c r="G6549">
        <v>21.09</v>
      </c>
      <c r="H6549">
        <v>1.17</v>
      </c>
      <c r="I6549">
        <v>0.151</v>
      </c>
      <c r="J6549">
        <v>26.85</v>
      </c>
      <c r="K6549">
        <v>34.01</v>
      </c>
      <c r="L6549">
        <v>21.24</v>
      </c>
      <c r="M6549">
        <v>0.75</v>
      </c>
      <c r="N6549">
        <v>0.456</v>
      </c>
      <c r="O6549">
        <v>27.74</v>
      </c>
      <c r="P6549">
        <v>34.18</v>
      </c>
      <c r="Q6549">
        <v>22.06</v>
      </c>
      <c r="R6549">
        <v>0.94</v>
      </c>
    </row>
    <row r="6550">
      <c r="A6550" s="9">
        <v>45081</v>
      </c>
      <c r="B6550" s="2" t="inlineStr">
        <is>
          <t xml:space="preserve">2023-06</t>
        </is>
      </c>
      <c r="C6550" s="2" t="inlineStr">
        <is>
          <t xml:space="preserve">2022/23</t>
        </is>
      </c>
      <c r="D6550">
        <v>0.049</v>
      </c>
      <c r="E6550">
        <v>25.43</v>
      </c>
      <c r="F6550">
        <v>30.66</v>
      </c>
      <c r="G6550">
        <v>21.57</v>
      </c>
      <c r="H6550">
        <v>5.95</v>
      </c>
      <c r="I6550">
        <v>1.048</v>
      </c>
      <c r="J6550">
        <v>25.71</v>
      </c>
      <c r="K6550">
        <v>30.69</v>
      </c>
      <c r="L6550">
        <v>21.87</v>
      </c>
      <c r="M6550">
        <v>2.37</v>
      </c>
      <c r="N6550">
        <v>4.209</v>
      </c>
      <c r="O6550">
        <v>26.72</v>
      </c>
      <c r="P6550">
        <v>31.66</v>
      </c>
      <c r="Q6550">
        <v>22.3</v>
      </c>
      <c r="R6550">
        <v>2.49</v>
      </c>
    </row>
    <row r="6551">
      <c r="A6551" s="9">
        <v>45082</v>
      </c>
      <c r="B6551" s="2" t="inlineStr">
        <is>
          <t xml:space="preserve">2023-06</t>
        </is>
      </c>
      <c r="C6551" s="2" t="inlineStr">
        <is>
          <t xml:space="preserve">2022/23</t>
        </is>
      </c>
      <c r="D6551">
        <v>7.737</v>
      </c>
      <c r="E6551">
        <v>24.45</v>
      </c>
      <c r="F6551">
        <v>29.55</v>
      </c>
      <c r="G6551">
        <v>21.29</v>
      </c>
      <c r="H6551">
        <v>17.23</v>
      </c>
      <c r="I6551">
        <v>2.381</v>
      </c>
      <c r="J6551">
        <v>24.57</v>
      </c>
      <c r="K6551">
        <v>28.76</v>
      </c>
      <c r="L6551">
        <v>21.85</v>
      </c>
      <c r="M6551">
        <v>4.09</v>
      </c>
      <c r="N6551">
        <v>8.891</v>
      </c>
      <c r="O6551">
        <v>26.33</v>
      </c>
      <c r="P6551">
        <v>32.74</v>
      </c>
      <c r="Q6551">
        <v>22.15</v>
      </c>
      <c r="R6551">
        <v>9.43</v>
      </c>
    </row>
    <row r="6552">
      <c r="A6552" s="9">
        <v>45083</v>
      </c>
      <c r="B6552" s="2" t="inlineStr">
        <is>
          <t xml:space="preserve">2023-06</t>
        </is>
      </c>
      <c r="C6552" s="2" t="inlineStr">
        <is>
          <t xml:space="preserve">2022/23</t>
        </is>
      </c>
      <c r="D6552">
        <v>5.417</v>
      </c>
      <c r="E6552">
        <v>22.16</v>
      </c>
      <c r="F6552">
        <v>25.04</v>
      </c>
      <c r="G6552">
        <v>19.71</v>
      </c>
      <c r="H6552">
        <v>104.06</v>
      </c>
      <c r="I6552">
        <v>2.493</v>
      </c>
      <c r="J6552">
        <v>23.7</v>
      </c>
      <c r="K6552">
        <v>28.01</v>
      </c>
      <c r="L6552">
        <v>20.63</v>
      </c>
      <c r="M6552">
        <v>7.58</v>
      </c>
      <c r="N6552">
        <v>8.936</v>
      </c>
      <c r="O6552">
        <v>23.89</v>
      </c>
      <c r="P6552">
        <v>28.21</v>
      </c>
      <c r="Q6552">
        <v>21.35</v>
      </c>
      <c r="R6552">
        <v>32.32</v>
      </c>
    </row>
    <row r="6553">
      <c r="A6553" s="9">
        <v>45084</v>
      </c>
      <c r="B6553" s="2" t="inlineStr">
        <is>
          <t xml:space="preserve">2023-06</t>
        </is>
      </c>
      <c r="C6553" s="2" t="inlineStr">
        <is>
          <t xml:space="preserve">2022/23</t>
        </is>
      </c>
      <c r="D6553">
        <v>3.867</v>
      </c>
      <c r="E6553">
        <v>22.58</v>
      </c>
      <c r="F6553">
        <v>26.99</v>
      </c>
      <c r="G6553">
        <v>18.98</v>
      </c>
      <c r="H6553">
        <v>1.59</v>
      </c>
      <c r="I6553">
        <v>6.603</v>
      </c>
      <c r="J6553">
        <v>24.26</v>
      </c>
      <c r="K6553">
        <v>30.32</v>
      </c>
      <c r="L6553">
        <v>19.22</v>
      </c>
      <c r="M6553">
        <v>2.48</v>
      </c>
      <c r="N6553">
        <v>2.027</v>
      </c>
      <c r="O6553">
        <v>24.71</v>
      </c>
      <c r="P6553">
        <v>30.54</v>
      </c>
      <c r="Q6553">
        <v>19.54</v>
      </c>
      <c r="R6553">
        <v>1.35</v>
      </c>
    </row>
    <row r="6554">
      <c r="A6554" s="9">
        <v>45085</v>
      </c>
      <c r="B6554" s="2" t="inlineStr">
        <is>
          <t xml:space="preserve">2023-06</t>
        </is>
      </c>
      <c r="C6554" s="2" t="inlineStr">
        <is>
          <t xml:space="preserve">2022/23</t>
        </is>
      </c>
      <c r="D6554">
        <v>0.395</v>
      </c>
      <c r="E6554">
        <v>23.58</v>
      </c>
      <c r="F6554">
        <v>28.93</v>
      </c>
      <c r="G6554">
        <v>18.75</v>
      </c>
      <c r="H6554">
        <v>1.18</v>
      </c>
      <c r="I6554">
        <v>0.195</v>
      </c>
      <c r="J6554">
        <v>25.34</v>
      </c>
      <c r="K6554">
        <v>31.19</v>
      </c>
      <c r="L6554">
        <v>20.74</v>
      </c>
      <c r="M6554">
        <v>0.58</v>
      </c>
      <c r="N6554">
        <v>1.121</v>
      </c>
      <c r="O6554">
        <v>25.91</v>
      </c>
      <c r="P6554">
        <v>32.18</v>
      </c>
      <c r="Q6554">
        <v>20.43</v>
      </c>
      <c r="R6554">
        <v>0.6</v>
      </c>
    </row>
    <row r="6555">
      <c r="A6555" s="9">
        <v>45086</v>
      </c>
      <c r="B6555" s="2" t="inlineStr">
        <is>
          <t xml:space="preserve">2023-06</t>
        </is>
      </c>
      <c r="C6555" s="2" t="inlineStr">
        <is>
          <t xml:space="preserve">2022/23</t>
        </is>
      </c>
      <c r="D6555">
        <v>1.124</v>
      </c>
      <c r="E6555">
        <v>23.97</v>
      </c>
      <c r="F6555">
        <v>28.5</v>
      </c>
      <c r="G6555">
        <v>20.4</v>
      </c>
      <c r="H6555">
        <v>5.28</v>
      </c>
      <c r="I6555">
        <v>0.149</v>
      </c>
      <c r="J6555">
        <v>25.49</v>
      </c>
      <c r="K6555">
        <v>30.69</v>
      </c>
      <c r="L6555">
        <v>21.65</v>
      </c>
      <c r="M6555">
        <v>1.22</v>
      </c>
      <c r="N6555">
        <v>1.661</v>
      </c>
      <c r="O6555">
        <v>25.02</v>
      </c>
      <c r="P6555">
        <v>28.76</v>
      </c>
      <c r="Q6555">
        <v>21.84</v>
      </c>
      <c r="R6555">
        <v>1.84</v>
      </c>
    </row>
    <row r="6556">
      <c r="A6556" s="9">
        <v>45087</v>
      </c>
      <c r="B6556" s="2" t="inlineStr">
        <is>
          <t xml:space="preserve">2023-06</t>
        </is>
      </c>
      <c r="C6556" s="2" t="inlineStr">
        <is>
          <t xml:space="preserve">2022/23</t>
        </is>
      </c>
      <c r="D6556">
        <v>7.949</v>
      </c>
      <c r="E6556">
        <v>23.07</v>
      </c>
      <c r="F6556">
        <v>27.42</v>
      </c>
      <c r="G6556">
        <v>19.67</v>
      </c>
      <c r="H6556">
        <v>3.13</v>
      </c>
      <c r="I6556">
        <v>0.338</v>
      </c>
      <c r="J6556">
        <v>26.51</v>
      </c>
      <c r="K6556">
        <v>33.96</v>
      </c>
      <c r="L6556">
        <v>21.26</v>
      </c>
      <c r="M6556">
        <v>1.24</v>
      </c>
      <c r="N6556">
        <v>1.069</v>
      </c>
      <c r="O6556">
        <v>26.52</v>
      </c>
      <c r="P6556">
        <v>33.41</v>
      </c>
      <c r="Q6556">
        <v>21.22</v>
      </c>
      <c r="R6556">
        <v>1.41</v>
      </c>
    </row>
    <row r="6557">
      <c r="A6557" s="9">
        <v>45088</v>
      </c>
      <c r="B6557" s="2" t="inlineStr">
        <is>
          <t xml:space="preserve">2023-06</t>
        </is>
      </c>
      <c r="C6557" s="2" t="inlineStr">
        <is>
          <t xml:space="preserve">2022/23</t>
        </is>
      </c>
      <c r="D6557">
        <v>6.023</v>
      </c>
      <c r="E6557">
        <v>23.35</v>
      </c>
      <c r="F6557">
        <v>27.17</v>
      </c>
      <c r="G6557">
        <v>20.7</v>
      </c>
      <c r="H6557">
        <v>3.34</v>
      </c>
      <c r="I6557">
        <v>2.156</v>
      </c>
      <c r="J6557">
        <v>26.31</v>
      </c>
      <c r="K6557">
        <v>33.65</v>
      </c>
      <c r="L6557">
        <v>21.38</v>
      </c>
      <c r="M6557">
        <v>2.25</v>
      </c>
      <c r="N6557">
        <v>1.152</v>
      </c>
      <c r="O6557">
        <v>26.92</v>
      </c>
      <c r="P6557">
        <v>34.21</v>
      </c>
      <c r="Q6557">
        <v>20.88</v>
      </c>
      <c r="R6557">
        <v>1.49</v>
      </c>
    </row>
    <row r="6558">
      <c r="A6558" s="9">
        <v>45089</v>
      </c>
      <c r="B6558" s="2" t="inlineStr">
        <is>
          <t xml:space="preserve">2023-06</t>
        </is>
      </c>
      <c r="C6558" s="2" t="inlineStr">
        <is>
          <t xml:space="preserve">2022/23</t>
        </is>
      </c>
      <c r="D6558">
        <v>1.344</v>
      </c>
      <c r="E6558">
        <v>24.09</v>
      </c>
      <c r="F6558">
        <v>28.7</v>
      </c>
      <c r="G6558">
        <v>20.05</v>
      </c>
      <c r="H6558">
        <v>2.08</v>
      </c>
      <c r="I6558">
        <v>0.033</v>
      </c>
      <c r="J6558">
        <v>27.39</v>
      </c>
      <c r="K6558">
        <v>34.56</v>
      </c>
      <c r="L6558">
        <v>21.4</v>
      </c>
      <c r="M6558">
        <v>0.53</v>
      </c>
      <c r="N6558">
        <v>0.314</v>
      </c>
      <c r="O6558">
        <v>27.24</v>
      </c>
      <c r="P6558">
        <v>33.92</v>
      </c>
      <c r="Q6558">
        <v>21.57</v>
      </c>
      <c r="R6558">
        <v>0.24</v>
      </c>
    </row>
    <row r="6559">
      <c r="A6559" s="9">
        <v>45090</v>
      </c>
      <c r="B6559" s="2" t="inlineStr">
        <is>
          <t xml:space="preserve">2023-06</t>
        </is>
      </c>
      <c r="C6559" s="2" t="inlineStr">
        <is>
          <t xml:space="preserve">2022/23</t>
        </is>
      </c>
      <c r="D6559">
        <v>11.471</v>
      </c>
      <c r="E6559">
        <v>23.45</v>
      </c>
      <c r="F6559">
        <v>27.98</v>
      </c>
      <c r="G6559">
        <v>20.88</v>
      </c>
      <c r="H6559">
        <v>5.65</v>
      </c>
      <c r="I6559">
        <v>4.819</v>
      </c>
      <c r="J6559">
        <v>26.22</v>
      </c>
      <c r="K6559">
        <v>30.78</v>
      </c>
      <c r="L6559">
        <v>22.32</v>
      </c>
      <c r="M6559">
        <v>4.15</v>
      </c>
      <c r="N6559">
        <v>1.341</v>
      </c>
      <c r="O6559">
        <v>26.04</v>
      </c>
      <c r="P6559">
        <v>30.77</v>
      </c>
      <c r="Q6559">
        <v>22.57</v>
      </c>
      <c r="R6559">
        <v>3.07</v>
      </c>
    </row>
    <row r="6560">
      <c r="A6560" s="9">
        <v>45091</v>
      </c>
      <c r="B6560" s="2" t="inlineStr">
        <is>
          <t xml:space="preserve">2023-06</t>
        </is>
      </c>
      <c r="C6560" s="2" t="inlineStr">
        <is>
          <t xml:space="preserve">2022/23</t>
        </is>
      </c>
      <c r="D6560">
        <v>4.358</v>
      </c>
      <c r="E6560">
        <v>23.98</v>
      </c>
      <c r="F6560">
        <v>29.03</v>
      </c>
      <c r="G6560">
        <v>20.38</v>
      </c>
      <c r="H6560">
        <v>1.62</v>
      </c>
      <c r="I6560">
        <v>0.0</v>
      </c>
      <c r="J6560">
        <v>26.43</v>
      </c>
      <c r="K6560">
        <v>32.48</v>
      </c>
      <c r="L6560">
        <v>22.11</v>
      </c>
      <c r="M6560">
        <v>0.14</v>
      </c>
      <c r="N6560">
        <v>0.044</v>
      </c>
      <c r="O6560">
        <v>26.46</v>
      </c>
      <c r="P6560">
        <v>32.86</v>
      </c>
      <c r="Q6560">
        <v>22.5</v>
      </c>
      <c r="R6560">
        <v>0.32</v>
      </c>
    </row>
    <row r="6561">
      <c r="A6561" s="9">
        <v>45092</v>
      </c>
      <c r="B6561" s="2" t="inlineStr">
        <is>
          <t xml:space="preserve">2023-06</t>
        </is>
      </c>
      <c r="C6561" s="2" t="inlineStr">
        <is>
          <t xml:space="preserve">2022/23</t>
        </is>
      </c>
      <c r="D6561">
        <v>1.087</v>
      </c>
      <c r="E6561">
        <v>23.34</v>
      </c>
      <c r="F6561">
        <v>28.3</v>
      </c>
      <c r="G6561">
        <v>19.59</v>
      </c>
      <c r="H6561">
        <v>6.42</v>
      </c>
      <c r="I6561">
        <v>0.357</v>
      </c>
      <c r="J6561">
        <v>26.64</v>
      </c>
      <c r="K6561">
        <v>33.73</v>
      </c>
      <c r="L6561">
        <v>21.34</v>
      </c>
      <c r="M6561">
        <v>1.52</v>
      </c>
      <c r="N6561">
        <v>0.945</v>
      </c>
      <c r="O6561">
        <v>26.47</v>
      </c>
      <c r="P6561">
        <v>32.27</v>
      </c>
      <c r="Q6561">
        <v>21.99</v>
      </c>
      <c r="R6561">
        <v>2.6</v>
      </c>
    </row>
    <row r="6562">
      <c r="A6562" s="9">
        <v>45093</v>
      </c>
      <c r="B6562" s="2" t="inlineStr">
        <is>
          <t xml:space="preserve">2023-06</t>
        </is>
      </c>
      <c r="C6562" s="2" t="inlineStr">
        <is>
          <t xml:space="preserve">2022/23</t>
        </is>
      </c>
      <c r="D6562">
        <v>24.1</v>
      </c>
      <c r="E6562">
        <v>23.04</v>
      </c>
      <c r="F6562">
        <v>28.96</v>
      </c>
      <c r="G6562">
        <v>18.03</v>
      </c>
      <c r="H6562">
        <v>7.4</v>
      </c>
      <c r="I6562">
        <v>1.982</v>
      </c>
      <c r="J6562">
        <v>27.01</v>
      </c>
      <c r="K6562">
        <v>34.55</v>
      </c>
      <c r="L6562">
        <v>21.12</v>
      </c>
      <c r="M6562">
        <v>1.04</v>
      </c>
      <c r="N6562">
        <v>0.376</v>
      </c>
      <c r="O6562">
        <v>26.4</v>
      </c>
      <c r="P6562">
        <v>33.82</v>
      </c>
      <c r="Q6562">
        <v>20.69</v>
      </c>
      <c r="R6562">
        <v>1.01</v>
      </c>
    </row>
    <row r="6563">
      <c r="A6563" s="9">
        <v>45094</v>
      </c>
      <c r="B6563" s="2" t="inlineStr">
        <is>
          <t xml:space="preserve">2023-06</t>
        </is>
      </c>
      <c r="C6563" s="2" t="inlineStr">
        <is>
          <t xml:space="preserve">2022/23</t>
        </is>
      </c>
      <c r="D6563">
        <v>2.576</v>
      </c>
      <c r="E6563">
        <v>23.28</v>
      </c>
      <c r="F6563">
        <v>29.05</v>
      </c>
      <c r="G6563">
        <v>18.73</v>
      </c>
      <c r="H6563">
        <v>2.72</v>
      </c>
      <c r="I6563">
        <v>3.353</v>
      </c>
      <c r="J6563">
        <v>26.07</v>
      </c>
      <c r="K6563">
        <v>31.56</v>
      </c>
      <c r="L6563">
        <v>21.46</v>
      </c>
      <c r="M6563">
        <v>7.51</v>
      </c>
      <c r="N6563">
        <v>0.853</v>
      </c>
      <c r="O6563">
        <v>25.85</v>
      </c>
      <c r="P6563">
        <v>32.76</v>
      </c>
      <c r="Q6563">
        <v>21.92</v>
      </c>
      <c r="R6563">
        <v>6.74</v>
      </c>
    </row>
    <row r="6564">
      <c r="A6564" s="9">
        <v>45095</v>
      </c>
      <c r="B6564" s="2" t="inlineStr">
        <is>
          <t xml:space="preserve">2023-06</t>
        </is>
      </c>
      <c r="C6564" s="2" t="inlineStr">
        <is>
          <t xml:space="preserve">2022/23</t>
        </is>
      </c>
      <c r="D6564">
        <v>2.947</v>
      </c>
      <c r="E6564">
        <v>22.3</v>
      </c>
      <c r="F6564">
        <v>27.24</v>
      </c>
      <c r="G6564">
        <v>18.16</v>
      </c>
      <c r="H6564">
        <v>4.09</v>
      </c>
      <c r="I6564">
        <v>13.922</v>
      </c>
      <c r="J6564">
        <v>25.61</v>
      </c>
      <c r="K6564">
        <v>32.69</v>
      </c>
      <c r="L6564">
        <v>20.84</v>
      </c>
      <c r="M6564">
        <v>13.7</v>
      </c>
      <c r="N6564">
        <v>28.633</v>
      </c>
      <c r="O6564">
        <v>24.89</v>
      </c>
      <c r="P6564">
        <v>31.41</v>
      </c>
      <c r="Q6564">
        <v>21.25</v>
      </c>
      <c r="R6564">
        <v>9.22</v>
      </c>
    </row>
    <row r="6565">
      <c r="A6565" s="9">
        <v>45096</v>
      </c>
      <c r="B6565" s="2" t="inlineStr">
        <is>
          <t xml:space="preserve">2023-06</t>
        </is>
      </c>
      <c r="C6565" s="2" t="inlineStr">
        <is>
          <t xml:space="preserve">2022/23</t>
        </is>
      </c>
      <c r="D6565">
        <v>5.177</v>
      </c>
      <c r="E6565">
        <v>22.1</v>
      </c>
      <c r="F6565">
        <v>25.84</v>
      </c>
      <c r="G6565">
        <v>18.75</v>
      </c>
      <c r="H6565">
        <v>5.56</v>
      </c>
      <c r="I6565">
        <v>4.343</v>
      </c>
      <c r="J6565">
        <v>25.15</v>
      </c>
      <c r="K6565">
        <v>30.44</v>
      </c>
      <c r="L6565">
        <v>21.36</v>
      </c>
      <c r="M6565">
        <v>5.94</v>
      </c>
      <c r="N6565">
        <v>5.557</v>
      </c>
      <c r="O6565">
        <v>24.57</v>
      </c>
      <c r="P6565">
        <v>29.97</v>
      </c>
      <c r="Q6565">
        <v>21.09</v>
      </c>
      <c r="R6565">
        <v>10.44</v>
      </c>
    </row>
    <row r="6566">
      <c r="A6566" s="9">
        <v>45097</v>
      </c>
      <c r="B6566" s="2" t="inlineStr">
        <is>
          <t xml:space="preserve">2023-06</t>
        </is>
      </c>
      <c r="C6566" s="2" t="inlineStr">
        <is>
          <t xml:space="preserve">2022/23</t>
        </is>
      </c>
      <c r="D6566">
        <v>0.172</v>
      </c>
      <c r="E6566">
        <v>22.17</v>
      </c>
      <c r="F6566">
        <v>26.85</v>
      </c>
      <c r="G6566">
        <v>18.92</v>
      </c>
      <c r="H6566">
        <v>0.83</v>
      </c>
      <c r="I6566">
        <v>3.6</v>
      </c>
      <c r="J6566">
        <v>24.44</v>
      </c>
      <c r="K6566">
        <v>28.84</v>
      </c>
      <c r="L6566">
        <v>21.77</v>
      </c>
      <c r="M6566">
        <v>7.85</v>
      </c>
      <c r="N6566">
        <v>14.41</v>
      </c>
      <c r="O6566">
        <v>25.02</v>
      </c>
      <c r="P6566">
        <v>30.88</v>
      </c>
      <c r="Q6566">
        <v>21.25</v>
      </c>
      <c r="R6566">
        <v>5.95</v>
      </c>
    </row>
    <row r="6567">
      <c r="A6567" s="9">
        <v>45098</v>
      </c>
      <c r="B6567" s="2" t="inlineStr">
        <is>
          <t xml:space="preserve">2023-06</t>
        </is>
      </c>
      <c r="C6567" s="2" t="inlineStr">
        <is>
          <t xml:space="preserve">2022/23</t>
        </is>
      </c>
      <c r="D6567">
        <v>5.344</v>
      </c>
      <c r="E6567">
        <v>22.16</v>
      </c>
      <c r="F6567">
        <v>25.85</v>
      </c>
      <c r="G6567">
        <v>18.49</v>
      </c>
      <c r="H6567">
        <v>4.24</v>
      </c>
      <c r="I6567">
        <v>3.206</v>
      </c>
      <c r="J6567">
        <v>24.47</v>
      </c>
      <c r="K6567">
        <v>29.07</v>
      </c>
      <c r="L6567">
        <v>21.88</v>
      </c>
      <c r="M6567">
        <v>2.37</v>
      </c>
      <c r="N6567">
        <v>9.62</v>
      </c>
      <c r="O6567">
        <v>24.43</v>
      </c>
      <c r="P6567">
        <v>29.61</v>
      </c>
      <c r="Q6567">
        <v>21.66</v>
      </c>
      <c r="R6567">
        <v>3.05</v>
      </c>
    </row>
    <row r="6568">
      <c r="A6568" s="9">
        <v>45099</v>
      </c>
      <c r="B6568" s="2" t="inlineStr">
        <is>
          <t xml:space="preserve">2023-06</t>
        </is>
      </c>
      <c r="C6568" s="2" t="inlineStr">
        <is>
          <t xml:space="preserve">2022/23</t>
        </is>
      </c>
      <c r="D6568">
        <v>11.697</v>
      </c>
      <c r="E6568">
        <v>22.23</v>
      </c>
      <c r="F6568">
        <v>25.44</v>
      </c>
      <c r="G6568">
        <v>19.55</v>
      </c>
      <c r="H6568">
        <v>17.15</v>
      </c>
      <c r="I6568">
        <v>2.825</v>
      </c>
      <c r="J6568">
        <v>22.91</v>
      </c>
      <c r="K6568">
        <v>26.27</v>
      </c>
      <c r="L6568">
        <v>20.34</v>
      </c>
      <c r="M6568">
        <v>14.52</v>
      </c>
      <c r="N6568">
        <v>10.28</v>
      </c>
      <c r="O6568">
        <v>23.48</v>
      </c>
      <c r="P6568">
        <v>27.78</v>
      </c>
      <c r="Q6568">
        <v>20.48</v>
      </c>
      <c r="R6568">
        <v>11.25</v>
      </c>
    </row>
    <row r="6569">
      <c r="A6569" s="9">
        <v>45100</v>
      </c>
      <c r="B6569" s="2" t="inlineStr">
        <is>
          <t xml:space="preserve">2023-06</t>
        </is>
      </c>
      <c r="C6569" s="2" t="inlineStr">
        <is>
          <t xml:space="preserve">2022/23</t>
        </is>
      </c>
      <c r="D6569">
        <v>18.918</v>
      </c>
      <c r="E6569">
        <v>22.88</v>
      </c>
      <c r="F6569">
        <v>27.44</v>
      </c>
      <c r="G6569">
        <v>19.74</v>
      </c>
      <c r="H6569">
        <v>9.52</v>
      </c>
      <c r="I6569">
        <v>18.754</v>
      </c>
      <c r="J6569">
        <v>23.99</v>
      </c>
      <c r="K6569">
        <v>28.71</v>
      </c>
      <c r="L6569">
        <v>19.93</v>
      </c>
      <c r="M6569">
        <v>11.44</v>
      </c>
      <c r="N6569">
        <v>11.428</v>
      </c>
      <c r="O6569">
        <v>24.24</v>
      </c>
      <c r="P6569">
        <v>29.19</v>
      </c>
      <c r="Q6569">
        <v>20.25</v>
      </c>
      <c r="R6569">
        <v>6.45</v>
      </c>
    </row>
    <row r="6570">
      <c r="A6570" s="9">
        <v>45101</v>
      </c>
      <c r="B6570" s="2" t="inlineStr">
        <is>
          <t xml:space="preserve">2023-06</t>
        </is>
      </c>
      <c r="C6570" s="2" t="inlineStr">
        <is>
          <t xml:space="preserve">2022/23</t>
        </is>
      </c>
      <c r="D6570">
        <v>8.447</v>
      </c>
      <c r="E6570">
        <v>22.42</v>
      </c>
      <c r="F6570">
        <v>27.62</v>
      </c>
      <c r="G6570">
        <v>17.79</v>
      </c>
      <c r="H6570">
        <v>2.55</v>
      </c>
      <c r="I6570">
        <v>15.122</v>
      </c>
      <c r="J6570">
        <v>24.23</v>
      </c>
      <c r="K6570">
        <v>28.71</v>
      </c>
      <c r="L6570">
        <v>20.97</v>
      </c>
      <c r="M6570">
        <v>9.37</v>
      </c>
      <c r="N6570">
        <v>15.032</v>
      </c>
      <c r="O6570">
        <v>24.26</v>
      </c>
      <c r="P6570">
        <v>29.33</v>
      </c>
      <c r="Q6570">
        <v>21.35</v>
      </c>
      <c r="R6570">
        <v>4.92</v>
      </c>
    </row>
    <row r="6571">
      <c r="A6571" s="9">
        <v>45102</v>
      </c>
      <c r="B6571" s="2" t="inlineStr">
        <is>
          <t xml:space="preserve">2023-06</t>
        </is>
      </c>
      <c r="C6571" s="2" t="inlineStr">
        <is>
          <t xml:space="preserve">2022/23</t>
        </is>
      </c>
      <c r="D6571">
        <v>0.0</v>
      </c>
      <c r="E6571">
        <v>22.63</v>
      </c>
      <c r="F6571">
        <v>27.84</v>
      </c>
      <c r="G6571">
        <v>18.45</v>
      </c>
      <c r="H6571">
        <v>0.26</v>
      </c>
      <c r="I6571">
        <v>0.0</v>
      </c>
      <c r="J6571">
        <v>24.56</v>
      </c>
      <c r="K6571">
        <v>29.87</v>
      </c>
      <c r="L6571">
        <v>20.23</v>
      </c>
      <c r="M6571">
        <v>0.06</v>
      </c>
      <c r="N6571">
        <v>0.0</v>
      </c>
      <c r="O6571">
        <v>24.11</v>
      </c>
      <c r="P6571">
        <v>28.34</v>
      </c>
      <c r="Q6571">
        <v>21.02</v>
      </c>
      <c r="R6571">
        <v>0.59</v>
      </c>
    </row>
    <row r="6572">
      <c r="A6572" s="9">
        <v>45103</v>
      </c>
      <c r="B6572" s="2" t="inlineStr">
        <is>
          <t xml:space="preserve">2023-06</t>
        </is>
      </c>
      <c r="C6572" s="2" t="inlineStr">
        <is>
          <t xml:space="preserve">2022/23</t>
        </is>
      </c>
      <c r="D6572">
        <v>10.804</v>
      </c>
      <c r="E6572">
        <v>21.58</v>
      </c>
      <c r="F6572">
        <v>25.69</v>
      </c>
      <c r="G6572">
        <v>18.65</v>
      </c>
      <c r="H6572">
        <v>12.14</v>
      </c>
      <c r="I6572">
        <v>0.117</v>
      </c>
      <c r="J6572">
        <v>23.62</v>
      </c>
      <c r="K6572">
        <v>28.5</v>
      </c>
      <c r="L6572">
        <v>19.93</v>
      </c>
      <c r="M6572">
        <v>6.54</v>
      </c>
      <c r="N6572">
        <v>0.459</v>
      </c>
      <c r="O6572">
        <v>22.6</v>
      </c>
      <c r="P6572">
        <v>25.66</v>
      </c>
      <c r="Q6572">
        <v>20.49</v>
      </c>
      <c r="R6572">
        <v>8.62</v>
      </c>
    </row>
    <row r="6573">
      <c r="A6573" s="9">
        <v>45104</v>
      </c>
      <c r="B6573" s="2" t="inlineStr">
        <is>
          <t xml:space="preserve">2023-06</t>
        </is>
      </c>
      <c r="C6573" s="2" t="inlineStr">
        <is>
          <t xml:space="preserve">2022/23</t>
        </is>
      </c>
      <c r="D6573">
        <v>6.56</v>
      </c>
      <c r="E6573">
        <v>20.85</v>
      </c>
      <c r="F6573">
        <v>24.57</v>
      </c>
      <c r="G6573">
        <v>17.55</v>
      </c>
      <c r="H6573">
        <v>15.42</v>
      </c>
      <c r="I6573">
        <v>14.952</v>
      </c>
      <c r="J6573">
        <v>22.82</v>
      </c>
      <c r="K6573">
        <v>28.08</v>
      </c>
      <c r="L6573">
        <v>19.31</v>
      </c>
      <c r="M6573">
        <v>15.19</v>
      </c>
      <c r="N6573">
        <v>7.982</v>
      </c>
      <c r="O6573">
        <v>23.5</v>
      </c>
      <c r="P6573">
        <v>28.68</v>
      </c>
      <c r="Q6573">
        <v>20.09</v>
      </c>
      <c r="R6573">
        <v>18.77</v>
      </c>
    </row>
    <row r="6574">
      <c r="A6574" s="9">
        <v>45105</v>
      </c>
      <c r="B6574" s="2" t="inlineStr">
        <is>
          <t xml:space="preserve">2023-06</t>
        </is>
      </c>
      <c r="C6574" s="2" t="inlineStr">
        <is>
          <t xml:space="preserve">2022/23</t>
        </is>
      </c>
      <c r="D6574">
        <v>4.8</v>
      </c>
      <c r="E6574">
        <v>22.15</v>
      </c>
      <c r="F6574">
        <v>26.01</v>
      </c>
      <c r="G6574">
        <v>19.56</v>
      </c>
      <c r="H6574">
        <v>0.74</v>
      </c>
      <c r="I6574">
        <v>9.55</v>
      </c>
      <c r="J6574">
        <v>23.86</v>
      </c>
      <c r="K6574">
        <v>28.09</v>
      </c>
      <c r="L6574">
        <v>19.85</v>
      </c>
      <c r="M6574">
        <v>10.19</v>
      </c>
      <c r="N6574">
        <v>36.223</v>
      </c>
      <c r="O6574">
        <v>23.4</v>
      </c>
      <c r="P6574">
        <v>26.5</v>
      </c>
      <c r="Q6574">
        <v>20.52</v>
      </c>
      <c r="R6574">
        <v>6.22</v>
      </c>
    </row>
    <row r="6575">
      <c r="A6575" s="9">
        <v>45106</v>
      </c>
      <c r="B6575" s="2" t="inlineStr">
        <is>
          <t xml:space="preserve">2023-06</t>
        </is>
      </c>
      <c r="C6575" s="2" t="inlineStr">
        <is>
          <t xml:space="preserve">2022/23</t>
        </is>
      </c>
      <c r="D6575">
        <v>0.592</v>
      </c>
      <c r="E6575">
        <v>22.9</v>
      </c>
      <c r="F6575">
        <v>28.31</v>
      </c>
      <c r="G6575">
        <v>18.19</v>
      </c>
      <c r="H6575">
        <v>0.22</v>
      </c>
      <c r="I6575">
        <v>1.76</v>
      </c>
      <c r="J6575">
        <v>23.48</v>
      </c>
      <c r="K6575">
        <v>26.75</v>
      </c>
      <c r="L6575">
        <v>21.15</v>
      </c>
      <c r="M6575">
        <v>1.14</v>
      </c>
      <c r="N6575">
        <v>0.963</v>
      </c>
      <c r="O6575">
        <v>23.41</v>
      </c>
      <c r="P6575">
        <v>26.17</v>
      </c>
      <c r="Q6575">
        <v>21.58</v>
      </c>
      <c r="R6575">
        <v>0.66</v>
      </c>
    </row>
    <row r="6576">
      <c r="A6576" s="9">
        <v>45107</v>
      </c>
      <c r="B6576" s="2" t="inlineStr">
        <is>
          <t xml:space="preserve">2023-06</t>
        </is>
      </c>
      <c r="C6576" s="2" t="inlineStr">
        <is>
          <t xml:space="preserve">2022/23</t>
        </is>
      </c>
      <c r="D6576">
        <v>0.0</v>
      </c>
      <c r="E6576">
        <v>23.1</v>
      </c>
      <c r="F6576">
        <v>27.68</v>
      </c>
      <c r="G6576">
        <v>19.68</v>
      </c>
      <c r="H6576">
        <v>0.26</v>
      </c>
      <c r="I6576">
        <v>5.415</v>
      </c>
      <c r="J6576">
        <v>23.84</v>
      </c>
      <c r="K6576">
        <v>28.48</v>
      </c>
      <c r="L6576">
        <v>20.29</v>
      </c>
      <c r="M6576">
        <v>3.08</v>
      </c>
      <c r="N6576">
        <v>0.33</v>
      </c>
      <c r="O6576">
        <v>23.4</v>
      </c>
      <c r="P6576">
        <v>26.59</v>
      </c>
      <c r="Q6576">
        <v>21.0</v>
      </c>
      <c r="R6576">
        <v>0.69</v>
      </c>
    </row>
    <row r="6577">
      <c r="A6577" s="9">
        <v>45108</v>
      </c>
      <c r="B6577" s="2" t="inlineStr">
        <is>
          <t xml:space="preserve">2023-07</t>
        </is>
      </c>
      <c r="C6577" s="2" t="inlineStr">
        <is>
          <t xml:space="preserve">2023/24</t>
        </is>
      </c>
      <c r="D6577">
        <v>0.088</v>
      </c>
      <c r="E6577">
        <v>22.77</v>
      </c>
      <c r="F6577">
        <v>27.4</v>
      </c>
      <c r="G6577">
        <v>19.42</v>
      </c>
      <c r="H6577">
        <v>3.63</v>
      </c>
      <c r="I6577">
        <v>0.0</v>
      </c>
      <c r="J6577">
        <v>24.47</v>
      </c>
      <c r="K6577">
        <v>29.47</v>
      </c>
      <c r="L6577">
        <v>19.79</v>
      </c>
      <c r="M6577">
        <v>1.5</v>
      </c>
      <c r="N6577">
        <v>0.0</v>
      </c>
      <c r="O6577">
        <v>24.28</v>
      </c>
      <c r="P6577">
        <v>29.32</v>
      </c>
      <c r="Q6577">
        <v>20.54</v>
      </c>
      <c r="R6577">
        <v>1.24</v>
      </c>
    </row>
    <row r="6578">
      <c r="A6578" s="9">
        <v>45109</v>
      </c>
      <c r="B6578" s="2" t="inlineStr">
        <is>
          <t xml:space="preserve">2023-07</t>
        </is>
      </c>
      <c r="C6578" s="2" t="inlineStr">
        <is>
          <t xml:space="preserve">2023/24</t>
        </is>
      </c>
      <c r="D6578">
        <v>6.436</v>
      </c>
      <c r="E6578">
        <v>22.29</v>
      </c>
      <c r="F6578">
        <v>26.94</v>
      </c>
      <c r="G6578">
        <v>18.43</v>
      </c>
      <c r="H6578">
        <v>9.61</v>
      </c>
      <c r="I6578">
        <v>14.93</v>
      </c>
      <c r="J6578">
        <v>23.15</v>
      </c>
      <c r="K6578">
        <v>26.86</v>
      </c>
      <c r="L6578">
        <v>20.61</v>
      </c>
      <c r="M6578">
        <v>12.56</v>
      </c>
      <c r="N6578">
        <v>12.459</v>
      </c>
      <c r="O6578">
        <v>23.48</v>
      </c>
      <c r="P6578">
        <v>27.56</v>
      </c>
      <c r="Q6578">
        <v>21.31</v>
      </c>
      <c r="R6578">
        <v>11.74</v>
      </c>
    </row>
    <row r="6579">
      <c r="A6579" s="9">
        <v>45110</v>
      </c>
      <c r="B6579" s="2" t="inlineStr">
        <is>
          <t xml:space="preserve">2023-07</t>
        </is>
      </c>
      <c r="C6579" s="2" t="inlineStr">
        <is>
          <t xml:space="preserve">2023/24</t>
        </is>
      </c>
      <c r="D6579">
        <v>6.873</v>
      </c>
      <c r="E6579">
        <v>22.0</v>
      </c>
      <c r="F6579">
        <v>26.81</v>
      </c>
      <c r="G6579">
        <v>18.76</v>
      </c>
      <c r="H6579">
        <v>2.67</v>
      </c>
      <c r="I6579">
        <v>2.326</v>
      </c>
      <c r="J6579">
        <v>23.54</v>
      </c>
      <c r="K6579">
        <v>28.23</v>
      </c>
      <c r="L6579">
        <v>20.49</v>
      </c>
      <c r="M6579">
        <v>9.18</v>
      </c>
      <c r="N6579">
        <v>2.707</v>
      </c>
      <c r="O6579">
        <v>24.05</v>
      </c>
      <c r="P6579">
        <v>29.19</v>
      </c>
      <c r="Q6579">
        <v>21.16</v>
      </c>
      <c r="R6579">
        <v>7.15</v>
      </c>
    </row>
    <row r="6580">
      <c r="A6580" s="9">
        <v>45111</v>
      </c>
      <c r="B6580" s="2" t="inlineStr">
        <is>
          <t xml:space="preserve">2023-07</t>
        </is>
      </c>
      <c r="C6580" s="2" t="inlineStr">
        <is>
          <t xml:space="preserve">2023/24</t>
        </is>
      </c>
      <c r="D6580">
        <v>21.334</v>
      </c>
      <c r="E6580">
        <v>21.9</v>
      </c>
      <c r="F6580">
        <v>26.52</v>
      </c>
      <c r="G6580">
        <v>17.74</v>
      </c>
      <c r="H6580">
        <v>16.67</v>
      </c>
      <c r="I6580">
        <v>13.774</v>
      </c>
      <c r="J6580">
        <v>23.79</v>
      </c>
      <c r="K6580">
        <v>27.7</v>
      </c>
      <c r="L6580">
        <v>20.55</v>
      </c>
      <c r="M6580">
        <v>14.42</v>
      </c>
      <c r="N6580">
        <v>35.24</v>
      </c>
      <c r="O6580">
        <v>23.93</v>
      </c>
      <c r="P6580">
        <v>28.83</v>
      </c>
      <c r="Q6580">
        <v>20.55</v>
      </c>
      <c r="R6580">
        <v>15.97</v>
      </c>
    </row>
    <row r="6581">
      <c r="A6581" s="9">
        <v>45112</v>
      </c>
      <c r="B6581" s="2" t="inlineStr">
        <is>
          <t xml:space="preserve">2023-07</t>
        </is>
      </c>
      <c r="C6581" s="2" t="inlineStr">
        <is>
          <t xml:space="preserve">2023/24</t>
        </is>
      </c>
      <c r="D6581">
        <v>5.358</v>
      </c>
      <c r="E6581">
        <v>22.86</v>
      </c>
      <c r="F6581">
        <v>28.4</v>
      </c>
      <c r="G6581">
        <v>18.26</v>
      </c>
      <c r="H6581">
        <v>0.15</v>
      </c>
      <c r="I6581">
        <v>2.439</v>
      </c>
      <c r="J6581">
        <v>24.67</v>
      </c>
      <c r="K6581">
        <v>29.65</v>
      </c>
      <c r="L6581">
        <v>21.35</v>
      </c>
      <c r="M6581">
        <v>0.95</v>
      </c>
      <c r="N6581">
        <v>2.752</v>
      </c>
      <c r="O6581">
        <v>24.49</v>
      </c>
      <c r="P6581">
        <v>29.34</v>
      </c>
      <c r="Q6581">
        <v>21.41</v>
      </c>
      <c r="R6581">
        <v>0.32</v>
      </c>
    </row>
    <row r="6582">
      <c r="A6582" s="9">
        <v>45113</v>
      </c>
      <c r="B6582" s="2" t="inlineStr">
        <is>
          <t xml:space="preserve">2023-07</t>
        </is>
      </c>
      <c r="C6582" s="2" t="inlineStr">
        <is>
          <t xml:space="preserve">2023/24</t>
        </is>
      </c>
      <c r="D6582">
        <v>0.0</v>
      </c>
      <c r="E6582">
        <v>23.1</v>
      </c>
      <c r="F6582">
        <v>27.85</v>
      </c>
      <c r="G6582">
        <v>19.2</v>
      </c>
      <c r="H6582">
        <v>2.18</v>
      </c>
      <c r="I6582">
        <v>0.0</v>
      </c>
      <c r="J6582">
        <v>24.25</v>
      </c>
      <c r="K6582">
        <v>28.49</v>
      </c>
      <c r="L6582">
        <v>20.31</v>
      </c>
      <c r="M6582">
        <v>2.35</v>
      </c>
      <c r="N6582">
        <v>0.0</v>
      </c>
      <c r="O6582">
        <v>24.25</v>
      </c>
      <c r="P6582">
        <v>28.72</v>
      </c>
      <c r="Q6582">
        <v>21.13</v>
      </c>
      <c r="R6582">
        <v>2.0</v>
      </c>
    </row>
    <row r="6583">
      <c r="A6583" s="9">
        <v>45114</v>
      </c>
      <c r="B6583" s="2" t="inlineStr">
        <is>
          <t xml:space="preserve">2023-07</t>
        </is>
      </c>
      <c r="C6583" s="2" t="inlineStr">
        <is>
          <t xml:space="preserve">2023/24</t>
        </is>
      </c>
      <c r="D6583">
        <v>7.292</v>
      </c>
      <c r="E6583">
        <v>22.16</v>
      </c>
      <c r="F6583">
        <v>26.25</v>
      </c>
      <c r="G6583">
        <v>19.27</v>
      </c>
      <c r="H6583">
        <v>12.86</v>
      </c>
      <c r="I6583">
        <v>9.803</v>
      </c>
      <c r="J6583">
        <v>23.89</v>
      </c>
      <c r="K6583">
        <v>28.58</v>
      </c>
      <c r="L6583">
        <v>20.54</v>
      </c>
      <c r="M6583">
        <v>26.25</v>
      </c>
      <c r="N6583">
        <v>22.186</v>
      </c>
      <c r="O6583">
        <v>24.03</v>
      </c>
      <c r="P6583">
        <v>28.92</v>
      </c>
      <c r="Q6583">
        <v>21.14</v>
      </c>
      <c r="R6583">
        <v>21.2</v>
      </c>
    </row>
    <row r="6584">
      <c r="A6584" s="9">
        <v>45115</v>
      </c>
      <c r="B6584" s="2" t="inlineStr">
        <is>
          <t xml:space="preserve">2023-07</t>
        </is>
      </c>
      <c r="C6584" s="2" t="inlineStr">
        <is>
          <t xml:space="preserve">2023/24</t>
        </is>
      </c>
      <c r="D6584">
        <v>5.214</v>
      </c>
      <c r="E6584">
        <v>22.23</v>
      </c>
      <c r="F6584">
        <v>26.97</v>
      </c>
      <c r="G6584">
        <v>18.12</v>
      </c>
      <c r="H6584">
        <v>2.73</v>
      </c>
      <c r="I6584">
        <v>27.222</v>
      </c>
      <c r="J6584">
        <v>22.98</v>
      </c>
      <c r="K6584">
        <v>26.36</v>
      </c>
      <c r="L6584">
        <v>20.65</v>
      </c>
      <c r="M6584">
        <v>15.71</v>
      </c>
      <c r="N6584">
        <v>41.431</v>
      </c>
      <c r="O6584">
        <v>24.21</v>
      </c>
      <c r="P6584">
        <v>29.04</v>
      </c>
      <c r="Q6584">
        <v>21.32</v>
      </c>
      <c r="R6584">
        <v>8.95</v>
      </c>
    </row>
    <row r="6585">
      <c r="A6585" s="9">
        <v>45116</v>
      </c>
      <c r="B6585" s="2" t="inlineStr">
        <is>
          <t xml:space="preserve">2023-07</t>
        </is>
      </c>
      <c r="C6585" s="2" t="inlineStr">
        <is>
          <t xml:space="preserve">2023/24</t>
        </is>
      </c>
      <c r="D6585">
        <v>0.816</v>
      </c>
      <c r="E6585">
        <v>22.68</v>
      </c>
      <c r="F6585">
        <v>27.14</v>
      </c>
      <c r="G6585">
        <v>18.44</v>
      </c>
      <c r="H6585">
        <v>0.32</v>
      </c>
      <c r="I6585">
        <v>1.012</v>
      </c>
      <c r="J6585">
        <v>23.99</v>
      </c>
      <c r="K6585">
        <v>28.07</v>
      </c>
      <c r="L6585">
        <v>20.28</v>
      </c>
      <c r="M6585">
        <v>0.36</v>
      </c>
      <c r="N6585">
        <v>3.628</v>
      </c>
      <c r="O6585">
        <v>24.14</v>
      </c>
      <c r="P6585">
        <v>28.05</v>
      </c>
      <c r="Q6585">
        <v>21.54</v>
      </c>
      <c r="R6585">
        <v>0.56</v>
      </c>
    </row>
    <row r="6586">
      <c r="A6586" s="9">
        <v>45117</v>
      </c>
      <c r="B6586" s="2" t="inlineStr">
        <is>
          <t xml:space="preserve">2023-07</t>
        </is>
      </c>
      <c r="C6586" s="2" t="inlineStr">
        <is>
          <t xml:space="preserve">2023/24</t>
        </is>
      </c>
      <c r="D6586">
        <v>0.0</v>
      </c>
      <c r="E6586">
        <v>22.68</v>
      </c>
      <c r="F6586">
        <v>27.6</v>
      </c>
      <c r="G6586">
        <v>18.95</v>
      </c>
      <c r="H6586">
        <v>0.69</v>
      </c>
      <c r="I6586">
        <v>1.311</v>
      </c>
      <c r="J6586">
        <v>24.05</v>
      </c>
      <c r="K6586">
        <v>27.95</v>
      </c>
      <c r="L6586">
        <v>20.58</v>
      </c>
      <c r="M6586">
        <v>0.91</v>
      </c>
      <c r="N6586">
        <v>0.075</v>
      </c>
      <c r="O6586">
        <v>24.47</v>
      </c>
      <c r="P6586">
        <v>29.58</v>
      </c>
      <c r="Q6586">
        <v>21.35</v>
      </c>
      <c r="R6586">
        <v>0.31</v>
      </c>
    </row>
    <row r="6587">
      <c r="A6587" s="9">
        <v>45118</v>
      </c>
      <c r="B6587" s="2" t="inlineStr">
        <is>
          <t xml:space="preserve">2023-07</t>
        </is>
      </c>
      <c r="C6587" s="2" t="inlineStr">
        <is>
          <t xml:space="preserve">2023/24</t>
        </is>
      </c>
      <c r="D6587">
        <v>0.474</v>
      </c>
      <c r="E6587">
        <v>22.24</v>
      </c>
      <c r="F6587">
        <v>27.15</v>
      </c>
      <c r="G6587">
        <v>17.66</v>
      </c>
      <c r="H6587">
        <v>1.29</v>
      </c>
      <c r="I6587">
        <v>0.0</v>
      </c>
      <c r="J6587">
        <v>23.68</v>
      </c>
      <c r="K6587">
        <v>28.35</v>
      </c>
      <c r="L6587">
        <v>20.13</v>
      </c>
      <c r="M6587">
        <v>2.72</v>
      </c>
      <c r="N6587">
        <v>0.0</v>
      </c>
      <c r="O6587">
        <v>24.07</v>
      </c>
      <c r="P6587">
        <v>28.68</v>
      </c>
      <c r="Q6587">
        <v>21.09</v>
      </c>
      <c r="R6587">
        <v>3.37</v>
      </c>
    </row>
    <row r="6588">
      <c r="A6588" s="9">
        <v>45119</v>
      </c>
      <c r="B6588" s="2" t="inlineStr">
        <is>
          <t xml:space="preserve">2023-07</t>
        </is>
      </c>
      <c r="C6588" s="2" t="inlineStr">
        <is>
          <t xml:space="preserve">2023/24</t>
        </is>
      </c>
      <c r="D6588">
        <v>0.457</v>
      </c>
      <c r="E6588">
        <v>22.42</v>
      </c>
      <c r="F6588">
        <v>26.39</v>
      </c>
      <c r="G6588">
        <v>19.02</v>
      </c>
      <c r="H6588">
        <v>3.62</v>
      </c>
      <c r="I6588">
        <v>4.189</v>
      </c>
      <c r="J6588">
        <v>23.64</v>
      </c>
      <c r="K6588">
        <v>27.85</v>
      </c>
      <c r="L6588">
        <v>20.52</v>
      </c>
      <c r="M6588">
        <v>5.57</v>
      </c>
      <c r="N6588">
        <v>17.084</v>
      </c>
      <c r="O6588">
        <v>23.79</v>
      </c>
      <c r="P6588">
        <v>27.35</v>
      </c>
      <c r="Q6588">
        <v>21.08</v>
      </c>
      <c r="R6588">
        <v>7.51</v>
      </c>
    </row>
    <row r="6589">
      <c r="A6589" s="9">
        <v>45120</v>
      </c>
      <c r="B6589" s="2" t="inlineStr">
        <is>
          <t xml:space="preserve">2023-07</t>
        </is>
      </c>
      <c r="C6589" s="2" t="inlineStr">
        <is>
          <t xml:space="preserve">2023/24</t>
        </is>
      </c>
      <c r="D6589">
        <v>0.698</v>
      </c>
      <c r="E6589">
        <v>22.87</v>
      </c>
      <c r="F6589">
        <v>26.99</v>
      </c>
      <c r="G6589">
        <v>19.56</v>
      </c>
      <c r="H6589">
        <v>2.75</v>
      </c>
      <c r="I6589">
        <v>0.144</v>
      </c>
      <c r="J6589">
        <v>24.24</v>
      </c>
      <c r="K6589">
        <v>28.55</v>
      </c>
      <c r="L6589">
        <v>20.81</v>
      </c>
      <c r="M6589">
        <v>1.84</v>
      </c>
      <c r="N6589">
        <v>0.363</v>
      </c>
      <c r="O6589">
        <v>24.4</v>
      </c>
      <c r="P6589">
        <v>28.69</v>
      </c>
      <c r="Q6589">
        <v>21.83</v>
      </c>
      <c r="R6589">
        <v>2.07</v>
      </c>
    </row>
    <row r="6590">
      <c r="A6590" s="9">
        <v>45121</v>
      </c>
      <c r="B6590" s="2" t="inlineStr">
        <is>
          <t xml:space="preserve">2023-07</t>
        </is>
      </c>
      <c r="C6590" s="2" t="inlineStr">
        <is>
          <t xml:space="preserve">2023/24</t>
        </is>
      </c>
      <c r="D6590">
        <v>3.801</v>
      </c>
      <c r="E6590">
        <v>22.06</v>
      </c>
      <c r="F6590">
        <v>26.57</v>
      </c>
      <c r="G6590">
        <v>17.88</v>
      </c>
      <c r="H6590">
        <v>3.07</v>
      </c>
      <c r="I6590">
        <v>5.234</v>
      </c>
      <c r="J6590">
        <v>23.75</v>
      </c>
      <c r="K6590">
        <v>27.36</v>
      </c>
      <c r="L6590">
        <v>20.57</v>
      </c>
      <c r="M6590">
        <v>2.88</v>
      </c>
      <c r="N6590">
        <v>1.347</v>
      </c>
      <c r="O6590">
        <v>23.87</v>
      </c>
      <c r="P6590">
        <v>27.88</v>
      </c>
      <c r="Q6590">
        <v>21.69</v>
      </c>
      <c r="R6590">
        <v>3.61</v>
      </c>
    </row>
    <row r="6591">
      <c r="A6591" s="9">
        <v>45122</v>
      </c>
      <c r="B6591" s="2" t="inlineStr">
        <is>
          <t xml:space="preserve">2023-07</t>
        </is>
      </c>
      <c r="C6591" s="2" t="inlineStr">
        <is>
          <t xml:space="preserve">2023/24</t>
        </is>
      </c>
      <c r="D6591">
        <v>0.832</v>
      </c>
      <c r="E6591">
        <v>22.0</v>
      </c>
      <c r="F6591">
        <v>27.08</v>
      </c>
      <c r="G6591">
        <v>16.74</v>
      </c>
      <c r="H6591">
        <v>2.46</v>
      </c>
      <c r="I6591">
        <v>1.072</v>
      </c>
      <c r="J6591">
        <v>23.94</v>
      </c>
      <c r="K6591">
        <v>29.1</v>
      </c>
      <c r="L6591">
        <v>19.7</v>
      </c>
      <c r="M6591">
        <v>1.28</v>
      </c>
      <c r="N6591">
        <v>1.768</v>
      </c>
      <c r="O6591">
        <v>23.74</v>
      </c>
      <c r="P6591">
        <v>29.01</v>
      </c>
      <c r="Q6591">
        <v>19.69</v>
      </c>
      <c r="R6591">
        <v>2.66</v>
      </c>
    </row>
    <row r="6592">
      <c r="A6592" s="9">
        <v>45123</v>
      </c>
      <c r="B6592" s="2" t="inlineStr">
        <is>
          <t xml:space="preserve">2023-07</t>
        </is>
      </c>
      <c r="C6592" s="2" t="inlineStr">
        <is>
          <t xml:space="preserve">2023/24</t>
        </is>
      </c>
      <c r="D6592">
        <v>1.118</v>
      </c>
      <c r="E6592">
        <v>21.34</v>
      </c>
      <c r="F6592">
        <v>24.68</v>
      </c>
      <c r="G6592">
        <v>18.18</v>
      </c>
      <c r="H6592">
        <v>0.71</v>
      </c>
      <c r="I6592">
        <v>4.531</v>
      </c>
      <c r="J6592">
        <v>24.06</v>
      </c>
      <c r="K6592">
        <v>28.46</v>
      </c>
      <c r="L6592">
        <v>21.01</v>
      </c>
      <c r="M6592">
        <v>2.23</v>
      </c>
      <c r="N6592">
        <v>0.378</v>
      </c>
      <c r="O6592">
        <v>24.16</v>
      </c>
      <c r="P6592">
        <v>28.57</v>
      </c>
      <c r="Q6592">
        <v>21.45</v>
      </c>
      <c r="R6592">
        <v>1.07</v>
      </c>
    </row>
    <row r="6593">
      <c r="A6593" s="9">
        <v>45124</v>
      </c>
      <c r="B6593" s="2" t="inlineStr">
        <is>
          <t xml:space="preserve">2023-07</t>
        </is>
      </c>
      <c r="C6593" s="2" t="inlineStr">
        <is>
          <t xml:space="preserve">2023/24</t>
        </is>
      </c>
      <c r="D6593">
        <v>0.0</v>
      </c>
      <c r="E6593">
        <v>21.88</v>
      </c>
      <c r="F6593">
        <v>27.25</v>
      </c>
      <c r="G6593">
        <v>17.12</v>
      </c>
      <c r="H6593">
        <v>0.55</v>
      </c>
      <c r="I6593">
        <v>0.0</v>
      </c>
      <c r="J6593">
        <v>23.7</v>
      </c>
      <c r="K6593">
        <v>28.83</v>
      </c>
      <c r="L6593">
        <v>19.6</v>
      </c>
      <c r="M6593">
        <v>0.35</v>
      </c>
      <c r="N6593">
        <v>0.0</v>
      </c>
      <c r="O6593">
        <v>23.6</v>
      </c>
      <c r="P6593">
        <v>27.83</v>
      </c>
      <c r="Q6593">
        <v>20.19</v>
      </c>
      <c r="R6593">
        <v>0.48</v>
      </c>
    </row>
    <row r="6594">
      <c r="A6594" s="9">
        <v>45125</v>
      </c>
      <c r="B6594" s="2" t="inlineStr">
        <is>
          <t xml:space="preserve">2023-07</t>
        </is>
      </c>
      <c r="C6594" s="2" t="inlineStr">
        <is>
          <t xml:space="preserve">2023/24</t>
        </is>
      </c>
      <c r="D6594">
        <v>1.521</v>
      </c>
      <c r="E6594">
        <v>22.51</v>
      </c>
      <c r="F6594">
        <v>27.78</v>
      </c>
      <c r="G6594">
        <v>18.14</v>
      </c>
      <c r="H6594">
        <v>0.82</v>
      </c>
      <c r="I6594">
        <v>0.285</v>
      </c>
      <c r="J6594">
        <v>23.77</v>
      </c>
      <c r="K6594">
        <v>29.21</v>
      </c>
      <c r="L6594">
        <v>20.39</v>
      </c>
      <c r="M6594">
        <v>0.92</v>
      </c>
      <c r="N6594">
        <v>1.403</v>
      </c>
      <c r="O6594">
        <v>23.98</v>
      </c>
      <c r="P6594">
        <v>29.16</v>
      </c>
      <c r="Q6594">
        <v>20.92</v>
      </c>
      <c r="R6594">
        <v>1.14</v>
      </c>
    </row>
    <row r="6595">
      <c r="A6595" s="9">
        <v>45126</v>
      </c>
      <c r="B6595" s="2" t="inlineStr">
        <is>
          <t xml:space="preserve">2023-07</t>
        </is>
      </c>
      <c r="C6595" s="2" t="inlineStr">
        <is>
          <t xml:space="preserve">2023/24</t>
        </is>
      </c>
      <c r="D6595">
        <v>0.0</v>
      </c>
      <c r="E6595">
        <v>23.11</v>
      </c>
      <c r="F6595">
        <v>28.38</v>
      </c>
      <c r="G6595">
        <v>19.01</v>
      </c>
      <c r="H6595">
        <v>0.48</v>
      </c>
      <c r="I6595">
        <v>1.76</v>
      </c>
      <c r="J6595">
        <v>23.79</v>
      </c>
      <c r="K6595">
        <v>28.98</v>
      </c>
      <c r="L6595">
        <v>20.08</v>
      </c>
      <c r="M6595">
        <v>0.79</v>
      </c>
      <c r="N6595">
        <v>0.071</v>
      </c>
      <c r="O6595">
        <v>24.08</v>
      </c>
      <c r="P6595">
        <v>28.59</v>
      </c>
      <c r="Q6595">
        <v>20.97</v>
      </c>
      <c r="R6595">
        <v>0.86</v>
      </c>
    </row>
    <row r="6596">
      <c r="A6596" s="9">
        <v>45127</v>
      </c>
      <c r="B6596" s="2" t="inlineStr">
        <is>
          <t xml:space="preserve">2023-07</t>
        </is>
      </c>
      <c r="C6596" s="2" t="inlineStr">
        <is>
          <t xml:space="preserve">2023/24</t>
        </is>
      </c>
      <c r="D6596">
        <v>0.0</v>
      </c>
      <c r="E6596">
        <v>23.2</v>
      </c>
      <c r="F6596">
        <v>28.2</v>
      </c>
      <c r="G6596">
        <v>19.54</v>
      </c>
      <c r="H6596">
        <v>0.38</v>
      </c>
      <c r="I6596">
        <v>0.15</v>
      </c>
      <c r="J6596">
        <v>23.84</v>
      </c>
      <c r="K6596">
        <v>28.55</v>
      </c>
      <c r="L6596">
        <v>20.48</v>
      </c>
      <c r="M6596">
        <v>0.49</v>
      </c>
      <c r="N6596">
        <v>1.668</v>
      </c>
      <c r="O6596">
        <v>24.13</v>
      </c>
      <c r="P6596">
        <v>28.52</v>
      </c>
      <c r="Q6596">
        <v>21.23</v>
      </c>
      <c r="R6596">
        <v>0.82</v>
      </c>
    </row>
    <row r="6597">
      <c r="A6597" s="9">
        <v>45128</v>
      </c>
      <c r="B6597" s="2" t="inlineStr">
        <is>
          <t xml:space="preserve">2023-07</t>
        </is>
      </c>
      <c r="C6597" s="2" t="inlineStr">
        <is>
          <t xml:space="preserve">2023/24</t>
        </is>
      </c>
      <c r="D6597">
        <v>0.0</v>
      </c>
      <c r="E6597">
        <v>23.28</v>
      </c>
      <c r="F6597">
        <v>27.98</v>
      </c>
      <c r="G6597">
        <v>19.46</v>
      </c>
      <c r="H6597">
        <v>1.28</v>
      </c>
      <c r="I6597">
        <v>0.0</v>
      </c>
      <c r="J6597">
        <v>24.41</v>
      </c>
      <c r="K6597">
        <v>29.01</v>
      </c>
      <c r="L6597">
        <v>20.54</v>
      </c>
      <c r="M6597">
        <v>1.25</v>
      </c>
      <c r="N6597">
        <v>0.04</v>
      </c>
      <c r="O6597">
        <v>24.31</v>
      </c>
      <c r="P6597">
        <v>29.01</v>
      </c>
      <c r="Q6597">
        <v>21.1</v>
      </c>
      <c r="R6597">
        <v>1.3</v>
      </c>
    </row>
    <row r="6598">
      <c r="A6598" s="9">
        <v>45129</v>
      </c>
      <c r="B6598" s="2" t="inlineStr">
        <is>
          <t xml:space="preserve">2023-07</t>
        </is>
      </c>
      <c r="C6598" s="2" t="inlineStr">
        <is>
          <t xml:space="preserve">2023/24</t>
        </is>
      </c>
      <c r="D6598">
        <v>3.99</v>
      </c>
      <c r="E6598">
        <v>22.92</v>
      </c>
      <c r="F6598">
        <v>27.18</v>
      </c>
      <c r="G6598">
        <v>19.4</v>
      </c>
      <c r="H6598">
        <v>2.05</v>
      </c>
      <c r="I6598">
        <v>7.588</v>
      </c>
      <c r="J6598">
        <v>23.76</v>
      </c>
      <c r="K6598">
        <v>27.38</v>
      </c>
      <c r="L6598">
        <v>21.09</v>
      </c>
      <c r="M6598">
        <v>3.55</v>
      </c>
      <c r="N6598">
        <v>2.204</v>
      </c>
      <c r="O6598">
        <v>24.03</v>
      </c>
      <c r="P6598">
        <v>28.44</v>
      </c>
      <c r="Q6598">
        <v>21.47</v>
      </c>
      <c r="R6598">
        <v>1.41</v>
      </c>
    </row>
    <row r="6599">
      <c r="A6599" s="9">
        <v>45130</v>
      </c>
      <c r="B6599" s="2" t="inlineStr">
        <is>
          <t xml:space="preserve">2023-07</t>
        </is>
      </c>
      <c r="C6599" s="2" t="inlineStr">
        <is>
          <t xml:space="preserve">2023/24</t>
        </is>
      </c>
      <c r="D6599">
        <v>0.153</v>
      </c>
      <c r="E6599">
        <v>22.99</v>
      </c>
      <c r="F6599">
        <v>27.4</v>
      </c>
      <c r="G6599">
        <v>19.74</v>
      </c>
      <c r="H6599">
        <v>2.5</v>
      </c>
      <c r="I6599">
        <v>0.533</v>
      </c>
      <c r="J6599">
        <v>24.49</v>
      </c>
      <c r="K6599">
        <v>28.82</v>
      </c>
      <c r="L6599">
        <v>21.11</v>
      </c>
      <c r="M6599">
        <v>11.84</v>
      </c>
      <c r="N6599">
        <v>1.768</v>
      </c>
      <c r="O6599">
        <v>24.57</v>
      </c>
      <c r="P6599">
        <v>28.7</v>
      </c>
      <c r="Q6599">
        <v>21.87</v>
      </c>
      <c r="R6599">
        <v>8.67</v>
      </c>
    </row>
    <row r="6600">
      <c r="A6600" s="9">
        <v>45131</v>
      </c>
      <c r="B6600" s="2" t="inlineStr">
        <is>
          <t xml:space="preserve">2023-07</t>
        </is>
      </c>
      <c r="C6600" s="2" t="inlineStr">
        <is>
          <t xml:space="preserve">2023/24</t>
        </is>
      </c>
      <c r="D6600">
        <v>8.671</v>
      </c>
      <c r="E6600">
        <v>22.74</v>
      </c>
      <c r="F6600">
        <v>27.61</v>
      </c>
      <c r="G6600">
        <v>18.78</v>
      </c>
      <c r="H6600">
        <v>4.2</v>
      </c>
      <c r="I6600">
        <v>8.146</v>
      </c>
      <c r="J6600">
        <v>24.5</v>
      </c>
      <c r="K6600">
        <v>29.21</v>
      </c>
      <c r="L6600">
        <v>21.66</v>
      </c>
      <c r="M6600">
        <v>2.84</v>
      </c>
      <c r="N6600">
        <v>27.206</v>
      </c>
      <c r="O6600">
        <v>24.27</v>
      </c>
      <c r="P6600">
        <v>29.51</v>
      </c>
      <c r="Q6600">
        <v>21.03</v>
      </c>
      <c r="R6600">
        <v>5.11</v>
      </c>
    </row>
    <row r="6601">
      <c r="A6601" s="9">
        <v>45132</v>
      </c>
      <c r="B6601" s="2" t="inlineStr">
        <is>
          <t xml:space="preserve">2023-07</t>
        </is>
      </c>
      <c r="C6601" s="2" t="inlineStr">
        <is>
          <t xml:space="preserve">2023/24</t>
        </is>
      </c>
      <c r="D6601">
        <v>0.489</v>
      </c>
      <c r="E6601">
        <v>22.88</v>
      </c>
      <c r="F6601">
        <v>28.72</v>
      </c>
      <c r="G6601">
        <v>18.74</v>
      </c>
      <c r="H6601">
        <v>0.41</v>
      </c>
      <c r="I6601">
        <v>0.0</v>
      </c>
      <c r="J6601">
        <v>23.65</v>
      </c>
      <c r="K6601">
        <v>28.37</v>
      </c>
      <c r="L6601">
        <v>20.31</v>
      </c>
      <c r="M6601">
        <v>0.18</v>
      </c>
      <c r="N6601">
        <v>0.0</v>
      </c>
      <c r="O6601">
        <v>23.91</v>
      </c>
      <c r="P6601">
        <v>28.81</v>
      </c>
      <c r="Q6601">
        <v>20.95</v>
      </c>
      <c r="R6601">
        <v>0.95</v>
      </c>
    </row>
    <row r="6602">
      <c r="A6602" s="9">
        <v>45133</v>
      </c>
      <c r="B6602" s="2" t="inlineStr">
        <is>
          <t xml:space="preserve">2023-07</t>
        </is>
      </c>
      <c r="C6602" s="2" t="inlineStr">
        <is>
          <t xml:space="preserve">2023/24</t>
        </is>
      </c>
      <c r="D6602">
        <v>0.0</v>
      </c>
      <c r="E6602">
        <v>23.06</v>
      </c>
      <c r="F6602">
        <v>28.58</v>
      </c>
      <c r="G6602">
        <v>18.99</v>
      </c>
      <c r="H6602">
        <v>1.19</v>
      </c>
      <c r="I6602">
        <v>0.172</v>
      </c>
      <c r="J6602">
        <v>23.09</v>
      </c>
      <c r="K6602">
        <v>28.14</v>
      </c>
      <c r="L6602">
        <v>19.02</v>
      </c>
      <c r="M6602">
        <v>0.83</v>
      </c>
      <c r="N6602">
        <v>1.193</v>
      </c>
      <c r="O6602">
        <v>23.05</v>
      </c>
      <c r="P6602">
        <v>27.72</v>
      </c>
      <c r="Q6602">
        <v>19.8</v>
      </c>
      <c r="R6602">
        <v>3.9</v>
      </c>
    </row>
    <row r="6603">
      <c r="A6603" s="9">
        <v>45134</v>
      </c>
      <c r="B6603" s="2" t="inlineStr">
        <is>
          <t xml:space="preserve">2023-07</t>
        </is>
      </c>
      <c r="C6603" s="2" t="inlineStr">
        <is>
          <t xml:space="preserve">2023/24</t>
        </is>
      </c>
      <c r="D6603">
        <v>0.0</v>
      </c>
      <c r="E6603">
        <v>23.8</v>
      </c>
      <c r="F6603">
        <v>30.28</v>
      </c>
      <c r="G6603">
        <v>18.87</v>
      </c>
      <c r="H6603">
        <v>0.07</v>
      </c>
      <c r="I6603">
        <v>0.0</v>
      </c>
      <c r="J6603">
        <v>24.09</v>
      </c>
      <c r="K6603">
        <v>30.06</v>
      </c>
      <c r="L6603">
        <v>18.56</v>
      </c>
      <c r="M6603">
        <v>0.01</v>
      </c>
      <c r="N6603">
        <v>0.0</v>
      </c>
      <c r="O6603">
        <v>24.19</v>
      </c>
      <c r="P6603">
        <v>30.03</v>
      </c>
      <c r="Q6603">
        <v>19.96</v>
      </c>
      <c r="R6603">
        <v>0.13</v>
      </c>
    </row>
    <row r="6604">
      <c r="A6604" s="9">
        <v>45135</v>
      </c>
      <c r="B6604" s="2" t="inlineStr">
        <is>
          <t xml:space="preserve">2023-07</t>
        </is>
      </c>
      <c r="C6604" s="2" t="inlineStr">
        <is>
          <t xml:space="preserve">2023/24</t>
        </is>
      </c>
      <c r="D6604">
        <v>0.235</v>
      </c>
      <c r="E6604">
        <v>23.02</v>
      </c>
      <c r="F6604">
        <v>27.89</v>
      </c>
      <c r="G6604">
        <v>18.4</v>
      </c>
      <c r="H6604">
        <v>4.1</v>
      </c>
      <c r="I6604">
        <v>0.0</v>
      </c>
      <c r="J6604">
        <v>23.56</v>
      </c>
      <c r="K6604">
        <v>29.99</v>
      </c>
      <c r="L6604">
        <v>18.42</v>
      </c>
      <c r="M6604">
        <v>3.73</v>
      </c>
      <c r="N6604">
        <v>0.0</v>
      </c>
      <c r="O6604">
        <v>23.65</v>
      </c>
      <c r="P6604">
        <v>29.21</v>
      </c>
      <c r="Q6604">
        <v>19.26</v>
      </c>
      <c r="R6604">
        <v>3.89</v>
      </c>
    </row>
    <row r="6605">
      <c r="A6605" s="9">
        <v>45136</v>
      </c>
      <c r="B6605" s="2" t="inlineStr">
        <is>
          <t xml:space="preserve">2023-07</t>
        </is>
      </c>
      <c r="C6605" s="2" t="inlineStr">
        <is>
          <t xml:space="preserve">2023/24</t>
        </is>
      </c>
      <c r="D6605">
        <v>35.985</v>
      </c>
      <c r="E6605">
        <v>21.69</v>
      </c>
      <c r="F6605">
        <v>24.56</v>
      </c>
      <c r="G6605">
        <v>19.04</v>
      </c>
      <c r="H6605">
        <v>24.33</v>
      </c>
      <c r="I6605">
        <v>26.806</v>
      </c>
      <c r="J6605">
        <v>23.24</v>
      </c>
      <c r="K6605">
        <v>27.25</v>
      </c>
      <c r="L6605">
        <v>21.05</v>
      </c>
      <c r="M6605">
        <v>38.27</v>
      </c>
      <c r="N6605">
        <v>74.705</v>
      </c>
      <c r="O6605">
        <v>23.72</v>
      </c>
      <c r="P6605">
        <v>27.66</v>
      </c>
      <c r="Q6605">
        <v>21.82</v>
      </c>
      <c r="R6605">
        <v>37.02</v>
      </c>
    </row>
    <row r="6606">
      <c r="A6606" s="9">
        <v>45137</v>
      </c>
      <c r="B6606" s="2" t="inlineStr">
        <is>
          <t xml:space="preserve">2023-07</t>
        </is>
      </c>
      <c r="C6606" s="2" t="inlineStr">
        <is>
          <t xml:space="preserve">2023/24</t>
        </is>
      </c>
      <c r="D6606">
        <v>5.673</v>
      </c>
      <c r="E6606">
        <v>22.5</v>
      </c>
      <c r="F6606">
        <v>27.13</v>
      </c>
      <c r="G6606">
        <v>18.37</v>
      </c>
      <c r="H6606">
        <v>2.03</v>
      </c>
      <c r="I6606">
        <v>1.196</v>
      </c>
      <c r="J6606">
        <v>23.57</v>
      </c>
      <c r="K6606">
        <v>27.48</v>
      </c>
      <c r="L6606">
        <v>20.75</v>
      </c>
      <c r="M6606">
        <v>11.25</v>
      </c>
      <c r="N6606">
        <v>4.438</v>
      </c>
      <c r="O6606">
        <v>23.62</v>
      </c>
      <c r="P6606">
        <v>27.42</v>
      </c>
      <c r="Q6606">
        <v>21.28</v>
      </c>
      <c r="R6606">
        <v>6.96</v>
      </c>
    </row>
    <row r="6607">
      <c r="A6607" s="9">
        <v>45138</v>
      </c>
      <c r="B6607" s="2" t="inlineStr">
        <is>
          <t xml:space="preserve">2023-07</t>
        </is>
      </c>
      <c r="C6607" s="2" t="inlineStr">
        <is>
          <t xml:space="preserve">2023/24</t>
        </is>
      </c>
      <c r="D6607">
        <v>6.478</v>
      </c>
      <c r="E6607">
        <v>23.0</v>
      </c>
      <c r="F6607">
        <v>27.66</v>
      </c>
      <c r="G6607">
        <v>19.81</v>
      </c>
      <c r="H6607">
        <v>6.64</v>
      </c>
      <c r="I6607">
        <v>20.258</v>
      </c>
      <c r="J6607">
        <v>23.47</v>
      </c>
      <c r="K6607">
        <v>27.07</v>
      </c>
      <c r="L6607">
        <v>20.38</v>
      </c>
      <c r="M6607">
        <v>13.39</v>
      </c>
      <c r="N6607">
        <v>26.898</v>
      </c>
      <c r="O6607">
        <v>23.75</v>
      </c>
      <c r="P6607">
        <v>27.37</v>
      </c>
      <c r="Q6607">
        <v>21.27</v>
      </c>
      <c r="R6607">
        <v>9.43</v>
      </c>
    </row>
    <row r="6608">
      <c r="A6608" s="9">
        <v>45139</v>
      </c>
      <c r="B6608" s="2" t="inlineStr">
        <is>
          <t xml:space="preserve">2023-08</t>
        </is>
      </c>
      <c r="C6608" s="2" t="inlineStr">
        <is>
          <t xml:space="preserve">2023/24</t>
        </is>
      </c>
      <c r="D6608">
        <v>14.406</v>
      </c>
      <c r="E6608">
        <v>22.41</v>
      </c>
      <c r="F6608">
        <v>26.77</v>
      </c>
      <c r="G6608">
        <v>19.15</v>
      </c>
      <c r="H6608">
        <v>7.11</v>
      </c>
      <c r="I6608">
        <v>2.802</v>
      </c>
      <c r="J6608">
        <v>23.23</v>
      </c>
      <c r="K6608">
        <v>27.12</v>
      </c>
      <c r="L6608">
        <v>20.49</v>
      </c>
      <c r="M6608">
        <v>4.91</v>
      </c>
      <c r="N6608">
        <v>9.892</v>
      </c>
      <c r="O6608">
        <v>23.26</v>
      </c>
      <c r="P6608">
        <v>26.18</v>
      </c>
      <c r="Q6608">
        <v>21.49</v>
      </c>
      <c r="R6608">
        <v>4.63</v>
      </c>
    </row>
    <row r="6609">
      <c r="A6609" s="9">
        <v>45140</v>
      </c>
      <c r="B6609" s="2" t="inlineStr">
        <is>
          <t xml:space="preserve">2023-08</t>
        </is>
      </c>
      <c r="C6609" s="2" t="inlineStr">
        <is>
          <t xml:space="preserve">2023/24</t>
        </is>
      </c>
      <c r="D6609">
        <v>2.897</v>
      </c>
      <c r="E6609">
        <v>22.39</v>
      </c>
      <c r="F6609">
        <v>27.25</v>
      </c>
      <c r="G6609">
        <v>18.43</v>
      </c>
      <c r="H6609">
        <v>2.89</v>
      </c>
      <c r="I6609">
        <v>15.95</v>
      </c>
      <c r="J6609">
        <v>22.93</v>
      </c>
      <c r="K6609">
        <v>27.15</v>
      </c>
      <c r="L6609">
        <v>19.41</v>
      </c>
      <c r="M6609">
        <v>11.49</v>
      </c>
      <c r="N6609">
        <v>2.024</v>
      </c>
      <c r="O6609">
        <v>23.92</v>
      </c>
      <c r="P6609">
        <v>28.17</v>
      </c>
      <c r="Q6609">
        <v>21.23</v>
      </c>
      <c r="R6609">
        <v>4.67</v>
      </c>
    </row>
    <row r="6610">
      <c r="A6610" s="9">
        <v>45141</v>
      </c>
      <c r="B6610" s="2" t="inlineStr">
        <is>
          <t xml:space="preserve">2023-08</t>
        </is>
      </c>
      <c r="C6610" s="2" t="inlineStr">
        <is>
          <t xml:space="preserve">2023/24</t>
        </is>
      </c>
      <c r="D6610">
        <v>4.001</v>
      </c>
      <c r="E6610">
        <v>22.66</v>
      </c>
      <c r="F6610">
        <v>27.76</v>
      </c>
      <c r="G6610">
        <v>18.19</v>
      </c>
      <c r="H6610">
        <v>3.36</v>
      </c>
      <c r="I6610">
        <v>8.97</v>
      </c>
      <c r="J6610">
        <v>23.05</v>
      </c>
      <c r="K6610">
        <v>26.45</v>
      </c>
      <c r="L6610">
        <v>20.9</v>
      </c>
      <c r="M6610">
        <v>9.97</v>
      </c>
      <c r="N6610">
        <v>22.875</v>
      </c>
      <c r="O6610">
        <v>23.91</v>
      </c>
      <c r="P6610">
        <v>27.92</v>
      </c>
      <c r="Q6610">
        <v>21.59</v>
      </c>
      <c r="R6610">
        <v>9.09</v>
      </c>
    </row>
    <row r="6611">
      <c r="A6611" s="9">
        <v>45142</v>
      </c>
      <c r="B6611" s="2" t="inlineStr">
        <is>
          <t xml:space="preserve">2023-08</t>
        </is>
      </c>
      <c r="C6611" s="2" t="inlineStr">
        <is>
          <t xml:space="preserve">2023/24</t>
        </is>
      </c>
      <c r="D6611">
        <v>0.431</v>
      </c>
      <c r="E6611">
        <v>23.62</v>
      </c>
      <c r="F6611">
        <v>29.34</v>
      </c>
      <c r="G6611">
        <v>19.79</v>
      </c>
      <c r="H6611">
        <v>1.08</v>
      </c>
      <c r="I6611">
        <v>0.657</v>
      </c>
      <c r="J6611">
        <v>24.16</v>
      </c>
      <c r="K6611">
        <v>28.88</v>
      </c>
      <c r="L6611">
        <v>20.57</v>
      </c>
      <c r="M6611">
        <v>7.56</v>
      </c>
      <c r="N6611">
        <v>2.614</v>
      </c>
      <c r="O6611">
        <v>24.31</v>
      </c>
      <c r="P6611">
        <v>28.48</v>
      </c>
      <c r="Q6611">
        <v>21.66</v>
      </c>
      <c r="R6611">
        <v>1.38</v>
      </c>
    </row>
    <row r="6612">
      <c r="A6612" s="9">
        <v>45143</v>
      </c>
      <c r="B6612" s="2" t="inlineStr">
        <is>
          <t xml:space="preserve">2023-08</t>
        </is>
      </c>
      <c r="C6612" s="2" t="inlineStr">
        <is>
          <t xml:space="preserve">2023/24</t>
        </is>
      </c>
      <c r="D6612">
        <v>7.041</v>
      </c>
      <c r="E6612">
        <v>22.99</v>
      </c>
      <c r="F6612">
        <v>29.51</v>
      </c>
      <c r="G6612">
        <v>17.66</v>
      </c>
      <c r="H6612">
        <v>2.11</v>
      </c>
      <c r="I6612">
        <v>25.831</v>
      </c>
      <c r="J6612">
        <v>23.76</v>
      </c>
      <c r="K6612">
        <v>28.46</v>
      </c>
      <c r="L6612">
        <v>20.36</v>
      </c>
      <c r="M6612">
        <v>5.6</v>
      </c>
      <c r="N6612">
        <v>1.219</v>
      </c>
      <c r="O6612">
        <v>24.02</v>
      </c>
      <c r="P6612">
        <v>28.91</v>
      </c>
      <c r="Q6612">
        <v>21.23</v>
      </c>
      <c r="R6612">
        <v>0.81</v>
      </c>
    </row>
    <row r="6613">
      <c r="A6613" s="9">
        <v>45144</v>
      </c>
      <c r="B6613" s="2" t="inlineStr">
        <is>
          <t xml:space="preserve">2023-08</t>
        </is>
      </c>
      <c r="C6613" s="2" t="inlineStr">
        <is>
          <t xml:space="preserve">2023/24</t>
        </is>
      </c>
      <c r="D6613">
        <v>0.0</v>
      </c>
      <c r="E6613">
        <v>23.43</v>
      </c>
      <c r="F6613">
        <v>28.91</v>
      </c>
      <c r="G6613">
        <v>18.65</v>
      </c>
      <c r="H6613">
        <v>0.33</v>
      </c>
      <c r="I6613">
        <v>0.0</v>
      </c>
      <c r="J6613">
        <v>23.96</v>
      </c>
      <c r="K6613">
        <v>28.82</v>
      </c>
      <c r="L6613">
        <v>19.61</v>
      </c>
      <c r="M6613">
        <v>2.35</v>
      </c>
      <c r="N6613">
        <v>0.0</v>
      </c>
      <c r="O6613">
        <v>24.47</v>
      </c>
      <c r="P6613">
        <v>29.36</v>
      </c>
      <c r="Q6613">
        <v>20.48</v>
      </c>
      <c r="R6613">
        <v>1.05</v>
      </c>
    </row>
    <row r="6614">
      <c r="A6614" s="9">
        <v>45145</v>
      </c>
      <c r="B6614" s="2" t="inlineStr">
        <is>
          <t xml:space="preserve">2023-08</t>
        </is>
      </c>
      <c r="C6614" s="2" t="inlineStr">
        <is>
          <t xml:space="preserve">2023/24</t>
        </is>
      </c>
      <c r="D6614">
        <v>1.332</v>
      </c>
      <c r="E6614">
        <v>23.3</v>
      </c>
      <c r="F6614">
        <v>28.3</v>
      </c>
      <c r="G6614">
        <v>19.36</v>
      </c>
      <c r="H6614">
        <v>2.72</v>
      </c>
      <c r="I6614">
        <v>7.038</v>
      </c>
      <c r="J6614">
        <v>23.74</v>
      </c>
      <c r="K6614">
        <v>27.63</v>
      </c>
      <c r="L6614">
        <v>20.91</v>
      </c>
      <c r="M6614">
        <v>3.72</v>
      </c>
      <c r="N6614">
        <v>4.231</v>
      </c>
      <c r="O6614">
        <v>24.13</v>
      </c>
      <c r="P6614">
        <v>27.64</v>
      </c>
      <c r="Q6614">
        <v>21.9</v>
      </c>
      <c r="R6614">
        <v>2.87</v>
      </c>
    </row>
    <row r="6615">
      <c r="A6615" s="9">
        <v>45146</v>
      </c>
      <c r="B6615" s="2" t="inlineStr">
        <is>
          <t xml:space="preserve">2023-08</t>
        </is>
      </c>
      <c r="C6615" s="2" t="inlineStr">
        <is>
          <t xml:space="preserve">2023/24</t>
        </is>
      </c>
      <c r="D6615">
        <v>0.54</v>
      </c>
      <c r="E6615">
        <v>23.59</v>
      </c>
      <c r="F6615">
        <v>28.6</v>
      </c>
      <c r="G6615">
        <v>19.42</v>
      </c>
      <c r="H6615">
        <v>0.71</v>
      </c>
      <c r="I6615">
        <v>0.03</v>
      </c>
      <c r="J6615">
        <v>24.29</v>
      </c>
      <c r="K6615">
        <v>28.66</v>
      </c>
      <c r="L6615">
        <v>20.6</v>
      </c>
      <c r="M6615">
        <v>0.89</v>
      </c>
      <c r="N6615">
        <v>0.334</v>
      </c>
      <c r="O6615">
        <v>24.77</v>
      </c>
      <c r="P6615">
        <v>29.36</v>
      </c>
      <c r="Q6615">
        <v>21.82</v>
      </c>
      <c r="R6615">
        <v>0.62</v>
      </c>
    </row>
    <row r="6616">
      <c r="A6616" s="9">
        <v>45147</v>
      </c>
      <c r="B6616" s="2" t="inlineStr">
        <is>
          <t xml:space="preserve">2023-08</t>
        </is>
      </c>
      <c r="C6616" s="2" t="inlineStr">
        <is>
          <t xml:space="preserve">2023/24</t>
        </is>
      </c>
      <c r="D6616">
        <v>0.277</v>
      </c>
      <c r="E6616">
        <v>23.87</v>
      </c>
      <c r="F6616">
        <v>29.22</v>
      </c>
      <c r="G6616">
        <v>18.95</v>
      </c>
      <c r="H6616">
        <v>0.52</v>
      </c>
      <c r="I6616">
        <v>1.164</v>
      </c>
      <c r="J6616">
        <v>24.49</v>
      </c>
      <c r="K6616">
        <v>28.47</v>
      </c>
      <c r="L6616">
        <v>21.08</v>
      </c>
      <c r="M6616">
        <v>1.33</v>
      </c>
      <c r="N6616">
        <v>3.545</v>
      </c>
      <c r="O6616">
        <v>25.02</v>
      </c>
      <c r="P6616">
        <v>29.64</v>
      </c>
      <c r="Q6616">
        <v>21.74</v>
      </c>
      <c r="R6616">
        <v>1.71</v>
      </c>
    </row>
    <row r="6617">
      <c r="A6617" s="9">
        <v>45148</v>
      </c>
      <c r="B6617" s="2" t="inlineStr">
        <is>
          <t xml:space="preserve">2023-08</t>
        </is>
      </c>
      <c r="C6617" s="2" t="inlineStr">
        <is>
          <t xml:space="preserve">2023/24</t>
        </is>
      </c>
      <c r="D6617">
        <v>0.505</v>
      </c>
      <c r="E6617">
        <v>24.76</v>
      </c>
      <c r="F6617">
        <v>31.19</v>
      </c>
      <c r="G6617">
        <v>19.27</v>
      </c>
      <c r="H6617">
        <v>0.69</v>
      </c>
      <c r="I6617">
        <v>0.15</v>
      </c>
      <c r="J6617">
        <v>25.02</v>
      </c>
      <c r="K6617">
        <v>30.05</v>
      </c>
      <c r="L6617">
        <v>20.72</v>
      </c>
      <c r="M6617">
        <v>0.41</v>
      </c>
      <c r="N6617">
        <v>1.682</v>
      </c>
      <c r="O6617">
        <v>25.06</v>
      </c>
      <c r="P6617">
        <v>30.42</v>
      </c>
      <c r="Q6617">
        <v>21.48</v>
      </c>
      <c r="R6617">
        <v>0.97</v>
      </c>
    </row>
    <row r="6618">
      <c r="A6618" s="9">
        <v>45149</v>
      </c>
      <c r="B6618" s="2" t="inlineStr">
        <is>
          <t xml:space="preserve">2023-08</t>
        </is>
      </c>
      <c r="C6618" s="2" t="inlineStr">
        <is>
          <t xml:space="preserve">2023/24</t>
        </is>
      </c>
      <c r="D6618">
        <v>0.038</v>
      </c>
      <c r="E6618">
        <v>24.35</v>
      </c>
      <c r="F6618">
        <v>29.69</v>
      </c>
      <c r="G6618">
        <v>19.45</v>
      </c>
      <c r="H6618">
        <v>1.59</v>
      </c>
      <c r="I6618">
        <v>0.0</v>
      </c>
      <c r="J6618">
        <v>24.37</v>
      </c>
      <c r="K6618">
        <v>28.03</v>
      </c>
      <c r="L6618">
        <v>21.01</v>
      </c>
      <c r="M6618">
        <v>0.03</v>
      </c>
      <c r="N6618">
        <v>0.0</v>
      </c>
      <c r="O6618">
        <v>24.98</v>
      </c>
      <c r="P6618">
        <v>29.55</v>
      </c>
      <c r="Q6618">
        <v>21.9</v>
      </c>
      <c r="R6618">
        <v>0.84</v>
      </c>
    </row>
    <row r="6619">
      <c r="A6619" s="9">
        <v>45150</v>
      </c>
      <c r="B6619" s="2" t="inlineStr">
        <is>
          <t xml:space="preserve">2023-08</t>
        </is>
      </c>
      <c r="C6619" s="2" t="inlineStr">
        <is>
          <t xml:space="preserve">2023/24</t>
        </is>
      </c>
      <c r="D6619">
        <v>0.198</v>
      </c>
      <c r="E6619">
        <v>24.32</v>
      </c>
      <c r="F6619">
        <v>30.67</v>
      </c>
      <c r="G6619">
        <v>19.92</v>
      </c>
      <c r="H6619">
        <v>8.23</v>
      </c>
      <c r="I6619">
        <v>0.0</v>
      </c>
      <c r="J6619">
        <v>24.28</v>
      </c>
      <c r="K6619">
        <v>28.5</v>
      </c>
      <c r="L6619">
        <v>20.85</v>
      </c>
      <c r="M6619">
        <v>1.19</v>
      </c>
      <c r="N6619">
        <v>0.0</v>
      </c>
      <c r="O6619">
        <v>24.72</v>
      </c>
      <c r="P6619">
        <v>29.14</v>
      </c>
      <c r="Q6619">
        <v>21.94</v>
      </c>
      <c r="R6619">
        <v>2.71</v>
      </c>
    </row>
    <row r="6620">
      <c r="A6620" s="9">
        <v>45151</v>
      </c>
      <c r="B6620" s="2" t="inlineStr">
        <is>
          <t xml:space="preserve">2023-08</t>
        </is>
      </c>
      <c r="C6620" s="2" t="inlineStr">
        <is>
          <t xml:space="preserve">2023/24</t>
        </is>
      </c>
      <c r="D6620">
        <v>6.65</v>
      </c>
      <c r="E6620">
        <v>23.05</v>
      </c>
      <c r="F6620">
        <v>28.28</v>
      </c>
      <c r="G6620">
        <v>19.72</v>
      </c>
      <c r="H6620">
        <v>0.7</v>
      </c>
      <c r="I6620">
        <v>2.743</v>
      </c>
      <c r="J6620">
        <v>23.51</v>
      </c>
      <c r="K6620">
        <v>27.23</v>
      </c>
      <c r="L6620">
        <v>21.09</v>
      </c>
      <c r="M6620">
        <v>3.07</v>
      </c>
      <c r="N6620">
        <v>6.012</v>
      </c>
      <c r="O6620">
        <v>23.94</v>
      </c>
      <c r="P6620">
        <v>27.65</v>
      </c>
      <c r="Q6620">
        <v>21.56</v>
      </c>
      <c r="R6620">
        <v>3.24</v>
      </c>
    </row>
    <row r="6621">
      <c r="A6621" s="9">
        <v>45152</v>
      </c>
      <c r="B6621" s="2" t="inlineStr">
        <is>
          <t xml:space="preserve">2023-08</t>
        </is>
      </c>
      <c r="C6621" s="2" t="inlineStr">
        <is>
          <t xml:space="preserve">2023/24</t>
        </is>
      </c>
      <c r="D6621">
        <v>0.0</v>
      </c>
      <c r="E6621">
        <v>22.62</v>
      </c>
      <c r="F6621">
        <v>28.57</v>
      </c>
      <c r="G6621">
        <v>18.22</v>
      </c>
      <c r="H6621">
        <v>2.29</v>
      </c>
      <c r="I6621">
        <v>1.083</v>
      </c>
      <c r="J6621">
        <v>23.54</v>
      </c>
      <c r="K6621">
        <v>27.68</v>
      </c>
      <c r="L6621">
        <v>19.86</v>
      </c>
      <c r="M6621">
        <v>9.27</v>
      </c>
      <c r="N6621">
        <v>0.081</v>
      </c>
      <c r="O6621">
        <v>23.84</v>
      </c>
      <c r="P6621">
        <v>28.19</v>
      </c>
      <c r="Q6621">
        <v>20.98</v>
      </c>
      <c r="R6621">
        <v>5.59</v>
      </c>
    </row>
    <row r="6622">
      <c r="A6622" s="9">
        <v>45153</v>
      </c>
      <c r="B6622" s="2" t="inlineStr">
        <is>
          <t xml:space="preserve">2023-08</t>
        </is>
      </c>
      <c r="C6622" s="2" t="inlineStr">
        <is>
          <t xml:space="preserve">2023/24</t>
        </is>
      </c>
      <c r="D6622">
        <v>10.95</v>
      </c>
      <c r="E6622">
        <v>22.07</v>
      </c>
      <c r="F6622">
        <v>27.7</v>
      </c>
      <c r="G6622">
        <v>17.17</v>
      </c>
      <c r="H6622">
        <v>8.42</v>
      </c>
      <c r="I6622">
        <v>28.575</v>
      </c>
      <c r="J6622">
        <v>22.97</v>
      </c>
      <c r="K6622">
        <v>26.7</v>
      </c>
      <c r="L6622">
        <v>20.03</v>
      </c>
      <c r="M6622">
        <v>18.28</v>
      </c>
      <c r="N6622">
        <v>23.437</v>
      </c>
      <c r="O6622">
        <v>22.77</v>
      </c>
      <c r="P6622">
        <v>27.1</v>
      </c>
      <c r="Q6622">
        <v>19.99</v>
      </c>
      <c r="R6622">
        <v>10.72</v>
      </c>
    </row>
    <row r="6623">
      <c r="A6623" s="9">
        <v>45154</v>
      </c>
      <c r="B6623" s="2" t="inlineStr">
        <is>
          <t xml:space="preserve">2023-08</t>
        </is>
      </c>
      <c r="C6623" s="2" t="inlineStr">
        <is>
          <t xml:space="preserve">2023/24</t>
        </is>
      </c>
      <c r="D6623">
        <v>5.398</v>
      </c>
      <c r="E6623">
        <v>22.95</v>
      </c>
      <c r="F6623">
        <v>29.62</v>
      </c>
      <c r="G6623">
        <v>17.33</v>
      </c>
      <c r="H6623">
        <v>1.74</v>
      </c>
      <c r="I6623">
        <v>1.007</v>
      </c>
      <c r="J6623">
        <v>23.45</v>
      </c>
      <c r="K6623">
        <v>28.65</v>
      </c>
      <c r="L6623">
        <v>19.43</v>
      </c>
      <c r="M6623">
        <v>0.71</v>
      </c>
      <c r="N6623">
        <v>1.48</v>
      </c>
      <c r="O6623">
        <v>23.95</v>
      </c>
      <c r="P6623">
        <v>29.23</v>
      </c>
      <c r="Q6623">
        <v>20.06</v>
      </c>
      <c r="R6623">
        <v>1.25</v>
      </c>
    </row>
    <row r="6624">
      <c r="A6624" s="9">
        <v>45155</v>
      </c>
      <c r="B6624" s="2" t="inlineStr">
        <is>
          <t xml:space="preserve">2023-08</t>
        </is>
      </c>
      <c r="C6624" s="2" t="inlineStr">
        <is>
          <t xml:space="preserve">2023/24</t>
        </is>
      </c>
      <c r="D6624">
        <v>0.0</v>
      </c>
      <c r="E6624">
        <v>23.02</v>
      </c>
      <c r="F6624">
        <v>29.47</v>
      </c>
      <c r="G6624">
        <v>18.36</v>
      </c>
      <c r="H6624">
        <v>0.67</v>
      </c>
      <c r="I6624">
        <v>0.5</v>
      </c>
      <c r="J6624">
        <v>23.65</v>
      </c>
      <c r="K6624">
        <v>27.85</v>
      </c>
      <c r="L6624">
        <v>19.73</v>
      </c>
      <c r="M6624">
        <v>2.03</v>
      </c>
      <c r="N6624">
        <v>0.0</v>
      </c>
      <c r="O6624">
        <v>24.54</v>
      </c>
      <c r="P6624">
        <v>29.24</v>
      </c>
      <c r="Q6624">
        <v>21.08</v>
      </c>
      <c r="R6624">
        <v>0.59</v>
      </c>
    </row>
    <row r="6625">
      <c r="A6625" s="9">
        <v>45156</v>
      </c>
      <c r="B6625" s="2" t="inlineStr">
        <is>
          <t xml:space="preserve">2023-08</t>
        </is>
      </c>
      <c r="C6625" s="2" t="inlineStr">
        <is>
          <t xml:space="preserve">2023/24</t>
        </is>
      </c>
      <c r="D6625">
        <v>1.319</v>
      </c>
      <c r="E6625">
        <v>22.89</v>
      </c>
      <c r="F6625">
        <v>29.63</v>
      </c>
      <c r="G6625">
        <v>18.62</v>
      </c>
      <c r="H6625">
        <v>0.61</v>
      </c>
      <c r="I6625">
        <v>7.004</v>
      </c>
      <c r="J6625">
        <v>23.75</v>
      </c>
      <c r="K6625">
        <v>28.27</v>
      </c>
      <c r="L6625">
        <v>20.56</v>
      </c>
      <c r="M6625">
        <v>1.96</v>
      </c>
      <c r="N6625">
        <v>0.453</v>
      </c>
      <c r="O6625">
        <v>24.43</v>
      </c>
      <c r="P6625">
        <v>29.28</v>
      </c>
      <c r="Q6625">
        <v>21.41</v>
      </c>
      <c r="R6625">
        <v>0.28</v>
      </c>
    </row>
    <row r="6626">
      <c r="A6626" s="9">
        <v>45157</v>
      </c>
      <c r="B6626" s="2" t="inlineStr">
        <is>
          <t xml:space="preserve">2023-08</t>
        </is>
      </c>
      <c r="C6626" s="2" t="inlineStr">
        <is>
          <t xml:space="preserve">2023/24</t>
        </is>
      </c>
      <c r="D6626">
        <v>0.0</v>
      </c>
      <c r="E6626">
        <v>23.76</v>
      </c>
      <c r="F6626">
        <v>30.43</v>
      </c>
      <c r="G6626">
        <v>18.7</v>
      </c>
      <c r="H6626">
        <v>0.28</v>
      </c>
      <c r="I6626">
        <v>0.0</v>
      </c>
      <c r="J6626">
        <v>23.02</v>
      </c>
      <c r="K6626">
        <v>28.4</v>
      </c>
      <c r="L6626">
        <v>18.76</v>
      </c>
      <c r="M6626">
        <v>0.0</v>
      </c>
      <c r="N6626">
        <v>0.0</v>
      </c>
      <c r="O6626">
        <v>23.67</v>
      </c>
      <c r="P6626">
        <v>28.97</v>
      </c>
      <c r="Q6626">
        <v>19.65</v>
      </c>
      <c r="R6626">
        <v>0.08</v>
      </c>
    </row>
    <row r="6627">
      <c r="A6627" s="9">
        <v>45158</v>
      </c>
      <c r="B6627" s="2" t="inlineStr">
        <is>
          <t xml:space="preserve">2023-08</t>
        </is>
      </c>
      <c r="C6627" s="2" t="inlineStr">
        <is>
          <t xml:space="preserve">2023/24</t>
        </is>
      </c>
      <c r="D6627">
        <v>0.0</v>
      </c>
      <c r="E6627">
        <v>23.9</v>
      </c>
      <c r="F6627">
        <v>30.04</v>
      </c>
      <c r="G6627">
        <v>19.05</v>
      </c>
      <c r="H6627">
        <v>2.96</v>
      </c>
      <c r="I6627">
        <v>0.0</v>
      </c>
      <c r="J6627">
        <v>23.19</v>
      </c>
      <c r="K6627">
        <v>28.32</v>
      </c>
      <c r="L6627">
        <v>18.26</v>
      </c>
      <c r="M6627">
        <v>0.05</v>
      </c>
      <c r="N6627">
        <v>0.0</v>
      </c>
      <c r="O6627">
        <v>23.75</v>
      </c>
      <c r="P6627">
        <v>29.15</v>
      </c>
      <c r="Q6627">
        <v>18.8</v>
      </c>
      <c r="R6627">
        <v>0.8</v>
      </c>
    </row>
    <row r="6628">
      <c r="A6628" s="9">
        <v>45159</v>
      </c>
      <c r="B6628" s="2" t="inlineStr">
        <is>
          <t xml:space="preserve">2023-08</t>
        </is>
      </c>
      <c r="C6628" s="2" t="inlineStr">
        <is>
          <t xml:space="preserve">2023/24</t>
        </is>
      </c>
      <c r="D6628">
        <v>1.612</v>
      </c>
      <c r="E6628">
        <v>23.88</v>
      </c>
      <c r="F6628">
        <v>30.45</v>
      </c>
      <c r="G6628">
        <v>19.45</v>
      </c>
      <c r="H6628">
        <v>2.73</v>
      </c>
      <c r="I6628">
        <v>0.0</v>
      </c>
      <c r="J6628">
        <v>23.95</v>
      </c>
      <c r="K6628">
        <v>28.42</v>
      </c>
      <c r="L6628">
        <v>20.44</v>
      </c>
      <c r="M6628">
        <v>3.27</v>
      </c>
      <c r="N6628">
        <v>0.0</v>
      </c>
      <c r="O6628">
        <v>24.34</v>
      </c>
      <c r="P6628">
        <v>29.42</v>
      </c>
      <c r="Q6628">
        <v>21.11</v>
      </c>
      <c r="R6628">
        <v>3.68</v>
      </c>
    </row>
    <row r="6629">
      <c r="A6629" s="9">
        <v>45160</v>
      </c>
      <c r="B6629" s="2" t="inlineStr">
        <is>
          <t xml:space="preserve">2023-08</t>
        </is>
      </c>
      <c r="C6629" s="2" t="inlineStr">
        <is>
          <t xml:space="preserve">2023/24</t>
        </is>
      </c>
      <c r="D6629">
        <v>2.705</v>
      </c>
      <c r="E6629">
        <v>23.06</v>
      </c>
      <c r="F6629">
        <v>28.79</v>
      </c>
      <c r="G6629">
        <v>18.89</v>
      </c>
      <c r="H6629">
        <v>3.8</v>
      </c>
      <c r="I6629">
        <v>11.688</v>
      </c>
      <c r="J6629">
        <v>23.65</v>
      </c>
      <c r="K6629">
        <v>28.41</v>
      </c>
      <c r="L6629">
        <v>20.1</v>
      </c>
      <c r="M6629">
        <v>6.99</v>
      </c>
      <c r="N6629">
        <v>9.055</v>
      </c>
      <c r="O6629">
        <v>24.03</v>
      </c>
      <c r="P6629">
        <v>28.97</v>
      </c>
      <c r="Q6629">
        <v>21.07</v>
      </c>
      <c r="R6629">
        <v>3.92</v>
      </c>
    </row>
    <row r="6630">
      <c r="A6630" s="9">
        <v>45161</v>
      </c>
      <c r="B6630" s="2" t="inlineStr">
        <is>
          <t xml:space="preserve">2023-08</t>
        </is>
      </c>
      <c r="C6630" s="2" t="inlineStr">
        <is>
          <t xml:space="preserve">2023/24</t>
        </is>
      </c>
      <c r="D6630">
        <v>0.146</v>
      </c>
      <c r="E6630">
        <v>23.14</v>
      </c>
      <c r="F6630">
        <v>28.54</v>
      </c>
      <c r="G6630">
        <v>19.22</v>
      </c>
      <c r="H6630">
        <v>3.57</v>
      </c>
      <c r="I6630">
        <v>0.416</v>
      </c>
      <c r="J6630">
        <v>22.41</v>
      </c>
      <c r="K6630">
        <v>26.05</v>
      </c>
      <c r="L6630">
        <v>19.81</v>
      </c>
      <c r="M6630">
        <v>0.86</v>
      </c>
      <c r="N6630">
        <v>0.0</v>
      </c>
      <c r="O6630">
        <v>22.88</v>
      </c>
      <c r="P6630">
        <v>26.91</v>
      </c>
      <c r="Q6630">
        <v>20.38</v>
      </c>
      <c r="R6630">
        <v>2.08</v>
      </c>
    </row>
    <row r="6631">
      <c r="A6631" s="9">
        <v>45162</v>
      </c>
      <c r="B6631" s="2" t="inlineStr">
        <is>
          <t xml:space="preserve">2023-08</t>
        </is>
      </c>
      <c r="C6631" s="2" t="inlineStr">
        <is>
          <t xml:space="preserve">2023/24</t>
        </is>
      </c>
      <c r="D6631">
        <v>5.537</v>
      </c>
      <c r="E6631">
        <v>22.51</v>
      </c>
      <c r="F6631">
        <v>27.43</v>
      </c>
      <c r="G6631">
        <v>19.23</v>
      </c>
      <c r="H6631">
        <v>14.72</v>
      </c>
      <c r="I6631">
        <v>0.43</v>
      </c>
      <c r="J6631">
        <v>22.66</v>
      </c>
      <c r="K6631">
        <v>26.71</v>
      </c>
      <c r="L6631">
        <v>19.62</v>
      </c>
      <c r="M6631">
        <v>4.75</v>
      </c>
      <c r="N6631">
        <v>2.352</v>
      </c>
      <c r="O6631">
        <v>23.42</v>
      </c>
      <c r="P6631">
        <v>28.41</v>
      </c>
      <c r="Q6631">
        <v>20.22</v>
      </c>
      <c r="R6631">
        <v>6.56</v>
      </c>
    </row>
    <row r="6632">
      <c r="A6632" s="9">
        <v>45163</v>
      </c>
      <c r="B6632" s="2" t="inlineStr">
        <is>
          <t xml:space="preserve">2023-08</t>
        </is>
      </c>
      <c r="C6632" s="2" t="inlineStr">
        <is>
          <t xml:space="preserve">2023/24</t>
        </is>
      </c>
      <c r="D6632">
        <v>14.069</v>
      </c>
      <c r="E6632">
        <v>23.33</v>
      </c>
      <c r="F6632">
        <v>28.29</v>
      </c>
      <c r="G6632">
        <v>19.84</v>
      </c>
      <c r="H6632">
        <v>12.33</v>
      </c>
      <c r="I6632">
        <v>5.144</v>
      </c>
      <c r="J6632">
        <v>23.62</v>
      </c>
      <c r="K6632">
        <v>28.34</v>
      </c>
      <c r="L6632">
        <v>19.25</v>
      </c>
      <c r="M6632">
        <v>7.18</v>
      </c>
      <c r="N6632">
        <v>13.709</v>
      </c>
      <c r="O6632">
        <v>23.97</v>
      </c>
      <c r="P6632">
        <v>29.54</v>
      </c>
      <c r="Q6632">
        <v>19.16</v>
      </c>
      <c r="R6632">
        <v>8.61</v>
      </c>
    </row>
    <row r="6633">
      <c r="A6633" s="9">
        <v>45164</v>
      </c>
      <c r="B6633" s="2" t="inlineStr">
        <is>
          <t xml:space="preserve">2023-08</t>
        </is>
      </c>
      <c r="C6633" s="2" t="inlineStr">
        <is>
          <t xml:space="preserve">2023/24</t>
        </is>
      </c>
      <c r="D6633">
        <v>20.15</v>
      </c>
      <c r="E6633">
        <v>23.13</v>
      </c>
      <c r="F6633">
        <v>27.34</v>
      </c>
      <c r="G6633">
        <v>20.4</v>
      </c>
      <c r="H6633">
        <v>6.72</v>
      </c>
      <c r="I6633">
        <v>2.003</v>
      </c>
      <c r="J6633">
        <v>24.53</v>
      </c>
      <c r="K6633">
        <v>30.02</v>
      </c>
      <c r="L6633">
        <v>20.65</v>
      </c>
      <c r="M6633">
        <v>7.1</v>
      </c>
      <c r="N6633">
        <v>6.602</v>
      </c>
      <c r="O6633">
        <v>24.74</v>
      </c>
      <c r="P6633">
        <v>30.46</v>
      </c>
      <c r="Q6633">
        <v>20.84</v>
      </c>
      <c r="R6633">
        <v>8.09</v>
      </c>
    </row>
    <row r="6634">
      <c r="A6634" s="9">
        <v>45165</v>
      </c>
      <c r="B6634" s="2" t="inlineStr">
        <is>
          <t xml:space="preserve">2023-08</t>
        </is>
      </c>
      <c r="C6634" s="2" t="inlineStr">
        <is>
          <t xml:space="preserve">2023/24</t>
        </is>
      </c>
      <c r="D6634">
        <v>5.004</v>
      </c>
      <c r="E6634">
        <v>23.05</v>
      </c>
      <c r="F6634">
        <v>27.27</v>
      </c>
      <c r="G6634">
        <v>19.53</v>
      </c>
      <c r="H6634">
        <v>7.22</v>
      </c>
      <c r="I6634">
        <v>4.648</v>
      </c>
      <c r="J6634">
        <v>23.65</v>
      </c>
      <c r="K6634">
        <v>28.25</v>
      </c>
      <c r="L6634">
        <v>19.82</v>
      </c>
      <c r="M6634">
        <v>7.84</v>
      </c>
      <c r="N6634">
        <v>15.728</v>
      </c>
      <c r="O6634">
        <v>24.35</v>
      </c>
      <c r="P6634">
        <v>28.22</v>
      </c>
      <c r="Q6634">
        <v>20.77</v>
      </c>
      <c r="R6634">
        <v>9.93</v>
      </c>
    </row>
    <row r="6635">
      <c r="A6635" s="9">
        <v>45166</v>
      </c>
      <c r="B6635" s="2" t="inlineStr">
        <is>
          <t xml:space="preserve">2023-08</t>
        </is>
      </c>
      <c r="C6635" s="2" t="inlineStr">
        <is>
          <t xml:space="preserve">2023/24</t>
        </is>
      </c>
      <c r="D6635">
        <v>18.595</v>
      </c>
      <c r="E6635">
        <v>23.19</v>
      </c>
      <c r="F6635">
        <v>27.63</v>
      </c>
      <c r="G6635">
        <v>20.03</v>
      </c>
      <c r="H6635">
        <v>8.96</v>
      </c>
      <c r="I6635">
        <v>4.309</v>
      </c>
      <c r="J6635">
        <v>22.75</v>
      </c>
      <c r="K6635">
        <v>27.43</v>
      </c>
      <c r="L6635">
        <v>19.78</v>
      </c>
      <c r="M6635">
        <v>4.33</v>
      </c>
      <c r="N6635">
        <v>10.115</v>
      </c>
      <c r="O6635">
        <v>23.73</v>
      </c>
      <c r="P6635">
        <v>28.47</v>
      </c>
      <c r="Q6635">
        <v>20.51</v>
      </c>
      <c r="R6635">
        <v>7.07</v>
      </c>
    </row>
    <row r="6636">
      <c r="A6636" s="9">
        <v>45167</v>
      </c>
      <c r="B6636" s="2" t="inlineStr">
        <is>
          <t xml:space="preserve">2023-08</t>
        </is>
      </c>
      <c r="C6636" s="2" t="inlineStr">
        <is>
          <t xml:space="preserve">2023/24</t>
        </is>
      </c>
      <c r="D6636">
        <v>0.0</v>
      </c>
      <c r="E6636">
        <v>24.27</v>
      </c>
      <c r="F6636">
        <v>29.86</v>
      </c>
      <c r="G6636">
        <v>19.61</v>
      </c>
      <c r="H6636">
        <v>0.46</v>
      </c>
      <c r="I6636">
        <v>0.0</v>
      </c>
      <c r="J6636">
        <v>23.85</v>
      </c>
      <c r="K6636">
        <v>29.32</v>
      </c>
      <c r="L6636">
        <v>19.93</v>
      </c>
      <c r="M6636">
        <v>0.84</v>
      </c>
      <c r="N6636">
        <v>0.125</v>
      </c>
      <c r="O6636">
        <v>24.57</v>
      </c>
      <c r="P6636">
        <v>30.27</v>
      </c>
      <c r="Q6636">
        <v>19.95</v>
      </c>
      <c r="R6636">
        <v>1.82</v>
      </c>
    </row>
    <row r="6637">
      <c r="A6637" s="9">
        <v>45168</v>
      </c>
      <c r="B6637" s="2" t="inlineStr">
        <is>
          <t xml:space="preserve">2023-08</t>
        </is>
      </c>
      <c r="C6637" s="2" t="inlineStr">
        <is>
          <t xml:space="preserve">2023/24</t>
        </is>
      </c>
      <c r="D6637">
        <v>2.4</v>
      </c>
      <c r="E6637">
        <v>24.02</v>
      </c>
      <c r="F6637">
        <v>28.63</v>
      </c>
      <c r="G6637">
        <v>19.72</v>
      </c>
      <c r="H6637">
        <v>1.97</v>
      </c>
      <c r="I6637">
        <v>1.148</v>
      </c>
      <c r="J6637">
        <v>24.45</v>
      </c>
      <c r="K6637">
        <v>28.87</v>
      </c>
      <c r="L6637">
        <v>20.51</v>
      </c>
      <c r="M6637">
        <v>1.74</v>
      </c>
      <c r="N6637">
        <v>4.059</v>
      </c>
      <c r="O6637">
        <v>24.54</v>
      </c>
      <c r="P6637">
        <v>28.7</v>
      </c>
      <c r="Q6637">
        <v>21.2</v>
      </c>
      <c r="R6637">
        <v>3.85</v>
      </c>
    </row>
    <row r="6638">
      <c r="A6638" s="9">
        <v>45169</v>
      </c>
      <c r="B6638" s="2" t="inlineStr">
        <is>
          <t xml:space="preserve">2023-08</t>
        </is>
      </c>
      <c r="C6638" s="2" t="inlineStr">
        <is>
          <t xml:space="preserve">2023/24</t>
        </is>
      </c>
      <c r="D6638">
        <v>0.023</v>
      </c>
      <c r="E6638">
        <v>24.39</v>
      </c>
      <c r="F6638">
        <v>29.8</v>
      </c>
      <c r="G6638">
        <v>20.29</v>
      </c>
      <c r="H6638">
        <v>0.51</v>
      </c>
      <c r="I6638">
        <v>0.0</v>
      </c>
      <c r="J6638">
        <v>24.47</v>
      </c>
      <c r="K6638">
        <v>28.49</v>
      </c>
      <c r="L6638">
        <v>21.08</v>
      </c>
      <c r="M6638">
        <v>0.69</v>
      </c>
      <c r="N6638">
        <v>0.0</v>
      </c>
      <c r="O6638">
        <v>24.54</v>
      </c>
      <c r="P6638">
        <v>28.85</v>
      </c>
      <c r="Q6638">
        <v>21.75</v>
      </c>
      <c r="R6638">
        <v>0.9</v>
      </c>
    </row>
    <row r="6639">
      <c r="A6639" s="9">
        <v>45170</v>
      </c>
      <c r="B6639" s="2" t="inlineStr">
        <is>
          <t xml:space="preserve">2023-09</t>
        </is>
      </c>
      <c r="C6639" s="2" t="inlineStr">
        <is>
          <t xml:space="preserve">2023/24</t>
        </is>
      </c>
      <c r="D6639">
        <v>2.25</v>
      </c>
      <c r="E6639">
        <v>22.89</v>
      </c>
      <c r="F6639">
        <v>27.11</v>
      </c>
      <c r="G6639">
        <v>19.98</v>
      </c>
      <c r="H6639">
        <v>3.34</v>
      </c>
      <c r="I6639">
        <v>2.169</v>
      </c>
      <c r="J6639">
        <v>23.42</v>
      </c>
      <c r="K6639">
        <v>26.89</v>
      </c>
      <c r="L6639">
        <v>20.79</v>
      </c>
      <c r="M6639">
        <v>8.21</v>
      </c>
      <c r="N6639">
        <v>8.06</v>
      </c>
      <c r="O6639">
        <v>23.68</v>
      </c>
      <c r="P6639">
        <v>26.48</v>
      </c>
      <c r="Q6639">
        <v>21.91</v>
      </c>
      <c r="R6639">
        <v>4.22</v>
      </c>
    </row>
    <row r="6640">
      <c r="A6640" s="9">
        <v>45171</v>
      </c>
      <c r="B6640" s="2" t="inlineStr">
        <is>
          <t xml:space="preserve">2023-09</t>
        </is>
      </c>
      <c r="C6640" s="2" t="inlineStr">
        <is>
          <t xml:space="preserve">2023/24</t>
        </is>
      </c>
      <c r="D6640">
        <v>2.42</v>
      </c>
      <c r="E6640">
        <v>23.06</v>
      </c>
      <c r="F6640">
        <v>28.93</v>
      </c>
      <c r="G6640">
        <v>18.06</v>
      </c>
      <c r="H6640">
        <v>1.72</v>
      </c>
      <c r="I6640">
        <v>13.605</v>
      </c>
      <c r="J6640">
        <v>23.7</v>
      </c>
      <c r="K6640">
        <v>28.53</v>
      </c>
      <c r="L6640">
        <v>19.92</v>
      </c>
      <c r="M6640">
        <v>8.86</v>
      </c>
      <c r="N6640">
        <v>5.054</v>
      </c>
      <c r="O6640">
        <v>24.05</v>
      </c>
      <c r="P6640">
        <v>28.99</v>
      </c>
      <c r="Q6640">
        <v>21.09</v>
      </c>
      <c r="R6640">
        <v>4.19</v>
      </c>
    </row>
    <row r="6641">
      <c r="A6641" s="9">
        <v>45172</v>
      </c>
      <c r="B6641" s="2" t="inlineStr">
        <is>
          <t xml:space="preserve">2023-09</t>
        </is>
      </c>
      <c r="C6641" s="2" t="inlineStr">
        <is>
          <t xml:space="preserve">2023/24</t>
        </is>
      </c>
      <c r="D6641">
        <v>0.0</v>
      </c>
      <c r="E6641">
        <v>22.74</v>
      </c>
      <c r="F6641">
        <v>28.06</v>
      </c>
      <c r="G6641">
        <v>19.25</v>
      </c>
      <c r="H6641">
        <v>1.49</v>
      </c>
      <c r="I6641">
        <v>5.518</v>
      </c>
      <c r="J6641">
        <v>23.08</v>
      </c>
      <c r="K6641">
        <v>27.26</v>
      </c>
      <c r="L6641">
        <v>20.32</v>
      </c>
      <c r="M6641">
        <v>4.97</v>
      </c>
      <c r="N6641">
        <v>5.249</v>
      </c>
      <c r="O6641">
        <v>23.09</v>
      </c>
      <c r="P6641">
        <v>26.71</v>
      </c>
      <c r="Q6641">
        <v>20.96</v>
      </c>
      <c r="R6641">
        <v>3.62</v>
      </c>
    </row>
    <row r="6642">
      <c r="A6642" s="9">
        <v>45173</v>
      </c>
      <c r="B6642" s="2" t="inlineStr">
        <is>
          <t xml:space="preserve">2023-09</t>
        </is>
      </c>
      <c r="C6642" s="2" t="inlineStr">
        <is>
          <t xml:space="preserve">2023/24</t>
        </is>
      </c>
      <c r="D6642">
        <v>2.158</v>
      </c>
      <c r="E6642">
        <v>23.04</v>
      </c>
      <c r="F6642">
        <v>29.26</v>
      </c>
      <c r="G6642">
        <v>18.19</v>
      </c>
      <c r="H6642">
        <v>5.39</v>
      </c>
      <c r="I6642">
        <v>7.875</v>
      </c>
      <c r="J6642">
        <v>23.46</v>
      </c>
      <c r="K6642">
        <v>28.48</v>
      </c>
      <c r="L6642">
        <v>19.2</v>
      </c>
      <c r="M6642">
        <v>8.8</v>
      </c>
      <c r="N6642">
        <v>2.322</v>
      </c>
      <c r="O6642">
        <v>23.6</v>
      </c>
      <c r="P6642">
        <v>28.83</v>
      </c>
      <c r="Q6642">
        <v>19.84</v>
      </c>
      <c r="R6642">
        <v>5.47</v>
      </c>
    </row>
    <row r="6643">
      <c r="A6643" s="9">
        <v>45174</v>
      </c>
      <c r="B6643" s="2" t="inlineStr">
        <is>
          <t xml:space="preserve">2023-09</t>
        </is>
      </c>
      <c r="C6643" s="2" t="inlineStr">
        <is>
          <t xml:space="preserve">2023/24</t>
        </is>
      </c>
      <c r="D6643">
        <v>9.24</v>
      </c>
      <c r="E6643">
        <v>23.16</v>
      </c>
      <c r="F6643">
        <v>29.35</v>
      </c>
      <c r="G6643">
        <v>18.72</v>
      </c>
      <c r="H6643">
        <v>5.74</v>
      </c>
      <c r="I6643">
        <v>9.052</v>
      </c>
      <c r="J6643">
        <v>23.92</v>
      </c>
      <c r="K6643">
        <v>27.57</v>
      </c>
      <c r="L6643">
        <v>20.77</v>
      </c>
      <c r="M6643">
        <v>10.07</v>
      </c>
      <c r="N6643">
        <v>6.048</v>
      </c>
      <c r="O6643">
        <v>24.48</v>
      </c>
      <c r="P6643">
        <v>29.6</v>
      </c>
      <c r="Q6643">
        <v>20.96</v>
      </c>
      <c r="R6643">
        <v>5.15</v>
      </c>
    </row>
    <row r="6644">
      <c r="A6644" s="9">
        <v>45175</v>
      </c>
      <c r="B6644" s="2" t="inlineStr">
        <is>
          <t xml:space="preserve">2023-09</t>
        </is>
      </c>
      <c r="C6644" s="2" t="inlineStr">
        <is>
          <t xml:space="preserve">2023/24</t>
        </is>
      </c>
      <c r="D6644">
        <v>4.045</v>
      </c>
      <c r="E6644">
        <v>23.5</v>
      </c>
      <c r="F6644">
        <v>30.05</v>
      </c>
      <c r="G6644">
        <v>17.89</v>
      </c>
      <c r="H6644">
        <v>2.21</v>
      </c>
      <c r="I6644">
        <v>27.387</v>
      </c>
      <c r="J6644">
        <v>24.29</v>
      </c>
      <c r="K6644">
        <v>28.85</v>
      </c>
      <c r="L6644">
        <v>20.21</v>
      </c>
      <c r="M6644">
        <v>11.86</v>
      </c>
      <c r="N6644">
        <v>13.756</v>
      </c>
      <c r="O6644">
        <v>24.45</v>
      </c>
      <c r="P6644">
        <v>29.39</v>
      </c>
      <c r="Q6644">
        <v>20.74</v>
      </c>
      <c r="R6644">
        <v>3.67</v>
      </c>
    </row>
    <row r="6645">
      <c r="A6645" s="9">
        <v>45176</v>
      </c>
      <c r="B6645" s="2" t="inlineStr">
        <is>
          <t xml:space="preserve">2023-09</t>
        </is>
      </c>
      <c r="C6645" s="2" t="inlineStr">
        <is>
          <t xml:space="preserve">2023/24</t>
        </is>
      </c>
      <c r="D6645">
        <v>0.0</v>
      </c>
      <c r="E6645">
        <v>23.92</v>
      </c>
      <c r="F6645">
        <v>30.4</v>
      </c>
      <c r="G6645">
        <v>18.38</v>
      </c>
      <c r="H6645">
        <v>0.84</v>
      </c>
      <c r="I6645">
        <v>0.137</v>
      </c>
      <c r="J6645">
        <v>24.06</v>
      </c>
      <c r="K6645">
        <v>28.46</v>
      </c>
      <c r="L6645">
        <v>20.67</v>
      </c>
      <c r="M6645">
        <v>0.74</v>
      </c>
      <c r="N6645">
        <v>0.1</v>
      </c>
      <c r="O6645">
        <v>24.59</v>
      </c>
      <c r="P6645">
        <v>28.75</v>
      </c>
      <c r="Q6645">
        <v>22.18</v>
      </c>
      <c r="R6645">
        <v>1.24</v>
      </c>
    </row>
    <row r="6646">
      <c r="A6646" s="9">
        <v>45177</v>
      </c>
      <c r="B6646" s="2" t="inlineStr">
        <is>
          <t xml:space="preserve">2023-09</t>
        </is>
      </c>
      <c r="C6646" s="2" t="inlineStr">
        <is>
          <t xml:space="preserve">2023/24</t>
        </is>
      </c>
      <c r="D6646">
        <v>3.298</v>
      </c>
      <c r="E6646">
        <v>23.35</v>
      </c>
      <c r="F6646">
        <v>28.92</v>
      </c>
      <c r="G6646">
        <v>19.84</v>
      </c>
      <c r="H6646">
        <v>3.66</v>
      </c>
      <c r="I6646">
        <v>8.116</v>
      </c>
      <c r="J6646">
        <v>23.16</v>
      </c>
      <c r="K6646">
        <v>27.96</v>
      </c>
      <c r="L6646">
        <v>19.81</v>
      </c>
      <c r="M6646">
        <v>7.18</v>
      </c>
      <c r="N6646">
        <v>1.022</v>
      </c>
      <c r="O6646">
        <v>23.61</v>
      </c>
      <c r="P6646">
        <v>27.94</v>
      </c>
      <c r="Q6646">
        <v>21.02</v>
      </c>
      <c r="R6646">
        <v>7.06</v>
      </c>
    </row>
    <row r="6647">
      <c r="A6647" s="9">
        <v>45178</v>
      </c>
      <c r="B6647" s="2" t="inlineStr">
        <is>
          <t xml:space="preserve">2023-09</t>
        </is>
      </c>
      <c r="C6647" s="2" t="inlineStr">
        <is>
          <t xml:space="preserve">2023/24</t>
        </is>
      </c>
      <c r="D6647">
        <v>3.316</v>
      </c>
      <c r="E6647">
        <v>23.37</v>
      </c>
      <c r="F6647">
        <v>29.68</v>
      </c>
      <c r="G6647">
        <v>18.61</v>
      </c>
      <c r="H6647">
        <v>1.74</v>
      </c>
      <c r="I6647">
        <v>3.951</v>
      </c>
      <c r="J6647">
        <v>23.25</v>
      </c>
      <c r="K6647">
        <v>28.48</v>
      </c>
      <c r="L6647">
        <v>18.5</v>
      </c>
      <c r="M6647">
        <v>3.96</v>
      </c>
      <c r="N6647">
        <v>1.401</v>
      </c>
      <c r="O6647">
        <v>23.87</v>
      </c>
      <c r="P6647">
        <v>29.03</v>
      </c>
      <c r="Q6647">
        <v>20.36</v>
      </c>
      <c r="R6647">
        <v>2.44</v>
      </c>
    </row>
    <row r="6648">
      <c r="A6648" s="9">
        <v>45179</v>
      </c>
      <c r="B6648" s="2" t="inlineStr">
        <is>
          <t xml:space="preserve">2023-09</t>
        </is>
      </c>
      <c r="C6648" s="2" t="inlineStr">
        <is>
          <t xml:space="preserve">2023/24</t>
        </is>
      </c>
      <c r="D6648">
        <v>2.112</v>
      </c>
      <c r="E6648">
        <v>23.73</v>
      </c>
      <c r="F6648">
        <v>30.02</v>
      </c>
      <c r="G6648">
        <v>19.03</v>
      </c>
      <c r="H6648">
        <v>1.25</v>
      </c>
      <c r="I6648">
        <v>14.028</v>
      </c>
      <c r="J6648">
        <v>23.25</v>
      </c>
      <c r="K6648">
        <v>28.14</v>
      </c>
      <c r="L6648">
        <v>19.45</v>
      </c>
      <c r="M6648">
        <v>11.09</v>
      </c>
      <c r="N6648">
        <v>1.03</v>
      </c>
      <c r="O6648">
        <v>23.76</v>
      </c>
      <c r="P6648">
        <v>28.58</v>
      </c>
      <c r="Q6648">
        <v>20.5</v>
      </c>
      <c r="R6648">
        <v>2.13</v>
      </c>
    </row>
    <row r="6649">
      <c r="A6649" s="9">
        <v>45180</v>
      </c>
      <c r="B6649" s="2" t="inlineStr">
        <is>
          <t xml:space="preserve">2023-09</t>
        </is>
      </c>
      <c r="C6649" s="2" t="inlineStr">
        <is>
          <t xml:space="preserve">2023/24</t>
        </is>
      </c>
      <c r="D6649">
        <v>6.023</v>
      </c>
      <c r="E6649">
        <v>23.41</v>
      </c>
      <c r="F6649">
        <v>29.69</v>
      </c>
      <c r="G6649">
        <v>18.31</v>
      </c>
      <c r="H6649">
        <v>4.26</v>
      </c>
      <c r="I6649">
        <v>20.111</v>
      </c>
      <c r="J6649">
        <v>23.15</v>
      </c>
      <c r="K6649">
        <v>27.29</v>
      </c>
      <c r="L6649">
        <v>19.79</v>
      </c>
      <c r="M6649">
        <v>5.37</v>
      </c>
      <c r="N6649">
        <v>2.411</v>
      </c>
      <c r="O6649">
        <v>24.21</v>
      </c>
      <c r="P6649">
        <v>29.3</v>
      </c>
      <c r="Q6649">
        <v>21.2</v>
      </c>
      <c r="R6649">
        <v>3.52</v>
      </c>
    </row>
    <row r="6650">
      <c r="A6650" s="9">
        <v>45181</v>
      </c>
      <c r="B6650" s="2" t="inlineStr">
        <is>
          <t xml:space="preserve">2023-09</t>
        </is>
      </c>
      <c r="C6650" s="2" t="inlineStr">
        <is>
          <t xml:space="preserve">2023/24</t>
        </is>
      </c>
      <c r="D6650">
        <v>0.169</v>
      </c>
      <c r="E6650">
        <v>24.14</v>
      </c>
      <c r="F6650">
        <v>30.73</v>
      </c>
      <c r="G6650">
        <v>18.77</v>
      </c>
      <c r="H6650">
        <v>0.35</v>
      </c>
      <c r="I6650">
        <v>0.0</v>
      </c>
      <c r="J6650">
        <v>23.41</v>
      </c>
      <c r="K6650">
        <v>27.63</v>
      </c>
      <c r="L6650">
        <v>20.7</v>
      </c>
      <c r="M6650">
        <v>11.11</v>
      </c>
      <c r="N6650">
        <v>0.127</v>
      </c>
      <c r="O6650">
        <v>24.49</v>
      </c>
      <c r="P6650">
        <v>29.62</v>
      </c>
      <c r="Q6650">
        <v>21.62</v>
      </c>
      <c r="R6650">
        <v>2.09</v>
      </c>
    </row>
    <row r="6651">
      <c r="A6651" s="9">
        <v>45182</v>
      </c>
      <c r="B6651" s="2" t="inlineStr">
        <is>
          <t xml:space="preserve">2023-09</t>
        </is>
      </c>
      <c r="C6651" s="2" t="inlineStr">
        <is>
          <t xml:space="preserve">2023/24</t>
        </is>
      </c>
      <c r="D6651">
        <v>0.381</v>
      </c>
      <c r="E6651">
        <v>24.37</v>
      </c>
      <c r="F6651">
        <v>30.66</v>
      </c>
      <c r="G6651">
        <v>19.49</v>
      </c>
      <c r="H6651">
        <v>1.43</v>
      </c>
      <c r="I6651">
        <v>28.875</v>
      </c>
      <c r="J6651">
        <v>23.53</v>
      </c>
      <c r="K6651">
        <v>27.3</v>
      </c>
      <c r="L6651">
        <v>20.24</v>
      </c>
      <c r="M6651">
        <v>10.16</v>
      </c>
      <c r="N6651">
        <v>1.38</v>
      </c>
      <c r="O6651">
        <v>23.78</v>
      </c>
      <c r="P6651">
        <v>28.07</v>
      </c>
      <c r="Q6651">
        <v>21.29</v>
      </c>
      <c r="R6651">
        <v>5.15</v>
      </c>
    </row>
    <row r="6652">
      <c r="A6652" s="9">
        <v>45183</v>
      </c>
      <c r="B6652" s="2" t="inlineStr">
        <is>
          <t xml:space="preserve">2023-09</t>
        </is>
      </c>
      <c r="C6652" s="2" t="inlineStr">
        <is>
          <t xml:space="preserve">2023/24</t>
        </is>
      </c>
      <c r="D6652">
        <v>0.725</v>
      </c>
      <c r="E6652">
        <v>24.36</v>
      </c>
      <c r="F6652">
        <v>30.48</v>
      </c>
      <c r="G6652">
        <v>20.44</v>
      </c>
      <c r="H6652">
        <v>1.02</v>
      </c>
      <c r="I6652">
        <v>47.228</v>
      </c>
      <c r="J6652">
        <v>23.07</v>
      </c>
      <c r="K6652">
        <v>26.93</v>
      </c>
      <c r="L6652">
        <v>20.4</v>
      </c>
      <c r="M6652">
        <v>22.97</v>
      </c>
      <c r="N6652">
        <v>2.819</v>
      </c>
      <c r="O6652">
        <v>23.84</v>
      </c>
      <c r="P6652">
        <v>27.87</v>
      </c>
      <c r="Q6652">
        <v>21.69</v>
      </c>
      <c r="R6652">
        <v>3.88</v>
      </c>
    </row>
    <row r="6653">
      <c r="A6653" s="9">
        <v>45184</v>
      </c>
      <c r="B6653" s="2" t="inlineStr">
        <is>
          <t xml:space="preserve">2023-09</t>
        </is>
      </c>
      <c r="C6653" s="2" t="inlineStr">
        <is>
          <t xml:space="preserve">2023/24</t>
        </is>
      </c>
      <c r="D6653">
        <v>0.0</v>
      </c>
      <c r="E6653">
        <v>24.75</v>
      </c>
      <c r="F6653">
        <v>30.9</v>
      </c>
      <c r="G6653">
        <v>20.27</v>
      </c>
      <c r="H6653">
        <v>0.46</v>
      </c>
      <c r="I6653">
        <v>2.769</v>
      </c>
      <c r="J6653">
        <v>22.75</v>
      </c>
      <c r="K6653">
        <v>26.08</v>
      </c>
      <c r="L6653">
        <v>20.52</v>
      </c>
      <c r="M6653">
        <v>2.3</v>
      </c>
      <c r="N6653">
        <v>0.175</v>
      </c>
      <c r="O6653">
        <v>23.96</v>
      </c>
      <c r="P6653">
        <v>27.9</v>
      </c>
      <c r="Q6653">
        <v>21.62</v>
      </c>
      <c r="R6653">
        <v>2.43</v>
      </c>
    </row>
    <row r="6654">
      <c r="A6654" s="9">
        <v>45185</v>
      </c>
      <c r="B6654" s="2" t="inlineStr">
        <is>
          <t xml:space="preserve">2023-09</t>
        </is>
      </c>
      <c r="C6654" s="2" t="inlineStr">
        <is>
          <t xml:space="preserve">2023/24</t>
        </is>
      </c>
      <c r="D6654">
        <v>0.0</v>
      </c>
      <c r="E6654">
        <v>24.39</v>
      </c>
      <c r="F6654">
        <v>29.91</v>
      </c>
      <c r="G6654">
        <v>19.56</v>
      </c>
      <c r="H6654">
        <v>0.8</v>
      </c>
      <c r="I6654">
        <v>12.841</v>
      </c>
      <c r="J6654">
        <v>23.64</v>
      </c>
      <c r="K6654">
        <v>28.03</v>
      </c>
      <c r="L6654">
        <v>19.88</v>
      </c>
      <c r="M6654">
        <v>8.16</v>
      </c>
      <c r="N6654">
        <v>0.625</v>
      </c>
      <c r="O6654">
        <v>23.98</v>
      </c>
      <c r="P6654">
        <v>27.98</v>
      </c>
      <c r="Q6654">
        <v>21.29</v>
      </c>
      <c r="R6654">
        <v>1.54</v>
      </c>
    </row>
    <row r="6655">
      <c r="A6655" s="9">
        <v>45186</v>
      </c>
      <c r="B6655" s="2" t="inlineStr">
        <is>
          <t xml:space="preserve">2023-09</t>
        </is>
      </c>
      <c r="C6655" s="2" t="inlineStr">
        <is>
          <t xml:space="preserve">2023/24</t>
        </is>
      </c>
      <c r="D6655">
        <v>0.591</v>
      </c>
      <c r="E6655">
        <v>24.64</v>
      </c>
      <c r="F6655">
        <v>31.69</v>
      </c>
      <c r="G6655">
        <v>19.06</v>
      </c>
      <c r="H6655">
        <v>0.79</v>
      </c>
      <c r="I6655">
        <v>4.713</v>
      </c>
      <c r="J6655">
        <v>23.39</v>
      </c>
      <c r="K6655">
        <v>26.91</v>
      </c>
      <c r="L6655">
        <v>20.98</v>
      </c>
      <c r="M6655">
        <v>3.12</v>
      </c>
      <c r="N6655">
        <v>0.0</v>
      </c>
      <c r="O6655">
        <v>24.14</v>
      </c>
      <c r="P6655">
        <v>27.95</v>
      </c>
      <c r="Q6655">
        <v>21.62</v>
      </c>
      <c r="R6655">
        <v>0.6</v>
      </c>
    </row>
    <row r="6656">
      <c r="A6656" s="9">
        <v>45187</v>
      </c>
      <c r="B6656" s="2" t="inlineStr">
        <is>
          <t xml:space="preserve">2023-09</t>
        </is>
      </c>
      <c r="C6656" s="2" t="inlineStr">
        <is>
          <t xml:space="preserve">2023/24</t>
        </is>
      </c>
      <c r="D6656">
        <v>1.305</v>
      </c>
      <c r="E6656">
        <v>24.6</v>
      </c>
      <c r="F6656">
        <v>32.21</v>
      </c>
      <c r="G6656">
        <v>19.01</v>
      </c>
      <c r="H6656">
        <v>0.57</v>
      </c>
      <c r="I6656">
        <v>0.148</v>
      </c>
      <c r="J6656">
        <v>23.96</v>
      </c>
      <c r="K6656">
        <v>28.49</v>
      </c>
      <c r="L6656">
        <v>20.62</v>
      </c>
      <c r="M6656">
        <v>0.33</v>
      </c>
      <c r="N6656">
        <v>0.462</v>
      </c>
      <c r="O6656">
        <v>24.46</v>
      </c>
      <c r="P6656">
        <v>29.33</v>
      </c>
      <c r="Q6656">
        <v>21.48</v>
      </c>
      <c r="R6656">
        <v>0.71</v>
      </c>
    </row>
    <row r="6657">
      <c r="A6657" s="9">
        <v>45188</v>
      </c>
      <c r="B6657" s="2" t="inlineStr">
        <is>
          <t xml:space="preserve">2023-09</t>
        </is>
      </c>
      <c r="C6657" s="2" t="inlineStr">
        <is>
          <t xml:space="preserve">2023/24</t>
        </is>
      </c>
      <c r="D6657">
        <v>0.0</v>
      </c>
      <c r="E6657">
        <v>24.39</v>
      </c>
      <c r="F6657">
        <v>32.34</v>
      </c>
      <c r="G6657">
        <v>17.22</v>
      </c>
      <c r="H6657">
        <v>1.37</v>
      </c>
      <c r="I6657">
        <v>0.0</v>
      </c>
      <c r="J6657">
        <v>23.52</v>
      </c>
      <c r="K6657">
        <v>28.48</v>
      </c>
      <c r="L6657">
        <v>19.09</v>
      </c>
      <c r="M6657">
        <v>0.24</v>
      </c>
      <c r="N6657">
        <v>0.0</v>
      </c>
      <c r="O6657">
        <v>24.36</v>
      </c>
      <c r="P6657">
        <v>30.14</v>
      </c>
      <c r="Q6657">
        <v>20.4</v>
      </c>
      <c r="R6657">
        <v>1.35</v>
      </c>
    </row>
    <row r="6658">
      <c r="A6658" s="9">
        <v>45189</v>
      </c>
      <c r="B6658" s="2" t="inlineStr">
        <is>
          <t xml:space="preserve">2023-09</t>
        </is>
      </c>
      <c r="C6658" s="2" t="inlineStr">
        <is>
          <t xml:space="preserve">2023/24</t>
        </is>
      </c>
      <c r="D6658">
        <v>1.211</v>
      </c>
      <c r="E6658">
        <v>24.42</v>
      </c>
      <c r="F6658">
        <v>32.16</v>
      </c>
      <c r="G6658">
        <v>18.79</v>
      </c>
      <c r="H6658">
        <v>4.12</v>
      </c>
      <c r="I6658">
        <v>0.0</v>
      </c>
      <c r="J6658">
        <v>23.87</v>
      </c>
      <c r="K6658">
        <v>28.25</v>
      </c>
      <c r="L6658">
        <v>20.53</v>
      </c>
      <c r="M6658">
        <v>4.94</v>
      </c>
      <c r="N6658">
        <v>0.235</v>
      </c>
      <c r="O6658">
        <v>24.4</v>
      </c>
      <c r="P6658">
        <v>29.73</v>
      </c>
      <c r="Q6658">
        <v>21.57</v>
      </c>
      <c r="R6658">
        <v>5.73</v>
      </c>
    </row>
    <row r="6659">
      <c r="A6659" s="9">
        <v>45190</v>
      </c>
      <c r="B6659" s="2" t="inlineStr">
        <is>
          <t xml:space="preserve">2023-09</t>
        </is>
      </c>
      <c r="C6659" s="2" t="inlineStr">
        <is>
          <t xml:space="preserve">2023/24</t>
        </is>
      </c>
      <c r="D6659">
        <v>8.455</v>
      </c>
      <c r="E6659">
        <v>23.64</v>
      </c>
      <c r="F6659">
        <v>30.04</v>
      </c>
      <c r="G6659">
        <v>19.36</v>
      </c>
      <c r="H6659">
        <v>13.07</v>
      </c>
      <c r="I6659">
        <v>22.359</v>
      </c>
      <c r="J6659">
        <v>23.1</v>
      </c>
      <c r="K6659">
        <v>26.5</v>
      </c>
      <c r="L6659">
        <v>20.37</v>
      </c>
      <c r="M6659">
        <v>25.4</v>
      </c>
      <c r="N6659">
        <v>18.449</v>
      </c>
      <c r="O6659">
        <v>23.88</v>
      </c>
      <c r="P6659">
        <v>28.1</v>
      </c>
      <c r="Q6659">
        <v>21.37</v>
      </c>
      <c r="R6659">
        <v>15.01</v>
      </c>
    </row>
    <row r="6660">
      <c r="A6660" s="9">
        <v>45191</v>
      </c>
      <c r="B6660" s="2" t="inlineStr">
        <is>
          <t xml:space="preserve">2023-09</t>
        </is>
      </c>
      <c r="C6660" s="2" t="inlineStr">
        <is>
          <t xml:space="preserve">2023/24</t>
        </is>
      </c>
      <c r="D6660">
        <v>24.564</v>
      </c>
      <c r="E6660">
        <v>23.77</v>
      </c>
      <c r="F6660">
        <v>31.05</v>
      </c>
      <c r="G6660">
        <v>18.11</v>
      </c>
      <c r="H6660">
        <v>3.78</v>
      </c>
      <c r="I6660">
        <v>20.585</v>
      </c>
      <c r="J6660">
        <v>23.71</v>
      </c>
      <c r="K6660">
        <v>28.29</v>
      </c>
      <c r="L6660">
        <v>20.48</v>
      </c>
      <c r="M6660">
        <v>4.48</v>
      </c>
      <c r="N6660">
        <v>16.26</v>
      </c>
      <c r="O6660">
        <v>24.17</v>
      </c>
      <c r="P6660">
        <v>29.18</v>
      </c>
      <c r="Q6660">
        <v>21.39</v>
      </c>
      <c r="R6660">
        <v>3.73</v>
      </c>
    </row>
    <row r="6661">
      <c r="A6661" s="9">
        <v>45192</v>
      </c>
      <c r="B6661" s="2" t="inlineStr">
        <is>
          <t xml:space="preserve">2023-09</t>
        </is>
      </c>
      <c r="C6661" s="2" t="inlineStr">
        <is>
          <t xml:space="preserve">2023/24</t>
        </is>
      </c>
      <c r="D6661">
        <v>0.0</v>
      </c>
      <c r="E6661">
        <v>24.44</v>
      </c>
      <c r="F6661">
        <v>31.36</v>
      </c>
      <c r="G6661">
        <v>19.43</v>
      </c>
      <c r="H6661">
        <v>1.24</v>
      </c>
      <c r="I6661">
        <v>0.03</v>
      </c>
      <c r="J6661">
        <v>23.52</v>
      </c>
      <c r="K6661">
        <v>28.6</v>
      </c>
      <c r="L6661">
        <v>19.45</v>
      </c>
      <c r="M6661">
        <v>0.34</v>
      </c>
      <c r="N6661">
        <v>0.0</v>
      </c>
      <c r="O6661">
        <v>24.23</v>
      </c>
      <c r="P6661">
        <v>29.35</v>
      </c>
      <c r="Q6661">
        <v>20.7</v>
      </c>
      <c r="R6661">
        <v>0.21</v>
      </c>
    </row>
    <row r="6662">
      <c r="A6662" s="9">
        <v>45193</v>
      </c>
      <c r="B6662" s="2" t="inlineStr">
        <is>
          <t xml:space="preserve">2023-09</t>
        </is>
      </c>
      <c r="C6662" s="2" t="inlineStr">
        <is>
          <t xml:space="preserve">2023/24</t>
        </is>
      </c>
      <c r="D6662">
        <v>4.241</v>
      </c>
      <c r="E6662">
        <v>23.95</v>
      </c>
      <c r="F6662">
        <v>30.47</v>
      </c>
      <c r="G6662">
        <v>18.91</v>
      </c>
      <c r="H6662">
        <v>8.17</v>
      </c>
      <c r="I6662">
        <v>1.462</v>
      </c>
      <c r="J6662">
        <v>23.9</v>
      </c>
      <c r="K6662">
        <v>28.87</v>
      </c>
      <c r="L6662">
        <v>19.7</v>
      </c>
      <c r="M6662">
        <v>5.37</v>
      </c>
      <c r="N6662">
        <v>0.194</v>
      </c>
      <c r="O6662">
        <v>24.61</v>
      </c>
      <c r="P6662">
        <v>30.2</v>
      </c>
      <c r="Q6662">
        <v>20.51</v>
      </c>
      <c r="R6662">
        <v>4.39</v>
      </c>
    </row>
    <row r="6663">
      <c r="A6663" s="9">
        <v>45194</v>
      </c>
      <c r="B6663" s="2" t="inlineStr">
        <is>
          <t xml:space="preserve">2023-09</t>
        </is>
      </c>
      <c r="C6663" s="2" t="inlineStr">
        <is>
          <t xml:space="preserve">2023/24</t>
        </is>
      </c>
      <c r="D6663">
        <v>16.566</v>
      </c>
      <c r="E6663">
        <v>24.16</v>
      </c>
      <c r="F6663">
        <v>30.48</v>
      </c>
      <c r="G6663">
        <v>20.08</v>
      </c>
      <c r="H6663">
        <v>9.87</v>
      </c>
      <c r="I6663">
        <v>6.417</v>
      </c>
      <c r="J6663">
        <v>23.67</v>
      </c>
      <c r="K6663">
        <v>28.09</v>
      </c>
      <c r="L6663">
        <v>20.44</v>
      </c>
      <c r="M6663">
        <v>7.24</v>
      </c>
      <c r="N6663">
        <v>17.89</v>
      </c>
      <c r="O6663">
        <v>24.01</v>
      </c>
      <c r="P6663">
        <v>28.98</v>
      </c>
      <c r="Q6663">
        <v>21.2</v>
      </c>
      <c r="R6663">
        <v>8.13</v>
      </c>
    </row>
    <row r="6664">
      <c r="A6664" s="9">
        <v>45195</v>
      </c>
      <c r="B6664" s="2" t="inlineStr">
        <is>
          <t xml:space="preserve">2023-09</t>
        </is>
      </c>
      <c r="C6664" s="2" t="inlineStr">
        <is>
          <t xml:space="preserve">2023/24</t>
        </is>
      </c>
      <c r="D6664">
        <v>2.245</v>
      </c>
      <c r="E6664">
        <v>24.19</v>
      </c>
      <c r="F6664">
        <v>30.75</v>
      </c>
      <c r="G6664">
        <v>19.18</v>
      </c>
      <c r="H6664">
        <v>2.37</v>
      </c>
      <c r="I6664">
        <v>2.536</v>
      </c>
      <c r="J6664">
        <v>24.12</v>
      </c>
      <c r="K6664">
        <v>29.03</v>
      </c>
      <c r="L6664">
        <v>19.58</v>
      </c>
      <c r="M6664">
        <v>4.78</v>
      </c>
      <c r="N6664">
        <v>9.274</v>
      </c>
      <c r="O6664">
        <v>24.35</v>
      </c>
      <c r="P6664">
        <v>29.67</v>
      </c>
      <c r="Q6664">
        <v>20.57</v>
      </c>
      <c r="R6664">
        <v>2.77</v>
      </c>
    </row>
    <row r="6665">
      <c r="A6665" s="9">
        <v>45196</v>
      </c>
      <c r="B6665" s="2" t="inlineStr">
        <is>
          <t xml:space="preserve">2023-09</t>
        </is>
      </c>
      <c r="C6665" s="2" t="inlineStr">
        <is>
          <t xml:space="preserve">2023/24</t>
        </is>
      </c>
      <c r="D6665">
        <v>1.497</v>
      </c>
      <c r="E6665">
        <v>23.88</v>
      </c>
      <c r="F6665">
        <v>29.24</v>
      </c>
      <c r="G6665">
        <v>19.88</v>
      </c>
      <c r="H6665">
        <v>4.12</v>
      </c>
      <c r="I6665">
        <v>7.521</v>
      </c>
      <c r="J6665">
        <v>23.68</v>
      </c>
      <c r="K6665">
        <v>28.25</v>
      </c>
      <c r="L6665">
        <v>20.25</v>
      </c>
      <c r="M6665">
        <v>2.2</v>
      </c>
      <c r="N6665">
        <v>0.289</v>
      </c>
      <c r="O6665">
        <v>24.37</v>
      </c>
      <c r="P6665">
        <v>29.45</v>
      </c>
      <c r="Q6665">
        <v>20.73</v>
      </c>
      <c r="R6665">
        <v>1.11</v>
      </c>
    </row>
    <row r="6666">
      <c r="A6666" s="9">
        <v>45197</v>
      </c>
      <c r="B6666" s="2" t="inlineStr">
        <is>
          <t xml:space="preserve">2023-09</t>
        </is>
      </c>
      <c r="C6666" s="2" t="inlineStr">
        <is>
          <t xml:space="preserve">2023/24</t>
        </is>
      </c>
      <c r="D6666">
        <v>1.336</v>
      </c>
      <c r="E6666">
        <v>24.58</v>
      </c>
      <c r="F6666">
        <v>31.48</v>
      </c>
      <c r="G6666">
        <v>19.48</v>
      </c>
      <c r="H6666">
        <v>6.26</v>
      </c>
      <c r="I6666">
        <v>0.148</v>
      </c>
      <c r="J6666">
        <v>24.38</v>
      </c>
      <c r="K6666">
        <v>28.94</v>
      </c>
      <c r="L6666">
        <v>20.92</v>
      </c>
      <c r="M6666">
        <v>2.1</v>
      </c>
      <c r="N6666">
        <v>0.46</v>
      </c>
      <c r="O6666">
        <v>24.93</v>
      </c>
      <c r="P6666">
        <v>30.07</v>
      </c>
      <c r="Q6666">
        <v>21.45</v>
      </c>
      <c r="R6666">
        <v>3.07</v>
      </c>
    </row>
    <row r="6667">
      <c r="A6667" s="9">
        <v>45198</v>
      </c>
      <c r="B6667" s="2" t="inlineStr">
        <is>
          <t xml:space="preserve">2023-09</t>
        </is>
      </c>
      <c r="C6667" s="2" t="inlineStr">
        <is>
          <t xml:space="preserve">2023/24</t>
        </is>
      </c>
      <c r="D6667">
        <v>14.515</v>
      </c>
      <c r="E6667">
        <v>24.25</v>
      </c>
      <c r="F6667">
        <v>30.26</v>
      </c>
      <c r="G6667">
        <v>19.72</v>
      </c>
      <c r="H6667">
        <v>13.75</v>
      </c>
      <c r="I6667">
        <v>22.128</v>
      </c>
      <c r="J6667">
        <v>23.77</v>
      </c>
      <c r="K6667">
        <v>27.6</v>
      </c>
      <c r="L6667">
        <v>21.33</v>
      </c>
      <c r="M6667">
        <v>12.46</v>
      </c>
      <c r="N6667">
        <v>4.079</v>
      </c>
      <c r="O6667">
        <v>24.55</v>
      </c>
      <c r="P6667">
        <v>28.98</v>
      </c>
      <c r="Q6667">
        <v>22.02</v>
      </c>
      <c r="R6667">
        <v>5.47</v>
      </c>
    </row>
    <row r="6668">
      <c r="A6668" s="9">
        <v>45199</v>
      </c>
      <c r="B6668" s="2" t="inlineStr">
        <is>
          <t xml:space="preserve">2023-09</t>
        </is>
      </c>
      <c r="C6668" s="2" t="inlineStr">
        <is>
          <t xml:space="preserve">2023/24</t>
        </is>
      </c>
      <c r="D6668">
        <v>16.581</v>
      </c>
      <c r="E6668">
        <v>23.85</v>
      </c>
      <c r="F6668">
        <v>28.74</v>
      </c>
      <c r="G6668">
        <v>20.48</v>
      </c>
      <c r="H6668">
        <v>13.32</v>
      </c>
      <c r="I6668">
        <v>1.287</v>
      </c>
      <c r="J6668">
        <v>23.8</v>
      </c>
      <c r="K6668">
        <v>27.84</v>
      </c>
      <c r="L6668">
        <v>20.07</v>
      </c>
      <c r="M6668">
        <v>1.59</v>
      </c>
      <c r="N6668">
        <v>2.467</v>
      </c>
      <c r="O6668">
        <v>24.6</v>
      </c>
      <c r="P6668">
        <v>29.45</v>
      </c>
      <c r="Q6668">
        <v>21.59</v>
      </c>
      <c r="R6668">
        <v>3.94</v>
      </c>
    </row>
    <row r="6669">
      <c r="A6669" s="9">
        <v>45200</v>
      </c>
      <c r="B6669" s="2" t="inlineStr">
        <is>
          <t xml:space="preserve">2023-10</t>
        </is>
      </c>
      <c r="C6669" s="2" t="inlineStr">
        <is>
          <t xml:space="preserve">2023/24</t>
        </is>
      </c>
      <c r="D6669">
        <v>4.513</v>
      </c>
      <c r="E6669">
        <v>23.56</v>
      </c>
      <c r="F6669">
        <v>28.24</v>
      </c>
      <c r="G6669">
        <v>19.81</v>
      </c>
      <c r="H6669">
        <v>4.82</v>
      </c>
      <c r="I6669">
        <v>1.769</v>
      </c>
      <c r="J6669">
        <v>23.96</v>
      </c>
      <c r="K6669">
        <v>27.52</v>
      </c>
      <c r="L6669">
        <v>21.48</v>
      </c>
      <c r="M6669">
        <v>3.3</v>
      </c>
      <c r="N6669">
        <v>0.474</v>
      </c>
      <c r="O6669">
        <v>24.39</v>
      </c>
      <c r="P6669">
        <v>28.29</v>
      </c>
      <c r="Q6669">
        <v>22.29</v>
      </c>
      <c r="R6669">
        <v>5.09</v>
      </c>
    </row>
    <row r="6670">
      <c r="A6670" s="9">
        <v>45201</v>
      </c>
      <c r="B6670" s="2" t="inlineStr">
        <is>
          <t xml:space="preserve">2023-10</t>
        </is>
      </c>
      <c r="C6670" s="2" t="inlineStr">
        <is>
          <t xml:space="preserve">2023/24</t>
        </is>
      </c>
      <c r="D6670">
        <v>12.983</v>
      </c>
      <c r="E6670">
        <v>23.35</v>
      </c>
      <c r="F6670">
        <v>28.24</v>
      </c>
      <c r="G6670">
        <v>19.58</v>
      </c>
      <c r="H6670">
        <v>12.95</v>
      </c>
      <c r="I6670">
        <v>12.148</v>
      </c>
      <c r="J6670">
        <v>23.09</v>
      </c>
      <c r="K6670">
        <v>25.96</v>
      </c>
      <c r="L6670">
        <v>20.96</v>
      </c>
      <c r="M6670">
        <v>8.25</v>
      </c>
      <c r="N6670">
        <v>2.9</v>
      </c>
      <c r="O6670">
        <v>23.74</v>
      </c>
      <c r="P6670">
        <v>27.18</v>
      </c>
      <c r="Q6670">
        <v>21.87</v>
      </c>
      <c r="R6670">
        <v>5.43</v>
      </c>
    </row>
    <row r="6671">
      <c r="A6671" s="9">
        <v>45202</v>
      </c>
      <c r="B6671" s="2" t="inlineStr">
        <is>
          <t xml:space="preserve">2023-10</t>
        </is>
      </c>
      <c r="C6671" s="2" t="inlineStr">
        <is>
          <t xml:space="preserve">2023/24</t>
        </is>
      </c>
      <c r="D6671">
        <v>18.861</v>
      </c>
      <c r="E6671">
        <v>23.39</v>
      </c>
      <c r="F6671">
        <v>28.09</v>
      </c>
      <c r="G6671">
        <v>20.15</v>
      </c>
      <c r="H6671">
        <v>16.89</v>
      </c>
      <c r="I6671">
        <v>6.977</v>
      </c>
      <c r="J6671">
        <v>23.59</v>
      </c>
      <c r="K6671">
        <v>27.75</v>
      </c>
      <c r="L6671">
        <v>20.21</v>
      </c>
      <c r="M6671">
        <v>7.52</v>
      </c>
      <c r="N6671">
        <v>3.036</v>
      </c>
      <c r="O6671">
        <v>24.32</v>
      </c>
      <c r="P6671">
        <v>28.73</v>
      </c>
      <c r="Q6671">
        <v>21.37</v>
      </c>
      <c r="R6671">
        <v>9.21</v>
      </c>
    </row>
    <row r="6672">
      <c r="A6672" s="9">
        <v>45203</v>
      </c>
      <c r="B6672" s="2" t="inlineStr">
        <is>
          <t xml:space="preserve">2023-10</t>
        </is>
      </c>
      <c r="C6672" s="2" t="inlineStr">
        <is>
          <t xml:space="preserve">2023/24</t>
        </is>
      </c>
      <c r="D6672">
        <v>12.69</v>
      </c>
      <c r="E6672">
        <v>23.46</v>
      </c>
      <c r="F6672">
        <v>27.8</v>
      </c>
      <c r="G6672">
        <v>19.72</v>
      </c>
      <c r="H6672">
        <v>8.82</v>
      </c>
      <c r="I6672">
        <v>1.788</v>
      </c>
      <c r="J6672">
        <v>22.59</v>
      </c>
      <c r="K6672">
        <v>24.82</v>
      </c>
      <c r="L6672">
        <v>20.93</v>
      </c>
      <c r="M6672">
        <v>4.57</v>
      </c>
      <c r="N6672">
        <v>4.008</v>
      </c>
      <c r="O6672">
        <v>24.02</v>
      </c>
      <c r="P6672">
        <v>27.28</v>
      </c>
      <c r="Q6672">
        <v>21.97</v>
      </c>
      <c r="R6672">
        <v>6.04</v>
      </c>
    </row>
    <row r="6673">
      <c r="A6673" s="9">
        <v>45204</v>
      </c>
      <c r="B6673" s="2" t="inlineStr">
        <is>
          <t xml:space="preserve">2023-10</t>
        </is>
      </c>
      <c r="C6673" s="2" t="inlineStr">
        <is>
          <t xml:space="preserve">2023/24</t>
        </is>
      </c>
      <c r="D6673">
        <v>2.361</v>
      </c>
      <c r="E6673">
        <v>24.12</v>
      </c>
      <c r="F6673">
        <v>28.85</v>
      </c>
      <c r="G6673">
        <v>20.52</v>
      </c>
      <c r="H6673">
        <v>3.42</v>
      </c>
      <c r="I6673">
        <v>2.94</v>
      </c>
      <c r="J6673">
        <v>23.36</v>
      </c>
      <c r="K6673">
        <v>27.79</v>
      </c>
      <c r="L6673">
        <v>19.52</v>
      </c>
      <c r="M6673">
        <v>3.25</v>
      </c>
      <c r="N6673">
        <v>10.495</v>
      </c>
      <c r="O6673">
        <v>24.83</v>
      </c>
      <c r="P6673">
        <v>30.04</v>
      </c>
      <c r="Q6673">
        <v>20.62</v>
      </c>
      <c r="R6673">
        <v>2.87</v>
      </c>
    </row>
    <row r="6674">
      <c r="A6674" s="9">
        <v>45205</v>
      </c>
      <c r="B6674" s="2" t="inlineStr">
        <is>
          <t xml:space="preserve">2023-10</t>
        </is>
      </c>
      <c r="C6674" s="2" t="inlineStr">
        <is>
          <t xml:space="preserve">2023/24</t>
        </is>
      </c>
      <c r="D6674">
        <v>3.594</v>
      </c>
      <c r="E6674">
        <v>24.13</v>
      </c>
      <c r="F6674">
        <v>28.38</v>
      </c>
      <c r="G6674">
        <v>20.31</v>
      </c>
      <c r="H6674">
        <v>4.09</v>
      </c>
      <c r="I6674">
        <v>1.094</v>
      </c>
      <c r="J6674">
        <v>23.59</v>
      </c>
      <c r="K6674">
        <v>28.36</v>
      </c>
      <c r="L6674">
        <v>20.81</v>
      </c>
      <c r="M6674">
        <v>1.14</v>
      </c>
      <c r="N6674">
        <v>1.296</v>
      </c>
      <c r="O6674">
        <v>24.85</v>
      </c>
      <c r="P6674">
        <v>29.38</v>
      </c>
      <c r="Q6674">
        <v>22.31</v>
      </c>
      <c r="R6674">
        <v>1.81</v>
      </c>
    </row>
    <row r="6675">
      <c r="A6675" s="9">
        <v>45206</v>
      </c>
      <c r="B6675" s="2" t="inlineStr">
        <is>
          <t xml:space="preserve">2023-10</t>
        </is>
      </c>
      <c r="C6675" s="2" t="inlineStr">
        <is>
          <t xml:space="preserve">2023/24</t>
        </is>
      </c>
      <c r="D6675">
        <v>2.374</v>
      </c>
      <c r="E6675">
        <v>24.19</v>
      </c>
      <c r="F6675">
        <v>27.96</v>
      </c>
      <c r="G6675">
        <v>21.39</v>
      </c>
      <c r="H6675">
        <v>4.29</v>
      </c>
      <c r="I6675">
        <v>0.162</v>
      </c>
      <c r="J6675">
        <v>23.6</v>
      </c>
      <c r="K6675">
        <v>27.09</v>
      </c>
      <c r="L6675">
        <v>21.09</v>
      </c>
      <c r="M6675">
        <v>1.28</v>
      </c>
      <c r="N6675">
        <v>0.78</v>
      </c>
      <c r="O6675">
        <v>24.72</v>
      </c>
      <c r="P6675">
        <v>28.5</v>
      </c>
      <c r="Q6675">
        <v>22.42</v>
      </c>
      <c r="R6675">
        <v>1.29</v>
      </c>
    </row>
    <row r="6676">
      <c r="A6676" s="9">
        <v>45207</v>
      </c>
      <c r="B6676" s="2" t="inlineStr">
        <is>
          <t xml:space="preserve">2023-10</t>
        </is>
      </c>
      <c r="C6676" s="2" t="inlineStr">
        <is>
          <t xml:space="preserve">2023/24</t>
        </is>
      </c>
      <c r="D6676">
        <v>10.252</v>
      </c>
      <c r="E6676">
        <v>24.07</v>
      </c>
      <c r="F6676">
        <v>29.07</v>
      </c>
      <c r="G6676">
        <v>20.71</v>
      </c>
      <c r="H6676">
        <v>6.02</v>
      </c>
      <c r="I6676">
        <v>5.373</v>
      </c>
      <c r="J6676">
        <v>22.82</v>
      </c>
      <c r="K6676">
        <v>25.1</v>
      </c>
      <c r="L6676">
        <v>20.99</v>
      </c>
      <c r="M6676">
        <v>14.22</v>
      </c>
      <c r="N6676">
        <v>1.603</v>
      </c>
      <c r="O6676">
        <v>24.14</v>
      </c>
      <c r="P6676">
        <v>27.19</v>
      </c>
      <c r="Q6676">
        <v>22.27</v>
      </c>
      <c r="R6676">
        <v>11.69</v>
      </c>
    </row>
    <row r="6677">
      <c r="A6677" s="9">
        <v>45208</v>
      </c>
      <c r="B6677" s="2" t="inlineStr">
        <is>
          <t xml:space="preserve">2023-10</t>
        </is>
      </c>
      <c r="C6677" s="2" t="inlineStr">
        <is>
          <t xml:space="preserve">2023/24</t>
        </is>
      </c>
      <c r="D6677">
        <v>1.839</v>
      </c>
      <c r="E6677">
        <v>23.63</v>
      </c>
      <c r="F6677">
        <v>27.67</v>
      </c>
      <c r="G6677">
        <v>21.18</v>
      </c>
      <c r="H6677">
        <v>4.98</v>
      </c>
      <c r="I6677">
        <v>21.147</v>
      </c>
      <c r="J6677">
        <v>22.06</v>
      </c>
      <c r="K6677">
        <v>24.22</v>
      </c>
      <c r="L6677">
        <v>20.48</v>
      </c>
      <c r="M6677">
        <v>25.06</v>
      </c>
      <c r="N6677">
        <v>72.837</v>
      </c>
      <c r="O6677">
        <v>23.63</v>
      </c>
      <c r="P6677">
        <v>25.33</v>
      </c>
      <c r="Q6677">
        <v>22.31</v>
      </c>
      <c r="R6677">
        <v>21.49</v>
      </c>
    </row>
    <row r="6678">
      <c r="A6678" s="9">
        <v>45209</v>
      </c>
      <c r="B6678" s="2" t="inlineStr">
        <is>
          <t xml:space="preserve">2023-10</t>
        </is>
      </c>
      <c r="C6678" s="2" t="inlineStr">
        <is>
          <t xml:space="preserve">2023/24</t>
        </is>
      </c>
      <c r="D6678">
        <v>3.205</v>
      </c>
      <c r="E6678">
        <v>23.51</v>
      </c>
      <c r="F6678">
        <v>28.0</v>
      </c>
      <c r="G6678">
        <v>20.0</v>
      </c>
      <c r="H6678">
        <v>3.41</v>
      </c>
      <c r="I6678">
        <v>2.106</v>
      </c>
      <c r="J6678">
        <v>22.39</v>
      </c>
      <c r="K6678">
        <v>26.62</v>
      </c>
      <c r="L6678">
        <v>19.44</v>
      </c>
      <c r="M6678">
        <v>2.76</v>
      </c>
      <c r="N6678">
        <v>4.087</v>
      </c>
      <c r="O6678">
        <v>23.95</v>
      </c>
      <c r="P6678">
        <v>27.07</v>
      </c>
      <c r="Q6678">
        <v>21.97</v>
      </c>
      <c r="R6678">
        <v>3.51</v>
      </c>
    </row>
    <row r="6679">
      <c r="A6679" s="9">
        <v>45210</v>
      </c>
      <c r="B6679" s="2" t="inlineStr">
        <is>
          <t xml:space="preserve">2023-10</t>
        </is>
      </c>
      <c r="C6679" s="2" t="inlineStr">
        <is>
          <t xml:space="preserve">2023/24</t>
        </is>
      </c>
      <c r="D6679">
        <v>1.587</v>
      </c>
      <c r="E6679">
        <v>23.31</v>
      </c>
      <c r="F6679">
        <v>28.04</v>
      </c>
      <c r="G6679">
        <v>20.15</v>
      </c>
      <c r="H6679">
        <v>1.85</v>
      </c>
      <c r="I6679">
        <v>0.0</v>
      </c>
      <c r="J6679">
        <v>23.07</v>
      </c>
      <c r="K6679">
        <v>27.55</v>
      </c>
      <c r="L6679">
        <v>20.02</v>
      </c>
      <c r="M6679">
        <v>0.57</v>
      </c>
      <c r="N6679">
        <v>0.0</v>
      </c>
      <c r="O6679">
        <v>24.75</v>
      </c>
      <c r="P6679">
        <v>30.34</v>
      </c>
      <c r="Q6679">
        <v>20.69</v>
      </c>
      <c r="R6679">
        <v>0.14</v>
      </c>
    </row>
    <row r="6680">
      <c r="A6680" s="9">
        <v>45211</v>
      </c>
      <c r="B6680" s="2" t="inlineStr">
        <is>
          <t xml:space="preserve">2023-10</t>
        </is>
      </c>
      <c r="C6680" s="2" t="inlineStr">
        <is>
          <t xml:space="preserve">2023/24</t>
        </is>
      </c>
      <c r="D6680">
        <v>4.516</v>
      </c>
      <c r="E6680">
        <v>23.54</v>
      </c>
      <c r="F6680">
        <v>28.88</v>
      </c>
      <c r="G6680">
        <v>20.61</v>
      </c>
      <c r="H6680">
        <v>3.87</v>
      </c>
      <c r="I6680">
        <v>2.338</v>
      </c>
      <c r="J6680">
        <v>23.19</v>
      </c>
      <c r="K6680">
        <v>26.87</v>
      </c>
      <c r="L6680">
        <v>20.5</v>
      </c>
      <c r="M6680">
        <v>2.69</v>
      </c>
      <c r="N6680">
        <v>0.267</v>
      </c>
      <c r="O6680">
        <v>24.97</v>
      </c>
      <c r="P6680">
        <v>30.1</v>
      </c>
      <c r="Q6680">
        <v>21.24</v>
      </c>
      <c r="R6680">
        <v>4.8</v>
      </c>
    </row>
    <row r="6681">
      <c r="A6681" s="9">
        <v>45212</v>
      </c>
      <c r="B6681" s="2" t="inlineStr">
        <is>
          <t xml:space="preserve">2023-10</t>
        </is>
      </c>
      <c r="C6681" s="2" t="inlineStr">
        <is>
          <t xml:space="preserve">2023/24</t>
        </is>
      </c>
      <c r="D6681">
        <v>0.0</v>
      </c>
      <c r="E6681">
        <v>23.57</v>
      </c>
      <c r="F6681">
        <v>29.29</v>
      </c>
      <c r="G6681">
        <v>19.21</v>
      </c>
      <c r="H6681">
        <v>1.65</v>
      </c>
      <c r="I6681">
        <v>0.576</v>
      </c>
      <c r="J6681">
        <v>24.07</v>
      </c>
      <c r="K6681">
        <v>28.35</v>
      </c>
      <c r="L6681">
        <v>21.26</v>
      </c>
      <c r="M6681">
        <v>1.95</v>
      </c>
      <c r="N6681">
        <v>0.591</v>
      </c>
      <c r="O6681">
        <v>25.23</v>
      </c>
      <c r="P6681">
        <v>31.24</v>
      </c>
      <c r="Q6681">
        <v>21.07</v>
      </c>
      <c r="R6681">
        <v>5.22</v>
      </c>
    </row>
    <row r="6682">
      <c r="A6682" s="9">
        <v>45213</v>
      </c>
      <c r="B6682" s="2" t="inlineStr">
        <is>
          <t xml:space="preserve">2023-10</t>
        </is>
      </c>
      <c r="C6682" s="2" t="inlineStr">
        <is>
          <t xml:space="preserve">2023/24</t>
        </is>
      </c>
      <c r="D6682">
        <v>1.522</v>
      </c>
      <c r="E6682">
        <v>23.62</v>
      </c>
      <c r="F6682">
        <v>28.36</v>
      </c>
      <c r="G6682">
        <v>19.7</v>
      </c>
      <c r="H6682">
        <v>1.09</v>
      </c>
      <c r="I6682">
        <v>0.363</v>
      </c>
      <c r="J6682">
        <v>24.24</v>
      </c>
      <c r="K6682">
        <v>28.52</v>
      </c>
      <c r="L6682">
        <v>21.22</v>
      </c>
      <c r="M6682">
        <v>0.82</v>
      </c>
      <c r="N6682">
        <v>2.134</v>
      </c>
      <c r="O6682">
        <v>25.16</v>
      </c>
      <c r="P6682">
        <v>30.59</v>
      </c>
      <c r="Q6682">
        <v>21.25</v>
      </c>
      <c r="R6682">
        <v>1.19</v>
      </c>
    </row>
    <row r="6683">
      <c r="A6683" s="9">
        <v>45214</v>
      </c>
      <c r="B6683" s="2" t="inlineStr">
        <is>
          <t xml:space="preserve">2023-10</t>
        </is>
      </c>
      <c r="C6683" s="2" t="inlineStr">
        <is>
          <t xml:space="preserve">2023/24</t>
        </is>
      </c>
      <c r="D6683">
        <v>5.823</v>
      </c>
      <c r="E6683">
        <v>23.59</v>
      </c>
      <c r="F6683">
        <v>28.21</v>
      </c>
      <c r="G6683">
        <v>20.09</v>
      </c>
      <c r="H6683">
        <v>12.56</v>
      </c>
      <c r="I6683">
        <v>0.527</v>
      </c>
      <c r="J6683">
        <v>23.51</v>
      </c>
      <c r="K6683">
        <v>26.41</v>
      </c>
      <c r="L6683">
        <v>21.31</v>
      </c>
      <c r="M6683">
        <v>7.3</v>
      </c>
      <c r="N6683">
        <v>1.796</v>
      </c>
      <c r="O6683">
        <v>24.75</v>
      </c>
      <c r="P6683">
        <v>29.09</v>
      </c>
      <c r="Q6683">
        <v>22.23</v>
      </c>
      <c r="R6683">
        <v>11.13</v>
      </c>
    </row>
    <row r="6684">
      <c r="A6684" s="9">
        <v>45215</v>
      </c>
      <c r="B6684" s="2" t="inlineStr">
        <is>
          <t xml:space="preserve">2023-10</t>
        </is>
      </c>
      <c r="C6684" s="2" t="inlineStr">
        <is>
          <t xml:space="preserve">2023/24</t>
        </is>
      </c>
      <c r="D6684">
        <v>21.778</v>
      </c>
      <c r="E6684">
        <v>21.76</v>
      </c>
      <c r="F6684">
        <v>24.16</v>
      </c>
      <c r="G6684">
        <v>19.61</v>
      </c>
      <c r="H6684">
        <v>12.53</v>
      </c>
      <c r="I6684">
        <v>7.535</v>
      </c>
      <c r="J6684">
        <v>21.88</v>
      </c>
      <c r="K6684">
        <v>25.8</v>
      </c>
      <c r="L6684">
        <v>19.2</v>
      </c>
      <c r="M6684">
        <v>11.46</v>
      </c>
      <c r="N6684">
        <v>28.55</v>
      </c>
      <c r="O6684">
        <v>21.83</v>
      </c>
      <c r="P6684">
        <v>24.59</v>
      </c>
      <c r="Q6684">
        <v>19.6</v>
      </c>
      <c r="R6684">
        <v>21.31</v>
      </c>
    </row>
    <row r="6685">
      <c r="A6685" s="9">
        <v>45216</v>
      </c>
      <c r="B6685" s="2" t="inlineStr">
        <is>
          <t xml:space="preserve">2023-10</t>
        </is>
      </c>
      <c r="C6685" s="2" t="inlineStr">
        <is>
          <t xml:space="preserve">2023/24</t>
        </is>
      </c>
      <c r="D6685">
        <v>1.507</v>
      </c>
      <c r="E6685">
        <v>19.42</v>
      </c>
      <c r="F6685">
        <v>21.76</v>
      </c>
      <c r="G6685">
        <v>17.16</v>
      </c>
      <c r="H6685">
        <v>8.79</v>
      </c>
      <c r="I6685">
        <v>1.153</v>
      </c>
      <c r="J6685">
        <v>19.46</v>
      </c>
      <c r="K6685">
        <v>22.96</v>
      </c>
      <c r="L6685">
        <v>17.1</v>
      </c>
      <c r="M6685">
        <v>2.15</v>
      </c>
      <c r="N6685">
        <v>4.987</v>
      </c>
      <c r="O6685">
        <v>19.6</v>
      </c>
      <c r="P6685">
        <v>22.5</v>
      </c>
      <c r="Q6685">
        <v>17.6</v>
      </c>
      <c r="R6685">
        <v>11.55</v>
      </c>
    </row>
    <row r="6686">
      <c r="A6686" s="9">
        <v>45217</v>
      </c>
      <c r="B6686" s="2" t="inlineStr">
        <is>
          <t xml:space="preserve">2023-10</t>
        </is>
      </c>
      <c r="C6686" s="2" t="inlineStr">
        <is>
          <t xml:space="preserve">2023/24</t>
        </is>
      </c>
      <c r="D6686">
        <v>0.0</v>
      </c>
      <c r="E6686">
        <v>19.73</v>
      </c>
      <c r="F6686">
        <v>23.01</v>
      </c>
      <c r="G6686">
        <v>16.93</v>
      </c>
      <c r="H6686">
        <v>4.67</v>
      </c>
      <c r="I6686">
        <v>0.0</v>
      </c>
      <c r="J6686">
        <v>20.08</v>
      </c>
      <c r="K6686">
        <v>24.87</v>
      </c>
      <c r="L6686">
        <v>16.65</v>
      </c>
      <c r="M6686">
        <v>0.31</v>
      </c>
      <c r="N6686">
        <v>0.0</v>
      </c>
      <c r="O6686">
        <v>19.88</v>
      </c>
      <c r="P6686">
        <v>23.79</v>
      </c>
      <c r="Q6686">
        <v>16.94</v>
      </c>
      <c r="R6686">
        <v>7.81</v>
      </c>
    </row>
    <row r="6687">
      <c r="A6687" s="9">
        <v>45218</v>
      </c>
      <c r="B6687" s="2" t="inlineStr">
        <is>
          <t xml:space="preserve">2023-10</t>
        </is>
      </c>
      <c r="C6687" s="2" t="inlineStr">
        <is>
          <t xml:space="preserve">2023/24</t>
        </is>
      </c>
      <c r="D6687">
        <v>0.106</v>
      </c>
      <c r="E6687">
        <v>21.53</v>
      </c>
      <c r="F6687">
        <v>25.86</v>
      </c>
      <c r="G6687">
        <v>18.57</v>
      </c>
      <c r="H6687">
        <v>4.84</v>
      </c>
      <c r="I6687">
        <v>0.073</v>
      </c>
      <c r="J6687">
        <v>21.69</v>
      </c>
      <c r="K6687">
        <v>26.5</v>
      </c>
      <c r="L6687">
        <v>18.11</v>
      </c>
      <c r="M6687">
        <v>1.42</v>
      </c>
      <c r="N6687">
        <v>1.093</v>
      </c>
      <c r="O6687">
        <v>21.76</v>
      </c>
      <c r="P6687">
        <v>25.86</v>
      </c>
      <c r="Q6687">
        <v>18.97</v>
      </c>
      <c r="R6687">
        <v>9.68</v>
      </c>
    </row>
    <row r="6688">
      <c r="A6688" s="9">
        <v>45219</v>
      </c>
      <c r="B6688" s="2" t="inlineStr">
        <is>
          <t xml:space="preserve">2023-10</t>
        </is>
      </c>
      <c r="C6688" s="2" t="inlineStr">
        <is>
          <t xml:space="preserve">2023/24</t>
        </is>
      </c>
      <c r="D6688">
        <v>1.126</v>
      </c>
      <c r="E6688">
        <v>21.62</v>
      </c>
      <c r="F6688">
        <v>26.56</v>
      </c>
      <c r="G6688">
        <v>18.13</v>
      </c>
      <c r="H6688">
        <v>8.26</v>
      </c>
      <c r="I6688">
        <v>0.103</v>
      </c>
      <c r="J6688">
        <v>22.44</v>
      </c>
      <c r="K6688">
        <v>27.09</v>
      </c>
      <c r="L6688">
        <v>19.33</v>
      </c>
      <c r="M6688">
        <v>2.27</v>
      </c>
      <c r="N6688">
        <v>0.921</v>
      </c>
      <c r="O6688">
        <v>22.31</v>
      </c>
      <c r="P6688">
        <v>26.83</v>
      </c>
      <c r="Q6688">
        <v>19.63</v>
      </c>
      <c r="R6688">
        <v>1.75</v>
      </c>
    </row>
    <row r="6689">
      <c r="A6689" s="9">
        <v>45220</v>
      </c>
      <c r="B6689" s="2" t="inlineStr">
        <is>
          <t xml:space="preserve">2023-10</t>
        </is>
      </c>
      <c r="C6689" s="2" t="inlineStr">
        <is>
          <t xml:space="preserve">2023/24</t>
        </is>
      </c>
      <c r="D6689">
        <v>0.457</v>
      </c>
      <c r="E6689">
        <v>21.49</v>
      </c>
      <c r="F6689">
        <v>25.83</v>
      </c>
      <c r="G6689">
        <v>18.47</v>
      </c>
      <c r="H6689">
        <v>9.04</v>
      </c>
      <c r="I6689">
        <v>0.073</v>
      </c>
      <c r="J6689">
        <v>20.97</v>
      </c>
      <c r="K6689">
        <v>24.02</v>
      </c>
      <c r="L6689">
        <v>18.49</v>
      </c>
      <c r="M6689">
        <v>2.3</v>
      </c>
      <c r="N6689">
        <v>0.826</v>
      </c>
      <c r="O6689">
        <v>21.64</v>
      </c>
      <c r="P6689">
        <v>26.02</v>
      </c>
      <c r="Q6689">
        <v>18.68</v>
      </c>
      <c r="R6689">
        <v>1.82</v>
      </c>
    </row>
    <row r="6690">
      <c r="A6690" s="9">
        <v>45221</v>
      </c>
      <c r="B6690" s="2" t="inlineStr">
        <is>
          <t xml:space="preserve">2023-10</t>
        </is>
      </c>
      <c r="C6690" s="2" t="inlineStr">
        <is>
          <t xml:space="preserve">2023/24</t>
        </is>
      </c>
      <c r="D6690">
        <v>0.04</v>
      </c>
      <c r="E6690">
        <v>22.12</v>
      </c>
      <c r="F6690">
        <v>26.27</v>
      </c>
      <c r="G6690">
        <v>19.46</v>
      </c>
      <c r="H6690">
        <v>0.31</v>
      </c>
      <c r="I6690">
        <v>0.0</v>
      </c>
      <c r="J6690">
        <v>22.49</v>
      </c>
      <c r="K6690">
        <v>27.06</v>
      </c>
      <c r="L6690">
        <v>18.79</v>
      </c>
      <c r="M6690">
        <v>0.0</v>
      </c>
      <c r="N6690">
        <v>0.0</v>
      </c>
      <c r="O6690">
        <v>22.47</v>
      </c>
      <c r="P6690">
        <v>27.28</v>
      </c>
      <c r="Q6690">
        <v>19.22</v>
      </c>
      <c r="R6690">
        <v>0.01</v>
      </c>
    </row>
    <row r="6691">
      <c r="A6691" s="9">
        <v>45222</v>
      </c>
      <c r="B6691" s="2" t="inlineStr">
        <is>
          <t xml:space="preserve">2023-10</t>
        </is>
      </c>
      <c r="C6691" s="2" t="inlineStr">
        <is>
          <t xml:space="preserve">2023/24</t>
        </is>
      </c>
      <c r="D6691">
        <v>0.196</v>
      </c>
      <c r="E6691">
        <v>22.04</v>
      </c>
      <c r="F6691">
        <v>27.27</v>
      </c>
      <c r="G6691">
        <v>18.05</v>
      </c>
      <c r="H6691">
        <v>0.18</v>
      </c>
      <c r="I6691">
        <v>0.0</v>
      </c>
      <c r="J6691">
        <v>23.09</v>
      </c>
      <c r="K6691">
        <v>27.57</v>
      </c>
      <c r="L6691">
        <v>19.38</v>
      </c>
      <c r="M6691">
        <v>0.0</v>
      </c>
      <c r="N6691">
        <v>0.0</v>
      </c>
      <c r="O6691">
        <v>23.08</v>
      </c>
      <c r="P6691">
        <v>27.74</v>
      </c>
      <c r="Q6691">
        <v>19.95</v>
      </c>
      <c r="R6691">
        <v>0.02</v>
      </c>
    </row>
    <row r="6692">
      <c r="A6692" s="9">
        <v>45223</v>
      </c>
      <c r="B6692" s="2" t="inlineStr">
        <is>
          <t xml:space="preserve">2023-10</t>
        </is>
      </c>
      <c r="C6692" s="2" t="inlineStr">
        <is>
          <t xml:space="preserve">2023/24</t>
        </is>
      </c>
      <c r="D6692">
        <v>0.0</v>
      </c>
      <c r="E6692">
        <v>22.12</v>
      </c>
      <c r="F6692">
        <v>26.89</v>
      </c>
      <c r="G6692">
        <v>18.83</v>
      </c>
      <c r="H6692">
        <v>3.05</v>
      </c>
      <c r="I6692">
        <v>0.0</v>
      </c>
      <c r="J6692">
        <v>23.25</v>
      </c>
      <c r="K6692">
        <v>28.23</v>
      </c>
      <c r="L6692">
        <v>19.77</v>
      </c>
      <c r="M6692">
        <v>0.51</v>
      </c>
      <c r="N6692">
        <v>0.0</v>
      </c>
      <c r="O6692">
        <v>23.48</v>
      </c>
      <c r="P6692">
        <v>28.22</v>
      </c>
      <c r="Q6692">
        <v>20.15</v>
      </c>
      <c r="R6692">
        <v>1.11</v>
      </c>
    </row>
    <row r="6693">
      <c r="A6693" s="9">
        <v>45224</v>
      </c>
      <c r="B6693" s="2" t="inlineStr">
        <is>
          <t xml:space="preserve">2023-10</t>
        </is>
      </c>
      <c r="C6693" s="2" t="inlineStr">
        <is>
          <t xml:space="preserve">2023/24</t>
        </is>
      </c>
      <c r="D6693">
        <v>8.44</v>
      </c>
      <c r="E6693">
        <v>21.82</v>
      </c>
      <c r="F6693">
        <v>26.22</v>
      </c>
      <c r="G6693">
        <v>18.83</v>
      </c>
      <c r="H6693">
        <v>4.9</v>
      </c>
      <c r="I6693">
        <v>4.081</v>
      </c>
      <c r="J6693">
        <v>22.64</v>
      </c>
      <c r="K6693">
        <v>26.78</v>
      </c>
      <c r="L6693">
        <v>19.86</v>
      </c>
      <c r="M6693">
        <v>8.64</v>
      </c>
      <c r="N6693">
        <v>10.07</v>
      </c>
      <c r="O6693">
        <v>22.92</v>
      </c>
      <c r="P6693">
        <v>27.14</v>
      </c>
      <c r="Q6693">
        <v>20.95</v>
      </c>
      <c r="R6693">
        <v>6.35</v>
      </c>
    </row>
    <row r="6694">
      <c r="A6694" s="9">
        <v>45225</v>
      </c>
      <c r="B6694" s="2" t="inlineStr">
        <is>
          <t xml:space="preserve">2023-10</t>
        </is>
      </c>
      <c r="C6694" s="2" t="inlineStr">
        <is>
          <t xml:space="preserve">2023/24</t>
        </is>
      </c>
      <c r="D6694">
        <v>0.569</v>
      </c>
      <c r="E6694">
        <v>22.0</v>
      </c>
      <c r="F6694">
        <v>24.71</v>
      </c>
      <c r="G6694">
        <v>19.77</v>
      </c>
      <c r="H6694">
        <v>0.82</v>
      </c>
      <c r="I6694">
        <v>5.413</v>
      </c>
      <c r="J6694">
        <v>22.17</v>
      </c>
      <c r="K6694">
        <v>25.88</v>
      </c>
      <c r="L6694">
        <v>19.47</v>
      </c>
      <c r="M6694">
        <v>2.41</v>
      </c>
      <c r="N6694">
        <v>0.283</v>
      </c>
      <c r="O6694">
        <v>22.96</v>
      </c>
      <c r="P6694">
        <v>26.5</v>
      </c>
      <c r="Q6694">
        <v>20.57</v>
      </c>
      <c r="R6694">
        <v>1.57</v>
      </c>
    </row>
    <row r="6695">
      <c r="A6695" s="9">
        <v>45226</v>
      </c>
      <c r="B6695" s="2" t="inlineStr">
        <is>
          <t xml:space="preserve">2023-10</t>
        </is>
      </c>
      <c r="C6695" s="2" t="inlineStr">
        <is>
          <t xml:space="preserve">2023/24</t>
        </is>
      </c>
      <c r="D6695">
        <v>1.146</v>
      </c>
      <c r="E6695">
        <v>21.81</v>
      </c>
      <c r="F6695">
        <v>25.58</v>
      </c>
      <c r="G6695">
        <v>19.27</v>
      </c>
      <c r="H6695">
        <v>5.87</v>
      </c>
      <c r="I6695">
        <v>0.51</v>
      </c>
      <c r="J6695">
        <v>22.82</v>
      </c>
      <c r="K6695">
        <v>27.02</v>
      </c>
      <c r="L6695">
        <v>20.18</v>
      </c>
      <c r="M6695">
        <v>2.45</v>
      </c>
      <c r="N6695">
        <v>0.376</v>
      </c>
      <c r="O6695">
        <v>22.84</v>
      </c>
      <c r="P6695">
        <v>26.59</v>
      </c>
      <c r="Q6695">
        <v>20.79</v>
      </c>
      <c r="R6695">
        <v>5.91</v>
      </c>
    </row>
    <row r="6696">
      <c r="A6696" s="9">
        <v>45227</v>
      </c>
      <c r="B6696" s="2" t="inlineStr">
        <is>
          <t xml:space="preserve">2023-10</t>
        </is>
      </c>
      <c r="C6696" s="2" t="inlineStr">
        <is>
          <t xml:space="preserve">2023/24</t>
        </is>
      </c>
      <c r="D6696">
        <v>1.94</v>
      </c>
      <c r="E6696">
        <v>22.37</v>
      </c>
      <c r="F6696">
        <v>26.95</v>
      </c>
      <c r="G6696">
        <v>19.42</v>
      </c>
      <c r="H6696">
        <v>1.18</v>
      </c>
      <c r="I6696">
        <v>14.961</v>
      </c>
      <c r="J6696">
        <v>21.65</v>
      </c>
      <c r="K6696">
        <v>25.59</v>
      </c>
      <c r="L6696">
        <v>18.96</v>
      </c>
      <c r="M6696">
        <v>8.85</v>
      </c>
      <c r="N6696">
        <v>4.398</v>
      </c>
      <c r="O6696">
        <v>22.31</v>
      </c>
      <c r="P6696">
        <v>26.59</v>
      </c>
      <c r="Q6696">
        <v>19.75</v>
      </c>
      <c r="R6696">
        <v>2.71</v>
      </c>
    </row>
    <row r="6697">
      <c r="A6697" s="9">
        <v>45228</v>
      </c>
      <c r="B6697" s="2" t="inlineStr">
        <is>
          <t xml:space="preserve">2023-10</t>
        </is>
      </c>
      <c r="C6697" s="2" t="inlineStr">
        <is>
          <t xml:space="preserve">2023/24</t>
        </is>
      </c>
      <c r="D6697">
        <v>0.921</v>
      </c>
      <c r="E6697">
        <v>21.38</v>
      </c>
      <c r="F6697">
        <v>23.9</v>
      </c>
      <c r="G6697">
        <v>19.51</v>
      </c>
      <c r="H6697">
        <v>3.37</v>
      </c>
      <c r="I6697">
        <v>2.691</v>
      </c>
      <c r="J6697">
        <v>21.52</v>
      </c>
      <c r="K6697">
        <v>25.91</v>
      </c>
      <c r="L6697">
        <v>19.02</v>
      </c>
      <c r="M6697">
        <v>4.77</v>
      </c>
      <c r="N6697">
        <v>0.082</v>
      </c>
      <c r="O6697">
        <v>21.94</v>
      </c>
      <c r="P6697">
        <v>25.63</v>
      </c>
      <c r="Q6697">
        <v>19.96</v>
      </c>
      <c r="R6697">
        <v>1.61</v>
      </c>
    </row>
    <row r="6698">
      <c r="A6698" s="9">
        <v>45229</v>
      </c>
      <c r="B6698" s="2" t="inlineStr">
        <is>
          <t xml:space="preserve">2023-10</t>
        </is>
      </c>
      <c r="C6698" s="2" t="inlineStr">
        <is>
          <t xml:space="preserve">2023/24</t>
        </is>
      </c>
      <c r="D6698">
        <v>10.347</v>
      </c>
      <c r="E6698">
        <v>20.79</v>
      </c>
      <c r="F6698">
        <v>23.94</v>
      </c>
      <c r="G6698">
        <v>18.89</v>
      </c>
      <c r="H6698">
        <v>15.7</v>
      </c>
      <c r="I6698">
        <v>8.211</v>
      </c>
      <c r="J6698">
        <v>20.67</v>
      </c>
      <c r="K6698">
        <v>25.43</v>
      </c>
      <c r="L6698">
        <v>17.68</v>
      </c>
      <c r="M6698">
        <v>6.94</v>
      </c>
      <c r="N6698">
        <v>2.006</v>
      </c>
      <c r="O6698">
        <v>21.23</v>
      </c>
      <c r="P6698">
        <v>25.88</v>
      </c>
      <c r="Q6698">
        <v>18.56</v>
      </c>
      <c r="R6698">
        <v>6.71</v>
      </c>
    </row>
    <row r="6699">
      <c r="A6699" s="9">
        <v>45230</v>
      </c>
      <c r="B6699" s="2" t="inlineStr">
        <is>
          <t xml:space="preserve">2023-10</t>
        </is>
      </c>
      <c r="C6699" s="2" t="inlineStr">
        <is>
          <t xml:space="preserve">2023/24</t>
        </is>
      </c>
      <c r="D6699">
        <v>15.489</v>
      </c>
      <c r="E6699">
        <v>19.46</v>
      </c>
      <c r="F6699">
        <v>22.4</v>
      </c>
      <c r="G6699">
        <v>17.69</v>
      </c>
      <c r="H6699">
        <v>13.2</v>
      </c>
      <c r="I6699">
        <v>14.478</v>
      </c>
      <c r="J6699">
        <v>19.4</v>
      </c>
      <c r="K6699">
        <v>22.0</v>
      </c>
      <c r="L6699">
        <v>17.12</v>
      </c>
      <c r="M6699">
        <v>11.6</v>
      </c>
      <c r="N6699">
        <v>7.747</v>
      </c>
      <c r="O6699">
        <v>20.45</v>
      </c>
      <c r="P6699">
        <v>23.6</v>
      </c>
      <c r="Q6699">
        <v>17.82</v>
      </c>
      <c r="R6699">
        <v>6.66</v>
      </c>
    </row>
    <row r="6700">
      <c r="A6700" s="9">
        <v>45231</v>
      </c>
      <c r="B6700" s="2" t="inlineStr">
        <is>
          <t xml:space="preserve">2023-11</t>
        </is>
      </c>
      <c r="C6700" s="2" t="inlineStr">
        <is>
          <t xml:space="preserve">2023/24</t>
        </is>
      </c>
      <c r="D6700">
        <v>7.178</v>
      </c>
      <c r="E6700">
        <v>20.55</v>
      </c>
      <c r="F6700">
        <v>24.77</v>
      </c>
      <c r="G6700">
        <v>17.91</v>
      </c>
      <c r="H6700">
        <v>8.7</v>
      </c>
      <c r="I6700">
        <v>11.433</v>
      </c>
      <c r="J6700">
        <v>20.22</v>
      </c>
      <c r="K6700">
        <v>22.69</v>
      </c>
      <c r="L6700">
        <v>18.7</v>
      </c>
      <c r="M6700">
        <v>7.03</v>
      </c>
      <c r="N6700">
        <v>6.692</v>
      </c>
      <c r="O6700">
        <v>21.04</v>
      </c>
      <c r="P6700">
        <v>24.55</v>
      </c>
      <c r="Q6700">
        <v>19.43</v>
      </c>
      <c r="R6700">
        <v>7.41</v>
      </c>
    </row>
    <row r="6701">
      <c r="A6701" s="9">
        <v>45232</v>
      </c>
      <c r="B6701" s="2" t="inlineStr">
        <is>
          <t xml:space="preserve">2023-11</t>
        </is>
      </c>
      <c r="C6701" s="2" t="inlineStr">
        <is>
          <t xml:space="preserve">2023/24</t>
        </is>
      </c>
      <c r="D6701">
        <v>2.916</v>
      </c>
      <c r="E6701">
        <v>21.34</v>
      </c>
      <c r="F6701">
        <v>25.21</v>
      </c>
      <c r="G6701">
        <v>18.37</v>
      </c>
      <c r="H6701">
        <v>11.34</v>
      </c>
      <c r="I6701">
        <v>1.794</v>
      </c>
      <c r="J6701">
        <v>21.51</v>
      </c>
      <c r="K6701">
        <v>25.01</v>
      </c>
      <c r="L6701">
        <v>19.38</v>
      </c>
      <c r="M6701">
        <v>6.9</v>
      </c>
      <c r="N6701">
        <v>5.753</v>
      </c>
      <c r="O6701">
        <v>21.76</v>
      </c>
      <c r="P6701">
        <v>24.05</v>
      </c>
      <c r="Q6701">
        <v>20.25</v>
      </c>
      <c r="R6701">
        <v>22.0</v>
      </c>
    </row>
    <row r="6702">
      <c r="A6702" s="9">
        <v>45233</v>
      </c>
      <c r="B6702" s="2" t="inlineStr">
        <is>
          <t xml:space="preserve">2023-11</t>
        </is>
      </c>
      <c r="C6702" s="2" t="inlineStr">
        <is>
          <t xml:space="preserve">2023/24</t>
        </is>
      </c>
      <c r="D6702">
        <v>1.3</v>
      </c>
      <c r="E6702">
        <v>20.75</v>
      </c>
      <c r="F6702">
        <v>22.57</v>
      </c>
      <c r="G6702">
        <v>19.39</v>
      </c>
      <c r="H6702">
        <v>14.14</v>
      </c>
      <c r="I6702">
        <v>4.606</v>
      </c>
      <c r="J6702">
        <v>20.17</v>
      </c>
      <c r="K6702">
        <v>22.9</v>
      </c>
      <c r="L6702">
        <v>18.4</v>
      </c>
      <c r="M6702">
        <v>12.78</v>
      </c>
      <c r="N6702">
        <v>19.049</v>
      </c>
      <c r="O6702">
        <v>20.25</v>
      </c>
      <c r="P6702">
        <v>21.74</v>
      </c>
      <c r="Q6702">
        <v>19.12</v>
      </c>
      <c r="R6702">
        <v>37.18</v>
      </c>
    </row>
    <row r="6703">
      <c r="A6703" s="9">
        <v>45234</v>
      </c>
      <c r="B6703" s="2" t="inlineStr">
        <is>
          <t xml:space="preserve">2023-11</t>
        </is>
      </c>
      <c r="C6703" s="2" t="inlineStr">
        <is>
          <t xml:space="preserve">2023/24</t>
        </is>
      </c>
      <c r="D6703">
        <v>2.081</v>
      </c>
      <c r="E6703">
        <v>20.69</v>
      </c>
      <c r="F6703">
        <v>24.3</v>
      </c>
      <c r="G6703">
        <v>17.96</v>
      </c>
      <c r="H6703">
        <v>5.93</v>
      </c>
      <c r="I6703">
        <v>6.107</v>
      </c>
      <c r="J6703">
        <v>20.71</v>
      </c>
      <c r="K6703">
        <v>24.01</v>
      </c>
      <c r="L6703">
        <v>18.95</v>
      </c>
      <c r="M6703">
        <v>5.2</v>
      </c>
      <c r="N6703">
        <v>7.866</v>
      </c>
      <c r="O6703">
        <v>20.76</v>
      </c>
      <c r="P6703">
        <v>22.59</v>
      </c>
      <c r="Q6703">
        <v>19.49</v>
      </c>
      <c r="R6703">
        <v>7.52</v>
      </c>
    </row>
    <row r="6704">
      <c r="A6704" s="9">
        <v>45235</v>
      </c>
      <c r="B6704" s="2" t="inlineStr">
        <is>
          <t xml:space="preserve">2023-11</t>
        </is>
      </c>
      <c r="C6704" s="2" t="inlineStr">
        <is>
          <t xml:space="preserve">2023/24</t>
        </is>
      </c>
      <c r="D6704">
        <v>4.203</v>
      </c>
      <c r="E6704">
        <v>20.98</v>
      </c>
      <c r="F6704">
        <v>24.23</v>
      </c>
      <c r="G6704">
        <v>19.28</v>
      </c>
      <c r="H6704">
        <v>8.04</v>
      </c>
      <c r="I6704">
        <v>4.888</v>
      </c>
      <c r="J6704">
        <v>21.75</v>
      </c>
      <c r="K6704">
        <v>24.53</v>
      </c>
      <c r="L6704">
        <v>19.99</v>
      </c>
      <c r="M6704">
        <v>2.67</v>
      </c>
      <c r="N6704">
        <v>5.787</v>
      </c>
      <c r="O6704">
        <v>22.03</v>
      </c>
      <c r="P6704">
        <v>23.9</v>
      </c>
      <c r="Q6704">
        <v>20.39</v>
      </c>
      <c r="R6704">
        <v>5.76</v>
      </c>
    </row>
    <row r="6705">
      <c r="A6705" s="9">
        <v>45236</v>
      </c>
      <c r="B6705" s="2" t="inlineStr">
        <is>
          <t xml:space="preserve">2023-11</t>
        </is>
      </c>
      <c r="C6705" s="2" t="inlineStr">
        <is>
          <t xml:space="preserve">2023/24</t>
        </is>
      </c>
      <c r="D6705">
        <v>5.957</v>
      </c>
      <c r="E6705">
        <v>21.71</v>
      </c>
      <c r="F6705">
        <v>26.1</v>
      </c>
      <c r="G6705">
        <v>18.46</v>
      </c>
      <c r="H6705">
        <v>12.3</v>
      </c>
      <c r="I6705">
        <v>8.456</v>
      </c>
      <c r="J6705">
        <v>22.21</v>
      </c>
      <c r="K6705">
        <v>26.29</v>
      </c>
      <c r="L6705">
        <v>19.71</v>
      </c>
      <c r="M6705">
        <v>10.98</v>
      </c>
      <c r="N6705">
        <v>7.496</v>
      </c>
      <c r="O6705">
        <v>22.33</v>
      </c>
      <c r="P6705">
        <v>25.8</v>
      </c>
      <c r="Q6705">
        <v>20.26</v>
      </c>
      <c r="R6705">
        <v>14.86</v>
      </c>
    </row>
    <row r="6706">
      <c r="A6706" s="9">
        <v>45237</v>
      </c>
      <c r="B6706" s="2" t="inlineStr">
        <is>
          <t xml:space="preserve">2023-11</t>
        </is>
      </c>
      <c r="C6706" s="2" t="inlineStr">
        <is>
          <t xml:space="preserve">2023/24</t>
        </is>
      </c>
      <c r="D6706">
        <v>4.461</v>
      </c>
      <c r="E6706">
        <v>21.45</v>
      </c>
      <c r="F6706">
        <v>24.45</v>
      </c>
      <c r="G6706">
        <v>19.26</v>
      </c>
      <c r="H6706">
        <v>5.06</v>
      </c>
      <c r="I6706">
        <v>6.998</v>
      </c>
      <c r="J6706">
        <v>22.24</v>
      </c>
      <c r="K6706">
        <v>25.8</v>
      </c>
      <c r="L6706">
        <v>19.76</v>
      </c>
      <c r="M6706">
        <v>5.6</v>
      </c>
      <c r="N6706">
        <v>8.518</v>
      </c>
      <c r="O6706">
        <v>22.62</v>
      </c>
      <c r="P6706">
        <v>25.66</v>
      </c>
      <c r="Q6706">
        <v>21.12</v>
      </c>
      <c r="R6706">
        <v>6.85</v>
      </c>
    </row>
    <row r="6707">
      <c r="A6707" s="9">
        <v>45238</v>
      </c>
      <c r="B6707" s="2" t="inlineStr">
        <is>
          <t xml:space="preserve">2023-11</t>
        </is>
      </c>
      <c r="C6707" s="2" t="inlineStr">
        <is>
          <t xml:space="preserve">2023/24</t>
        </is>
      </c>
      <c r="D6707">
        <v>5.856</v>
      </c>
      <c r="E6707">
        <v>22.13</v>
      </c>
      <c r="F6707">
        <v>26.52</v>
      </c>
      <c r="G6707">
        <v>19.26</v>
      </c>
      <c r="H6707">
        <v>5.86</v>
      </c>
      <c r="I6707">
        <v>7.612</v>
      </c>
      <c r="J6707">
        <v>22.33</v>
      </c>
      <c r="K6707">
        <v>26.71</v>
      </c>
      <c r="L6707">
        <v>19.49</v>
      </c>
      <c r="M6707">
        <v>7.55</v>
      </c>
      <c r="N6707">
        <v>8.491</v>
      </c>
      <c r="O6707">
        <v>22.32</v>
      </c>
      <c r="P6707">
        <v>26.38</v>
      </c>
      <c r="Q6707">
        <v>20.03</v>
      </c>
      <c r="R6707">
        <v>9.34</v>
      </c>
    </row>
    <row r="6708">
      <c r="A6708" s="9">
        <v>45239</v>
      </c>
      <c r="B6708" s="2" t="inlineStr">
        <is>
          <t xml:space="preserve">2023-11</t>
        </is>
      </c>
      <c r="C6708" s="2" t="inlineStr">
        <is>
          <t xml:space="preserve">2023/24</t>
        </is>
      </c>
      <c r="D6708">
        <v>0.793</v>
      </c>
      <c r="E6708">
        <v>21.66</v>
      </c>
      <c r="F6708">
        <v>26.61</v>
      </c>
      <c r="G6708">
        <v>18.52</v>
      </c>
      <c r="H6708">
        <v>0.32</v>
      </c>
      <c r="I6708">
        <v>0.611</v>
      </c>
      <c r="J6708">
        <v>22.17</v>
      </c>
      <c r="K6708">
        <v>27.44</v>
      </c>
      <c r="L6708">
        <v>18.71</v>
      </c>
      <c r="M6708">
        <v>0.28</v>
      </c>
      <c r="N6708">
        <v>0.278</v>
      </c>
      <c r="O6708">
        <v>22.21</v>
      </c>
      <c r="P6708">
        <v>27.16</v>
      </c>
      <c r="Q6708">
        <v>18.89</v>
      </c>
      <c r="R6708">
        <v>0.23</v>
      </c>
    </row>
    <row r="6709">
      <c r="A6709" s="9">
        <v>45240</v>
      </c>
      <c r="B6709" s="2" t="inlineStr">
        <is>
          <t xml:space="preserve">2023-11</t>
        </is>
      </c>
      <c r="C6709" s="2" t="inlineStr">
        <is>
          <t xml:space="preserve">2023/24</t>
        </is>
      </c>
      <c r="D6709">
        <v>0.0</v>
      </c>
      <c r="E6709">
        <v>21.95</v>
      </c>
      <c r="F6709">
        <v>26.38</v>
      </c>
      <c r="G6709">
        <v>18.43</v>
      </c>
      <c r="H6709">
        <v>0.62</v>
      </c>
      <c r="I6709">
        <v>0.0</v>
      </c>
      <c r="J6709">
        <v>22.41</v>
      </c>
      <c r="K6709">
        <v>27.59</v>
      </c>
      <c r="L6709">
        <v>18.13</v>
      </c>
      <c r="M6709">
        <v>0.32</v>
      </c>
      <c r="N6709">
        <v>0.0</v>
      </c>
      <c r="O6709">
        <v>22.54</v>
      </c>
      <c r="P6709">
        <v>27.18</v>
      </c>
      <c r="Q6709">
        <v>18.88</v>
      </c>
      <c r="R6709">
        <v>0.49</v>
      </c>
    </row>
    <row r="6710">
      <c r="A6710" s="9">
        <v>45241</v>
      </c>
      <c r="B6710" s="2" t="inlineStr">
        <is>
          <t xml:space="preserve">2023-11</t>
        </is>
      </c>
      <c r="C6710" s="2" t="inlineStr">
        <is>
          <t xml:space="preserve">2023/24</t>
        </is>
      </c>
      <c r="D6710">
        <v>0.723</v>
      </c>
      <c r="E6710">
        <v>22.16</v>
      </c>
      <c r="F6710">
        <v>26.38</v>
      </c>
      <c r="G6710">
        <v>19.12</v>
      </c>
      <c r="H6710">
        <v>3.07</v>
      </c>
      <c r="I6710">
        <v>1.689</v>
      </c>
      <c r="J6710">
        <v>22.43</v>
      </c>
      <c r="K6710">
        <v>26.88</v>
      </c>
      <c r="L6710">
        <v>19.56</v>
      </c>
      <c r="M6710">
        <v>2.0</v>
      </c>
      <c r="N6710">
        <v>1.985</v>
      </c>
      <c r="O6710">
        <v>22.57</v>
      </c>
      <c r="P6710">
        <v>26.06</v>
      </c>
      <c r="Q6710">
        <v>20.47</v>
      </c>
      <c r="R6710">
        <v>2.69</v>
      </c>
    </row>
    <row r="6711">
      <c r="A6711" s="9">
        <v>45242</v>
      </c>
      <c r="B6711" s="2" t="inlineStr">
        <is>
          <t xml:space="preserve">2023-11</t>
        </is>
      </c>
      <c r="C6711" s="2" t="inlineStr">
        <is>
          <t xml:space="preserve">2023/24</t>
        </is>
      </c>
      <c r="D6711">
        <v>0.252</v>
      </c>
      <c r="E6711">
        <v>22.08</v>
      </c>
      <c r="F6711">
        <v>26.63</v>
      </c>
      <c r="G6711">
        <v>18.92</v>
      </c>
      <c r="H6711">
        <v>3.44</v>
      </c>
      <c r="I6711">
        <v>2.662</v>
      </c>
      <c r="J6711">
        <v>22.26</v>
      </c>
      <c r="K6711">
        <v>26.59</v>
      </c>
      <c r="L6711">
        <v>19.65</v>
      </c>
      <c r="M6711">
        <v>2.85</v>
      </c>
      <c r="N6711">
        <v>3.416</v>
      </c>
      <c r="O6711">
        <v>22.6</v>
      </c>
      <c r="P6711">
        <v>26.24</v>
      </c>
      <c r="Q6711">
        <v>20.59</v>
      </c>
      <c r="R6711">
        <v>4.64</v>
      </c>
    </row>
    <row r="6712">
      <c r="A6712" s="9">
        <v>45243</v>
      </c>
      <c r="B6712" s="2" t="inlineStr">
        <is>
          <t xml:space="preserve">2023-11</t>
        </is>
      </c>
      <c r="C6712" s="2" t="inlineStr">
        <is>
          <t xml:space="preserve">2023/24</t>
        </is>
      </c>
      <c r="D6712">
        <v>0.871</v>
      </c>
      <c r="E6712">
        <v>20.65</v>
      </c>
      <c r="F6712">
        <v>25.45</v>
      </c>
      <c r="G6712">
        <v>16.29</v>
      </c>
      <c r="H6712">
        <v>2.61</v>
      </c>
      <c r="I6712">
        <v>0.842</v>
      </c>
      <c r="J6712">
        <v>22.01</v>
      </c>
      <c r="K6712">
        <v>26.27</v>
      </c>
      <c r="L6712">
        <v>19.23</v>
      </c>
      <c r="M6712">
        <v>2.21</v>
      </c>
      <c r="N6712">
        <v>1.294</v>
      </c>
      <c r="O6712">
        <v>22.17</v>
      </c>
      <c r="P6712">
        <v>25.49</v>
      </c>
      <c r="Q6712">
        <v>20.31</v>
      </c>
      <c r="R6712">
        <v>6.78</v>
      </c>
    </row>
    <row r="6713">
      <c r="A6713" s="9">
        <v>45244</v>
      </c>
      <c r="B6713" s="2" t="inlineStr">
        <is>
          <t xml:space="preserve">2023-11</t>
        </is>
      </c>
      <c r="C6713" s="2" t="inlineStr">
        <is>
          <t xml:space="preserve">2023/24</t>
        </is>
      </c>
      <c r="D6713">
        <v>3.769</v>
      </c>
      <c r="E6713">
        <v>21.09</v>
      </c>
      <c r="F6713">
        <v>25.0</v>
      </c>
      <c r="G6713">
        <v>18.49</v>
      </c>
      <c r="H6713">
        <v>11.78</v>
      </c>
      <c r="I6713">
        <v>4.784</v>
      </c>
      <c r="J6713">
        <v>21.57</v>
      </c>
      <c r="K6713">
        <v>25.39</v>
      </c>
      <c r="L6713">
        <v>19.51</v>
      </c>
      <c r="M6713">
        <v>8.47</v>
      </c>
      <c r="N6713">
        <v>5.94</v>
      </c>
      <c r="O6713">
        <v>21.75</v>
      </c>
      <c r="P6713">
        <v>24.87</v>
      </c>
      <c r="Q6713">
        <v>19.56</v>
      </c>
      <c r="R6713">
        <v>11.29</v>
      </c>
    </row>
    <row r="6714">
      <c r="A6714" s="9">
        <v>45245</v>
      </c>
      <c r="B6714" s="2" t="inlineStr">
        <is>
          <t xml:space="preserve">2023-11</t>
        </is>
      </c>
      <c r="C6714" s="2" t="inlineStr">
        <is>
          <t xml:space="preserve">2023/24</t>
        </is>
      </c>
      <c r="D6714">
        <v>5.775</v>
      </c>
      <c r="E6714">
        <v>20.89</v>
      </c>
      <c r="F6714">
        <v>25.16</v>
      </c>
      <c r="G6714">
        <v>17.89</v>
      </c>
      <c r="H6714">
        <v>4.13</v>
      </c>
      <c r="I6714">
        <v>3.823</v>
      </c>
      <c r="J6714">
        <v>21.22</v>
      </c>
      <c r="K6714">
        <v>25.42</v>
      </c>
      <c r="L6714">
        <v>18.39</v>
      </c>
      <c r="M6714">
        <v>4.46</v>
      </c>
      <c r="N6714">
        <v>13.729</v>
      </c>
      <c r="O6714">
        <v>21.18</v>
      </c>
      <c r="P6714">
        <v>24.89</v>
      </c>
      <c r="Q6714">
        <v>18.71</v>
      </c>
      <c r="R6714">
        <v>7.06</v>
      </c>
    </row>
    <row r="6715">
      <c r="A6715" s="9">
        <v>45246</v>
      </c>
      <c r="B6715" s="2" t="inlineStr">
        <is>
          <t xml:space="preserve">2023-11</t>
        </is>
      </c>
      <c r="C6715" s="2" t="inlineStr">
        <is>
          <t xml:space="preserve">2023/24</t>
        </is>
      </c>
      <c r="D6715">
        <v>0.324</v>
      </c>
      <c r="E6715">
        <v>20.71</v>
      </c>
      <c r="F6715">
        <v>25.14</v>
      </c>
      <c r="G6715">
        <v>17.98</v>
      </c>
      <c r="H6715">
        <v>3.97</v>
      </c>
      <c r="I6715">
        <v>2.347</v>
      </c>
      <c r="J6715">
        <v>21.4</v>
      </c>
      <c r="K6715">
        <v>25.54</v>
      </c>
      <c r="L6715">
        <v>18.48</v>
      </c>
      <c r="M6715">
        <v>4.62</v>
      </c>
      <c r="N6715">
        <v>9.556</v>
      </c>
      <c r="O6715">
        <v>21.1</v>
      </c>
      <c r="P6715">
        <v>24.75</v>
      </c>
      <c r="Q6715">
        <v>19.04</v>
      </c>
      <c r="R6715">
        <v>8.89</v>
      </c>
    </row>
    <row r="6716">
      <c r="A6716" s="9">
        <v>45247</v>
      </c>
      <c r="B6716" s="2" t="inlineStr">
        <is>
          <t xml:space="preserve">2023-11</t>
        </is>
      </c>
      <c r="C6716" s="2" t="inlineStr">
        <is>
          <t xml:space="preserve">2023/24</t>
        </is>
      </c>
      <c r="D6716">
        <v>0.022</v>
      </c>
      <c r="E6716">
        <v>20.42</v>
      </c>
      <c r="F6716">
        <v>25.51</v>
      </c>
      <c r="G6716">
        <v>17.07</v>
      </c>
      <c r="H6716">
        <v>0.37</v>
      </c>
      <c r="I6716">
        <v>0.874</v>
      </c>
      <c r="J6716">
        <v>20.75</v>
      </c>
      <c r="K6716">
        <v>25.33</v>
      </c>
      <c r="L6716">
        <v>17.43</v>
      </c>
      <c r="M6716">
        <v>0.95</v>
      </c>
      <c r="N6716">
        <v>3.52</v>
      </c>
      <c r="O6716">
        <v>20.35</v>
      </c>
      <c r="P6716">
        <v>24.61</v>
      </c>
      <c r="Q6716">
        <v>17.92</v>
      </c>
      <c r="R6716">
        <v>0.94</v>
      </c>
    </row>
    <row r="6717">
      <c r="A6717" s="9">
        <v>45248</v>
      </c>
      <c r="B6717" s="2" t="inlineStr">
        <is>
          <t xml:space="preserve">2023-11</t>
        </is>
      </c>
      <c r="C6717" s="2" t="inlineStr">
        <is>
          <t xml:space="preserve">2023/24</t>
        </is>
      </c>
      <c r="D6717">
        <v>0.0</v>
      </c>
      <c r="E6717">
        <v>19.65</v>
      </c>
      <c r="F6717">
        <v>24.93</v>
      </c>
      <c r="G6717">
        <v>16.24</v>
      </c>
      <c r="H6717">
        <v>0.0</v>
      </c>
      <c r="I6717">
        <v>0.0</v>
      </c>
      <c r="J6717">
        <v>19.96</v>
      </c>
      <c r="K6717">
        <v>24.65</v>
      </c>
      <c r="L6717">
        <v>16.24</v>
      </c>
      <c r="M6717">
        <v>0.0</v>
      </c>
      <c r="N6717">
        <v>0.0</v>
      </c>
      <c r="O6717">
        <v>19.86</v>
      </c>
      <c r="P6717">
        <v>24.15</v>
      </c>
      <c r="Q6717">
        <v>17.2</v>
      </c>
      <c r="R6717">
        <v>0.0</v>
      </c>
    </row>
    <row r="6718">
      <c r="A6718" s="9">
        <v>45249</v>
      </c>
      <c r="B6718" s="2" t="inlineStr">
        <is>
          <t xml:space="preserve">2023-11</t>
        </is>
      </c>
      <c r="C6718" s="2" t="inlineStr">
        <is>
          <t xml:space="preserve">2023/24</t>
        </is>
      </c>
      <c r="D6718">
        <v>0.0</v>
      </c>
      <c r="E6718">
        <v>19.82</v>
      </c>
      <c r="F6718">
        <v>25.47</v>
      </c>
      <c r="G6718">
        <v>14.4</v>
      </c>
      <c r="H6718">
        <v>0.0</v>
      </c>
      <c r="I6718">
        <v>0.0</v>
      </c>
      <c r="J6718">
        <v>20.05</v>
      </c>
      <c r="K6718">
        <v>25.8</v>
      </c>
      <c r="L6718">
        <v>15.03</v>
      </c>
      <c r="M6718">
        <v>0.0</v>
      </c>
      <c r="N6718">
        <v>0.0</v>
      </c>
      <c r="O6718">
        <v>20.22</v>
      </c>
      <c r="P6718">
        <v>25.44</v>
      </c>
      <c r="Q6718">
        <v>15.58</v>
      </c>
      <c r="R6718">
        <v>0.0</v>
      </c>
    </row>
    <row r="6719">
      <c r="A6719" s="9">
        <v>45250</v>
      </c>
      <c r="B6719" s="2" t="inlineStr">
        <is>
          <t xml:space="preserve">2023-11</t>
        </is>
      </c>
      <c r="C6719" s="2" t="inlineStr">
        <is>
          <t xml:space="preserve">2023/24</t>
        </is>
      </c>
      <c r="D6719">
        <v>0.0</v>
      </c>
      <c r="E6719">
        <v>21.05</v>
      </c>
      <c r="F6719">
        <v>27.15</v>
      </c>
      <c r="G6719">
        <v>15.67</v>
      </c>
      <c r="H6719">
        <v>0.0</v>
      </c>
      <c r="I6719">
        <v>0.0</v>
      </c>
      <c r="J6719">
        <v>20.26</v>
      </c>
      <c r="K6719">
        <v>26.42</v>
      </c>
      <c r="L6719">
        <v>15.1</v>
      </c>
      <c r="M6719">
        <v>0.0</v>
      </c>
      <c r="N6719">
        <v>0.0</v>
      </c>
      <c r="O6719">
        <v>21.2</v>
      </c>
      <c r="P6719">
        <v>27.53</v>
      </c>
      <c r="Q6719">
        <v>15.42</v>
      </c>
      <c r="R6719">
        <v>0.0</v>
      </c>
    </row>
    <row r="6720">
      <c r="A6720" s="9">
        <v>45251</v>
      </c>
      <c r="B6720" s="2" t="inlineStr">
        <is>
          <t xml:space="preserve">2023-11</t>
        </is>
      </c>
      <c r="C6720" s="2" t="inlineStr">
        <is>
          <t xml:space="preserve">2023/24</t>
        </is>
      </c>
      <c r="D6720">
        <v>0.0</v>
      </c>
      <c r="E6720">
        <v>21.99</v>
      </c>
      <c r="F6720">
        <v>27.78</v>
      </c>
      <c r="G6720">
        <v>17.81</v>
      </c>
      <c r="H6720">
        <v>0.0</v>
      </c>
      <c r="I6720">
        <v>0.0</v>
      </c>
      <c r="J6720">
        <v>21.27</v>
      </c>
      <c r="K6720">
        <v>27.59</v>
      </c>
      <c r="L6720">
        <v>16.89</v>
      </c>
      <c r="M6720">
        <v>0.0</v>
      </c>
      <c r="N6720">
        <v>0.0</v>
      </c>
      <c r="O6720">
        <v>21.41</v>
      </c>
      <c r="P6720">
        <v>27.19</v>
      </c>
      <c r="Q6720">
        <v>16.78</v>
      </c>
      <c r="R6720">
        <v>0.0</v>
      </c>
    </row>
    <row r="6721">
      <c r="A6721" s="9">
        <v>45252</v>
      </c>
      <c r="B6721" s="2" t="inlineStr">
        <is>
          <t xml:space="preserve">2023-11</t>
        </is>
      </c>
      <c r="C6721" s="2" t="inlineStr">
        <is>
          <t xml:space="preserve">2023/24</t>
        </is>
      </c>
      <c r="D6721">
        <v>0.0</v>
      </c>
      <c r="E6721">
        <v>20.61</v>
      </c>
      <c r="F6721">
        <v>25.14</v>
      </c>
      <c r="G6721">
        <v>17.44</v>
      </c>
      <c r="H6721">
        <v>0.01</v>
      </c>
      <c r="I6721">
        <v>0.0</v>
      </c>
      <c r="J6721">
        <v>20.9</v>
      </c>
      <c r="K6721">
        <v>25.96</v>
      </c>
      <c r="L6721">
        <v>17.29</v>
      </c>
      <c r="M6721">
        <v>0.01</v>
      </c>
      <c r="N6721">
        <v>0.0</v>
      </c>
      <c r="O6721">
        <v>21.11</v>
      </c>
      <c r="P6721">
        <v>25.38</v>
      </c>
      <c r="Q6721">
        <v>18.28</v>
      </c>
      <c r="R6721">
        <v>0.01</v>
      </c>
    </row>
    <row r="6722">
      <c r="A6722" s="9">
        <v>45253</v>
      </c>
      <c r="B6722" s="2" t="inlineStr">
        <is>
          <t xml:space="preserve">2023-11</t>
        </is>
      </c>
      <c r="C6722" s="2" t="inlineStr">
        <is>
          <t xml:space="preserve">2023/24</t>
        </is>
      </c>
      <c r="D6722">
        <v>0.0</v>
      </c>
      <c r="E6722">
        <v>19.74</v>
      </c>
      <c r="F6722">
        <v>23.84</v>
      </c>
      <c r="G6722">
        <v>16.03</v>
      </c>
      <c r="H6722">
        <v>0.08</v>
      </c>
      <c r="I6722">
        <v>0.0</v>
      </c>
      <c r="J6722">
        <v>20.87</v>
      </c>
      <c r="K6722">
        <v>26.11</v>
      </c>
      <c r="L6722">
        <v>16.55</v>
      </c>
      <c r="M6722">
        <v>0.01</v>
      </c>
      <c r="N6722">
        <v>0.0</v>
      </c>
      <c r="O6722">
        <v>21.02</v>
      </c>
      <c r="P6722">
        <v>25.41</v>
      </c>
      <c r="Q6722">
        <v>17.49</v>
      </c>
      <c r="R6722">
        <v>0.06</v>
      </c>
    </row>
    <row r="6723">
      <c r="A6723" s="9">
        <v>45254</v>
      </c>
      <c r="B6723" s="2" t="inlineStr">
        <is>
          <t xml:space="preserve">2023-11</t>
        </is>
      </c>
      <c r="C6723" s="2" t="inlineStr">
        <is>
          <t xml:space="preserve">2023/24</t>
        </is>
      </c>
      <c r="D6723">
        <v>0.0</v>
      </c>
      <c r="E6723">
        <v>21.8</v>
      </c>
      <c r="F6723">
        <v>26.47</v>
      </c>
      <c r="G6723">
        <v>17.83</v>
      </c>
      <c r="H6723">
        <v>0.07</v>
      </c>
      <c r="I6723">
        <v>0.0</v>
      </c>
      <c r="J6723">
        <v>22.28</v>
      </c>
      <c r="K6723">
        <v>27.26</v>
      </c>
      <c r="L6723">
        <v>17.97</v>
      </c>
      <c r="M6723">
        <v>0.01</v>
      </c>
      <c r="N6723">
        <v>0.0</v>
      </c>
      <c r="O6723">
        <v>22.24</v>
      </c>
      <c r="P6723">
        <v>26.89</v>
      </c>
      <c r="Q6723">
        <v>18.79</v>
      </c>
      <c r="R6723">
        <v>0.07</v>
      </c>
    </row>
    <row r="6724">
      <c r="A6724" s="9">
        <v>45255</v>
      </c>
      <c r="B6724" s="2" t="inlineStr">
        <is>
          <t xml:space="preserve">2023-11</t>
        </is>
      </c>
      <c r="C6724" s="2" t="inlineStr">
        <is>
          <t xml:space="preserve">2023/24</t>
        </is>
      </c>
      <c r="D6724">
        <v>0.025</v>
      </c>
      <c r="E6724">
        <v>21.7</v>
      </c>
      <c r="F6724">
        <v>26.36</v>
      </c>
      <c r="G6724">
        <v>18.5</v>
      </c>
      <c r="H6724">
        <v>0.11</v>
      </c>
      <c r="I6724">
        <v>0.0</v>
      </c>
      <c r="J6724">
        <v>22.47</v>
      </c>
      <c r="K6724">
        <v>25.92</v>
      </c>
      <c r="L6724">
        <v>19.92</v>
      </c>
      <c r="M6724">
        <v>0.02</v>
      </c>
      <c r="N6724">
        <v>0.0</v>
      </c>
      <c r="O6724">
        <v>22.68</v>
      </c>
      <c r="P6724">
        <v>26.54</v>
      </c>
      <c r="Q6724">
        <v>20.39</v>
      </c>
      <c r="R6724">
        <v>0.21</v>
      </c>
    </row>
    <row r="6725">
      <c r="A6725" s="9">
        <v>45256</v>
      </c>
      <c r="B6725" s="2" t="inlineStr">
        <is>
          <t xml:space="preserve">2023-11</t>
        </is>
      </c>
      <c r="C6725" s="2" t="inlineStr">
        <is>
          <t xml:space="preserve">2023/24</t>
        </is>
      </c>
      <c r="D6725">
        <v>0.0</v>
      </c>
      <c r="E6725">
        <v>21.61</v>
      </c>
      <c r="F6725">
        <v>26.99</v>
      </c>
      <c r="G6725">
        <v>17.46</v>
      </c>
      <c r="H6725">
        <v>0.0</v>
      </c>
      <c r="I6725">
        <v>0.0</v>
      </c>
      <c r="J6725">
        <v>22.54</v>
      </c>
      <c r="K6725">
        <v>27.17</v>
      </c>
      <c r="L6725">
        <v>18.89</v>
      </c>
      <c r="M6725">
        <v>0.16</v>
      </c>
      <c r="N6725">
        <v>0.0</v>
      </c>
      <c r="O6725">
        <v>22.85</v>
      </c>
      <c r="P6725">
        <v>27.3</v>
      </c>
      <c r="Q6725">
        <v>19.83</v>
      </c>
      <c r="R6725">
        <v>0.03</v>
      </c>
    </row>
    <row r="6726">
      <c r="A6726" s="9">
        <v>45257</v>
      </c>
      <c r="B6726" s="2" t="inlineStr">
        <is>
          <t xml:space="preserve">2023-11</t>
        </is>
      </c>
      <c r="C6726" s="2" t="inlineStr">
        <is>
          <t xml:space="preserve">2023/24</t>
        </is>
      </c>
      <c r="D6726">
        <v>0.0</v>
      </c>
      <c r="E6726">
        <v>21.53</v>
      </c>
      <c r="F6726">
        <v>26.16</v>
      </c>
      <c r="G6726">
        <v>18.06</v>
      </c>
      <c r="H6726">
        <v>0.12</v>
      </c>
      <c r="I6726">
        <v>0.642</v>
      </c>
      <c r="J6726">
        <v>22.1</v>
      </c>
      <c r="K6726">
        <v>26.89</v>
      </c>
      <c r="L6726">
        <v>18.94</v>
      </c>
      <c r="M6726">
        <v>0.32</v>
      </c>
      <c r="N6726">
        <v>0.044</v>
      </c>
      <c r="O6726">
        <v>22.35</v>
      </c>
      <c r="P6726">
        <v>26.24</v>
      </c>
      <c r="Q6726">
        <v>19.59</v>
      </c>
      <c r="R6726">
        <v>0.28</v>
      </c>
    </row>
    <row r="6727">
      <c r="A6727" s="9">
        <v>45258</v>
      </c>
      <c r="B6727" s="2" t="inlineStr">
        <is>
          <t xml:space="preserve">2023-11</t>
        </is>
      </c>
      <c r="C6727" s="2" t="inlineStr">
        <is>
          <t xml:space="preserve">2023/24</t>
        </is>
      </c>
      <c r="D6727">
        <v>0.0</v>
      </c>
      <c r="E6727">
        <v>21.09</v>
      </c>
      <c r="F6727">
        <v>25.69</v>
      </c>
      <c r="G6727">
        <v>18.06</v>
      </c>
      <c r="H6727">
        <v>0.33</v>
      </c>
      <c r="I6727">
        <v>0.0</v>
      </c>
      <c r="J6727">
        <v>21.65</v>
      </c>
      <c r="K6727">
        <v>26.13</v>
      </c>
      <c r="L6727">
        <v>18.48</v>
      </c>
      <c r="M6727">
        <v>0.08</v>
      </c>
      <c r="N6727">
        <v>0.0</v>
      </c>
      <c r="O6727">
        <v>21.95</v>
      </c>
      <c r="P6727">
        <v>25.71</v>
      </c>
      <c r="Q6727">
        <v>19.2</v>
      </c>
      <c r="R6727">
        <v>0.52</v>
      </c>
    </row>
    <row r="6728">
      <c r="A6728" s="9">
        <v>45259</v>
      </c>
      <c r="B6728" s="2" t="inlineStr">
        <is>
          <t xml:space="preserve">2023-11</t>
        </is>
      </c>
      <c r="C6728" s="2" t="inlineStr">
        <is>
          <t xml:space="preserve">2023/24</t>
        </is>
      </c>
      <c r="D6728">
        <v>0.148</v>
      </c>
      <c r="E6728">
        <v>20.9</v>
      </c>
      <c r="F6728">
        <v>25.65</v>
      </c>
      <c r="G6728">
        <v>17.52</v>
      </c>
      <c r="H6728">
        <v>1.32</v>
      </c>
      <c r="I6728">
        <v>0.039</v>
      </c>
      <c r="J6728">
        <v>20.97</v>
      </c>
      <c r="K6728">
        <v>25.9</v>
      </c>
      <c r="L6728">
        <v>17.36</v>
      </c>
      <c r="M6728">
        <v>0.43</v>
      </c>
      <c r="N6728">
        <v>0.454</v>
      </c>
      <c r="O6728">
        <v>21.06</v>
      </c>
      <c r="P6728">
        <v>25.38</v>
      </c>
      <c r="Q6728">
        <v>18.01</v>
      </c>
      <c r="R6728">
        <v>1.66</v>
      </c>
    </row>
    <row r="6729">
      <c r="A6729" s="9">
        <v>45260</v>
      </c>
      <c r="B6729" s="2" t="inlineStr">
        <is>
          <t xml:space="preserve">2023-11</t>
        </is>
      </c>
      <c r="C6729" s="2" t="inlineStr">
        <is>
          <t xml:space="preserve">2023/24</t>
        </is>
      </c>
      <c r="D6729">
        <v>0.036</v>
      </c>
      <c r="E6729">
        <v>20.98</v>
      </c>
      <c r="F6729">
        <v>26.42</v>
      </c>
      <c r="G6729">
        <v>17.43</v>
      </c>
      <c r="H6729">
        <v>0.22</v>
      </c>
      <c r="I6729">
        <v>0.377</v>
      </c>
      <c r="J6729">
        <v>22.28</v>
      </c>
      <c r="K6729">
        <v>27.29</v>
      </c>
      <c r="L6729">
        <v>17.93</v>
      </c>
      <c r="M6729">
        <v>0.53</v>
      </c>
      <c r="N6729">
        <v>0.944</v>
      </c>
      <c r="O6729">
        <v>22.12</v>
      </c>
      <c r="P6729">
        <v>27.1</v>
      </c>
      <c r="Q6729">
        <v>18.71</v>
      </c>
      <c r="R6729">
        <v>0.96</v>
      </c>
    </row>
    <row r="6730">
      <c r="A6730" s="9">
        <v>45261</v>
      </c>
      <c r="B6730" s="2" t="inlineStr">
        <is>
          <t xml:space="preserve">2023-12</t>
        </is>
      </c>
      <c r="C6730" s="2" t="inlineStr">
        <is>
          <t xml:space="preserve">2023/24</t>
        </is>
      </c>
      <c r="D6730">
        <v>0.0</v>
      </c>
      <c r="E6730">
        <v>20.66</v>
      </c>
      <c r="F6730">
        <v>26.61</v>
      </c>
      <c r="G6730">
        <v>15.96</v>
      </c>
      <c r="H6730">
        <v>0.0</v>
      </c>
      <c r="I6730">
        <v>0.0</v>
      </c>
      <c r="J6730">
        <v>22.87</v>
      </c>
      <c r="K6730">
        <v>28.4</v>
      </c>
      <c r="L6730">
        <v>18.62</v>
      </c>
      <c r="M6730">
        <v>0.0</v>
      </c>
      <c r="N6730">
        <v>0.0</v>
      </c>
      <c r="O6730">
        <v>22.57</v>
      </c>
      <c r="P6730">
        <v>28.07</v>
      </c>
      <c r="Q6730">
        <v>19.04</v>
      </c>
      <c r="R6730">
        <v>0.0</v>
      </c>
    </row>
    <row r="6731">
      <c r="A6731" s="9">
        <v>45262</v>
      </c>
      <c r="B6731" s="2" t="inlineStr">
        <is>
          <t xml:space="preserve">2023-12</t>
        </is>
      </c>
      <c r="C6731" s="2" t="inlineStr">
        <is>
          <t xml:space="preserve">2023/24</t>
        </is>
      </c>
      <c r="D6731">
        <v>0.0</v>
      </c>
      <c r="E6731">
        <v>21.1</v>
      </c>
      <c r="F6731">
        <v>26.74</v>
      </c>
      <c r="G6731">
        <v>15.99</v>
      </c>
      <c r="H6731">
        <v>0.01</v>
      </c>
      <c r="I6731">
        <v>0.0</v>
      </c>
      <c r="J6731">
        <v>23.09</v>
      </c>
      <c r="K6731">
        <v>28.96</v>
      </c>
      <c r="L6731">
        <v>17.7</v>
      </c>
      <c r="M6731">
        <v>0.0</v>
      </c>
      <c r="N6731">
        <v>0.0</v>
      </c>
      <c r="O6731">
        <v>22.44</v>
      </c>
      <c r="P6731">
        <v>28.26</v>
      </c>
      <c r="Q6731">
        <v>17.74</v>
      </c>
      <c r="R6731">
        <v>0.0</v>
      </c>
    </row>
    <row r="6732">
      <c r="A6732" s="9">
        <v>45263</v>
      </c>
      <c r="B6732" s="2" t="inlineStr">
        <is>
          <t xml:space="preserve">2023-12</t>
        </is>
      </c>
      <c r="C6732" s="2" t="inlineStr">
        <is>
          <t xml:space="preserve">2023/24</t>
        </is>
      </c>
      <c r="D6732">
        <v>0.0</v>
      </c>
      <c r="E6732">
        <v>21.38</v>
      </c>
      <c r="F6732">
        <v>27.0</v>
      </c>
      <c r="G6732">
        <v>17.0</v>
      </c>
      <c r="H6732">
        <v>0.19</v>
      </c>
      <c r="I6732">
        <v>0.0</v>
      </c>
      <c r="J6732">
        <v>22.52</v>
      </c>
      <c r="K6732">
        <v>27.85</v>
      </c>
      <c r="L6732">
        <v>18.38</v>
      </c>
      <c r="M6732">
        <v>0.05</v>
      </c>
      <c r="N6732">
        <v>0.0</v>
      </c>
      <c r="O6732">
        <v>22.9</v>
      </c>
      <c r="P6732">
        <v>27.53</v>
      </c>
      <c r="Q6732">
        <v>20.04</v>
      </c>
      <c r="R6732">
        <v>0.21</v>
      </c>
    </row>
    <row r="6733">
      <c r="A6733" s="9">
        <v>45264</v>
      </c>
      <c r="B6733" s="2" t="inlineStr">
        <is>
          <t xml:space="preserve">2023-12</t>
        </is>
      </c>
      <c r="C6733" s="2" t="inlineStr">
        <is>
          <t xml:space="preserve">2023/24</t>
        </is>
      </c>
      <c r="D6733">
        <v>0.0</v>
      </c>
      <c r="E6733">
        <v>21.45</v>
      </c>
      <c r="F6733">
        <v>26.59</v>
      </c>
      <c r="G6733">
        <v>18.14</v>
      </c>
      <c r="H6733">
        <v>0.69</v>
      </c>
      <c r="I6733">
        <v>0.046</v>
      </c>
      <c r="J6733">
        <v>22.31</v>
      </c>
      <c r="K6733">
        <v>27.48</v>
      </c>
      <c r="L6733">
        <v>18.59</v>
      </c>
      <c r="M6733">
        <v>0.86</v>
      </c>
      <c r="N6733">
        <v>0.542</v>
      </c>
      <c r="O6733">
        <v>22.7</v>
      </c>
      <c r="P6733">
        <v>27.42</v>
      </c>
      <c r="Q6733">
        <v>19.67</v>
      </c>
      <c r="R6733">
        <v>1.88</v>
      </c>
    </row>
    <row r="6734">
      <c r="A6734" s="9">
        <v>45265</v>
      </c>
      <c r="B6734" s="2" t="inlineStr">
        <is>
          <t xml:space="preserve">2023-12</t>
        </is>
      </c>
      <c r="C6734" s="2" t="inlineStr">
        <is>
          <t xml:space="preserve">2023/24</t>
        </is>
      </c>
      <c r="D6734">
        <v>0.146</v>
      </c>
      <c r="E6734">
        <v>20.99</v>
      </c>
      <c r="F6734">
        <v>26.06</v>
      </c>
      <c r="G6734">
        <v>16.96</v>
      </c>
      <c r="H6734">
        <v>1.21</v>
      </c>
      <c r="I6734">
        <v>0.687</v>
      </c>
      <c r="J6734">
        <v>22.04</v>
      </c>
      <c r="K6734">
        <v>27.01</v>
      </c>
      <c r="L6734">
        <v>18.98</v>
      </c>
      <c r="M6734">
        <v>1.48</v>
      </c>
      <c r="N6734">
        <v>2.674</v>
      </c>
      <c r="O6734">
        <v>22.09</v>
      </c>
      <c r="P6734">
        <v>26.34</v>
      </c>
      <c r="Q6734">
        <v>19.74</v>
      </c>
      <c r="R6734">
        <v>3.4</v>
      </c>
    </row>
    <row r="6735">
      <c r="A6735" s="9">
        <v>45266</v>
      </c>
      <c r="B6735" s="2" t="inlineStr">
        <is>
          <t xml:space="preserve">2023-12</t>
        </is>
      </c>
      <c r="C6735" s="2" t="inlineStr">
        <is>
          <t xml:space="preserve">2023/24</t>
        </is>
      </c>
      <c r="D6735">
        <v>0.035</v>
      </c>
      <c r="E6735">
        <v>20.48</v>
      </c>
      <c r="F6735">
        <v>24.71</v>
      </c>
      <c r="G6735">
        <v>17.67</v>
      </c>
      <c r="H6735">
        <v>2.55</v>
      </c>
      <c r="I6735">
        <v>1.284</v>
      </c>
      <c r="J6735">
        <v>21.07</v>
      </c>
      <c r="K6735">
        <v>24.79</v>
      </c>
      <c r="L6735">
        <v>18.83</v>
      </c>
      <c r="M6735">
        <v>3.21</v>
      </c>
      <c r="N6735">
        <v>5.496</v>
      </c>
      <c r="O6735">
        <v>21.22</v>
      </c>
      <c r="P6735">
        <v>24.49</v>
      </c>
      <c r="Q6735">
        <v>19.26</v>
      </c>
      <c r="R6735">
        <v>8.5</v>
      </c>
    </row>
    <row r="6736">
      <c r="A6736" s="9">
        <v>45267</v>
      </c>
      <c r="B6736" s="2" t="inlineStr">
        <is>
          <t xml:space="preserve">2023-12</t>
        </is>
      </c>
      <c r="C6736" s="2" t="inlineStr">
        <is>
          <t xml:space="preserve">2023/24</t>
        </is>
      </c>
      <c r="D6736">
        <v>0.0</v>
      </c>
      <c r="E6736">
        <v>20.37</v>
      </c>
      <c r="F6736">
        <v>25.64</v>
      </c>
      <c r="G6736">
        <v>16.76</v>
      </c>
      <c r="H6736">
        <v>0.5</v>
      </c>
      <c r="I6736">
        <v>0.955</v>
      </c>
      <c r="J6736">
        <v>20.8</v>
      </c>
      <c r="K6736">
        <v>25.75</v>
      </c>
      <c r="L6736">
        <v>17.15</v>
      </c>
      <c r="M6736">
        <v>1.8</v>
      </c>
      <c r="N6736">
        <v>3.885</v>
      </c>
      <c r="O6736">
        <v>20.97</v>
      </c>
      <c r="P6736">
        <v>25.56</v>
      </c>
      <c r="Q6736">
        <v>17.94</v>
      </c>
      <c r="R6736">
        <v>2.29</v>
      </c>
    </row>
    <row r="6737">
      <c r="A6737" s="9">
        <v>45268</v>
      </c>
      <c r="B6737" s="2" t="inlineStr">
        <is>
          <t xml:space="preserve">2023-12</t>
        </is>
      </c>
      <c r="C6737" s="2" t="inlineStr">
        <is>
          <t xml:space="preserve">2023/24</t>
        </is>
      </c>
      <c r="D6737">
        <v>0.0</v>
      </c>
      <c r="E6737">
        <v>20.73</v>
      </c>
      <c r="F6737">
        <v>26.02</v>
      </c>
      <c r="G6737">
        <v>16.17</v>
      </c>
      <c r="H6737">
        <v>0.86</v>
      </c>
      <c r="I6737">
        <v>0.837</v>
      </c>
      <c r="J6737">
        <v>21.29</v>
      </c>
      <c r="K6737">
        <v>26.53</v>
      </c>
      <c r="L6737">
        <v>17.78</v>
      </c>
      <c r="M6737">
        <v>1.23</v>
      </c>
      <c r="N6737">
        <v>3.471</v>
      </c>
      <c r="O6737">
        <v>21.22</v>
      </c>
      <c r="P6737">
        <v>25.52</v>
      </c>
      <c r="Q6737">
        <v>18.18</v>
      </c>
      <c r="R6737">
        <v>2.33</v>
      </c>
    </row>
    <row r="6738">
      <c r="A6738" s="9">
        <v>45269</v>
      </c>
      <c r="B6738" s="2" t="inlineStr">
        <is>
          <t xml:space="preserve">2023-12</t>
        </is>
      </c>
      <c r="C6738" s="2" t="inlineStr">
        <is>
          <t xml:space="preserve">2023/24</t>
        </is>
      </c>
      <c r="D6738">
        <v>0.0</v>
      </c>
      <c r="E6738">
        <v>20.86</v>
      </c>
      <c r="F6738">
        <v>26.66</v>
      </c>
      <c r="G6738">
        <v>15.6</v>
      </c>
      <c r="H6738">
        <v>0.3</v>
      </c>
      <c r="I6738">
        <v>0.0</v>
      </c>
      <c r="J6738">
        <v>21.86</v>
      </c>
      <c r="K6738">
        <v>27.48</v>
      </c>
      <c r="L6738">
        <v>18.38</v>
      </c>
      <c r="M6738">
        <v>0.04</v>
      </c>
      <c r="N6738">
        <v>0.0</v>
      </c>
      <c r="O6738">
        <v>21.79</v>
      </c>
      <c r="P6738">
        <v>26.1</v>
      </c>
      <c r="Q6738">
        <v>19.3</v>
      </c>
      <c r="R6738">
        <v>1.35</v>
      </c>
    </row>
    <row r="6739">
      <c r="A6739" s="9">
        <v>45270</v>
      </c>
      <c r="B6739" s="2" t="inlineStr">
        <is>
          <t xml:space="preserve">2023-12</t>
        </is>
      </c>
      <c r="C6739" s="2" t="inlineStr">
        <is>
          <t xml:space="preserve">2023/24</t>
        </is>
      </c>
      <c r="D6739">
        <v>0.0</v>
      </c>
      <c r="E6739">
        <v>21.16</v>
      </c>
      <c r="F6739">
        <v>27.15</v>
      </c>
      <c r="G6739">
        <v>17.08</v>
      </c>
      <c r="H6739">
        <v>1.67</v>
      </c>
      <c r="I6739">
        <v>0.0</v>
      </c>
      <c r="J6739">
        <v>21.72</v>
      </c>
      <c r="K6739">
        <v>26.96</v>
      </c>
      <c r="L6739">
        <v>17.99</v>
      </c>
      <c r="M6739">
        <v>0.45</v>
      </c>
      <c r="N6739">
        <v>0.0</v>
      </c>
      <c r="O6739">
        <v>21.51</v>
      </c>
      <c r="P6739">
        <v>25.94</v>
      </c>
      <c r="Q6739">
        <v>18.76</v>
      </c>
      <c r="R6739">
        <v>2.25</v>
      </c>
    </row>
    <row r="6740">
      <c r="A6740" s="9">
        <v>45271</v>
      </c>
      <c r="B6740" s="2" t="inlineStr">
        <is>
          <t xml:space="preserve">2023-12</t>
        </is>
      </c>
      <c r="C6740" s="2" t="inlineStr">
        <is>
          <t xml:space="preserve">2023/24</t>
        </is>
      </c>
      <c r="D6740">
        <v>0.185</v>
      </c>
      <c r="E6740">
        <v>20.5</v>
      </c>
      <c r="F6740">
        <v>24.55</v>
      </c>
      <c r="G6740">
        <v>17.82</v>
      </c>
      <c r="H6740">
        <v>10.14</v>
      </c>
      <c r="I6740">
        <v>1.355</v>
      </c>
      <c r="J6740">
        <v>20.42</v>
      </c>
      <c r="K6740">
        <v>25.14</v>
      </c>
      <c r="L6740">
        <v>17.84</v>
      </c>
      <c r="M6740">
        <v>6.91</v>
      </c>
      <c r="N6740">
        <v>6.18</v>
      </c>
      <c r="O6740">
        <v>20.22</v>
      </c>
      <c r="P6740">
        <v>23.53</v>
      </c>
      <c r="Q6740">
        <v>18.46</v>
      </c>
      <c r="R6740">
        <v>31.05</v>
      </c>
    </row>
    <row r="6741">
      <c r="A6741" s="9">
        <v>45272</v>
      </c>
      <c r="B6741" s="2" t="inlineStr">
        <is>
          <t xml:space="preserve">2023-12</t>
        </is>
      </c>
      <c r="C6741" s="2" t="inlineStr">
        <is>
          <t xml:space="preserve">2023/24</t>
        </is>
      </c>
      <c r="D6741">
        <v>0.219</v>
      </c>
      <c r="E6741">
        <v>20.76</v>
      </c>
      <c r="F6741">
        <v>25.15</v>
      </c>
      <c r="G6741">
        <v>18.16</v>
      </c>
      <c r="H6741">
        <v>2.22</v>
      </c>
      <c r="I6741">
        <v>0.589</v>
      </c>
      <c r="J6741">
        <v>19.77</v>
      </c>
      <c r="K6741">
        <v>23.83</v>
      </c>
      <c r="L6741">
        <v>16.98</v>
      </c>
      <c r="M6741">
        <v>1.36</v>
      </c>
      <c r="N6741">
        <v>2.309</v>
      </c>
      <c r="O6741">
        <v>19.42</v>
      </c>
      <c r="P6741">
        <v>22.41</v>
      </c>
      <c r="Q6741">
        <v>17.46</v>
      </c>
      <c r="R6741">
        <v>3.3</v>
      </c>
    </row>
    <row r="6742">
      <c r="A6742" s="9">
        <v>45273</v>
      </c>
      <c r="B6742" s="2" t="inlineStr">
        <is>
          <t xml:space="preserve">2023-12</t>
        </is>
      </c>
      <c r="C6742" s="2" t="inlineStr">
        <is>
          <t xml:space="preserve">2023/24</t>
        </is>
      </c>
      <c r="D6742">
        <v>0.074</v>
      </c>
      <c r="E6742">
        <v>20.74</v>
      </c>
      <c r="F6742">
        <v>25.56</v>
      </c>
      <c r="G6742">
        <v>17.76</v>
      </c>
      <c r="H6742">
        <v>1.3</v>
      </c>
      <c r="I6742">
        <v>0.918</v>
      </c>
      <c r="J6742">
        <v>20.69</v>
      </c>
      <c r="K6742">
        <v>25.49</v>
      </c>
      <c r="L6742">
        <v>17.81</v>
      </c>
      <c r="M6742">
        <v>1.7</v>
      </c>
      <c r="N6742">
        <v>3.797</v>
      </c>
      <c r="O6742">
        <v>20.72</v>
      </c>
      <c r="P6742">
        <v>24.77</v>
      </c>
      <c r="Q6742">
        <v>18.33</v>
      </c>
      <c r="R6742">
        <v>3.51</v>
      </c>
    </row>
    <row r="6743">
      <c r="A6743" s="9">
        <v>45274</v>
      </c>
      <c r="B6743" s="2" t="inlineStr">
        <is>
          <t xml:space="preserve">2023-12</t>
        </is>
      </c>
      <c r="C6743" s="2" t="inlineStr">
        <is>
          <t xml:space="preserve">2023/24</t>
        </is>
      </c>
      <c r="D6743">
        <v>0.0</v>
      </c>
      <c r="E6743">
        <v>20.49</v>
      </c>
      <c r="F6743">
        <v>25.54</v>
      </c>
      <c r="G6743">
        <v>17.34</v>
      </c>
      <c r="H6743">
        <v>0.64</v>
      </c>
      <c r="I6743">
        <v>0.415</v>
      </c>
      <c r="J6743">
        <v>21.01</v>
      </c>
      <c r="K6743">
        <v>25.74</v>
      </c>
      <c r="L6743">
        <v>18.09</v>
      </c>
      <c r="M6743">
        <v>0.66</v>
      </c>
      <c r="N6743">
        <v>1.696</v>
      </c>
      <c r="O6743">
        <v>20.9</v>
      </c>
      <c r="P6743">
        <v>24.77</v>
      </c>
      <c r="Q6743">
        <v>18.57</v>
      </c>
      <c r="R6743">
        <v>0.96</v>
      </c>
    </row>
    <row r="6744">
      <c r="A6744" s="9">
        <v>45275</v>
      </c>
      <c r="B6744" s="2" t="inlineStr">
        <is>
          <t xml:space="preserve">2023-12</t>
        </is>
      </c>
      <c r="C6744" s="2" t="inlineStr">
        <is>
          <t xml:space="preserve">2023/24</t>
        </is>
      </c>
      <c r="D6744">
        <v>0.0</v>
      </c>
      <c r="E6744">
        <v>20.59</v>
      </c>
      <c r="F6744">
        <v>26.29</v>
      </c>
      <c r="G6744">
        <v>15.7</v>
      </c>
      <c r="H6744">
        <v>0.35</v>
      </c>
      <c r="I6744">
        <v>0.037</v>
      </c>
      <c r="J6744">
        <v>21.78</v>
      </c>
      <c r="K6744">
        <v>27.11</v>
      </c>
      <c r="L6744">
        <v>17.47</v>
      </c>
      <c r="M6744">
        <v>0.13</v>
      </c>
      <c r="N6744">
        <v>0.414</v>
      </c>
      <c r="O6744">
        <v>21.45</v>
      </c>
      <c r="P6744">
        <v>25.83</v>
      </c>
      <c r="Q6744">
        <v>17.73</v>
      </c>
      <c r="R6744">
        <v>0.35</v>
      </c>
    </row>
    <row r="6745">
      <c r="A6745" s="9">
        <v>45276</v>
      </c>
      <c r="B6745" s="2" t="inlineStr">
        <is>
          <t xml:space="preserve">2023-12</t>
        </is>
      </c>
      <c r="C6745" s="2" t="inlineStr">
        <is>
          <t xml:space="preserve">2023/24</t>
        </is>
      </c>
      <c r="D6745">
        <v>0.0</v>
      </c>
      <c r="E6745">
        <v>21.11</v>
      </c>
      <c r="F6745">
        <v>26.26</v>
      </c>
      <c r="G6745">
        <v>17.79</v>
      </c>
      <c r="H6745">
        <v>1.03</v>
      </c>
      <c r="I6745">
        <v>0.0</v>
      </c>
      <c r="J6745">
        <v>21.22</v>
      </c>
      <c r="K6745">
        <v>26.04</v>
      </c>
      <c r="L6745">
        <v>18.35</v>
      </c>
      <c r="M6745">
        <v>0.43</v>
      </c>
      <c r="N6745">
        <v>0.0</v>
      </c>
      <c r="O6745">
        <v>20.9</v>
      </c>
      <c r="P6745">
        <v>24.33</v>
      </c>
      <c r="Q6745">
        <v>18.59</v>
      </c>
      <c r="R6745">
        <v>1.25</v>
      </c>
    </row>
    <row r="6746">
      <c r="A6746" s="9">
        <v>45277</v>
      </c>
      <c r="B6746" s="2" t="inlineStr">
        <is>
          <t xml:space="preserve">2023-12</t>
        </is>
      </c>
      <c r="C6746" s="2" t="inlineStr">
        <is>
          <t xml:space="preserve">2023/24</t>
        </is>
      </c>
      <c r="D6746">
        <v>0.0</v>
      </c>
      <c r="E6746">
        <v>18.77</v>
      </c>
      <c r="F6746">
        <v>23.03</v>
      </c>
      <c r="G6746">
        <v>15.62</v>
      </c>
      <c r="H6746">
        <v>0.78</v>
      </c>
      <c r="I6746">
        <v>1.247</v>
      </c>
      <c r="J6746">
        <v>19.16</v>
      </c>
      <c r="K6746">
        <v>24.02</v>
      </c>
      <c r="L6746">
        <v>15.27</v>
      </c>
      <c r="M6746">
        <v>2.02</v>
      </c>
      <c r="N6746">
        <v>5.105</v>
      </c>
      <c r="O6746">
        <v>18.95</v>
      </c>
      <c r="P6746">
        <v>22.67</v>
      </c>
      <c r="Q6746">
        <v>15.83</v>
      </c>
      <c r="R6746">
        <v>2.75</v>
      </c>
    </row>
    <row r="6747">
      <c r="A6747" s="9">
        <v>45278</v>
      </c>
      <c r="B6747" s="2" t="inlineStr">
        <is>
          <t xml:space="preserve">2023-12</t>
        </is>
      </c>
      <c r="C6747" s="2" t="inlineStr">
        <is>
          <t xml:space="preserve">2023/24</t>
        </is>
      </c>
      <c r="D6747">
        <v>0.0</v>
      </c>
      <c r="E6747">
        <v>16.59</v>
      </c>
      <c r="F6747">
        <v>22.21</v>
      </c>
      <c r="G6747">
        <v>13.15</v>
      </c>
      <c r="H6747">
        <v>0.0</v>
      </c>
      <c r="I6747">
        <v>0.0</v>
      </c>
      <c r="J6747">
        <v>15.35</v>
      </c>
      <c r="K6747">
        <v>20.82</v>
      </c>
      <c r="L6747">
        <v>11.87</v>
      </c>
      <c r="M6747">
        <v>0.02</v>
      </c>
      <c r="N6747">
        <v>0.083</v>
      </c>
      <c r="O6747">
        <v>15.6</v>
      </c>
      <c r="P6747">
        <v>19.9</v>
      </c>
      <c r="Q6747">
        <v>12.99</v>
      </c>
      <c r="R6747">
        <v>0.03</v>
      </c>
    </row>
    <row r="6748">
      <c r="A6748" s="9">
        <v>45279</v>
      </c>
      <c r="B6748" s="2" t="inlineStr">
        <is>
          <t xml:space="preserve">2023-12</t>
        </is>
      </c>
      <c r="C6748" s="2" t="inlineStr">
        <is>
          <t xml:space="preserve">2023/24</t>
        </is>
      </c>
      <c r="D6748">
        <v>0.0</v>
      </c>
      <c r="E6748">
        <v>15.51</v>
      </c>
      <c r="F6748">
        <v>20.78</v>
      </c>
      <c r="G6748">
        <v>11.88</v>
      </c>
      <c r="H6748">
        <v>0.0</v>
      </c>
      <c r="I6748">
        <v>0.0</v>
      </c>
      <c r="J6748">
        <v>15.39</v>
      </c>
      <c r="K6748">
        <v>20.01</v>
      </c>
      <c r="L6748">
        <v>12.42</v>
      </c>
      <c r="M6748">
        <v>0.0</v>
      </c>
      <c r="N6748">
        <v>0.0</v>
      </c>
      <c r="O6748">
        <v>15.59</v>
      </c>
      <c r="P6748">
        <v>19.49</v>
      </c>
      <c r="Q6748">
        <v>12.88</v>
      </c>
      <c r="R6748">
        <v>0.03</v>
      </c>
    </row>
    <row r="6749">
      <c r="A6749" s="9">
        <v>45280</v>
      </c>
      <c r="B6749" s="2" t="inlineStr">
        <is>
          <t xml:space="preserve">2023-12</t>
        </is>
      </c>
      <c r="C6749" s="2" t="inlineStr">
        <is>
          <t xml:space="preserve">2023/24</t>
        </is>
      </c>
      <c r="D6749">
        <v>0.0</v>
      </c>
      <c r="E6749">
        <v>16.39</v>
      </c>
      <c r="F6749">
        <v>22.18</v>
      </c>
      <c r="G6749">
        <v>11.65</v>
      </c>
      <c r="H6749">
        <v>0.13</v>
      </c>
      <c r="I6749">
        <v>0.0</v>
      </c>
      <c r="J6749">
        <v>15.52</v>
      </c>
      <c r="K6749">
        <v>21.25</v>
      </c>
      <c r="L6749">
        <v>11.52</v>
      </c>
      <c r="M6749">
        <v>0.03</v>
      </c>
      <c r="N6749">
        <v>0.0</v>
      </c>
      <c r="O6749">
        <v>15.66</v>
      </c>
      <c r="P6749">
        <v>20.03</v>
      </c>
      <c r="Q6749">
        <v>12.11</v>
      </c>
      <c r="R6749">
        <v>0.13</v>
      </c>
    </row>
    <row r="6750">
      <c r="A6750" s="9">
        <v>45281</v>
      </c>
      <c r="B6750" s="2" t="inlineStr">
        <is>
          <t xml:space="preserve">2023-12</t>
        </is>
      </c>
      <c r="C6750" s="2" t="inlineStr">
        <is>
          <t xml:space="preserve">2023/24</t>
        </is>
      </c>
      <c r="D6750">
        <v>0.0</v>
      </c>
      <c r="E6750">
        <v>17.56</v>
      </c>
      <c r="F6750">
        <v>23.57</v>
      </c>
      <c r="G6750">
        <v>12.83</v>
      </c>
      <c r="H6750">
        <v>0.39</v>
      </c>
      <c r="I6750">
        <v>0.03</v>
      </c>
      <c r="J6750">
        <v>18.07</v>
      </c>
      <c r="K6750">
        <v>23.68</v>
      </c>
      <c r="L6750">
        <v>14.25</v>
      </c>
      <c r="M6750">
        <v>0.39</v>
      </c>
      <c r="N6750">
        <v>0.346</v>
      </c>
      <c r="O6750">
        <v>18.06</v>
      </c>
      <c r="P6750">
        <v>22.3</v>
      </c>
      <c r="Q6750">
        <v>14.94</v>
      </c>
      <c r="R6750">
        <v>0.61</v>
      </c>
    </row>
    <row r="6751">
      <c r="A6751" s="9">
        <v>45282</v>
      </c>
      <c r="B6751" s="2" t="inlineStr">
        <is>
          <t xml:space="preserve">2023-12</t>
        </is>
      </c>
      <c r="C6751" s="2" t="inlineStr">
        <is>
          <t xml:space="preserve">2023/24</t>
        </is>
      </c>
      <c r="D6751">
        <v>0.0</v>
      </c>
      <c r="E6751">
        <v>19.39</v>
      </c>
      <c r="F6751">
        <v>25.44</v>
      </c>
      <c r="G6751">
        <v>15.53</v>
      </c>
      <c r="H6751">
        <v>20.28</v>
      </c>
      <c r="I6751">
        <v>0.683</v>
      </c>
      <c r="J6751">
        <v>18.74</v>
      </c>
      <c r="K6751">
        <v>23.72</v>
      </c>
      <c r="L6751">
        <v>15.03</v>
      </c>
      <c r="M6751">
        <v>18.25</v>
      </c>
      <c r="N6751">
        <v>2.766</v>
      </c>
      <c r="O6751">
        <v>18.34</v>
      </c>
      <c r="P6751">
        <v>22.05</v>
      </c>
      <c r="Q6751">
        <v>15.44</v>
      </c>
      <c r="R6751">
        <v>27.57</v>
      </c>
    </row>
    <row r="6752">
      <c r="A6752" s="9">
        <v>45283</v>
      </c>
      <c r="B6752" s="2" t="inlineStr">
        <is>
          <t xml:space="preserve">2023-12</t>
        </is>
      </c>
      <c r="C6752" s="2" t="inlineStr">
        <is>
          <t xml:space="preserve">2023/24</t>
        </is>
      </c>
      <c r="D6752">
        <v>0.0</v>
      </c>
      <c r="E6752">
        <v>19.69</v>
      </c>
      <c r="F6752">
        <v>24.51</v>
      </c>
      <c r="G6752">
        <v>16.4</v>
      </c>
      <c r="H6752">
        <v>117.88</v>
      </c>
      <c r="I6752">
        <v>0.0</v>
      </c>
      <c r="J6752">
        <v>19.84</v>
      </c>
      <c r="K6752">
        <v>24.83</v>
      </c>
      <c r="L6752">
        <v>16.84</v>
      </c>
      <c r="M6752">
        <v>71.83</v>
      </c>
      <c r="N6752">
        <v>0.095</v>
      </c>
      <c r="O6752">
        <v>19.67</v>
      </c>
      <c r="P6752">
        <v>23.98</v>
      </c>
      <c r="Q6752">
        <v>17.12</v>
      </c>
      <c r="R6752">
        <v>108.48</v>
      </c>
    </row>
    <row r="6753">
      <c r="A6753" s="9">
        <v>45284</v>
      </c>
      <c r="B6753" s="2" t="inlineStr">
        <is>
          <t xml:space="preserve">2023-12</t>
        </is>
      </c>
      <c r="C6753" s="2" t="inlineStr">
        <is>
          <t xml:space="preserve">2023/24</t>
        </is>
      </c>
      <c r="D6753">
        <v>0.0</v>
      </c>
      <c r="E6753">
        <v>21.32</v>
      </c>
      <c r="F6753">
        <v>26.7</v>
      </c>
      <c r="G6753">
        <v>16.94</v>
      </c>
      <c r="H6753">
        <v>0.13</v>
      </c>
      <c r="I6753">
        <v>0.0</v>
      </c>
      <c r="J6753">
        <v>21.52</v>
      </c>
      <c r="K6753">
        <v>27.4</v>
      </c>
      <c r="L6753">
        <v>16.68</v>
      </c>
      <c r="M6753">
        <v>0.03</v>
      </c>
      <c r="N6753">
        <v>0.044</v>
      </c>
      <c r="O6753">
        <v>21.67</v>
      </c>
      <c r="P6753">
        <v>27.2</v>
      </c>
      <c r="Q6753">
        <v>17.43</v>
      </c>
      <c r="R6753">
        <v>0.31</v>
      </c>
    </row>
    <row r="6754">
      <c r="A6754" s="9">
        <v>45285</v>
      </c>
      <c r="B6754" s="2" t="inlineStr">
        <is>
          <t xml:space="preserve">2023-12</t>
        </is>
      </c>
      <c r="C6754" s="2" t="inlineStr">
        <is>
          <t xml:space="preserve">2023/24</t>
        </is>
      </c>
      <c r="D6754">
        <v>0.0</v>
      </c>
      <c r="E6754">
        <v>22.06</v>
      </c>
      <c r="F6754">
        <v>27.62</v>
      </c>
      <c r="G6754">
        <v>16.93</v>
      </c>
      <c r="H6754">
        <v>0.19</v>
      </c>
      <c r="I6754">
        <v>0.0</v>
      </c>
      <c r="J6754">
        <v>22.22</v>
      </c>
      <c r="K6754">
        <v>27.83</v>
      </c>
      <c r="L6754">
        <v>17.5</v>
      </c>
      <c r="M6754">
        <v>0.02</v>
      </c>
      <c r="N6754">
        <v>0.0</v>
      </c>
      <c r="O6754">
        <v>22.84</v>
      </c>
      <c r="P6754">
        <v>28.11</v>
      </c>
      <c r="Q6754">
        <v>18.01</v>
      </c>
      <c r="R6754">
        <v>0.03</v>
      </c>
    </row>
    <row r="6755">
      <c r="A6755" s="9">
        <v>45286</v>
      </c>
      <c r="B6755" s="2" t="inlineStr">
        <is>
          <t xml:space="preserve">2023-12</t>
        </is>
      </c>
      <c r="C6755" s="2" t="inlineStr">
        <is>
          <t xml:space="preserve">2023/24</t>
        </is>
      </c>
      <c r="D6755">
        <v>0.0</v>
      </c>
      <c r="E6755">
        <v>21.71</v>
      </c>
      <c r="F6755">
        <v>27.05</v>
      </c>
      <c r="G6755">
        <v>16.68</v>
      </c>
      <c r="H6755">
        <v>0.77</v>
      </c>
      <c r="I6755">
        <v>0.0</v>
      </c>
      <c r="J6755">
        <v>22.41</v>
      </c>
      <c r="K6755">
        <v>28.05</v>
      </c>
      <c r="L6755">
        <v>17.83</v>
      </c>
      <c r="M6755">
        <v>4.86</v>
      </c>
      <c r="N6755">
        <v>0.0</v>
      </c>
      <c r="O6755">
        <v>22.81</v>
      </c>
      <c r="P6755">
        <v>27.37</v>
      </c>
      <c r="Q6755">
        <v>19.61</v>
      </c>
      <c r="R6755">
        <v>3.53</v>
      </c>
    </row>
    <row r="6756">
      <c r="A6756" s="9">
        <v>45287</v>
      </c>
      <c r="B6756" s="2" t="inlineStr">
        <is>
          <t xml:space="preserve">2023-12</t>
        </is>
      </c>
      <c r="C6756" s="2" t="inlineStr">
        <is>
          <t xml:space="preserve">2023/24</t>
        </is>
      </c>
      <c r="D6756">
        <v>0.028</v>
      </c>
      <c r="E6756">
        <v>22.42</v>
      </c>
      <c r="F6756">
        <v>27.32</v>
      </c>
      <c r="G6756">
        <v>18.57</v>
      </c>
      <c r="H6756">
        <v>0.79</v>
      </c>
      <c r="I6756">
        <v>4.579</v>
      </c>
      <c r="J6756">
        <v>21.58</v>
      </c>
      <c r="K6756">
        <v>26.6</v>
      </c>
      <c r="L6756">
        <v>18.01</v>
      </c>
      <c r="M6756">
        <v>3.69</v>
      </c>
      <c r="N6756">
        <v>18.524</v>
      </c>
      <c r="O6756">
        <v>23.05</v>
      </c>
      <c r="P6756">
        <v>27.35</v>
      </c>
      <c r="Q6756">
        <v>20.22</v>
      </c>
      <c r="R6756">
        <v>4.03</v>
      </c>
    </row>
    <row r="6757">
      <c r="A6757" s="9">
        <v>45288</v>
      </c>
      <c r="B6757" s="2" t="inlineStr">
        <is>
          <t xml:space="preserve">2023-12</t>
        </is>
      </c>
      <c r="C6757" s="2" t="inlineStr">
        <is>
          <t xml:space="preserve">2023/24</t>
        </is>
      </c>
      <c r="D6757">
        <v>0.03</v>
      </c>
      <c r="E6757">
        <v>21.95</v>
      </c>
      <c r="F6757">
        <v>26.64</v>
      </c>
      <c r="G6757">
        <v>18.75</v>
      </c>
      <c r="H6757">
        <v>4.35</v>
      </c>
      <c r="I6757">
        <v>0.0</v>
      </c>
      <c r="J6757">
        <v>21.68</v>
      </c>
      <c r="K6757">
        <v>27.87</v>
      </c>
      <c r="L6757">
        <v>15.66</v>
      </c>
      <c r="M6757">
        <v>0.34</v>
      </c>
      <c r="N6757">
        <v>0.0</v>
      </c>
      <c r="O6757">
        <v>21.52</v>
      </c>
      <c r="P6757">
        <v>26.8</v>
      </c>
      <c r="Q6757">
        <v>16.7</v>
      </c>
      <c r="R6757">
        <v>3.43</v>
      </c>
    </row>
    <row r="6758">
      <c r="A6758" s="9">
        <v>45289</v>
      </c>
      <c r="B6758" s="2" t="inlineStr">
        <is>
          <t xml:space="preserve">2023-12</t>
        </is>
      </c>
      <c r="C6758" s="2" t="inlineStr">
        <is>
          <t xml:space="preserve">2023/24</t>
        </is>
      </c>
      <c r="D6758">
        <v>3.591</v>
      </c>
      <c r="E6758">
        <v>20.02</v>
      </c>
      <c r="F6758">
        <v>24.02</v>
      </c>
      <c r="G6758">
        <v>17.27</v>
      </c>
      <c r="H6758">
        <v>5.98</v>
      </c>
      <c r="I6758">
        <v>0.0</v>
      </c>
      <c r="J6758">
        <v>21.26</v>
      </c>
      <c r="K6758">
        <v>25.45</v>
      </c>
      <c r="L6758">
        <v>18.25</v>
      </c>
      <c r="M6758">
        <v>0.72</v>
      </c>
      <c r="N6758">
        <v>0.335</v>
      </c>
      <c r="O6758">
        <v>20.34</v>
      </c>
      <c r="P6758">
        <v>23.35</v>
      </c>
      <c r="Q6758">
        <v>18.43</v>
      </c>
      <c r="R6758">
        <v>5.22</v>
      </c>
    </row>
    <row r="6759">
      <c r="A6759" s="9">
        <v>45290</v>
      </c>
      <c r="B6759" s="2" t="inlineStr">
        <is>
          <t xml:space="preserve">2023-12</t>
        </is>
      </c>
      <c r="C6759" s="2" t="inlineStr">
        <is>
          <t xml:space="preserve">2023/24</t>
        </is>
      </c>
      <c r="D6759">
        <v>0.06</v>
      </c>
      <c r="E6759">
        <v>18.38</v>
      </c>
      <c r="F6759">
        <v>23.42</v>
      </c>
      <c r="G6759">
        <v>14.04</v>
      </c>
      <c r="H6759">
        <v>5.99</v>
      </c>
      <c r="I6759">
        <v>0.593</v>
      </c>
      <c r="J6759">
        <v>18.51</v>
      </c>
      <c r="K6759">
        <v>22.71</v>
      </c>
      <c r="L6759">
        <v>14.18</v>
      </c>
      <c r="M6759">
        <v>1.72</v>
      </c>
      <c r="N6759">
        <v>2.527</v>
      </c>
      <c r="O6759">
        <v>17.47</v>
      </c>
      <c r="P6759">
        <v>19.94</v>
      </c>
      <c r="Q6759">
        <v>13.93</v>
      </c>
      <c r="R6759">
        <v>9.8</v>
      </c>
    </row>
    <row r="6760">
      <c r="A6760" s="9">
        <v>45291</v>
      </c>
      <c r="B6760" s="2" t="inlineStr">
        <is>
          <t xml:space="preserve">2023-12</t>
        </is>
      </c>
      <c r="C6760" s="2" t="inlineStr">
        <is>
          <t xml:space="preserve">2023/24</t>
        </is>
      </c>
      <c r="D6760">
        <v>0.02</v>
      </c>
      <c r="E6760">
        <v>17.8</v>
      </c>
      <c r="F6760">
        <v>22.83</v>
      </c>
      <c r="G6760">
        <v>14.08</v>
      </c>
      <c r="H6760">
        <v>0.98</v>
      </c>
      <c r="I6760">
        <v>0.617</v>
      </c>
      <c r="J6760">
        <v>16.54</v>
      </c>
      <c r="K6760">
        <v>21.41</v>
      </c>
      <c r="L6760">
        <v>12.84</v>
      </c>
      <c r="M6760">
        <v>0.73</v>
      </c>
      <c r="N6760">
        <v>2.537</v>
      </c>
      <c r="O6760">
        <v>16.08</v>
      </c>
      <c r="P6760">
        <v>19.98</v>
      </c>
      <c r="Q6760">
        <v>12.93</v>
      </c>
      <c r="R6760">
        <v>2.3</v>
      </c>
    </row>
    <row r="6761">
      <c r="A6761" s="9">
        <v>45292</v>
      </c>
      <c r="B6761" s="2" t="inlineStr">
        <is>
          <t xml:space="preserve">2024-01</t>
        </is>
      </c>
      <c r="C6761" s="2" t="inlineStr">
        <is>
          <t xml:space="preserve">2023/24</t>
        </is>
      </c>
      <c r="D6761">
        <v>0.0</v>
      </c>
      <c r="E6761">
        <v>19.19</v>
      </c>
      <c r="F6761">
        <v>24.51</v>
      </c>
      <c r="G6761">
        <v>15.14</v>
      </c>
      <c r="H6761">
        <v>0.22</v>
      </c>
      <c r="I6761">
        <v>0.0</v>
      </c>
      <c r="J6761">
        <v>19.28</v>
      </c>
      <c r="K6761">
        <v>25.19</v>
      </c>
      <c r="L6761">
        <v>14.75</v>
      </c>
      <c r="M6761">
        <v>0.05</v>
      </c>
      <c r="N6761">
        <v>0.0</v>
      </c>
      <c r="O6761">
        <v>19.08</v>
      </c>
      <c r="P6761">
        <v>24.04</v>
      </c>
      <c r="Q6761">
        <v>15.31</v>
      </c>
      <c r="R6761">
        <v>0.66</v>
      </c>
    </row>
    <row r="6762">
      <c r="A6762" s="9">
        <v>45293</v>
      </c>
      <c r="B6762" s="2" t="inlineStr">
        <is>
          <t xml:space="preserve">2024-01</t>
        </is>
      </c>
      <c r="C6762" s="2" t="inlineStr">
        <is>
          <t xml:space="preserve">2023/24</t>
        </is>
      </c>
      <c r="D6762">
        <v>0.0</v>
      </c>
      <c r="E6762">
        <v>19.22</v>
      </c>
      <c r="F6762">
        <v>23.96</v>
      </c>
      <c r="G6762">
        <v>16.32</v>
      </c>
      <c r="H6762">
        <v>0.74</v>
      </c>
      <c r="I6762">
        <v>0.0</v>
      </c>
      <c r="J6762">
        <v>19.74</v>
      </c>
      <c r="K6762">
        <v>24.8</v>
      </c>
      <c r="L6762">
        <v>16.64</v>
      </c>
      <c r="M6762">
        <v>0.23</v>
      </c>
      <c r="N6762">
        <v>0.105</v>
      </c>
      <c r="O6762">
        <v>19.28</v>
      </c>
      <c r="P6762">
        <v>23.5</v>
      </c>
      <c r="Q6762">
        <v>16.77</v>
      </c>
      <c r="R6762">
        <v>2.18</v>
      </c>
    </row>
    <row r="6763">
      <c r="A6763" s="9">
        <v>45294</v>
      </c>
      <c r="B6763" s="2" t="inlineStr">
        <is>
          <t xml:space="preserve">2024-01</t>
        </is>
      </c>
      <c r="C6763" s="2" t="inlineStr">
        <is>
          <t xml:space="preserve">2023/24</t>
        </is>
      </c>
      <c r="D6763">
        <v>0.0</v>
      </c>
      <c r="E6763">
        <v>20.61</v>
      </c>
      <c r="F6763">
        <v>27.0</v>
      </c>
      <c r="G6763">
        <v>14.96</v>
      </c>
      <c r="H6763">
        <v>0.04</v>
      </c>
      <c r="I6763">
        <v>0.0</v>
      </c>
      <c r="J6763">
        <v>21.1</v>
      </c>
      <c r="K6763">
        <v>27.96</v>
      </c>
      <c r="L6763">
        <v>15.4</v>
      </c>
      <c r="M6763">
        <v>0.02</v>
      </c>
      <c r="N6763">
        <v>0.0</v>
      </c>
      <c r="O6763">
        <v>20.83</v>
      </c>
      <c r="P6763">
        <v>27.11</v>
      </c>
      <c r="Q6763">
        <v>16.16</v>
      </c>
      <c r="R6763">
        <v>0.03</v>
      </c>
    </row>
    <row r="6764">
      <c r="A6764" s="9">
        <v>45295</v>
      </c>
      <c r="B6764" s="2" t="inlineStr">
        <is>
          <t xml:space="preserve">2024-01</t>
        </is>
      </c>
      <c r="C6764" s="2" t="inlineStr">
        <is>
          <t xml:space="preserve">2023/24</t>
        </is>
      </c>
      <c r="D6764">
        <v>0.0</v>
      </c>
      <c r="E6764">
        <v>20.94</v>
      </c>
      <c r="F6764">
        <v>26.19</v>
      </c>
      <c r="G6764">
        <v>17.06</v>
      </c>
      <c r="H6764">
        <v>0.06</v>
      </c>
      <c r="I6764">
        <v>0.0</v>
      </c>
      <c r="J6764">
        <v>21.09</v>
      </c>
      <c r="K6764">
        <v>26.27</v>
      </c>
      <c r="L6764">
        <v>16.92</v>
      </c>
      <c r="M6764">
        <v>0.01</v>
      </c>
      <c r="N6764">
        <v>0.0</v>
      </c>
      <c r="O6764">
        <v>20.91</v>
      </c>
      <c r="P6764">
        <v>25.5</v>
      </c>
      <c r="Q6764">
        <v>17.75</v>
      </c>
      <c r="R6764">
        <v>0.22</v>
      </c>
    </row>
    <row r="6765">
      <c r="A6765" s="9">
        <v>45296</v>
      </c>
      <c r="B6765" s="2" t="inlineStr">
        <is>
          <t xml:space="preserve">2024-01</t>
        </is>
      </c>
      <c r="C6765" s="2" t="inlineStr">
        <is>
          <t xml:space="preserve">2023/24</t>
        </is>
      </c>
      <c r="D6765">
        <v>0.0</v>
      </c>
      <c r="E6765">
        <v>21.05</v>
      </c>
      <c r="F6765">
        <v>27.53</v>
      </c>
      <c r="G6765">
        <v>16.36</v>
      </c>
      <c r="H6765">
        <v>0.0</v>
      </c>
      <c r="I6765">
        <v>0.0</v>
      </c>
      <c r="J6765">
        <v>21.63</v>
      </c>
      <c r="K6765">
        <v>28.23</v>
      </c>
      <c r="L6765">
        <v>17.24</v>
      </c>
      <c r="M6765">
        <v>0.0</v>
      </c>
      <c r="N6765">
        <v>0.0</v>
      </c>
      <c r="O6765">
        <v>22.21</v>
      </c>
      <c r="P6765">
        <v>27.85</v>
      </c>
      <c r="Q6765">
        <v>18.12</v>
      </c>
      <c r="R6765">
        <v>0.0</v>
      </c>
    </row>
    <row r="6766">
      <c r="A6766" s="9">
        <v>45297</v>
      </c>
      <c r="B6766" s="2" t="inlineStr">
        <is>
          <t xml:space="preserve">2024-01</t>
        </is>
      </c>
      <c r="C6766" s="2" t="inlineStr">
        <is>
          <t xml:space="preserve">2023/24</t>
        </is>
      </c>
      <c r="D6766">
        <v>0.0</v>
      </c>
      <c r="E6766">
        <v>21.1</v>
      </c>
      <c r="F6766">
        <v>27.65</v>
      </c>
      <c r="G6766">
        <v>15.32</v>
      </c>
      <c r="H6766">
        <v>0.0</v>
      </c>
      <c r="I6766">
        <v>0.0</v>
      </c>
      <c r="J6766">
        <v>21.64</v>
      </c>
      <c r="K6766">
        <v>27.94</v>
      </c>
      <c r="L6766">
        <v>16.62</v>
      </c>
      <c r="M6766">
        <v>0.0</v>
      </c>
      <c r="N6766">
        <v>0.0</v>
      </c>
      <c r="O6766">
        <v>21.63</v>
      </c>
      <c r="P6766">
        <v>28.02</v>
      </c>
      <c r="Q6766">
        <v>15.9</v>
      </c>
      <c r="R6766">
        <v>0.0</v>
      </c>
    </row>
    <row r="6767">
      <c r="A6767" s="9">
        <v>45298</v>
      </c>
      <c r="B6767" s="2" t="inlineStr">
        <is>
          <t xml:space="preserve">2024-01</t>
        </is>
      </c>
      <c r="C6767" s="2" t="inlineStr">
        <is>
          <t xml:space="preserve">2023/24</t>
        </is>
      </c>
      <c r="D6767">
        <v>0.0</v>
      </c>
      <c r="E6767">
        <v>20.1</v>
      </c>
      <c r="F6767">
        <v>26.22</v>
      </c>
      <c r="G6767">
        <v>15.69</v>
      </c>
      <c r="H6767">
        <v>0.0</v>
      </c>
      <c r="I6767">
        <v>0.0</v>
      </c>
      <c r="J6767">
        <v>20.43</v>
      </c>
      <c r="K6767">
        <v>26.59</v>
      </c>
      <c r="L6767">
        <v>15.66</v>
      </c>
      <c r="M6767">
        <v>0.0</v>
      </c>
      <c r="N6767">
        <v>0.0</v>
      </c>
      <c r="O6767">
        <v>20.77</v>
      </c>
      <c r="P6767">
        <v>25.34</v>
      </c>
      <c r="Q6767">
        <v>17.36</v>
      </c>
      <c r="R6767">
        <v>0.0</v>
      </c>
    </row>
    <row r="6768">
      <c r="A6768" s="9">
        <v>45299</v>
      </c>
      <c r="B6768" s="2" t="inlineStr">
        <is>
          <t xml:space="preserve">2024-01</t>
        </is>
      </c>
      <c r="C6768" s="2" t="inlineStr">
        <is>
          <t xml:space="preserve">2023/24</t>
        </is>
      </c>
      <c r="D6768">
        <v>0.0</v>
      </c>
      <c r="E6768">
        <v>19.9</v>
      </c>
      <c r="F6768">
        <v>26.58</v>
      </c>
      <c r="G6768">
        <v>15.05</v>
      </c>
      <c r="H6768">
        <v>0.0</v>
      </c>
      <c r="I6768">
        <v>0.0</v>
      </c>
      <c r="J6768">
        <v>20.86</v>
      </c>
      <c r="K6768">
        <v>27.34</v>
      </c>
      <c r="L6768">
        <v>15.88</v>
      </c>
      <c r="M6768">
        <v>0.0</v>
      </c>
      <c r="N6768">
        <v>0.0</v>
      </c>
      <c r="O6768">
        <v>21.12</v>
      </c>
      <c r="P6768">
        <v>26.26</v>
      </c>
      <c r="Q6768">
        <v>17.5</v>
      </c>
      <c r="R6768">
        <v>0.0</v>
      </c>
    </row>
    <row r="6769">
      <c r="A6769" s="9">
        <v>45300</v>
      </c>
      <c r="B6769" s="2" t="inlineStr">
        <is>
          <t xml:space="preserve">2024-01</t>
        </is>
      </c>
      <c r="C6769" s="2" t="inlineStr">
        <is>
          <t xml:space="preserve">2023/24</t>
        </is>
      </c>
      <c r="D6769">
        <v>0.0</v>
      </c>
      <c r="E6769">
        <v>20.62</v>
      </c>
      <c r="F6769">
        <v>27.43</v>
      </c>
      <c r="G6769">
        <v>13.94</v>
      </c>
      <c r="H6769">
        <v>0.0</v>
      </c>
      <c r="I6769">
        <v>0.0</v>
      </c>
      <c r="J6769">
        <v>21.1</v>
      </c>
      <c r="K6769">
        <v>27.74</v>
      </c>
      <c r="L6769">
        <v>15.18</v>
      </c>
      <c r="M6769">
        <v>0.0</v>
      </c>
      <c r="N6769">
        <v>0.0</v>
      </c>
      <c r="O6769">
        <v>21.54</v>
      </c>
      <c r="P6769">
        <v>27.68</v>
      </c>
      <c r="Q6769">
        <v>15.15</v>
      </c>
      <c r="R6769">
        <v>0.0</v>
      </c>
    </row>
    <row r="6770">
      <c r="A6770" s="9">
        <v>45301</v>
      </c>
      <c r="B6770" s="2" t="inlineStr">
        <is>
          <t xml:space="preserve">2024-01</t>
        </is>
      </c>
      <c r="C6770" s="2" t="inlineStr">
        <is>
          <t xml:space="preserve">2023/24</t>
        </is>
      </c>
      <c r="D6770">
        <v>0.0</v>
      </c>
      <c r="E6770">
        <v>20.33</v>
      </c>
      <c r="F6770">
        <v>26.37</v>
      </c>
      <c r="G6770">
        <v>15.08</v>
      </c>
      <c r="H6770">
        <v>0.05</v>
      </c>
      <c r="I6770">
        <v>0.0</v>
      </c>
      <c r="J6770">
        <v>21.14</v>
      </c>
      <c r="K6770">
        <v>27.14</v>
      </c>
      <c r="L6770">
        <v>16.27</v>
      </c>
      <c r="M6770">
        <v>0.0</v>
      </c>
      <c r="N6770">
        <v>0.0</v>
      </c>
      <c r="O6770">
        <v>20.79</v>
      </c>
      <c r="P6770">
        <v>25.46</v>
      </c>
      <c r="Q6770">
        <v>18.01</v>
      </c>
      <c r="R6770">
        <v>0.05</v>
      </c>
    </row>
    <row r="6771">
      <c r="A6771" s="9">
        <v>45302</v>
      </c>
      <c r="B6771" s="2" t="inlineStr">
        <is>
          <t xml:space="preserve">2024-01</t>
        </is>
      </c>
      <c r="C6771" s="2" t="inlineStr">
        <is>
          <t xml:space="preserve">2023/24</t>
        </is>
      </c>
      <c r="D6771">
        <v>0.0</v>
      </c>
      <c r="E6771">
        <v>21.25</v>
      </c>
      <c r="F6771">
        <v>28.15</v>
      </c>
      <c r="G6771">
        <v>16.11</v>
      </c>
      <c r="H6771">
        <v>0.0</v>
      </c>
      <c r="I6771">
        <v>0.0</v>
      </c>
      <c r="J6771">
        <v>21.75</v>
      </c>
      <c r="K6771">
        <v>28.32</v>
      </c>
      <c r="L6771">
        <v>17.08</v>
      </c>
      <c r="M6771">
        <v>0.0</v>
      </c>
      <c r="N6771">
        <v>0.0</v>
      </c>
      <c r="O6771">
        <v>22.19</v>
      </c>
      <c r="P6771">
        <v>28.24</v>
      </c>
      <c r="Q6771">
        <v>17.09</v>
      </c>
      <c r="R6771">
        <v>0.0</v>
      </c>
    </row>
    <row r="6772">
      <c r="A6772" s="9">
        <v>45303</v>
      </c>
      <c r="B6772" s="2" t="inlineStr">
        <is>
          <t xml:space="preserve">2024-01</t>
        </is>
      </c>
      <c r="C6772" s="2" t="inlineStr">
        <is>
          <t xml:space="preserve">2023/24</t>
        </is>
      </c>
      <c r="D6772">
        <v>0.0</v>
      </c>
      <c r="E6772">
        <v>21.11</v>
      </c>
      <c r="F6772">
        <v>28.25</v>
      </c>
      <c r="G6772">
        <v>15.47</v>
      </c>
      <c r="H6772">
        <v>0.0</v>
      </c>
      <c r="I6772">
        <v>0.0</v>
      </c>
      <c r="J6772">
        <v>21.03</v>
      </c>
      <c r="K6772">
        <v>27.62</v>
      </c>
      <c r="L6772">
        <v>16.55</v>
      </c>
      <c r="M6772">
        <v>0.0</v>
      </c>
      <c r="N6772">
        <v>0.0</v>
      </c>
      <c r="O6772">
        <v>21.66</v>
      </c>
      <c r="P6772">
        <v>27.67</v>
      </c>
      <c r="Q6772">
        <v>17.27</v>
      </c>
      <c r="R6772">
        <v>0.0</v>
      </c>
    </row>
    <row r="6773">
      <c r="A6773" s="9">
        <v>45304</v>
      </c>
      <c r="B6773" s="2" t="inlineStr">
        <is>
          <t xml:space="preserve">2024-01</t>
        </is>
      </c>
      <c r="C6773" s="2" t="inlineStr">
        <is>
          <t xml:space="preserve">2023/24</t>
        </is>
      </c>
      <c r="D6773">
        <v>0.0</v>
      </c>
      <c r="E6773">
        <v>21.0</v>
      </c>
      <c r="F6773">
        <v>27.39</v>
      </c>
      <c r="G6773">
        <v>15.75</v>
      </c>
      <c r="H6773">
        <v>0.0</v>
      </c>
      <c r="I6773">
        <v>0.0</v>
      </c>
      <c r="J6773">
        <v>21.02</v>
      </c>
      <c r="K6773">
        <v>27.77</v>
      </c>
      <c r="L6773">
        <v>15.58</v>
      </c>
      <c r="M6773">
        <v>0.0</v>
      </c>
      <c r="N6773">
        <v>0.0</v>
      </c>
      <c r="O6773">
        <v>21.14</v>
      </c>
      <c r="P6773">
        <v>26.45</v>
      </c>
      <c r="Q6773">
        <v>17.02</v>
      </c>
      <c r="R6773">
        <v>0.0</v>
      </c>
    </row>
    <row r="6774">
      <c r="A6774" s="9">
        <v>45305</v>
      </c>
      <c r="B6774" s="2" t="inlineStr">
        <is>
          <t xml:space="preserve">2024-01</t>
        </is>
      </c>
      <c r="C6774" s="2" t="inlineStr">
        <is>
          <t xml:space="preserve">2023/24</t>
        </is>
      </c>
      <c r="D6774">
        <v>0.0</v>
      </c>
      <c r="E6774">
        <v>21.24</v>
      </c>
      <c r="F6774">
        <v>26.97</v>
      </c>
      <c r="G6774">
        <v>17.29</v>
      </c>
      <c r="H6774">
        <v>0.0</v>
      </c>
      <c r="I6774">
        <v>0.0</v>
      </c>
      <c r="J6774">
        <v>21.43</v>
      </c>
      <c r="K6774">
        <v>27.39</v>
      </c>
      <c r="L6774">
        <v>17.37</v>
      </c>
      <c r="M6774">
        <v>0.0</v>
      </c>
      <c r="N6774">
        <v>0.0</v>
      </c>
      <c r="O6774">
        <v>21.22</v>
      </c>
      <c r="P6774">
        <v>26.15</v>
      </c>
      <c r="Q6774">
        <v>18.1</v>
      </c>
      <c r="R6774">
        <v>0.0</v>
      </c>
    </row>
    <row r="6775">
      <c r="A6775" s="9">
        <v>45306</v>
      </c>
      <c r="B6775" s="2" t="inlineStr">
        <is>
          <t xml:space="preserve">2024-01</t>
        </is>
      </c>
      <c r="C6775" s="2" t="inlineStr">
        <is>
          <t xml:space="preserve">2023/24</t>
        </is>
      </c>
      <c r="D6775">
        <v>0.0</v>
      </c>
      <c r="E6775">
        <v>20.82</v>
      </c>
      <c r="F6775">
        <v>27.86</v>
      </c>
      <c r="G6775">
        <v>15.06</v>
      </c>
      <c r="H6775">
        <v>0.0</v>
      </c>
      <c r="I6775">
        <v>0.0</v>
      </c>
      <c r="J6775">
        <v>22.01</v>
      </c>
      <c r="K6775">
        <v>28.42</v>
      </c>
      <c r="L6775">
        <v>17.56</v>
      </c>
      <c r="M6775">
        <v>0.0</v>
      </c>
      <c r="N6775">
        <v>0.0</v>
      </c>
      <c r="O6775">
        <v>21.67</v>
      </c>
      <c r="P6775">
        <v>26.81</v>
      </c>
      <c r="Q6775">
        <v>18.9</v>
      </c>
      <c r="R6775">
        <v>0.0</v>
      </c>
    </row>
    <row r="6776">
      <c r="A6776" s="9">
        <v>45307</v>
      </c>
      <c r="B6776" s="2" t="inlineStr">
        <is>
          <t xml:space="preserve">2024-01</t>
        </is>
      </c>
      <c r="C6776" s="2" t="inlineStr">
        <is>
          <t xml:space="preserve">2023/24</t>
        </is>
      </c>
      <c r="D6776">
        <v>0.0</v>
      </c>
      <c r="E6776">
        <v>21.36</v>
      </c>
      <c r="F6776">
        <v>28.7</v>
      </c>
      <c r="G6776">
        <v>15.02</v>
      </c>
      <c r="H6776">
        <v>0.05</v>
      </c>
      <c r="I6776">
        <v>0.0</v>
      </c>
      <c r="J6776">
        <v>21.58</v>
      </c>
      <c r="K6776">
        <v>28.03</v>
      </c>
      <c r="L6776">
        <v>16.58</v>
      </c>
      <c r="M6776">
        <v>0.0</v>
      </c>
      <c r="N6776">
        <v>0.0</v>
      </c>
      <c r="O6776">
        <v>21.7</v>
      </c>
      <c r="P6776">
        <v>26.88</v>
      </c>
      <c r="Q6776">
        <v>18.57</v>
      </c>
      <c r="R6776">
        <v>0.04</v>
      </c>
    </row>
    <row r="6777">
      <c r="A6777" s="9">
        <v>45308</v>
      </c>
      <c r="B6777" s="2" t="inlineStr">
        <is>
          <t xml:space="preserve">2024-01</t>
        </is>
      </c>
      <c r="C6777" s="2" t="inlineStr">
        <is>
          <t xml:space="preserve">2023/24</t>
        </is>
      </c>
      <c r="D6777">
        <v>0.0</v>
      </c>
      <c r="E6777">
        <v>21.78</v>
      </c>
      <c r="F6777">
        <v>27.11</v>
      </c>
      <c r="G6777">
        <v>18.02</v>
      </c>
      <c r="H6777">
        <v>0.21</v>
      </c>
      <c r="I6777">
        <v>0.0</v>
      </c>
      <c r="J6777">
        <v>22.03</v>
      </c>
      <c r="K6777">
        <v>27.65</v>
      </c>
      <c r="L6777">
        <v>18.01</v>
      </c>
      <c r="M6777">
        <v>0.01</v>
      </c>
      <c r="N6777">
        <v>0.0</v>
      </c>
      <c r="O6777">
        <v>21.7</v>
      </c>
      <c r="P6777">
        <v>26.36</v>
      </c>
      <c r="Q6777">
        <v>18.21</v>
      </c>
      <c r="R6777">
        <v>0.31</v>
      </c>
    </row>
    <row r="6778">
      <c r="A6778" s="9">
        <v>45309</v>
      </c>
      <c r="B6778" s="2" t="inlineStr">
        <is>
          <t xml:space="preserve">2024-01</t>
        </is>
      </c>
      <c r="C6778" s="2" t="inlineStr">
        <is>
          <t xml:space="preserve">2023/24</t>
        </is>
      </c>
      <c r="D6778">
        <v>0.0</v>
      </c>
      <c r="E6778">
        <v>21.58</v>
      </c>
      <c r="F6778">
        <v>28.3</v>
      </c>
      <c r="G6778">
        <v>16.48</v>
      </c>
      <c r="H6778">
        <v>0.04</v>
      </c>
      <c r="I6778">
        <v>0.0</v>
      </c>
      <c r="J6778">
        <v>21.99</v>
      </c>
      <c r="K6778">
        <v>28.55</v>
      </c>
      <c r="L6778">
        <v>17.65</v>
      </c>
      <c r="M6778">
        <v>0.0</v>
      </c>
      <c r="N6778">
        <v>0.0</v>
      </c>
      <c r="O6778">
        <v>21.72</v>
      </c>
      <c r="P6778">
        <v>27.03</v>
      </c>
      <c r="Q6778">
        <v>18.36</v>
      </c>
      <c r="R6778">
        <v>0.09</v>
      </c>
    </row>
    <row r="6779">
      <c r="A6779" s="9">
        <v>45310</v>
      </c>
      <c r="B6779" s="2" t="inlineStr">
        <is>
          <t xml:space="preserve">2024-01</t>
        </is>
      </c>
      <c r="C6779" s="2" t="inlineStr">
        <is>
          <t xml:space="preserve">2023/24</t>
        </is>
      </c>
      <c r="D6779">
        <v>0.0</v>
      </c>
      <c r="E6779">
        <v>21.97</v>
      </c>
      <c r="F6779">
        <v>28.38</v>
      </c>
      <c r="G6779">
        <v>17.92</v>
      </c>
      <c r="H6779">
        <v>0.2</v>
      </c>
      <c r="I6779">
        <v>0.0</v>
      </c>
      <c r="J6779">
        <v>22.72</v>
      </c>
      <c r="K6779">
        <v>29.58</v>
      </c>
      <c r="L6779">
        <v>17.53</v>
      </c>
      <c r="M6779">
        <v>0.07</v>
      </c>
      <c r="N6779">
        <v>0.0</v>
      </c>
      <c r="O6779">
        <v>22.11</v>
      </c>
      <c r="P6779">
        <v>27.35</v>
      </c>
      <c r="Q6779">
        <v>18.67</v>
      </c>
      <c r="R6779">
        <v>0.63</v>
      </c>
    </row>
    <row r="6780">
      <c r="A6780" s="9">
        <v>45311</v>
      </c>
      <c r="B6780" s="2" t="inlineStr">
        <is>
          <t xml:space="preserve">2024-01</t>
        </is>
      </c>
      <c r="C6780" s="2" t="inlineStr">
        <is>
          <t xml:space="preserve">2023/24</t>
        </is>
      </c>
      <c r="D6780">
        <v>0.0</v>
      </c>
      <c r="E6780">
        <v>21.03</v>
      </c>
      <c r="F6780">
        <v>26.6</v>
      </c>
      <c r="G6780">
        <v>17.46</v>
      </c>
      <c r="H6780">
        <v>3.01</v>
      </c>
      <c r="I6780">
        <v>0.0</v>
      </c>
      <c r="J6780">
        <v>20.98</v>
      </c>
      <c r="K6780">
        <v>26.02</v>
      </c>
      <c r="L6780">
        <v>17.65</v>
      </c>
      <c r="M6780">
        <v>0.4</v>
      </c>
      <c r="N6780">
        <v>0.385</v>
      </c>
      <c r="O6780">
        <v>20.66</v>
      </c>
      <c r="P6780">
        <v>24.78</v>
      </c>
      <c r="Q6780">
        <v>18.21</v>
      </c>
      <c r="R6780">
        <v>2.12</v>
      </c>
    </row>
    <row r="6781">
      <c r="A6781" s="9">
        <v>45312</v>
      </c>
      <c r="B6781" s="2" t="inlineStr">
        <is>
          <t xml:space="preserve">2024-01</t>
        </is>
      </c>
      <c r="C6781" s="2" t="inlineStr">
        <is>
          <t xml:space="preserve">2023/24</t>
        </is>
      </c>
      <c r="D6781">
        <v>0.654</v>
      </c>
      <c r="E6781">
        <v>20.65</v>
      </c>
      <c r="F6781">
        <v>26.29</v>
      </c>
      <c r="G6781">
        <v>16.96</v>
      </c>
      <c r="H6781">
        <v>1.33</v>
      </c>
      <c r="I6781">
        <v>0.191</v>
      </c>
      <c r="J6781">
        <v>20.51</v>
      </c>
      <c r="K6781">
        <v>25.97</v>
      </c>
      <c r="L6781">
        <v>16.77</v>
      </c>
      <c r="M6781">
        <v>1.33</v>
      </c>
      <c r="N6781">
        <v>2.518</v>
      </c>
      <c r="O6781">
        <v>20.5</v>
      </c>
      <c r="P6781">
        <v>24.92</v>
      </c>
      <c r="Q6781">
        <v>17.98</v>
      </c>
      <c r="R6781">
        <v>3.62</v>
      </c>
    </row>
    <row r="6782">
      <c r="A6782" s="9">
        <v>45313</v>
      </c>
      <c r="B6782" s="2" t="inlineStr">
        <is>
          <t xml:space="preserve">2024-01</t>
        </is>
      </c>
      <c r="C6782" s="2" t="inlineStr">
        <is>
          <t xml:space="preserve">2023/24</t>
        </is>
      </c>
      <c r="D6782">
        <v>0.0</v>
      </c>
      <c r="E6782">
        <v>20.75</v>
      </c>
      <c r="F6782">
        <v>27.41</v>
      </c>
      <c r="G6782">
        <v>16.02</v>
      </c>
      <c r="H6782">
        <v>0.41</v>
      </c>
      <c r="I6782">
        <v>0.0</v>
      </c>
      <c r="J6782">
        <v>21.62</v>
      </c>
      <c r="K6782">
        <v>27.96</v>
      </c>
      <c r="L6782">
        <v>17.0</v>
      </c>
      <c r="M6782">
        <v>0.05</v>
      </c>
      <c r="N6782">
        <v>0.052</v>
      </c>
      <c r="O6782">
        <v>21.11</v>
      </c>
      <c r="P6782">
        <v>26.36</v>
      </c>
      <c r="Q6782">
        <v>17.63</v>
      </c>
      <c r="R6782">
        <v>0.7</v>
      </c>
    </row>
    <row r="6783">
      <c r="A6783" s="9">
        <v>45314</v>
      </c>
      <c r="B6783" s="2" t="inlineStr">
        <is>
          <t xml:space="preserve">2024-01</t>
        </is>
      </c>
      <c r="C6783" s="2" t="inlineStr">
        <is>
          <t xml:space="preserve">2023/24</t>
        </is>
      </c>
      <c r="D6783">
        <v>0.0</v>
      </c>
      <c r="E6783">
        <v>20.88</v>
      </c>
      <c r="F6783">
        <v>28.37</v>
      </c>
      <c r="G6783">
        <v>15.97</v>
      </c>
      <c r="H6783">
        <v>0.0</v>
      </c>
      <c r="I6783">
        <v>0.0</v>
      </c>
      <c r="J6783">
        <v>22.55</v>
      </c>
      <c r="K6783">
        <v>29.4</v>
      </c>
      <c r="L6783">
        <v>17.81</v>
      </c>
      <c r="M6783">
        <v>0.0</v>
      </c>
      <c r="N6783">
        <v>0.0</v>
      </c>
      <c r="O6783">
        <v>21.92</v>
      </c>
      <c r="P6783">
        <v>27.58</v>
      </c>
      <c r="Q6783">
        <v>18.38</v>
      </c>
      <c r="R6783">
        <v>0.0</v>
      </c>
    </row>
    <row r="6784">
      <c r="A6784" s="9">
        <v>45315</v>
      </c>
      <c r="B6784" s="2" t="inlineStr">
        <is>
          <t xml:space="preserve">2024-01</t>
        </is>
      </c>
      <c r="C6784" s="2" t="inlineStr">
        <is>
          <t xml:space="preserve">2023/24</t>
        </is>
      </c>
      <c r="D6784">
        <v>0.0</v>
      </c>
      <c r="E6784">
        <v>21.51</v>
      </c>
      <c r="F6784">
        <v>28.78</v>
      </c>
      <c r="G6784">
        <v>15.4</v>
      </c>
      <c r="H6784">
        <v>0.06</v>
      </c>
      <c r="I6784">
        <v>0.0</v>
      </c>
      <c r="J6784">
        <v>23.07</v>
      </c>
      <c r="K6784">
        <v>29.78</v>
      </c>
      <c r="L6784">
        <v>18.11</v>
      </c>
      <c r="M6784">
        <v>0.0</v>
      </c>
      <c r="N6784">
        <v>0.0</v>
      </c>
      <c r="O6784">
        <v>22.32</v>
      </c>
      <c r="P6784">
        <v>27.77</v>
      </c>
      <c r="Q6784">
        <v>18.62</v>
      </c>
      <c r="R6784">
        <v>0.0</v>
      </c>
    </row>
    <row r="6785">
      <c r="A6785" s="9">
        <v>45316</v>
      </c>
      <c r="B6785" s="2" t="inlineStr">
        <is>
          <t xml:space="preserve">2024-01</t>
        </is>
      </c>
      <c r="C6785" s="2" t="inlineStr">
        <is>
          <t xml:space="preserve">2023/24</t>
        </is>
      </c>
      <c r="D6785">
        <v>0.0</v>
      </c>
      <c r="E6785">
        <v>22.89</v>
      </c>
      <c r="F6785">
        <v>29.74</v>
      </c>
      <c r="G6785">
        <v>17.24</v>
      </c>
      <c r="H6785">
        <v>0.06</v>
      </c>
      <c r="I6785">
        <v>0.0</v>
      </c>
      <c r="J6785">
        <v>24.12</v>
      </c>
      <c r="K6785">
        <v>30.53</v>
      </c>
      <c r="L6785">
        <v>18.76</v>
      </c>
      <c r="M6785">
        <v>0.0</v>
      </c>
      <c r="N6785">
        <v>0.0</v>
      </c>
      <c r="O6785">
        <v>23.28</v>
      </c>
      <c r="P6785">
        <v>28.71</v>
      </c>
      <c r="Q6785">
        <v>20.05</v>
      </c>
      <c r="R6785">
        <v>0.0</v>
      </c>
    </row>
    <row r="6786">
      <c r="A6786" s="9">
        <v>45317</v>
      </c>
      <c r="B6786" s="2" t="inlineStr">
        <is>
          <t xml:space="preserve">2024-01</t>
        </is>
      </c>
      <c r="C6786" s="2" t="inlineStr">
        <is>
          <t xml:space="preserve">2023/24</t>
        </is>
      </c>
      <c r="D6786">
        <v>0.0</v>
      </c>
      <c r="E6786">
        <v>22.0</v>
      </c>
      <c r="F6786">
        <v>29.31</v>
      </c>
      <c r="G6786">
        <v>15.66</v>
      </c>
      <c r="H6786">
        <v>0.08</v>
      </c>
      <c r="I6786">
        <v>0.0</v>
      </c>
      <c r="J6786">
        <v>24.13</v>
      </c>
      <c r="K6786">
        <v>30.31</v>
      </c>
      <c r="L6786">
        <v>19.71</v>
      </c>
      <c r="M6786">
        <v>0.0</v>
      </c>
      <c r="N6786">
        <v>0.0</v>
      </c>
      <c r="O6786">
        <v>23.12</v>
      </c>
      <c r="P6786">
        <v>28.16</v>
      </c>
      <c r="Q6786">
        <v>20.24</v>
      </c>
      <c r="R6786">
        <v>0.0</v>
      </c>
    </row>
    <row r="6787">
      <c r="A6787" s="9">
        <v>45318</v>
      </c>
      <c r="B6787" s="2" t="inlineStr">
        <is>
          <t xml:space="preserve">2024-01</t>
        </is>
      </c>
      <c r="C6787" s="2" t="inlineStr">
        <is>
          <t xml:space="preserve">2023/24</t>
        </is>
      </c>
      <c r="D6787">
        <v>0.333</v>
      </c>
      <c r="E6787">
        <v>22.57</v>
      </c>
      <c r="F6787">
        <v>30.3</v>
      </c>
      <c r="G6787">
        <v>16.34</v>
      </c>
      <c r="H6787">
        <v>0.46</v>
      </c>
      <c r="I6787">
        <v>0.0</v>
      </c>
      <c r="J6787">
        <v>24.01</v>
      </c>
      <c r="K6787">
        <v>30.87</v>
      </c>
      <c r="L6787">
        <v>19.18</v>
      </c>
      <c r="M6787">
        <v>0.01</v>
      </c>
      <c r="N6787">
        <v>0.0</v>
      </c>
      <c r="O6787">
        <v>23.14</v>
      </c>
      <c r="P6787">
        <v>28.66</v>
      </c>
      <c r="Q6787">
        <v>19.54</v>
      </c>
      <c r="R6787">
        <v>0.08</v>
      </c>
    </row>
    <row r="6788">
      <c r="A6788" s="9">
        <v>45319</v>
      </c>
      <c r="B6788" s="2" t="inlineStr">
        <is>
          <t xml:space="preserve">2024-01</t>
        </is>
      </c>
      <c r="C6788" s="2" t="inlineStr">
        <is>
          <t xml:space="preserve">2023/24</t>
        </is>
      </c>
      <c r="D6788">
        <v>0.0</v>
      </c>
      <c r="E6788">
        <v>21.63</v>
      </c>
      <c r="F6788">
        <v>27.91</v>
      </c>
      <c r="G6788">
        <v>17.25</v>
      </c>
      <c r="H6788">
        <v>0.39</v>
      </c>
      <c r="I6788">
        <v>0.0</v>
      </c>
      <c r="J6788">
        <v>22.04</v>
      </c>
      <c r="K6788">
        <v>27.52</v>
      </c>
      <c r="L6788">
        <v>18.48</v>
      </c>
      <c r="M6788">
        <v>0.22</v>
      </c>
      <c r="N6788">
        <v>0.0</v>
      </c>
      <c r="O6788">
        <v>21.6</v>
      </c>
      <c r="P6788">
        <v>26.19</v>
      </c>
      <c r="Q6788">
        <v>18.38</v>
      </c>
      <c r="R6788">
        <v>0.96</v>
      </c>
    </row>
    <row r="6789">
      <c r="A6789" s="9">
        <v>45320</v>
      </c>
      <c r="B6789" s="2" t="inlineStr">
        <is>
          <t xml:space="preserve">2024-01</t>
        </is>
      </c>
      <c r="C6789" s="2" t="inlineStr">
        <is>
          <t xml:space="preserve">2023/24</t>
        </is>
      </c>
      <c r="D6789">
        <v>0.035</v>
      </c>
      <c r="E6789">
        <v>18.63</v>
      </c>
      <c r="F6789">
        <v>24.99</v>
      </c>
      <c r="G6789">
        <v>14.62</v>
      </c>
      <c r="H6789">
        <v>2.29</v>
      </c>
      <c r="I6789">
        <v>0.431</v>
      </c>
      <c r="J6789">
        <v>19.14</v>
      </c>
      <c r="K6789">
        <v>23.79</v>
      </c>
      <c r="L6789">
        <v>15.44</v>
      </c>
      <c r="M6789">
        <v>1.05</v>
      </c>
      <c r="N6789">
        <v>1.869</v>
      </c>
      <c r="O6789">
        <v>18.43</v>
      </c>
      <c r="P6789">
        <v>21.61</v>
      </c>
      <c r="Q6789">
        <v>15.42</v>
      </c>
      <c r="R6789">
        <v>4.67</v>
      </c>
    </row>
    <row r="6790">
      <c r="A6790" s="9">
        <v>45321</v>
      </c>
      <c r="B6790" s="2" t="inlineStr">
        <is>
          <t xml:space="preserve">2024-01</t>
        </is>
      </c>
      <c r="C6790" s="2" t="inlineStr">
        <is>
          <t xml:space="preserve">2023/24</t>
        </is>
      </c>
      <c r="D6790">
        <v>0.0</v>
      </c>
      <c r="E6790">
        <v>17.25</v>
      </c>
      <c r="F6790">
        <v>23.33</v>
      </c>
      <c r="G6790">
        <v>13.76</v>
      </c>
      <c r="H6790">
        <v>0.22</v>
      </c>
      <c r="I6790">
        <v>0.0</v>
      </c>
      <c r="J6790">
        <v>17.12</v>
      </c>
      <c r="K6790">
        <v>22.89</v>
      </c>
      <c r="L6790">
        <v>13.64</v>
      </c>
      <c r="M6790">
        <v>0.13</v>
      </c>
      <c r="N6790">
        <v>0.183</v>
      </c>
      <c r="O6790">
        <v>16.66</v>
      </c>
      <c r="P6790">
        <v>21.78</v>
      </c>
      <c r="Q6790">
        <v>13.96</v>
      </c>
      <c r="R6790">
        <v>0.41</v>
      </c>
    </row>
    <row r="6791">
      <c r="A6791" s="9">
        <v>45322</v>
      </c>
      <c r="B6791" s="2" t="inlineStr">
        <is>
          <t xml:space="preserve">2024-01</t>
        </is>
      </c>
      <c r="C6791" s="2" t="inlineStr">
        <is>
          <t xml:space="preserve">2023/24</t>
        </is>
      </c>
      <c r="D6791">
        <v>0.0</v>
      </c>
      <c r="E6791">
        <v>18.21</v>
      </c>
      <c r="F6791">
        <v>24.81</v>
      </c>
      <c r="G6791">
        <v>13.47</v>
      </c>
      <c r="H6791">
        <v>0.44</v>
      </c>
      <c r="I6791">
        <v>0.0</v>
      </c>
      <c r="J6791">
        <v>17.94</v>
      </c>
      <c r="K6791">
        <v>24.19</v>
      </c>
      <c r="L6791">
        <v>13.84</v>
      </c>
      <c r="M6791">
        <v>0.06</v>
      </c>
      <c r="N6791">
        <v>0.0</v>
      </c>
      <c r="O6791">
        <v>17.15</v>
      </c>
      <c r="P6791">
        <v>22.33</v>
      </c>
      <c r="Q6791">
        <v>13.7</v>
      </c>
      <c r="R6791">
        <v>0.64</v>
      </c>
    </row>
    <row r="6792">
      <c r="A6792" s="9">
        <v>45323</v>
      </c>
      <c r="B6792" s="2" t="inlineStr">
        <is>
          <t xml:space="preserve">2024-02</t>
        </is>
      </c>
      <c r="C6792" s="2" t="inlineStr">
        <is>
          <t xml:space="preserve">2023/24</t>
        </is>
      </c>
      <c r="D6792">
        <v>0.0</v>
      </c>
      <c r="E6792">
        <v>18.67</v>
      </c>
      <c r="F6792">
        <v>25.17</v>
      </c>
      <c r="G6792">
        <v>14.82</v>
      </c>
      <c r="H6792">
        <v>0.65</v>
      </c>
      <c r="I6792">
        <v>0.024</v>
      </c>
      <c r="J6792">
        <v>19.12</v>
      </c>
      <c r="K6792">
        <v>25.96</v>
      </c>
      <c r="L6792">
        <v>14.26</v>
      </c>
      <c r="M6792">
        <v>0.13</v>
      </c>
      <c r="N6792">
        <v>0.285</v>
      </c>
      <c r="O6792">
        <v>17.94</v>
      </c>
      <c r="P6792">
        <v>23.64</v>
      </c>
      <c r="Q6792">
        <v>14.16</v>
      </c>
      <c r="R6792">
        <v>0.79</v>
      </c>
    </row>
    <row r="6793">
      <c r="A6793" s="9">
        <v>45324</v>
      </c>
      <c r="B6793" s="2" t="inlineStr">
        <is>
          <t xml:space="preserve">2024-02</t>
        </is>
      </c>
      <c r="C6793" s="2" t="inlineStr">
        <is>
          <t xml:space="preserve">2023/24</t>
        </is>
      </c>
      <c r="D6793">
        <v>0.0</v>
      </c>
      <c r="E6793">
        <v>20.59</v>
      </c>
      <c r="F6793">
        <v>29.62</v>
      </c>
      <c r="G6793">
        <v>14.06</v>
      </c>
      <c r="H6793">
        <v>0.0</v>
      </c>
      <c r="I6793">
        <v>0.0</v>
      </c>
      <c r="J6793">
        <v>21.44</v>
      </c>
      <c r="K6793">
        <v>30.33</v>
      </c>
      <c r="L6793">
        <v>14.95</v>
      </c>
      <c r="M6793">
        <v>0.0</v>
      </c>
      <c r="N6793">
        <v>0.0</v>
      </c>
      <c r="O6793">
        <v>20.01</v>
      </c>
      <c r="P6793">
        <v>27.13</v>
      </c>
      <c r="Q6793">
        <v>15.2</v>
      </c>
      <c r="R6793">
        <v>0.01</v>
      </c>
    </row>
    <row r="6794">
      <c r="A6794" s="9">
        <v>45325</v>
      </c>
      <c r="B6794" s="2" t="inlineStr">
        <is>
          <t xml:space="preserve">2024-02</t>
        </is>
      </c>
      <c r="C6794" s="2" t="inlineStr">
        <is>
          <t xml:space="preserve">2023/24</t>
        </is>
      </c>
      <c r="D6794">
        <v>0.0</v>
      </c>
      <c r="E6794">
        <v>21.34</v>
      </c>
      <c r="F6794">
        <v>29.35</v>
      </c>
      <c r="G6794">
        <v>15.13</v>
      </c>
      <c r="H6794">
        <v>0.0</v>
      </c>
      <c r="I6794">
        <v>0.0</v>
      </c>
      <c r="J6794">
        <v>22.15</v>
      </c>
      <c r="K6794">
        <v>29.39</v>
      </c>
      <c r="L6794">
        <v>17.5</v>
      </c>
      <c r="M6794">
        <v>0.02</v>
      </c>
      <c r="N6794">
        <v>0.0</v>
      </c>
      <c r="O6794">
        <v>22.31</v>
      </c>
      <c r="P6794">
        <v>29.28</v>
      </c>
      <c r="Q6794">
        <v>16.01</v>
      </c>
      <c r="R6794">
        <v>0.0</v>
      </c>
    </row>
    <row r="6795">
      <c r="A6795" s="9">
        <v>45326</v>
      </c>
      <c r="B6795" s="2" t="inlineStr">
        <is>
          <t xml:space="preserve">2024-02</t>
        </is>
      </c>
      <c r="C6795" s="2" t="inlineStr">
        <is>
          <t xml:space="preserve">2023/24</t>
        </is>
      </c>
      <c r="D6795">
        <v>0.0</v>
      </c>
      <c r="E6795">
        <v>22.98</v>
      </c>
      <c r="F6795">
        <v>31.47</v>
      </c>
      <c r="G6795">
        <v>15.2</v>
      </c>
      <c r="H6795">
        <v>0.01</v>
      </c>
      <c r="I6795">
        <v>0.0</v>
      </c>
      <c r="J6795">
        <v>22.42</v>
      </c>
      <c r="K6795">
        <v>31.03</v>
      </c>
      <c r="L6795">
        <v>15.76</v>
      </c>
      <c r="M6795">
        <v>0.0</v>
      </c>
      <c r="N6795">
        <v>0.0</v>
      </c>
      <c r="O6795">
        <v>22.82</v>
      </c>
      <c r="P6795">
        <v>29.78</v>
      </c>
      <c r="Q6795">
        <v>16.99</v>
      </c>
      <c r="R6795">
        <v>0.0</v>
      </c>
    </row>
    <row r="6796">
      <c r="A6796" s="9">
        <v>45327</v>
      </c>
      <c r="B6796" s="2" t="inlineStr">
        <is>
          <t xml:space="preserve">2024-02</t>
        </is>
      </c>
      <c r="C6796" s="2" t="inlineStr">
        <is>
          <t xml:space="preserve">2023/24</t>
        </is>
      </c>
      <c r="D6796">
        <v>0.0</v>
      </c>
      <c r="E6796">
        <v>22.17</v>
      </c>
      <c r="F6796">
        <v>28.96</v>
      </c>
      <c r="G6796">
        <v>17.13</v>
      </c>
      <c r="H6796">
        <v>0.99</v>
      </c>
      <c r="I6796">
        <v>0.0</v>
      </c>
      <c r="J6796">
        <v>22.85</v>
      </c>
      <c r="K6796">
        <v>29.69</v>
      </c>
      <c r="L6796">
        <v>16.91</v>
      </c>
      <c r="M6796">
        <v>0.18</v>
      </c>
      <c r="N6796">
        <v>0.0</v>
      </c>
      <c r="O6796">
        <v>21.41</v>
      </c>
      <c r="P6796">
        <v>26.96</v>
      </c>
      <c r="Q6796">
        <v>16.62</v>
      </c>
      <c r="R6796">
        <v>0.23</v>
      </c>
    </row>
    <row r="6797">
      <c r="A6797" s="9">
        <v>45328</v>
      </c>
      <c r="B6797" s="2" t="inlineStr">
        <is>
          <t xml:space="preserve">2024-02</t>
        </is>
      </c>
      <c r="C6797" s="2" t="inlineStr">
        <is>
          <t xml:space="preserve">2023/24</t>
        </is>
      </c>
      <c r="D6797">
        <v>0.765</v>
      </c>
      <c r="E6797">
        <v>16.22</v>
      </c>
      <c r="F6797">
        <v>22.35</v>
      </c>
      <c r="G6797">
        <v>12.18</v>
      </c>
      <c r="H6797">
        <v>0.25</v>
      </c>
      <c r="I6797">
        <v>0.477</v>
      </c>
      <c r="J6797">
        <v>17.03</v>
      </c>
      <c r="K6797">
        <v>22.85</v>
      </c>
      <c r="L6797">
        <v>13.22</v>
      </c>
      <c r="M6797">
        <v>0.26</v>
      </c>
      <c r="N6797">
        <v>0.036</v>
      </c>
      <c r="O6797">
        <v>16.09</v>
      </c>
      <c r="P6797">
        <v>21.26</v>
      </c>
      <c r="Q6797">
        <v>13.02</v>
      </c>
      <c r="R6797">
        <v>0.12</v>
      </c>
    </row>
    <row r="6798">
      <c r="A6798" s="9">
        <v>45329</v>
      </c>
      <c r="B6798" s="2" t="inlineStr">
        <is>
          <t xml:space="preserve">2024-02</t>
        </is>
      </c>
      <c r="C6798" s="2" t="inlineStr">
        <is>
          <t xml:space="preserve">2023/24</t>
        </is>
      </c>
      <c r="D6798">
        <v>0.0</v>
      </c>
      <c r="E6798">
        <v>16.7</v>
      </c>
      <c r="F6798">
        <v>24.53</v>
      </c>
      <c r="G6798">
        <v>11.42</v>
      </c>
      <c r="H6798">
        <v>0.0</v>
      </c>
      <c r="I6798">
        <v>0.0</v>
      </c>
      <c r="J6798">
        <v>16.99</v>
      </c>
      <c r="K6798">
        <v>24.69</v>
      </c>
      <c r="L6798">
        <v>12.58</v>
      </c>
      <c r="M6798">
        <v>0.0</v>
      </c>
      <c r="N6798">
        <v>0.0</v>
      </c>
      <c r="O6798">
        <v>16.26</v>
      </c>
      <c r="P6798">
        <v>22.59</v>
      </c>
      <c r="Q6798">
        <v>12.87</v>
      </c>
      <c r="R6798">
        <v>0.0</v>
      </c>
    </row>
    <row r="6799">
      <c r="A6799" s="9">
        <v>45330</v>
      </c>
      <c r="B6799" s="2" t="inlineStr">
        <is>
          <t xml:space="preserve">2024-02</t>
        </is>
      </c>
      <c r="C6799" s="2" t="inlineStr">
        <is>
          <t xml:space="preserve">2023/24</t>
        </is>
      </c>
      <c r="D6799">
        <v>0.0</v>
      </c>
      <c r="E6799">
        <v>19.01</v>
      </c>
      <c r="F6799">
        <v>28.17</v>
      </c>
      <c r="G6799">
        <v>11.93</v>
      </c>
      <c r="H6799">
        <v>0.0</v>
      </c>
      <c r="I6799">
        <v>0.0</v>
      </c>
      <c r="J6799">
        <v>19.47</v>
      </c>
      <c r="K6799">
        <v>29.21</v>
      </c>
      <c r="L6799">
        <v>11.82</v>
      </c>
      <c r="M6799">
        <v>0.0</v>
      </c>
      <c r="N6799">
        <v>0.0</v>
      </c>
      <c r="O6799">
        <v>18.29</v>
      </c>
      <c r="P6799">
        <v>26.11</v>
      </c>
      <c r="Q6799">
        <v>12.19</v>
      </c>
      <c r="R6799">
        <v>0.0</v>
      </c>
    </row>
    <row r="6800">
      <c r="A6800" s="9">
        <v>45331</v>
      </c>
      <c r="B6800" s="2" t="inlineStr">
        <is>
          <t xml:space="preserve">2024-02</t>
        </is>
      </c>
      <c r="C6800" s="2" t="inlineStr">
        <is>
          <t xml:space="preserve">2023/24</t>
        </is>
      </c>
      <c r="D6800">
        <v>0.0</v>
      </c>
      <c r="E6800">
        <v>19.47</v>
      </c>
      <c r="F6800">
        <v>28.45</v>
      </c>
      <c r="G6800">
        <v>12.2</v>
      </c>
      <c r="H6800">
        <v>0.0</v>
      </c>
      <c r="I6800">
        <v>0.0</v>
      </c>
      <c r="J6800">
        <v>20.7</v>
      </c>
      <c r="K6800">
        <v>28.78</v>
      </c>
      <c r="L6800">
        <v>14.85</v>
      </c>
      <c r="M6800">
        <v>0.0</v>
      </c>
      <c r="N6800">
        <v>0.0</v>
      </c>
      <c r="O6800">
        <v>19.51</v>
      </c>
      <c r="P6800">
        <v>25.71</v>
      </c>
      <c r="Q6800">
        <v>15.49</v>
      </c>
      <c r="R6800">
        <v>0.0</v>
      </c>
    </row>
    <row r="6801">
      <c r="A6801" s="9">
        <v>45332</v>
      </c>
      <c r="B6801" s="2" t="inlineStr">
        <is>
          <t xml:space="preserve">2024-02</t>
        </is>
      </c>
      <c r="C6801" s="2" t="inlineStr">
        <is>
          <t xml:space="preserve">2023/24</t>
        </is>
      </c>
      <c r="D6801">
        <v>0.0</v>
      </c>
      <c r="E6801">
        <v>21.62</v>
      </c>
      <c r="F6801">
        <v>31.51</v>
      </c>
      <c r="G6801">
        <v>13.29</v>
      </c>
      <c r="H6801">
        <v>0.0</v>
      </c>
      <c r="I6801">
        <v>0.0</v>
      </c>
      <c r="J6801">
        <v>21.99</v>
      </c>
      <c r="K6801">
        <v>31.02</v>
      </c>
      <c r="L6801">
        <v>14.38</v>
      </c>
      <c r="M6801">
        <v>0.0</v>
      </c>
      <c r="N6801">
        <v>0.0</v>
      </c>
      <c r="O6801">
        <v>21.66</v>
      </c>
      <c r="P6801">
        <v>29.94</v>
      </c>
      <c r="Q6801">
        <v>13.97</v>
      </c>
      <c r="R6801">
        <v>0.0</v>
      </c>
    </row>
    <row r="6802">
      <c r="A6802" s="9">
        <v>45333</v>
      </c>
      <c r="B6802" s="2" t="inlineStr">
        <is>
          <t xml:space="preserve">2024-02</t>
        </is>
      </c>
      <c r="C6802" s="2" t="inlineStr">
        <is>
          <t xml:space="preserve">2023/24</t>
        </is>
      </c>
      <c r="D6802">
        <v>0.0</v>
      </c>
      <c r="E6802">
        <v>23.73</v>
      </c>
      <c r="F6802">
        <v>34.21</v>
      </c>
      <c r="G6802">
        <v>15.88</v>
      </c>
      <c r="H6802">
        <v>0.0</v>
      </c>
      <c r="I6802">
        <v>0.0</v>
      </c>
      <c r="J6802">
        <v>23.52</v>
      </c>
      <c r="K6802">
        <v>33.39</v>
      </c>
      <c r="L6802">
        <v>16.62</v>
      </c>
      <c r="M6802">
        <v>0.0</v>
      </c>
      <c r="N6802">
        <v>0.0</v>
      </c>
      <c r="O6802">
        <v>23.89</v>
      </c>
      <c r="P6802">
        <v>33.24</v>
      </c>
      <c r="Q6802">
        <v>15.91</v>
      </c>
      <c r="R6802">
        <v>0.0</v>
      </c>
    </row>
    <row r="6803">
      <c r="A6803" s="9">
        <v>45334</v>
      </c>
      <c r="B6803" s="2" t="inlineStr">
        <is>
          <t xml:space="preserve">2024-02</t>
        </is>
      </c>
      <c r="C6803" s="2" t="inlineStr">
        <is>
          <t xml:space="preserve">2023/24</t>
        </is>
      </c>
      <c r="D6803">
        <v>0.0</v>
      </c>
      <c r="E6803">
        <v>24.12</v>
      </c>
      <c r="F6803">
        <v>33.69</v>
      </c>
      <c r="G6803">
        <v>16.07</v>
      </c>
      <c r="H6803">
        <v>0.03</v>
      </c>
      <c r="I6803">
        <v>0.0</v>
      </c>
      <c r="J6803">
        <v>24.57</v>
      </c>
      <c r="K6803">
        <v>33.58</v>
      </c>
      <c r="L6803">
        <v>16.29</v>
      </c>
      <c r="M6803">
        <v>0.0</v>
      </c>
      <c r="N6803">
        <v>0.0</v>
      </c>
      <c r="O6803">
        <v>24.87</v>
      </c>
      <c r="P6803">
        <v>33.6</v>
      </c>
      <c r="Q6803">
        <v>17.5</v>
      </c>
      <c r="R6803">
        <v>0.04</v>
      </c>
    </row>
    <row r="6804">
      <c r="A6804" s="9">
        <v>45335</v>
      </c>
      <c r="B6804" s="2" t="inlineStr">
        <is>
          <t xml:space="preserve">2024-02</t>
        </is>
      </c>
      <c r="C6804" s="2" t="inlineStr">
        <is>
          <t xml:space="preserve">2023/24</t>
        </is>
      </c>
      <c r="D6804">
        <v>6.494</v>
      </c>
      <c r="E6804">
        <v>21.77</v>
      </c>
      <c r="F6804">
        <v>27.44</v>
      </c>
      <c r="G6804">
        <v>18.41</v>
      </c>
      <c r="H6804">
        <v>12.28</v>
      </c>
      <c r="I6804">
        <v>0.0</v>
      </c>
      <c r="J6804">
        <v>22.95</v>
      </c>
      <c r="K6804">
        <v>28.5</v>
      </c>
      <c r="L6804">
        <v>18.99</v>
      </c>
      <c r="M6804">
        <v>0.17</v>
      </c>
      <c r="N6804">
        <v>0.047</v>
      </c>
      <c r="O6804">
        <v>22.0</v>
      </c>
      <c r="P6804">
        <v>26.71</v>
      </c>
      <c r="Q6804">
        <v>18.5</v>
      </c>
      <c r="R6804">
        <v>1.51</v>
      </c>
    </row>
    <row r="6805">
      <c r="A6805" s="9">
        <v>45336</v>
      </c>
      <c r="B6805" s="2" t="inlineStr">
        <is>
          <t xml:space="preserve">2024-02</t>
        </is>
      </c>
      <c r="C6805" s="2" t="inlineStr">
        <is>
          <t xml:space="preserve">2023/24</t>
        </is>
      </c>
      <c r="D6805">
        <v>0.027</v>
      </c>
      <c r="E6805">
        <v>21.67</v>
      </c>
      <c r="F6805">
        <v>28.63</v>
      </c>
      <c r="G6805">
        <v>17.2</v>
      </c>
      <c r="H6805">
        <v>1.27</v>
      </c>
      <c r="I6805">
        <v>0.026</v>
      </c>
      <c r="J6805">
        <v>22.66</v>
      </c>
      <c r="K6805">
        <v>29.36</v>
      </c>
      <c r="L6805">
        <v>17.7</v>
      </c>
      <c r="M6805">
        <v>0.31</v>
      </c>
      <c r="N6805">
        <v>0.378</v>
      </c>
      <c r="O6805">
        <v>21.38</v>
      </c>
      <c r="P6805">
        <v>27.61</v>
      </c>
      <c r="Q6805">
        <v>17.55</v>
      </c>
      <c r="R6805">
        <v>2.33</v>
      </c>
    </row>
    <row r="6806">
      <c r="A6806" s="9">
        <v>45337</v>
      </c>
      <c r="B6806" s="2" t="inlineStr">
        <is>
          <t xml:space="preserve">2024-02</t>
        </is>
      </c>
      <c r="C6806" s="2" t="inlineStr">
        <is>
          <t xml:space="preserve">2023/24</t>
        </is>
      </c>
      <c r="D6806">
        <v>0.0</v>
      </c>
      <c r="E6806">
        <v>21.91</v>
      </c>
      <c r="F6806">
        <v>29.73</v>
      </c>
      <c r="G6806">
        <v>16.78</v>
      </c>
      <c r="H6806">
        <v>0.02</v>
      </c>
      <c r="I6806">
        <v>0.0</v>
      </c>
      <c r="J6806">
        <v>23.13</v>
      </c>
      <c r="K6806">
        <v>31.15</v>
      </c>
      <c r="L6806">
        <v>17.56</v>
      </c>
      <c r="M6806">
        <v>0.01</v>
      </c>
      <c r="N6806">
        <v>0.0</v>
      </c>
      <c r="O6806">
        <v>22.05</v>
      </c>
      <c r="P6806">
        <v>28.61</v>
      </c>
      <c r="Q6806">
        <v>18.03</v>
      </c>
      <c r="R6806">
        <v>0.08</v>
      </c>
    </row>
    <row r="6807">
      <c r="A6807" s="9">
        <v>45338</v>
      </c>
      <c r="B6807" s="2" t="inlineStr">
        <is>
          <t xml:space="preserve">2024-02</t>
        </is>
      </c>
      <c r="C6807" s="2" t="inlineStr">
        <is>
          <t xml:space="preserve">2023/24</t>
        </is>
      </c>
      <c r="D6807">
        <v>0.0</v>
      </c>
      <c r="E6807">
        <v>21.89</v>
      </c>
      <c r="F6807">
        <v>30.61</v>
      </c>
      <c r="G6807">
        <v>14.9</v>
      </c>
      <c r="H6807">
        <v>0.0</v>
      </c>
      <c r="I6807">
        <v>0.0</v>
      </c>
      <c r="J6807">
        <v>23.69</v>
      </c>
      <c r="K6807">
        <v>32.1</v>
      </c>
      <c r="L6807">
        <v>17.39</v>
      </c>
      <c r="M6807">
        <v>0.0</v>
      </c>
      <c r="N6807">
        <v>0.0</v>
      </c>
      <c r="O6807">
        <v>22.29</v>
      </c>
      <c r="P6807">
        <v>29.62</v>
      </c>
      <c r="Q6807">
        <v>17.69</v>
      </c>
      <c r="R6807">
        <v>0.03</v>
      </c>
    </row>
    <row r="6808">
      <c r="A6808" s="9">
        <v>45339</v>
      </c>
      <c r="B6808" s="2" t="inlineStr">
        <is>
          <t xml:space="preserve">2024-02</t>
        </is>
      </c>
      <c r="C6808" s="2" t="inlineStr">
        <is>
          <t xml:space="preserve">2023/24</t>
        </is>
      </c>
      <c r="D6808">
        <v>0.0</v>
      </c>
      <c r="E6808">
        <v>24.36</v>
      </c>
      <c r="F6808">
        <v>32.72</v>
      </c>
      <c r="G6808">
        <v>16.5</v>
      </c>
      <c r="H6808">
        <v>0.02</v>
      </c>
      <c r="I6808">
        <v>0.0</v>
      </c>
      <c r="J6808">
        <v>24.14</v>
      </c>
      <c r="K6808">
        <v>33.15</v>
      </c>
      <c r="L6808">
        <v>17.24</v>
      </c>
      <c r="M6808">
        <v>0.0</v>
      </c>
      <c r="N6808">
        <v>0.0</v>
      </c>
      <c r="O6808">
        <v>24.44</v>
      </c>
      <c r="P6808">
        <v>32.55</v>
      </c>
      <c r="Q6808">
        <v>17.94</v>
      </c>
      <c r="R6808">
        <v>0.03</v>
      </c>
    </row>
    <row r="6809">
      <c r="A6809" s="9">
        <v>45340</v>
      </c>
      <c r="B6809" s="2" t="inlineStr">
        <is>
          <t xml:space="preserve">2024-02</t>
        </is>
      </c>
      <c r="C6809" s="2" t="inlineStr">
        <is>
          <t xml:space="preserve">2023/24</t>
        </is>
      </c>
      <c r="D6809">
        <v>0.153</v>
      </c>
      <c r="E6809">
        <v>23.42</v>
      </c>
      <c r="F6809">
        <v>31.8</v>
      </c>
      <c r="G6809">
        <v>18.02</v>
      </c>
      <c r="H6809">
        <v>2.23</v>
      </c>
      <c r="I6809">
        <v>0.0</v>
      </c>
      <c r="J6809">
        <v>23.53</v>
      </c>
      <c r="K6809">
        <v>31.97</v>
      </c>
      <c r="L6809">
        <v>17.3</v>
      </c>
      <c r="M6809">
        <v>0.76</v>
      </c>
      <c r="N6809">
        <v>0.669</v>
      </c>
      <c r="O6809">
        <v>21.95</v>
      </c>
      <c r="P6809">
        <v>28.66</v>
      </c>
      <c r="Q6809">
        <v>17.17</v>
      </c>
      <c r="R6809">
        <v>4.34</v>
      </c>
    </row>
    <row r="6810">
      <c r="A6810" s="9">
        <v>45341</v>
      </c>
      <c r="B6810" s="2" t="inlineStr">
        <is>
          <t xml:space="preserve">2024-02</t>
        </is>
      </c>
      <c r="C6810" s="2" t="inlineStr">
        <is>
          <t xml:space="preserve">2023/24</t>
        </is>
      </c>
      <c r="D6810">
        <v>0.0</v>
      </c>
      <c r="E6810">
        <v>19.57</v>
      </c>
      <c r="F6810">
        <v>26.94</v>
      </c>
      <c r="G6810">
        <v>15.14</v>
      </c>
      <c r="H6810">
        <v>0.85</v>
      </c>
      <c r="I6810">
        <v>0.216</v>
      </c>
      <c r="J6810">
        <v>19.22</v>
      </c>
      <c r="K6810">
        <v>26.14</v>
      </c>
      <c r="L6810">
        <v>14.73</v>
      </c>
      <c r="M6810">
        <v>0.29</v>
      </c>
      <c r="N6810">
        <v>0.947</v>
      </c>
      <c r="O6810">
        <v>18.24</v>
      </c>
      <c r="P6810">
        <v>24.21</v>
      </c>
      <c r="Q6810">
        <v>14.76</v>
      </c>
      <c r="R6810">
        <v>1.19</v>
      </c>
    </row>
    <row r="6811">
      <c r="A6811" s="9">
        <v>45342</v>
      </c>
      <c r="B6811" s="2" t="inlineStr">
        <is>
          <t xml:space="preserve">2024-02</t>
        </is>
      </c>
      <c r="C6811" s="2" t="inlineStr">
        <is>
          <t xml:space="preserve">2023/24</t>
        </is>
      </c>
      <c r="D6811">
        <v>0.0</v>
      </c>
      <c r="E6811">
        <v>18.79</v>
      </c>
      <c r="F6811">
        <v>26.51</v>
      </c>
      <c r="G6811">
        <v>13.85</v>
      </c>
      <c r="H6811">
        <v>0.09</v>
      </c>
      <c r="I6811">
        <v>0.0</v>
      </c>
      <c r="J6811">
        <v>19.28</v>
      </c>
      <c r="K6811">
        <v>26.65</v>
      </c>
      <c r="L6811">
        <v>14.54</v>
      </c>
      <c r="M6811">
        <v>0.01</v>
      </c>
      <c r="N6811">
        <v>0.0</v>
      </c>
      <c r="O6811">
        <v>18.2</v>
      </c>
      <c r="P6811">
        <v>24.75</v>
      </c>
      <c r="Q6811">
        <v>14.08</v>
      </c>
      <c r="R6811">
        <v>0.24</v>
      </c>
    </row>
    <row r="6812">
      <c r="A6812" s="9">
        <v>45343</v>
      </c>
      <c r="B6812" s="2" t="inlineStr">
        <is>
          <t xml:space="preserve">2024-02</t>
        </is>
      </c>
      <c r="C6812" s="2" t="inlineStr">
        <is>
          <t xml:space="preserve">2023/24</t>
        </is>
      </c>
      <c r="D6812">
        <v>0.0</v>
      </c>
      <c r="E6812">
        <v>18.19</v>
      </c>
      <c r="F6812">
        <v>25.65</v>
      </c>
      <c r="G6812">
        <v>13.27</v>
      </c>
      <c r="H6812">
        <v>0.16</v>
      </c>
      <c r="I6812">
        <v>0.0</v>
      </c>
      <c r="J6812">
        <v>18.72</v>
      </c>
      <c r="K6812">
        <v>26.54</v>
      </c>
      <c r="L6812">
        <v>13.51</v>
      </c>
      <c r="M6812">
        <v>0.03</v>
      </c>
      <c r="N6812">
        <v>0.0</v>
      </c>
      <c r="O6812">
        <v>17.73</v>
      </c>
      <c r="P6812">
        <v>24.18</v>
      </c>
      <c r="Q6812">
        <v>13.71</v>
      </c>
      <c r="R6812">
        <v>0.46</v>
      </c>
    </row>
    <row r="6813">
      <c r="A6813" s="9">
        <v>45344</v>
      </c>
      <c r="B6813" s="2" t="inlineStr">
        <is>
          <t xml:space="preserve">2024-02</t>
        </is>
      </c>
      <c r="C6813" s="2" t="inlineStr">
        <is>
          <t xml:space="preserve">2023/24</t>
        </is>
      </c>
      <c r="D6813">
        <v>0.0</v>
      </c>
      <c r="E6813">
        <v>19.22</v>
      </c>
      <c r="F6813">
        <v>29.71</v>
      </c>
      <c r="G6813">
        <v>11.75</v>
      </c>
      <c r="H6813">
        <v>0.0</v>
      </c>
      <c r="I6813">
        <v>0.0</v>
      </c>
      <c r="J6813">
        <v>20.06</v>
      </c>
      <c r="K6813">
        <v>30.82</v>
      </c>
      <c r="L6813">
        <v>11.79</v>
      </c>
      <c r="M6813">
        <v>0.0</v>
      </c>
      <c r="N6813">
        <v>0.0</v>
      </c>
      <c r="O6813">
        <v>18.45</v>
      </c>
      <c r="P6813">
        <v>27.46</v>
      </c>
      <c r="Q6813">
        <v>12.14</v>
      </c>
      <c r="R6813">
        <v>0.0</v>
      </c>
    </row>
    <row r="6814">
      <c r="A6814" s="9">
        <v>45345</v>
      </c>
      <c r="B6814" s="2" t="inlineStr">
        <is>
          <t xml:space="preserve">2024-02</t>
        </is>
      </c>
      <c r="C6814" s="2" t="inlineStr">
        <is>
          <t xml:space="preserve">2023/24</t>
        </is>
      </c>
      <c r="D6814">
        <v>0.0</v>
      </c>
      <c r="E6814">
        <v>21.06</v>
      </c>
      <c r="F6814">
        <v>33.0</v>
      </c>
      <c r="G6814">
        <v>10.82</v>
      </c>
      <c r="H6814">
        <v>0.0</v>
      </c>
      <c r="I6814">
        <v>0.0</v>
      </c>
      <c r="J6814">
        <v>22.28</v>
      </c>
      <c r="K6814">
        <v>33.93</v>
      </c>
      <c r="L6814">
        <v>12.96</v>
      </c>
      <c r="M6814">
        <v>0.0</v>
      </c>
      <c r="N6814">
        <v>0.0</v>
      </c>
      <c r="O6814">
        <v>20.79</v>
      </c>
      <c r="P6814">
        <v>32.06</v>
      </c>
      <c r="Q6814">
        <v>11.91</v>
      </c>
      <c r="R6814">
        <v>0.0</v>
      </c>
    </row>
    <row r="6815">
      <c r="A6815" s="9">
        <v>45346</v>
      </c>
      <c r="B6815" s="2" t="inlineStr">
        <is>
          <t xml:space="preserve">2024-02</t>
        </is>
      </c>
      <c r="C6815" s="2" t="inlineStr">
        <is>
          <t xml:space="preserve">2023/24</t>
        </is>
      </c>
      <c r="D6815">
        <v>0.0</v>
      </c>
      <c r="E6815">
        <v>19.62</v>
      </c>
      <c r="F6815">
        <v>27.71</v>
      </c>
      <c r="G6815">
        <v>13.96</v>
      </c>
      <c r="H6815">
        <v>0.0</v>
      </c>
      <c r="I6815">
        <v>0.0</v>
      </c>
      <c r="J6815">
        <v>21.08</v>
      </c>
      <c r="K6815">
        <v>29.12</v>
      </c>
      <c r="L6815">
        <v>14.65</v>
      </c>
      <c r="M6815">
        <v>0.0</v>
      </c>
      <c r="N6815">
        <v>0.0</v>
      </c>
      <c r="O6815">
        <v>19.56</v>
      </c>
      <c r="P6815">
        <v>26.65</v>
      </c>
      <c r="Q6815">
        <v>14.46</v>
      </c>
      <c r="R6815">
        <v>0.0</v>
      </c>
    </row>
    <row r="6816">
      <c r="A6816" s="9">
        <v>45347</v>
      </c>
      <c r="B6816" s="2" t="inlineStr">
        <is>
          <t xml:space="preserve">2024-02</t>
        </is>
      </c>
      <c r="C6816" s="2" t="inlineStr">
        <is>
          <t xml:space="preserve">2023/24</t>
        </is>
      </c>
      <c r="D6816">
        <v>0.0</v>
      </c>
      <c r="E6816">
        <v>19.03</v>
      </c>
      <c r="F6816">
        <v>27.52</v>
      </c>
      <c r="G6816">
        <v>12.69</v>
      </c>
      <c r="H6816">
        <v>0.0</v>
      </c>
      <c r="I6816">
        <v>0.0</v>
      </c>
      <c r="J6816">
        <v>20.82</v>
      </c>
      <c r="K6816">
        <v>28.71</v>
      </c>
      <c r="L6816">
        <v>14.96</v>
      </c>
      <c r="M6816">
        <v>0.0</v>
      </c>
      <c r="N6816">
        <v>0.0</v>
      </c>
      <c r="O6816">
        <v>19.43</v>
      </c>
      <c r="P6816">
        <v>26.38</v>
      </c>
      <c r="Q6816">
        <v>14.36</v>
      </c>
      <c r="R6816">
        <v>0.0</v>
      </c>
    </row>
    <row r="6817">
      <c r="A6817" s="9">
        <v>45348</v>
      </c>
      <c r="B6817" s="2" t="inlineStr">
        <is>
          <t xml:space="preserve">2024-02</t>
        </is>
      </c>
      <c r="C6817" s="2" t="inlineStr">
        <is>
          <t xml:space="preserve">2023/24</t>
        </is>
      </c>
      <c r="D6817">
        <v>0.0</v>
      </c>
      <c r="E6817">
        <v>21.07</v>
      </c>
      <c r="F6817">
        <v>29.98</v>
      </c>
      <c r="G6817">
        <v>14.4</v>
      </c>
      <c r="H6817">
        <v>0.0</v>
      </c>
      <c r="I6817">
        <v>0.0</v>
      </c>
      <c r="J6817">
        <v>21.7</v>
      </c>
      <c r="K6817">
        <v>30.4</v>
      </c>
      <c r="L6817">
        <v>14.42</v>
      </c>
      <c r="M6817">
        <v>0.0</v>
      </c>
      <c r="N6817">
        <v>0.0</v>
      </c>
      <c r="O6817">
        <v>20.68</v>
      </c>
      <c r="P6817">
        <v>27.65</v>
      </c>
      <c r="Q6817">
        <v>14.9</v>
      </c>
      <c r="R6817">
        <v>0.0</v>
      </c>
    </row>
    <row r="6818">
      <c r="A6818" s="9">
        <v>45349</v>
      </c>
      <c r="B6818" s="2" t="inlineStr">
        <is>
          <t xml:space="preserve">2024-02</t>
        </is>
      </c>
      <c r="C6818" s="2" t="inlineStr">
        <is>
          <t xml:space="preserve">2023/24</t>
        </is>
      </c>
      <c r="D6818">
        <v>0.0</v>
      </c>
      <c r="E6818">
        <v>22.78</v>
      </c>
      <c r="F6818">
        <v>31.39</v>
      </c>
      <c r="G6818">
        <v>15.56</v>
      </c>
      <c r="H6818">
        <v>0.0</v>
      </c>
      <c r="I6818">
        <v>0.0</v>
      </c>
      <c r="J6818">
        <v>23.58</v>
      </c>
      <c r="K6818">
        <v>32.55</v>
      </c>
      <c r="L6818">
        <v>16.67</v>
      </c>
      <c r="M6818">
        <v>0.0</v>
      </c>
      <c r="N6818">
        <v>0.0</v>
      </c>
      <c r="O6818">
        <v>22.47</v>
      </c>
      <c r="P6818">
        <v>30.43</v>
      </c>
      <c r="Q6818">
        <v>17.13</v>
      </c>
      <c r="R6818">
        <v>0.0</v>
      </c>
    </row>
    <row r="6819">
      <c r="A6819" s="9">
        <v>45350</v>
      </c>
      <c r="B6819" s="2" t="inlineStr">
        <is>
          <t xml:space="preserve">2024-02</t>
        </is>
      </c>
      <c r="C6819" s="2" t="inlineStr">
        <is>
          <t xml:space="preserve">2023/24</t>
        </is>
      </c>
      <c r="D6819">
        <v>0.0</v>
      </c>
      <c r="E6819">
        <v>23.61</v>
      </c>
      <c r="F6819">
        <v>32.78</v>
      </c>
      <c r="G6819">
        <v>16.43</v>
      </c>
      <c r="H6819">
        <v>0.0</v>
      </c>
      <c r="I6819">
        <v>0.0</v>
      </c>
      <c r="J6819">
        <v>25.13</v>
      </c>
      <c r="K6819">
        <v>34.45</v>
      </c>
      <c r="L6819">
        <v>17.56</v>
      </c>
      <c r="M6819">
        <v>0.0</v>
      </c>
      <c r="N6819">
        <v>0.0</v>
      </c>
      <c r="O6819">
        <v>23.83</v>
      </c>
      <c r="P6819">
        <v>32.27</v>
      </c>
      <c r="Q6819">
        <v>17.97</v>
      </c>
      <c r="R6819">
        <v>0.0</v>
      </c>
    </row>
    <row r="6820">
      <c r="A6820" s="9">
        <v>45351</v>
      </c>
      <c r="B6820" s="2" t="inlineStr">
        <is>
          <t xml:space="preserve">2024-02</t>
        </is>
      </c>
      <c r="C6820" s="2" t="inlineStr">
        <is>
          <t xml:space="preserve">2023/24</t>
        </is>
      </c>
      <c r="D6820">
        <v>0.0</v>
      </c>
      <c r="E6820">
        <v>23.33</v>
      </c>
      <c r="F6820">
        <v>31.72</v>
      </c>
      <c r="G6820">
        <v>16.26</v>
      </c>
      <c r="H6820">
        <v>0.02</v>
      </c>
      <c r="I6820">
        <v>0.0</v>
      </c>
      <c r="J6820">
        <v>24.64</v>
      </c>
      <c r="K6820">
        <v>33.28</v>
      </c>
      <c r="L6820">
        <v>18.2</v>
      </c>
      <c r="M6820">
        <v>0.0</v>
      </c>
      <c r="N6820">
        <v>0.0</v>
      </c>
      <c r="O6820">
        <v>23.29</v>
      </c>
      <c r="P6820">
        <v>30.81</v>
      </c>
      <c r="Q6820">
        <v>18.74</v>
      </c>
      <c r="R6820">
        <v>0.07</v>
      </c>
    </row>
    <row r="6821">
      <c r="A6821" s="9">
        <v>45352</v>
      </c>
      <c r="B6821" s="2" t="inlineStr">
        <is>
          <t xml:space="preserve">2024-03</t>
        </is>
      </c>
      <c r="C6821" s="2" t="inlineStr">
        <is>
          <t xml:space="preserve">2023/24</t>
        </is>
      </c>
      <c r="D6821">
        <v>0.0</v>
      </c>
      <c r="E6821">
        <v>24.07</v>
      </c>
      <c r="F6821">
        <v>32.14</v>
      </c>
      <c r="G6821">
        <v>17.41</v>
      </c>
      <c r="H6821">
        <v>0.03</v>
      </c>
      <c r="I6821">
        <v>0.0</v>
      </c>
      <c r="J6821">
        <v>24.92</v>
      </c>
      <c r="K6821">
        <v>33.54</v>
      </c>
      <c r="L6821">
        <v>18.11</v>
      </c>
      <c r="M6821">
        <v>0.01</v>
      </c>
      <c r="N6821">
        <v>0.0</v>
      </c>
      <c r="O6821">
        <v>23.81</v>
      </c>
      <c r="P6821">
        <v>31.74</v>
      </c>
      <c r="Q6821">
        <v>18.59</v>
      </c>
      <c r="R6821">
        <v>0.15</v>
      </c>
    </row>
    <row r="6822">
      <c r="A6822" s="9">
        <v>45353</v>
      </c>
      <c r="B6822" s="2" t="inlineStr">
        <is>
          <t xml:space="preserve">2024-03</t>
        </is>
      </c>
      <c r="C6822" s="2" t="inlineStr">
        <is>
          <t xml:space="preserve">2023/24</t>
        </is>
      </c>
      <c r="D6822">
        <v>0.0</v>
      </c>
      <c r="E6822">
        <v>24.32</v>
      </c>
      <c r="F6822">
        <v>32.35</v>
      </c>
      <c r="G6822">
        <v>18.26</v>
      </c>
      <c r="H6822">
        <v>0.0</v>
      </c>
      <c r="I6822">
        <v>0.0</v>
      </c>
      <c r="J6822">
        <v>25.09</v>
      </c>
      <c r="K6822">
        <v>32.35</v>
      </c>
      <c r="L6822">
        <v>18.96</v>
      </c>
      <c r="M6822">
        <v>0.0</v>
      </c>
      <c r="N6822">
        <v>0.0</v>
      </c>
      <c r="O6822">
        <v>24.21</v>
      </c>
      <c r="P6822">
        <v>31.19</v>
      </c>
      <c r="Q6822">
        <v>19.4</v>
      </c>
      <c r="R6822">
        <v>0.0</v>
      </c>
    </row>
    <row r="6823">
      <c r="A6823" s="9">
        <v>45354</v>
      </c>
      <c r="B6823" s="2" t="inlineStr">
        <is>
          <t xml:space="preserve">2024-03</t>
        </is>
      </c>
      <c r="C6823" s="2" t="inlineStr">
        <is>
          <t xml:space="preserve">2023/24</t>
        </is>
      </c>
      <c r="D6823">
        <v>0.0</v>
      </c>
      <c r="E6823">
        <v>24.34</v>
      </c>
      <c r="F6823">
        <v>32.45</v>
      </c>
      <c r="G6823">
        <v>17.06</v>
      </c>
      <c r="H6823">
        <v>0.0</v>
      </c>
      <c r="I6823">
        <v>0.0</v>
      </c>
      <c r="J6823">
        <v>25.52</v>
      </c>
      <c r="K6823">
        <v>32.06</v>
      </c>
      <c r="L6823">
        <v>20.53</v>
      </c>
      <c r="M6823">
        <v>0.0</v>
      </c>
      <c r="N6823">
        <v>0.0</v>
      </c>
      <c r="O6823">
        <v>25.05</v>
      </c>
      <c r="P6823">
        <v>32.54</v>
      </c>
      <c r="Q6823">
        <v>19.17</v>
      </c>
      <c r="R6823">
        <v>0.0</v>
      </c>
    </row>
    <row r="6824">
      <c r="A6824" s="9">
        <v>45355</v>
      </c>
      <c r="B6824" s="2" t="inlineStr">
        <is>
          <t xml:space="preserve">2024-03</t>
        </is>
      </c>
      <c r="C6824" s="2" t="inlineStr">
        <is>
          <t xml:space="preserve">2023/24</t>
        </is>
      </c>
      <c r="D6824">
        <v>0.0</v>
      </c>
      <c r="E6824">
        <v>24.61</v>
      </c>
      <c r="F6824">
        <v>33.78</v>
      </c>
      <c r="G6824">
        <v>16.57</v>
      </c>
      <c r="H6824">
        <v>0.0</v>
      </c>
      <c r="I6824">
        <v>0.0</v>
      </c>
      <c r="J6824">
        <v>25.47</v>
      </c>
      <c r="K6824">
        <v>33.25</v>
      </c>
      <c r="L6824">
        <v>19.89</v>
      </c>
      <c r="M6824">
        <v>0.0</v>
      </c>
      <c r="N6824">
        <v>0.0</v>
      </c>
      <c r="O6824">
        <v>25.62</v>
      </c>
      <c r="P6824">
        <v>34.18</v>
      </c>
      <c r="Q6824">
        <v>18.81</v>
      </c>
      <c r="R6824">
        <v>0.0</v>
      </c>
    </row>
    <row r="6825">
      <c r="A6825" s="9">
        <v>45356</v>
      </c>
      <c r="B6825" s="2" t="inlineStr">
        <is>
          <t xml:space="preserve">2024-03</t>
        </is>
      </c>
      <c r="C6825" s="2" t="inlineStr">
        <is>
          <t xml:space="preserve">2023/24</t>
        </is>
      </c>
      <c r="D6825">
        <v>0.0</v>
      </c>
      <c r="E6825">
        <v>25.27</v>
      </c>
      <c r="F6825">
        <v>34.33</v>
      </c>
      <c r="G6825">
        <v>17.38</v>
      </c>
      <c r="H6825">
        <v>0.0</v>
      </c>
      <c r="I6825">
        <v>0.0</v>
      </c>
      <c r="J6825">
        <v>24.66</v>
      </c>
      <c r="K6825">
        <v>33.72</v>
      </c>
      <c r="L6825">
        <v>18.08</v>
      </c>
      <c r="M6825">
        <v>0.0</v>
      </c>
      <c r="N6825">
        <v>0.0</v>
      </c>
      <c r="O6825">
        <v>26.16</v>
      </c>
      <c r="P6825">
        <v>35.01</v>
      </c>
      <c r="Q6825">
        <v>18.49</v>
      </c>
      <c r="R6825">
        <v>0.0</v>
      </c>
    </row>
    <row r="6826">
      <c r="A6826" s="9">
        <v>45357</v>
      </c>
      <c r="B6826" s="2" t="inlineStr">
        <is>
          <t xml:space="preserve">2024-03</t>
        </is>
      </c>
      <c r="C6826" s="2" t="inlineStr">
        <is>
          <t xml:space="preserve">2023/24</t>
        </is>
      </c>
      <c r="D6826">
        <v>0.0</v>
      </c>
      <c r="E6826">
        <v>25.78</v>
      </c>
      <c r="F6826">
        <v>35.03</v>
      </c>
      <c r="G6826">
        <v>17.4</v>
      </c>
      <c r="H6826">
        <v>0.0</v>
      </c>
      <c r="I6826">
        <v>0.0</v>
      </c>
      <c r="J6826">
        <v>25.48</v>
      </c>
      <c r="K6826">
        <v>34.73</v>
      </c>
      <c r="L6826">
        <v>17.4</v>
      </c>
      <c r="M6826">
        <v>0.0</v>
      </c>
      <c r="N6826">
        <v>0.0</v>
      </c>
      <c r="O6826">
        <v>25.66</v>
      </c>
      <c r="P6826">
        <v>34.47</v>
      </c>
      <c r="Q6826">
        <v>17.85</v>
      </c>
      <c r="R6826">
        <v>0.0</v>
      </c>
    </row>
    <row r="6827">
      <c r="A6827" s="9">
        <v>45358</v>
      </c>
      <c r="B6827" s="2" t="inlineStr">
        <is>
          <t xml:space="preserve">2024-03</t>
        </is>
      </c>
      <c r="C6827" s="2" t="inlineStr">
        <is>
          <t xml:space="preserve">2023/24</t>
        </is>
      </c>
      <c r="D6827">
        <v>0.0</v>
      </c>
      <c r="E6827">
        <v>26.41</v>
      </c>
      <c r="F6827">
        <v>35.45</v>
      </c>
      <c r="G6827">
        <v>18.4</v>
      </c>
      <c r="H6827">
        <v>0.0</v>
      </c>
      <c r="I6827">
        <v>0.0</v>
      </c>
      <c r="J6827">
        <v>26.63</v>
      </c>
      <c r="K6827">
        <v>35.28</v>
      </c>
      <c r="L6827">
        <v>20.08</v>
      </c>
      <c r="M6827">
        <v>0.0</v>
      </c>
      <c r="N6827">
        <v>0.0</v>
      </c>
      <c r="O6827">
        <v>26.39</v>
      </c>
      <c r="P6827">
        <v>35.03</v>
      </c>
      <c r="Q6827">
        <v>18.86</v>
      </c>
      <c r="R6827">
        <v>0.0</v>
      </c>
    </row>
    <row r="6828">
      <c r="A6828" s="9">
        <v>45359</v>
      </c>
      <c r="B6828" s="2" t="inlineStr">
        <is>
          <t xml:space="preserve">2024-03</t>
        </is>
      </c>
      <c r="C6828" s="2" t="inlineStr">
        <is>
          <t xml:space="preserve">2023/24</t>
        </is>
      </c>
      <c r="D6828">
        <v>0.0</v>
      </c>
      <c r="E6828">
        <v>26.71</v>
      </c>
      <c r="F6828">
        <v>35.39</v>
      </c>
      <c r="G6828">
        <v>19.98</v>
      </c>
      <c r="H6828">
        <v>0.0</v>
      </c>
      <c r="I6828">
        <v>0.0</v>
      </c>
      <c r="J6828">
        <v>25.57</v>
      </c>
      <c r="K6828">
        <v>34.72</v>
      </c>
      <c r="L6828">
        <v>19.13</v>
      </c>
      <c r="M6828">
        <v>0.0</v>
      </c>
      <c r="N6828">
        <v>0.0</v>
      </c>
      <c r="O6828">
        <v>27.04</v>
      </c>
      <c r="P6828">
        <v>36.66</v>
      </c>
      <c r="Q6828">
        <v>19.48</v>
      </c>
      <c r="R6828">
        <v>0.0</v>
      </c>
    </row>
    <row r="6829">
      <c r="A6829" s="9">
        <v>45360</v>
      </c>
      <c r="B6829" s="2" t="inlineStr">
        <is>
          <t xml:space="preserve">2024-03</t>
        </is>
      </c>
      <c r="C6829" s="2" t="inlineStr">
        <is>
          <t xml:space="preserve">2023/24</t>
        </is>
      </c>
      <c r="D6829">
        <v>0.0</v>
      </c>
      <c r="E6829">
        <v>26.52</v>
      </c>
      <c r="F6829">
        <v>35.52</v>
      </c>
      <c r="G6829">
        <v>18.15</v>
      </c>
      <c r="H6829">
        <v>0.0</v>
      </c>
      <c r="I6829">
        <v>0.0</v>
      </c>
      <c r="J6829">
        <v>24.67</v>
      </c>
      <c r="K6829">
        <v>34.77</v>
      </c>
      <c r="L6829">
        <v>16.55</v>
      </c>
      <c r="M6829">
        <v>0.0</v>
      </c>
      <c r="N6829">
        <v>0.0</v>
      </c>
      <c r="O6829">
        <v>26.76</v>
      </c>
      <c r="P6829">
        <v>36.64</v>
      </c>
      <c r="Q6829">
        <v>17.77</v>
      </c>
      <c r="R6829">
        <v>0.0</v>
      </c>
    </row>
    <row r="6830">
      <c r="A6830" s="9">
        <v>45361</v>
      </c>
      <c r="B6830" s="2" t="inlineStr">
        <is>
          <t xml:space="preserve">2024-03</t>
        </is>
      </c>
      <c r="C6830" s="2" t="inlineStr">
        <is>
          <t xml:space="preserve">2023/24</t>
        </is>
      </c>
      <c r="D6830">
        <v>0.0</v>
      </c>
      <c r="E6830">
        <v>25.31</v>
      </c>
      <c r="F6830">
        <v>32.6</v>
      </c>
      <c r="G6830">
        <v>19.48</v>
      </c>
      <c r="H6830">
        <v>0.01</v>
      </c>
      <c r="I6830">
        <v>0.0</v>
      </c>
      <c r="J6830">
        <v>24.64</v>
      </c>
      <c r="K6830">
        <v>32.07</v>
      </c>
      <c r="L6830">
        <v>18.26</v>
      </c>
      <c r="M6830">
        <v>0.0</v>
      </c>
      <c r="N6830">
        <v>0.0</v>
      </c>
      <c r="O6830">
        <v>24.5</v>
      </c>
      <c r="P6830">
        <v>31.28</v>
      </c>
      <c r="Q6830">
        <v>20.09</v>
      </c>
      <c r="R6830">
        <v>0.02</v>
      </c>
    </row>
    <row r="6831">
      <c r="A6831" s="9">
        <v>45362</v>
      </c>
      <c r="B6831" s="2" t="inlineStr">
        <is>
          <t xml:space="preserve">2024-03</t>
        </is>
      </c>
      <c r="C6831" s="2" t="inlineStr">
        <is>
          <t xml:space="preserve">2023/24</t>
        </is>
      </c>
      <c r="D6831">
        <v>0.0</v>
      </c>
      <c r="E6831">
        <v>24.46</v>
      </c>
      <c r="F6831">
        <v>32.52</v>
      </c>
      <c r="G6831">
        <v>18.67</v>
      </c>
      <c r="H6831">
        <v>0.1</v>
      </c>
      <c r="I6831">
        <v>0.0</v>
      </c>
      <c r="J6831">
        <v>24.84</v>
      </c>
      <c r="K6831">
        <v>32.52</v>
      </c>
      <c r="L6831">
        <v>19.72</v>
      </c>
      <c r="M6831">
        <v>0.03</v>
      </c>
      <c r="N6831">
        <v>0.0</v>
      </c>
      <c r="O6831">
        <v>23.5</v>
      </c>
      <c r="P6831">
        <v>30.22</v>
      </c>
      <c r="Q6831">
        <v>19.0</v>
      </c>
      <c r="R6831">
        <v>0.33</v>
      </c>
    </row>
    <row r="6832">
      <c r="A6832" s="9">
        <v>45363</v>
      </c>
      <c r="B6832" s="2" t="inlineStr">
        <is>
          <t xml:space="preserve">2024-03</t>
        </is>
      </c>
      <c r="C6832" s="2" t="inlineStr">
        <is>
          <t xml:space="preserve">2023/24</t>
        </is>
      </c>
      <c r="D6832">
        <v>0.0</v>
      </c>
      <c r="E6832">
        <v>24.85</v>
      </c>
      <c r="F6832">
        <v>33.0</v>
      </c>
      <c r="G6832">
        <v>18.49</v>
      </c>
      <c r="H6832">
        <v>0.32</v>
      </c>
      <c r="I6832">
        <v>0.0</v>
      </c>
      <c r="J6832">
        <v>24.55</v>
      </c>
      <c r="K6832">
        <v>32.44</v>
      </c>
      <c r="L6832">
        <v>18.66</v>
      </c>
      <c r="M6832">
        <v>0.11</v>
      </c>
      <c r="N6832">
        <v>0.067</v>
      </c>
      <c r="O6832">
        <v>23.44</v>
      </c>
      <c r="P6832">
        <v>30.58</v>
      </c>
      <c r="Q6832">
        <v>18.84</v>
      </c>
      <c r="R6832">
        <v>0.98</v>
      </c>
    </row>
    <row r="6833">
      <c r="A6833" s="9">
        <v>45364</v>
      </c>
      <c r="B6833" s="2" t="inlineStr">
        <is>
          <t xml:space="preserve">2024-03</t>
        </is>
      </c>
      <c r="C6833" s="2" t="inlineStr">
        <is>
          <t xml:space="preserve">2023/24</t>
        </is>
      </c>
      <c r="D6833">
        <v>0.0</v>
      </c>
      <c r="E6833">
        <v>25.08</v>
      </c>
      <c r="F6833">
        <v>34.45</v>
      </c>
      <c r="G6833">
        <v>17.99</v>
      </c>
      <c r="H6833">
        <v>0.0</v>
      </c>
      <c r="I6833">
        <v>0.0</v>
      </c>
      <c r="J6833">
        <v>25.87</v>
      </c>
      <c r="K6833">
        <v>34.59</v>
      </c>
      <c r="L6833">
        <v>18.74</v>
      </c>
      <c r="M6833">
        <v>0.0</v>
      </c>
      <c r="N6833">
        <v>0.0</v>
      </c>
      <c r="O6833">
        <v>24.62</v>
      </c>
      <c r="P6833">
        <v>32.73</v>
      </c>
      <c r="Q6833">
        <v>19.28</v>
      </c>
      <c r="R6833">
        <v>0.0</v>
      </c>
    </row>
    <row r="6834">
      <c r="A6834" s="9">
        <v>45365</v>
      </c>
      <c r="B6834" s="2" t="inlineStr">
        <is>
          <t xml:space="preserve">2024-03</t>
        </is>
      </c>
      <c r="C6834" s="2" t="inlineStr">
        <is>
          <t xml:space="preserve">2023/24</t>
        </is>
      </c>
      <c r="D6834">
        <v>0.0</v>
      </c>
      <c r="E6834">
        <v>24.99</v>
      </c>
      <c r="F6834">
        <v>33.87</v>
      </c>
      <c r="G6834">
        <v>17.24</v>
      </c>
      <c r="H6834">
        <v>0.0</v>
      </c>
      <c r="I6834">
        <v>0.0</v>
      </c>
      <c r="J6834">
        <v>26.54</v>
      </c>
      <c r="K6834">
        <v>35.25</v>
      </c>
      <c r="L6834">
        <v>18.67</v>
      </c>
      <c r="M6834">
        <v>0.0</v>
      </c>
      <c r="N6834">
        <v>0.0</v>
      </c>
      <c r="O6834">
        <v>25.26</v>
      </c>
      <c r="P6834">
        <v>33.48</v>
      </c>
      <c r="Q6834">
        <v>19.4</v>
      </c>
      <c r="R6834">
        <v>0.0</v>
      </c>
    </row>
    <row r="6835">
      <c r="A6835" s="9">
        <v>45366</v>
      </c>
      <c r="B6835" s="2" t="inlineStr">
        <is>
          <t xml:space="preserve">2024-03</t>
        </is>
      </c>
      <c r="C6835" s="2" t="inlineStr">
        <is>
          <t xml:space="preserve">2023/24</t>
        </is>
      </c>
      <c r="D6835">
        <v>0.0</v>
      </c>
      <c r="E6835">
        <v>26.88</v>
      </c>
      <c r="F6835">
        <v>34.88</v>
      </c>
      <c r="G6835">
        <v>20.24</v>
      </c>
      <c r="H6835">
        <v>0.0</v>
      </c>
      <c r="I6835">
        <v>0.0</v>
      </c>
      <c r="J6835">
        <v>27.18</v>
      </c>
      <c r="K6835">
        <v>36.08</v>
      </c>
      <c r="L6835">
        <v>19.17</v>
      </c>
      <c r="M6835">
        <v>0.0</v>
      </c>
      <c r="N6835">
        <v>0.0</v>
      </c>
      <c r="O6835">
        <v>26.17</v>
      </c>
      <c r="P6835">
        <v>34.55</v>
      </c>
      <c r="Q6835">
        <v>19.43</v>
      </c>
      <c r="R6835">
        <v>0.0</v>
      </c>
    </row>
    <row r="6836">
      <c r="A6836" s="9">
        <v>45367</v>
      </c>
      <c r="B6836" s="2" t="inlineStr">
        <is>
          <t xml:space="preserve">2024-03</t>
        </is>
      </c>
      <c r="C6836" s="2" t="inlineStr">
        <is>
          <t xml:space="preserve">2023/24</t>
        </is>
      </c>
      <c r="D6836">
        <v>0.0</v>
      </c>
      <c r="E6836">
        <v>26.8</v>
      </c>
      <c r="F6836">
        <v>34.49</v>
      </c>
      <c r="G6836">
        <v>19.29</v>
      </c>
      <c r="H6836">
        <v>0.0</v>
      </c>
      <c r="I6836">
        <v>0.0</v>
      </c>
      <c r="J6836">
        <v>27.96</v>
      </c>
      <c r="K6836">
        <v>35.93</v>
      </c>
      <c r="L6836">
        <v>21.36</v>
      </c>
      <c r="M6836">
        <v>0.0</v>
      </c>
      <c r="N6836">
        <v>0.0</v>
      </c>
      <c r="O6836">
        <v>26.56</v>
      </c>
      <c r="P6836">
        <v>34.23</v>
      </c>
      <c r="Q6836">
        <v>20.9</v>
      </c>
      <c r="R6836">
        <v>0.0</v>
      </c>
    </row>
    <row r="6837">
      <c r="A6837" s="9">
        <v>45368</v>
      </c>
      <c r="B6837" s="2" t="inlineStr">
        <is>
          <t xml:space="preserve">2024-03</t>
        </is>
      </c>
      <c r="C6837" s="2" t="inlineStr">
        <is>
          <t xml:space="preserve">2023/24</t>
        </is>
      </c>
      <c r="D6837">
        <v>0.0</v>
      </c>
      <c r="E6837">
        <v>26.9</v>
      </c>
      <c r="F6837">
        <v>34.11</v>
      </c>
      <c r="G6837">
        <v>20.66</v>
      </c>
      <c r="H6837">
        <v>0.0</v>
      </c>
      <c r="I6837">
        <v>0.0</v>
      </c>
      <c r="J6837">
        <v>27.72</v>
      </c>
      <c r="K6837">
        <v>35.41</v>
      </c>
      <c r="L6837">
        <v>22.39</v>
      </c>
      <c r="M6837">
        <v>0.0</v>
      </c>
      <c r="N6837">
        <v>0.0</v>
      </c>
      <c r="O6837">
        <v>26.76</v>
      </c>
      <c r="P6837">
        <v>34.36</v>
      </c>
      <c r="Q6837">
        <v>21.37</v>
      </c>
      <c r="R6837">
        <v>0.0</v>
      </c>
    </row>
    <row r="6838">
      <c r="A6838" s="9">
        <v>45369</v>
      </c>
      <c r="B6838" s="2" t="inlineStr">
        <is>
          <t xml:space="preserve">2024-03</t>
        </is>
      </c>
      <c r="C6838" s="2" t="inlineStr">
        <is>
          <t xml:space="preserve">2023/24</t>
        </is>
      </c>
      <c r="D6838">
        <v>0.0</v>
      </c>
      <c r="E6838">
        <v>27.36</v>
      </c>
      <c r="F6838">
        <v>35.65</v>
      </c>
      <c r="G6838">
        <v>20.98</v>
      </c>
      <c r="H6838">
        <v>0.0</v>
      </c>
      <c r="I6838">
        <v>0.0</v>
      </c>
      <c r="J6838">
        <v>28.06</v>
      </c>
      <c r="K6838">
        <v>36.11</v>
      </c>
      <c r="L6838">
        <v>21.8</v>
      </c>
      <c r="M6838">
        <v>0.0</v>
      </c>
      <c r="N6838">
        <v>0.0</v>
      </c>
      <c r="O6838">
        <v>26.82</v>
      </c>
      <c r="P6838">
        <v>35.07</v>
      </c>
      <c r="Q6838">
        <v>21.37</v>
      </c>
      <c r="R6838">
        <v>0.0</v>
      </c>
    </row>
    <row r="6839">
      <c r="A6839" s="9">
        <v>45370</v>
      </c>
      <c r="B6839" s="2" t="inlineStr">
        <is>
          <t xml:space="preserve">2024-03</t>
        </is>
      </c>
      <c r="C6839" s="2" t="inlineStr">
        <is>
          <t xml:space="preserve">2023/24</t>
        </is>
      </c>
      <c r="D6839">
        <v>0.0</v>
      </c>
      <c r="E6839">
        <v>25.42</v>
      </c>
      <c r="F6839">
        <v>33.18</v>
      </c>
      <c r="G6839">
        <v>19.97</v>
      </c>
      <c r="H6839">
        <v>16.85</v>
      </c>
      <c r="I6839">
        <v>0.0</v>
      </c>
      <c r="J6839">
        <v>25.85</v>
      </c>
      <c r="K6839">
        <v>33.32</v>
      </c>
      <c r="L6839">
        <v>20.33</v>
      </c>
      <c r="M6839">
        <v>69.23</v>
      </c>
      <c r="N6839">
        <v>0.0</v>
      </c>
      <c r="O6839">
        <v>24.6</v>
      </c>
      <c r="P6839">
        <v>31.01</v>
      </c>
      <c r="Q6839">
        <v>20.42</v>
      </c>
      <c r="R6839">
        <v>82.78</v>
      </c>
    </row>
    <row r="6840">
      <c r="A6840" s="9">
        <v>45371</v>
      </c>
      <c r="B6840" s="2" t="inlineStr">
        <is>
          <t xml:space="preserve">2024-03</t>
        </is>
      </c>
      <c r="C6840" s="2" t="inlineStr">
        <is>
          <t xml:space="preserve">2023/24</t>
        </is>
      </c>
      <c r="D6840">
        <v>0.0</v>
      </c>
      <c r="E6840">
        <v>23.4</v>
      </c>
      <c r="F6840">
        <v>30.1</v>
      </c>
      <c r="G6840">
        <v>18.78</v>
      </c>
      <c r="H6840">
        <v>24.94</v>
      </c>
      <c r="I6840">
        <v>0.0</v>
      </c>
      <c r="J6840">
        <v>21.61</v>
      </c>
      <c r="K6840">
        <v>26.29</v>
      </c>
      <c r="L6840">
        <v>18.27</v>
      </c>
      <c r="M6840">
        <v>262.71</v>
      </c>
      <c r="N6840">
        <v>0.0</v>
      </c>
      <c r="O6840">
        <v>21.73</v>
      </c>
      <c r="P6840">
        <v>26.18</v>
      </c>
      <c r="Q6840">
        <v>18.86</v>
      </c>
      <c r="R6840">
        <v>205.39</v>
      </c>
    </row>
    <row r="6841">
      <c r="A6841" s="9">
        <v>45372</v>
      </c>
      <c r="B6841" s="2" t="inlineStr">
        <is>
          <t xml:space="preserve">2024-03</t>
        </is>
      </c>
      <c r="C6841" s="2" t="inlineStr">
        <is>
          <t xml:space="preserve">2023/24</t>
        </is>
      </c>
      <c r="D6841">
        <v>0.0</v>
      </c>
      <c r="E6841">
        <v>25.12</v>
      </c>
      <c r="F6841">
        <v>32.78</v>
      </c>
      <c r="G6841">
        <v>18.84</v>
      </c>
      <c r="H6841">
        <v>0.0</v>
      </c>
      <c r="I6841">
        <v>0.0</v>
      </c>
      <c r="J6841">
        <v>23.23</v>
      </c>
      <c r="K6841">
        <v>29.01</v>
      </c>
      <c r="L6841">
        <v>17.95</v>
      </c>
      <c r="M6841">
        <v>0.0</v>
      </c>
      <c r="N6841">
        <v>0.0</v>
      </c>
      <c r="O6841">
        <v>23.12</v>
      </c>
      <c r="P6841">
        <v>28.83</v>
      </c>
      <c r="Q6841">
        <v>18.73</v>
      </c>
      <c r="R6841">
        <v>0.0</v>
      </c>
    </row>
    <row r="6842">
      <c r="A6842" s="9">
        <v>45373</v>
      </c>
      <c r="B6842" s="2" t="inlineStr">
        <is>
          <t xml:space="preserve">2024-03</t>
        </is>
      </c>
      <c r="C6842" s="2" t="inlineStr">
        <is>
          <t xml:space="preserve">2023/24</t>
        </is>
      </c>
      <c r="D6842">
        <v>0.0</v>
      </c>
      <c r="E6842">
        <v>26.66</v>
      </c>
      <c r="F6842">
        <v>34.66</v>
      </c>
      <c r="G6842">
        <v>19.56</v>
      </c>
      <c r="H6842">
        <v>0.0</v>
      </c>
      <c r="I6842">
        <v>0.0</v>
      </c>
      <c r="J6842">
        <v>23.85</v>
      </c>
      <c r="K6842">
        <v>29.75</v>
      </c>
      <c r="L6842">
        <v>18.98</v>
      </c>
      <c r="M6842">
        <v>0.0</v>
      </c>
      <c r="N6842">
        <v>0.0</v>
      </c>
      <c r="O6842">
        <v>24.97</v>
      </c>
      <c r="P6842">
        <v>31.02</v>
      </c>
      <c r="Q6842">
        <v>19.81</v>
      </c>
      <c r="R6842">
        <v>0.0</v>
      </c>
    </row>
    <row r="6843">
      <c r="A6843" s="9">
        <v>45374</v>
      </c>
      <c r="B6843" s="2" t="inlineStr">
        <is>
          <t xml:space="preserve">2024-03</t>
        </is>
      </c>
      <c r="C6843" s="2" t="inlineStr">
        <is>
          <t xml:space="preserve">2023/24</t>
        </is>
      </c>
      <c r="D6843">
        <v>0.0</v>
      </c>
      <c r="E6843">
        <v>25.96</v>
      </c>
      <c r="F6843">
        <v>33.47</v>
      </c>
      <c r="G6843">
        <v>20.12</v>
      </c>
      <c r="H6843">
        <v>0.51</v>
      </c>
      <c r="I6843">
        <v>0.0</v>
      </c>
      <c r="J6843">
        <v>24.6</v>
      </c>
      <c r="K6843">
        <v>30.78</v>
      </c>
      <c r="L6843">
        <v>19.09</v>
      </c>
      <c r="M6843">
        <v>0.0</v>
      </c>
      <c r="N6843">
        <v>0.0</v>
      </c>
      <c r="O6843">
        <v>24.5</v>
      </c>
      <c r="P6843">
        <v>29.99</v>
      </c>
      <c r="Q6843">
        <v>20.26</v>
      </c>
      <c r="R6843">
        <v>0.01</v>
      </c>
    </row>
    <row r="6844">
      <c r="A6844" s="9">
        <v>45375</v>
      </c>
      <c r="B6844" s="2" t="inlineStr">
        <is>
          <t xml:space="preserve">2024-03</t>
        </is>
      </c>
      <c r="C6844" s="2" t="inlineStr">
        <is>
          <t xml:space="preserve">2023/24</t>
        </is>
      </c>
      <c r="D6844">
        <v>1.309</v>
      </c>
      <c r="E6844">
        <v>26.3</v>
      </c>
      <c r="F6844">
        <v>34.25</v>
      </c>
      <c r="G6844">
        <v>20.25</v>
      </c>
      <c r="H6844">
        <v>0.68</v>
      </c>
      <c r="I6844">
        <v>0.0</v>
      </c>
      <c r="J6844">
        <v>24.51</v>
      </c>
      <c r="K6844">
        <v>30.98</v>
      </c>
      <c r="L6844">
        <v>19.98</v>
      </c>
      <c r="M6844">
        <v>0.0</v>
      </c>
      <c r="N6844">
        <v>0.0</v>
      </c>
      <c r="O6844">
        <v>25.04</v>
      </c>
      <c r="P6844">
        <v>31.28</v>
      </c>
      <c r="Q6844">
        <v>20.68</v>
      </c>
      <c r="R6844">
        <v>0.03</v>
      </c>
    </row>
    <row r="6845">
      <c r="A6845" s="9">
        <v>45376</v>
      </c>
      <c r="B6845" s="2" t="inlineStr">
        <is>
          <t xml:space="preserve">2024-03</t>
        </is>
      </c>
      <c r="C6845" s="2" t="inlineStr">
        <is>
          <t xml:space="preserve">2023/24</t>
        </is>
      </c>
      <c r="D6845">
        <v>0.0</v>
      </c>
      <c r="E6845">
        <v>26.33</v>
      </c>
      <c r="F6845">
        <v>34.51</v>
      </c>
      <c r="G6845">
        <v>19.77</v>
      </c>
      <c r="H6845">
        <v>0.0</v>
      </c>
      <c r="I6845">
        <v>0.0</v>
      </c>
      <c r="J6845">
        <v>24.12</v>
      </c>
      <c r="K6845">
        <v>30.66</v>
      </c>
      <c r="L6845">
        <v>19.02</v>
      </c>
      <c r="M6845">
        <v>0.0</v>
      </c>
      <c r="N6845">
        <v>0.0</v>
      </c>
      <c r="O6845">
        <v>25.18</v>
      </c>
      <c r="P6845">
        <v>31.79</v>
      </c>
      <c r="Q6845">
        <v>19.96</v>
      </c>
      <c r="R6845">
        <v>0.0</v>
      </c>
    </row>
    <row r="6846">
      <c r="A6846" s="9">
        <v>45377</v>
      </c>
      <c r="B6846" s="2" t="inlineStr">
        <is>
          <t xml:space="preserve">2024-03</t>
        </is>
      </c>
      <c r="C6846" s="2" t="inlineStr">
        <is>
          <t xml:space="preserve">2023/24</t>
        </is>
      </c>
      <c r="D6846">
        <v>0.0</v>
      </c>
      <c r="E6846">
        <v>26.38</v>
      </c>
      <c r="F6846">
        <v>35.68</v>
      </c>
      <c r="G6846">
        <v>18.46</v>
      </c>
      <c r="H6846">
        <v>0.0</v>
      </c>
      <c r="I6846">
        <v>0.0</v>
      </c>
      <c r="J6846">
        <v>23.97</v>
      </c>
      <c r="K6846">
        <v>31.38</v>
      </c>
      <c r="L6846">
        <v>18.7</v>
      </c>
      <c r="M6846">
        <v>0.0</v>
      </c>
      <c r="N6846">
        <v>0.0</v>
      </c>
      <c r="O6846">
        <v>25.52</v>
      </c>
      <c r="P6846">
        <v>33.32</v>
      </c>
      <c r="Q6846">
        <v>19.77</v>
      </c>
      <c r="R6846">
        <v>0.0</v>
      </c>
    </row>
    <row r="6847">
      <c r="A6847" s="9">
        <v>45378</v>
      </c>
      <c r="B6847" s="2" t="inlineStr">
        <is>
          <t xml:space="preserve">2024-03</t>
        </is>
      </c>
      <c r="C6847" s="2" t="inlineStr">
        <is>
          <t xml:space="preserve">2023/24</t>
        </is>
      </c>
      <c r="D6847">
        <v>0.0</v>
      </c>
      <c r="E6847">
        <v>27.45</v>
      </c>
      <c r="F6847">
        <v>37.17</v>
      </c>
      <c r="G6847">
        <v>19.13</v>
      </c>
      <c r="H6847">
        <v>0.06</v>
      </c>
      <c r="I6847">
        <v>0.0</v>
      </c>
      <c r="J6847">
        <v>24.93</v>
      </c>
      <c r="K6847">
        <v>33.15</v>
      </c>
      <c r="L6847">
        <v>19.21</v>
      </c>
      <c r="M6847">
        <v>0.0</v>
      </c>
      <c r="N6847">
        <v>0.0</v>
      </c>
      <c r="O6847">
        <v>26.26</v>
      </c>
      <c r="P6847">
        <v>34.42</v>
      </c>
      <c r="Q6847">
        <v>19.55</v>
      </c>
      <c r="R6847">
        <v>0.01</v>
      </c>
    </row>
    <row r="6848">
      <c r="A6848" s="9">
        <v>45379</v>
      </c>
      <c r="B6848" s="2" t="inlineStr">
        <is>
          <t xml:space="preserve">2024-03</t>
        </is>
      </c>
      <c r="C6848" s="2" t="inlineStr">
        <is>
          <t xml:space="preserve">2023/24</t>
        </is>
      </c>
      <c r="D6848">
        <v>0.059</v>
      </c>
      <c r="E6848">
        <v>23.64</v>
      </c>
      <c r="F6848">
        <v>30.14</v>
      </c>
      <c r="G6848">
        <v>17.92</v>
      </c>
      <c r="H6848">
        <v>4.14</v>
      </c>
      <c r="I6848">
        <v>0.0</v>
      </c>
      <c r="J6848">
        <v>23.08</v>
      </c>
      <c r="K6848">
        <v>27.56</v>
      </c>
      <c r="L6848">
        <v>19.5</v>
      </c>
      <c r="M6848">
        <v>0.47</v>
      </c>
      <c r="N6848">
        <v>0.683</v>
      </c>
      <c r="O6848">
        <v>22.27</v>
      </c>
      <c r="P6848">
        <v>25.83</v>
      </c>
      <c r="Q6848">
        <v>18.3</v>
      </c>
      <c r="R6848">
        <v>3.67</v>
      </c>
    </row>
    <row r="6849">
      <c r="A6849" s="9">
        <v>45380</v>
      </c>
      <c r="B6849" s="2" t="inlineStr">
        <is>
          <t xml:space="preserve">2024-03</t>
        </is>
      </c>
      <c r="C6849" s="2" t="inlineStr">
        <is>
          <t xml:space="preserve">2023/24</t>
        </is>
      </c>
      <c r="D6849">
        <v>0.036</v>
      </c>
      <c r="E6849">
        <v>22.32</v>
      </c>
      <c r="F6849">
        <v>29.5</v>
      </c>
      <c r="G6849">
        <v>17.71</v>
      </c>
      <c r="H6849">
        <v>1.08</v>
      </c>
      <c r="I6849">
        <v>0.0</v>
      </c>
      <c r="J6849">
        <v>21.96</v>
      </c>
      <c r="K6849">
        <v>28.17</v>
      </c>
      <c r="L6849">
        <v>17.9</v>
      </c>
      <c r="M6849">
        <v>0.21</v>
      </c>
      <c r="N6849">
        <v>0.322</v>
      </c>
      <c r="O6849">
        <v>21.36</v>
      </c>
      <c r="P6849">
        <v>27.09</v>
      </c>
      <c r="Q6849">
        <v>17.97</v>
      </c>
      <c r="R6849">
        <v>1.26</v>
      </c>
    </row>
    <row r="6850">
      <c r="A6850" s="9">
        <v>45381</v>
      </c>
      <c r="B6850" s="2" t="inlineStr">
        <is>
          <t xml:space="preserve">2024-03</t>
        </is>
      </c>
      <c r="C6850" s="2" t="inlineStr">
        <is>
          <t xml:space="preserve">2023/24</t>
        </is>
      </c>
      <c r="D6850">
        <v>0.072</v>
      </c>
      <c r="E6850">
        <v>24.28</v>
      </c>
      <c r="F6850">
        <v>32.5</v>
      </c>
      <c r="G6850">
        <v>17.35</v>
      </c>
      <c r="H6850">
        <v>0.13</v>
      </c>
      <c r="I6850">
        <v>0.0</v>
      </c>
      <c r="J6850">
        <v>23.53</v>
      </c>
      <c r="K6850">
        <v>31.41</v>
      </c>
      <c r="L6850">
        <v>16.97</v>
      </c>
      <c r="M6850">
        <v>0.01</v>
      </c>
      <c r="N6850">
        <v>0.0</v>
      </c>
      <c r="O6850">
        <v>22.66</v>
      </c>
      <c r="P6850">
        <v>29.93</v>
      </c>
      <c r="Q6850">
        <v>17.22</v>
      </c>
      <c r="R6850">
        <v>0.12</v>
      </c>
    </row>
    <row r="6851">
      <c r="A6851" s="9">
        <v>45382</v>
      </c>
      <c r="B6851" s="2" t="inlineStr">
        <is>
          <t xml:space="preserve">2024-03</t>
        </is>
      </c>
      <c r="C6851" s="2" t="inlineStr">
        <is>
          <t xml:space="preserve">2023/24</t>
        </is>
      </c>
      <c r="D6851">
        <v>0.0</v>
      </c>
      <c r="E6851">
        <v>26.09</v>
      </c>
      <c r="F6851">
        <v>34.29</v>
      </c>
      <c r="G6851">
        <v>19.36</v>
      </c>
      <c r="H6851">
        <v>0.0</v>
      </c>
      <c r="I6851">
        <v>0.0</v>
      </c>
      <c r="J6851">
        <v>25.02</v>
      </c>
      <c r="K6851">
        <v>32.87</v>
      </c>
      <c r="L6851">
        <v>18.11</v>
      </c>
      <c r="M6851">
        <v>0.0</v>
      </c>
      <c r="N6851">
        <v>0.0</v>
      </c>
      <c r="O6851">
        <v>24.13</v>
      </c>
      <c r="P6851">
        <v>31.46</v>
      </c>
      <c r="Q6851">
        <v>18.5</v>
      </c>
      <c r="R6851">
        <v>0.01</v>
      </c>
    </row>
    <row r="6852">
      <c r="A6852" s="9">
        <v>45383</v>
      </c>
      <c r="B6852" s="2" t="inlineStr">
        <is>
          <t xml:space="preserve">2024-04</t>
        </is>
      </c>
      <c r="C6852" s="2" t="inlineStr">
        <is>
          <t xml:space="preserve">2023/24</t>
        </is>
      </c>
      <c r="D6852">
        <v>0.0</v>
      </c>
      <c r="E6852">
        <v>26.45</v>
      </c>
      <c r="F6852">
        <v>34.83</v>
      </c>
      <c r="G6852">
        <v>19.16</v>
      </c>
      <c r="H6852">
        <v>0.0</v>
      </c>
      <c r="I6852">
        <v>0.0</v>
      </c>
      <c r="J6852">
        <v>25.52</v>
      </c>
      <c r="K6852">
        <v>32.62</v>
      </c>
      <c r="L6852">
        <v>20.48</v>
      </c>
      <c r="M6852">
        <v>0.0</v>
      </c>
      <c r="N6852">
        <v>0.0</v>
      </c>
      <c r="O6852">
        <v>26.45</v>
      </c>
      <c r="P6852">
        <v>33.47</v>
      </c>
      <c r="Q6852">
        <v>20.37</v>
      </c>
      <c r="R6852">
        <v>0.0</v>
      </c>
    </row>
    <row r="6853">
      <c r="A6853" s="9">
        <v>45384</v>
      </c>
      <c r="B6853" s="2" t="inlineStr">
        <is>
          <t xml:space="preserve">2024-04</t>
        </is>
      </c>
      <c r="C6853" s="2" t="inlineStr">
        <is>
          <t xml:space="preserve">2023/24</t>
        </is>
      </c>
      <c r="D6853">
        <v>0.0</v>
      </c>
      <c r="E6853">
        <v>26.43</v>
      </c>
      <c r="F6853">
        <v>34.6</v>
      </c>
      <c r="G6853">
        <v>19.42</v>
      </c>
      <c r="H6853">
        <v>0.0</v>
      </c>
      <c r="I6853">
        <v>0.0</v>
      </c>
      <c r="J6853">
        <v>24.48</v>
      </c>
      <c r="K6853">
        <v>31.33</v>
      </c>
      <c r="L6853">
        <v>19.2</v>
      </c>
      <c r="M6853">
        <v>0.0</v>
      </c>
      <c r="N6853">
        <v>0.0</v>
      </c>
      <c r="O6853">
        <v>26.47</v>
      </c>
      <c r="P6853">
        <v>34.16</v>
      </c>
      <c r="Q6853">
        <v>19.69</v>
      </c>
      <c r="R6853">
        <v>0.0</v>
      </c>
    </row>
    <row r="6854">
      <c r="A6854" s="9">
        <v>45385</v>
      </c>
      <c r="B6854" s="2" t="inlineStr">
        <is>
          <t xml:space="preserve">2024-04</t>
        </is>
      </c>
      <c r="C6854" s="2" t="inlineStr">
        <is>
          <t xml:space="preserve">2023/24</t>
        </is>
      </c>
      <c r="D6854">
        <v>0.0</v>
      </c>
      <c r="E6854">
        <v>26.89</v>
      </c>
      <c r="F6854">
        <v>35.36</v>
      </c>
      <c r="G6854">
        <v>19.12</v>
      </c>
      <c r="H6854">
        <v>0.08</v>
      </c>
      <c r="I6854">
        <v>0.0</v>
      </c>
      <c r="J6854">
        <v>25.18</v>
      </c>
      <c r="K6854">
        <v>32.62</v>
      </c>
      <c r="L6854">
        <v>19.38</v>
      </c>
      <c r="M6854">
        <v>0.0</v>
      </c>
      <c r="N6854">
        <v>0.0</v>
      </c>
      <c r="O6854">
        <v>26.67</v>
      </c>
      <c r="P6854">
        <v>34.42</v>
      </c>
      <c r="Q6854">
        <v>20.08</v>
      </c>
      <c r="R6854">
        <v>0.0</v>
      </c>
    </row>
    <row r="6855">
      <c r="A6855" s="9">
        <v>45386</v>
      </c>
      <c r="B6855" s="2" t="inlineStr">
        <is>
          <t xml:space="preserve">2024-04</t>
        </is>
      </c>
      <c r="C6855" s="2" t="inlineStr">
        <is>
          <t xml:space="preserve">2023/24</t>
        </is>
      </c>
      <c r="D6855">
        <v>0.0</v>
      </c>
      <c r="E6855">
        <v>25.67</v>
      </c>
      <c r="F6855">
        <v>32.49</v>
      </c>
      <c r="G6855">
        <v>21.68</v>
      </c>
      <c r="H6855">
        <v>1.17</v>
      </c>
      <c r="I6855">
        <v>0.0</v>
      </c>
      <c r="J6855">
        <v>24.78</v>
      </c>
      <c r="K6855">
        <v>30.14</v>
      </c>
      <c r="L6855">
        <v>20.94</v>
      </c>
      <c r="M6855">
        <v>1.47</v>
      </c>
      <c r="N6855">
        <v>0.0</v>
      </c>
      <c r="O6855">
        <v>24.33</v>
      </c>
      <c r="P6855">
        <v>29.03</v>
      </c>
      <c r="Q6855">
        <v>20.99</v>
      </c>
      <c r="R6855">
        <v>0.96</v>
      </c>
    </row>
    <row r="6856">
      <c r="A6856" s="9">
        <v>45387</v>
      </c>
      <c r="B6856" s="2" t="inlineStr">
        <is>
          <t xml:space="preserve">2024-04</t>
        </is>
      </c>
      <c r="C6856" s="2" t="inlineStr">
        <is>
          <t xml:space="preserve">2023/24</t>
        </is>
      </c>
      <c r="D6856">
        <v>0.656</v>
      </c>
      <c r="E6856">
        <v>24.9</v>
      </c>
      <c r="F6856">
        <v>31.67</v>
      </c>
      <c r="G6856">
        <v>20.36</v>
      </c>
      <c r="H6856">
        <v>0.5</v>
      </c>
      <c r="I6856">
        <v>15.523</v>
      </c>
      <c r="J6856">
        <v>24.01</v>
      </c>
      <c r="K6856">
        <v>30.2</v>
      </c>
      <c r="L6856">
        <v>20.63</v>
      </c>
      <c r="M6856">
        <v>6.85</v>
      </c>
      <c r="N6856">
        <v>1.564</v>
      </c>
      <c r="O6856">
        <v>23.77</v>
      </c>
      <c r="P6856">
        <v>30.15</v>
      </c>
      <c r="Q6856">
        <v>20.05</v>
      </c>
      <c r="R6856">
        <v>0.89</v>
      </c>
    </row>
    <row r="6857">
      <c r="A6857" s="9">
        <v>45388</v>
      </c>
      <c r="B6857" s="2" t="inlineStr">
        <is>
          <t xml:space="preserve">2024-04</t>
        </is>
      </c>
      <c r="C6857" s="2" t="inlineStr">
        <is>
          <t xml:space="preserve">2023/24</t>
        </is>
      </c>
      <c r="D6857">
        <v>0.0</v>
      </c>
      <c r="E6857">
        <v>25.72</v>
      </c>
      <c r="F6857">
        <v>33.89</v>
      </c>
      <c r="G6857">
        <v>19.69</v>
      </c>
      <c r="H6857">
        <v>0.13</v>
      </c>
      <c r="I6857">
        <v>0.0</v>
      </c>
      <c r="J6857">
        <v>25.05</v>
      </c>
      <c r="K6857">
        <v>32.12</v>
      </c>
      <c r="L6857">
        <v>19.34</v>
      </c>
      <c r="M6857">
        <v>0.0</v>
      </c>
      <c r="N6857">
        <v>0.0</v>
      </c>
      <c r="O6857">
        <v>24.4</v>
      </c>
      <c r="P6857">
        <v>31.14</v>
      </c>
      <c r="Q6857">
        <v>19.66</v>
      </c>
      <c r="R6857">
        <v>0.14</v>
      </c>
    </row>
    <row r="6858">
      <c r="A6858" s="9">
        <v>45389</v>
      </c>
      <c r="B6858" s="2" t="inlineStr">
        <is>
          <t xml:space="preserve">2024-04</t>
        </is>
      </c>
      <c r="C6858" s="2" t="inlineStr">
        <is>
          <t xml:space="preserve">2023/24</t>
        </is>
      </c>
      <c r="D6858">
        <v>0.0</v>
      </c>
      <c r="E6858">
        <v>26.91</v>
      </c>
      <c r="F6858">
        <v>34.92</v>
      </c>
      <c r="G6858">
        <v>20.68</v>
      </c>
      <c r="H6858">
        <v>0.01</v>
      </c>
      <c r="I6858">
        <v>0.0</v>
      </c>
      <c r="J6858">
        <v>25.66</v>
      </c>
      <c r="K6858">
        <v>32.21</v>
      </c>
      <c r="L6858">
        <v>19.24</v>
      </c>
      <c r="M6858">
        <v>0.0</v>
      </c>
      <c r="N6858">
        <v>0.0</v>
      </c>
      <c r="O6858">
        <v>25.04</v>
      </c>
      <c r="P6858">
        <v>32.09</v>
      </c>
      <c r="Q6858">
        <v>19.87</v>
      </c>
      <c r="R6858">
        <v>0.04</v>
      </c>
    </row>
    <row r="6859">
      <c r="A6859" s="9">
        <v>45390</v>
      </c>
      <c r="B6859" s="2" t="inlineStr">
        <is>
          <t xml:space="preserve">2024-04</t>
        </is>
      </c>
      <c r="C6859" s="2" t="inlineStr">
        <is>
          <t xml:space="preserve">2023/24</t>
        </is>
      </c>
      <c r="D6859">
        <v>0.0</v>
      </c>
      <c r="E6859">
        <v>27.73</v>
      </c>
      <c r="F6859">
        <v>35.81</v>
      </c>
      <c r="G6859">
        <v>21.4</v>
      </c>
      <c r="H6859">
        <v>0.03</v>
      </c>
      <c r="I6859">
        <v>0.0</v>
      </c>
      <c r="J6859">
        <v>26.34</v>
      </c>
      <c r="K6859">
        <v>32.54</v>
      </c>
      <c r="L6859">
        <v>21.87</v>
      </c>
      <c r="M6859">
        <v>0.0</v>
      </c>
      <c r="N6859">
        <v>0.0</v>
      </c>
      <c r="O6859">
        <v>25.96</v>
      </c>
      <c r="P6859">
        <v>32.73</v>
      </c>
      <c r="Q6859">
        <v>21.62</v>
      </c>
      <c r="R6859">
        <v>0.13</v>
      </c>
    </row>
    <row r="6860">
      <c r="A6860" s="9">
        <v>45391</v>
      </c>
      <c r="B6860" s="2" t="inlineStr">
        <is>
          <t xml:space="preserve">2024-04</t>
        </is>
      </c>
      <c r="C6860" s="2" t="inlineStr">
        <is>
          <t xml:space="preserve">2023/24</t>
        </is>
      </c>
      <c r="D6860">
        <v>0.0</v>
      </c>
      <c r="E6860">
        <v>27.11</v>
      </c>
      <c r="F6860">
        <v>35.17</v>
      </c>
      <c r="G6860">
        <v>20.52</v>
      </c>
      <c r="H6860">
        <v>0.0</v>
      </c>
      <c r="I6860">
        <v>0.0</v>
      </c>
      <c r="J6860">
        <v>26.82</v>
      </c>
      <c r="K6860">
        <v>33.9</v>
      </c>
      <c r="L6860">
        <v>21.71</v>
      </c>
      <c r="M6860">
        <v>0.0</v>
      </c>
      <c r="N6860">
        <v>0.0</v>
      </c>
      <c r="O6860">
        <v>27.61</v>
      </c>
      <c r="P6860">
        <v>35.7</v>
      </c>
      <c r="Q6860">
        <v>21.15</v>
      </c>
      <c r="R6860">
        <v>0.0</v>
      </c>
    </row>
    <row r="6861">
      <c r="A6861" s="9">
        <v>45392</v>
      </c>
      <c r="B6861" s="2" t="inlineStr">
        <is>
          <t xml:space="preserve">2024-04</t>
        </is>
      </c>
      <c r="C6861" s="2" t="inlineStr">
        <is>
          <t xml:space="preserve">2023/24</t>
        </is>
      </c>
      <c r="D6861">
        <v>0.0</v>
      </c>
      <c r="E6861">
        <v>26.85</v>
      </c>
      <c r="F6861">
        <v>34.13</v>
      </c>
      <c r="G6861">
        <v>20.83</v>
      </c>
      <c r="H6861">
        <v>0.0</v>
      </c>
      <c r="I6861">
        <v>0.0</v>
      </c>
      <c r="J6861">
        <v>25.49</v>
      </c>
      <c r="K6861">
        <v>31.91</v>
      </c>
      <c r="L6861">
        <v>21.44</v>
      </c>
      <c r="M6861">
        <v>0.0</v>
      </c>
      <c r="N6861">
        <v>0.0</v>
      </c>
      <c r="O6861">
        <v>26.95</v>
      </c>
      <c r="P6861">
        <v>34.38</v>
      </c>
      <c r="Q6861">
        <v>20.91</v>
      </c>
      <c r="R6861">
        <v>0.0</v>
      </c>
    </row>
    <row r="6862">
      <c r="A6862" s="9">
        <v>45393</v>
      </c>
      <c r="B6862" s="2" t="inlineStr">
        <is>
          <t xml:space="preserve">2024-04</t>
        </is>
      </c>
      <c r="C6862" s="2" t="inlineStr">
        <is>
          <t xml:space="preserve">2023/24</t>
        </is>
      </c>
      <c r="D6862">
        <v>0.0</v>
      </c>
      <c r="E6862">
        <v>26.43</v>
      </c>
      <c r="F6862">
        <v>33.49</v>
      </c>
      <c r="G6862">
        <v>20.24</v>
      </c>
      <c r="H6862">
        <v>0.04</v>
      </c>
      <c r="I6862">
        <v>0.0</v>
      </c>
      <c r="J6862">
        <v>26.21</v>
      </c>
      <c r="K6862">
        <v>32.45</v>
      </c>
      <c r="L6862">
        <v>20.86</v>
      </c>
      <c r="M6862">
        <v>0.0</v>
      </c>
      <c r="N6862">
        <v>0.0</v>
      </c>
      <c r="O6862">
        <v>26.01</v>
      </c>
      <c r="P6862">
        <v>31.27</v>
      </c>
      <c r="Q6862">
        <v>22.53</v>
      </c>
      <c r="R6862">
        <v>0.01</v>
      </c>
    </row>
    <row r="6863">
      <c r="A6863" s="9">
        <v>45394</v>
      </c>
      <c r="B6863" s="2" t="inlineStr">
        <is>
          <t xml:space="preserve">2024-04</t>
        </is>
      </c>
      <c r="C6863" s="2" t="inlineStr">
        <is>
          <t xml:space="preserve">2023/24</t>
        </is>
      </c>
      <c r="D6863">
        <v>0.0</v>
      </c>
      <c r="E6863">
        <v>25.11</v>
      </c>
      <c r="F6863">
        <v>32.6</v>
      </c>
      <c r="G6863">
        <v>19.54</v>
      </c>
      <c r="H6863">
        <v>0.14</v>
      </c>
      <c r="I6863">
        <v>0.0</v>
      </c>
      <c r="J6863">
        <v>23.48</v>
      </c>
      <c r="K6863">
        <v>29.36</v>
      </c>
      <c r="L6863">
        <v>18.58</v>
      </c>
      <c r="M6863">
        <v>0.03</v>
      </c>
      <c r="N6863">
        <v>0.0</v>
      </c>
      <c r="O6863">
        <v>23.75</v>
      </c>
      <c r="P6863">
        <v>29.26</v>
      </c>
      <c r="Q6863">
        <v>19.95</v>
      </c>
      <c r="R6863">
        <v>0.18</v>
      </c>
    </row>
    <row r="6864">
      <c r="A6864" s="9">
        <v>45395</v>
      </c>
      <c r="B6864" s="2" t="inlineStr">
        <is>
          <t xml:space="preserve">2024-04</t>
        </is>
      </c>
      <c r="C6864" s="2" t="inlineStr">
        <is>
          <t xml:space="preserve">2023/24</t>
        </is>
      </c>
      <c r="D6864">
        <v>0.341</v>
      </c>
      <c r="E6864">
        <v>23.73</v>
      </c>
      <c r="F6864">
        <v>31.23</v>
      </c>
      <c r="G6864">
        <v>18.44</v>
      </c>
      <c r="H6864">
        <v>1.07</v>
      </c>
      <c r="I6864">
        <v>0.0</v>
      </c>
      <c r="J6864">
        <v>23.67</v>
      </c>
      <c r="K6864">
        <v>31.08</v>
      </c>
      <c r="L6864">
        <v>18.58</v>
      </c>
      <c r="M6864">
        <v>0.39</v>
      </c>
      <c r="N6864">
        <v>0.476</v>
      </c>
      <c r="O6864">
        <v>23.56</v>
      </c>
      <c r="P6864">
        <v>29.91</v>
      </c>
      <c r="Q6864">
        <v>19.62</v>
      </c>
      <c r="R6864">
        <v>1.81</v>
      </c>
    </row>
    <row r="6865">
      <c r="A6865" s="9">
        <v>45396</v>
      </c>
      <c r="B6865" s="2" t="inlineStr">
        <is>
          <t xml:space="preserve">2024-04</t>
        </is>
      </c>
      <c r="C6865" s="2" t="inlineStr">
        <is>
          <t xml:space="preserve">2023/24</t>
        </is>
      </c>
      <c r="D6865">
        <v>0.315</v>
      </c>
      <c r="E6865">
        <v>24.3</v>
      </c>
      <c r="F6865">
        <v>32.57</v>
      </c>
      <c r="G6865">
        <v>18.46</v>
      </c>
      <c r="H6865">
        <v>0.7</v>
      </c>
      <c r="I6865">
        <v>0.0</v>
      </c>
      <c r="J6865">
        <v>23.8</v>
      </c>
      <c r="K6865">
        <v>30.62</v>
      </c>
      <c r="L6865">
        <v>18.68</v>
      </c>
      <c r="M6865">
        <v>0.32</v>
      </c>
      <c r="N6865">
        <v>0.98</v>
      </c>
      <c r="O6865">
        <v>23.26</v>
      </c>
      <c r="P6865">
        <v>29.46</v>
      </c>
      <c r="Q6865">
        <v>19.21</v>
      </c>
      <c r="R6865">
        <v>1.6</v>
      </c>
    </row>
    <row r="6866">
      <c r="A6866" s="9">
        <v>45397</v>
      </c>
      <c r="B6866" s="2" t="inlineStr">
        <is>
          <t xml:space="preserve">2024-04</t>
        </is>
      </c>
      <c r="C6866" s="2" t="inlineStr">
        <is>
          <t xml:space="preserve">2023/24</t>
        </is>
      </c>
      <c r="D6866">
        <v>0.0</v>
      </c>
      <c r="E6866">
        <v>25.75</v>
      </c>
      <c r="F6866">
        <v>34.53</v>
      </c>
      <c r="G6866">
        <v>18.53</v>
      </c>
      <c r="H6866">
        <v>0.02</v>
      </c>
      <c r="I6866">
        <v>0.0</v>
      </c>
      <c r="J6866">
        <v>25.12</v>
      </c>
      <c r="K6866">
        <v>33.23</v>
      </c>
      <c r="L6866">
        <v>18.5</v>
      </c>
      <c r="M6866">
        <v>0.0</v>
      </c>
      <c r="N6866">
        <v>0.0</v>
      </c>
      <c r="O6866">
        <v>24.19</v>
      </c>
      <c r="P6866">
        <v>31.86</v>
      </c>
      <c r="Q6866">
        <v>18.53</v>
      </c>
      <c r="R6866">
        <v>0.08</v>
      </c>
    </row>
    <row r="6867">
      <c r="A6867" s="9">
        <v>45398</v>
      </c>
      <c r="B6867" s="2" t="inlineStr">
        <is>
          <t xml:space="preserve">2024-04</t>
        </is>
      </c>
      <c r="C6867" s="2" t="inlineStr">
        <is>
          <t xml:space="preserve">2023/24</t>
        </is>
      </c>
      <c r="D6867">
        <v>0.0</v>
      </c>
      <c r="E6867">
        <v>26.95</v>
      </c>
      <c r="F6867">
        <v>35.23</v>
      </c>
      <c r="G6867">
        <v>19.9</v>
      </c>
      <c r="H6867">
        <v>0.06</v>
      </c>
      <c r="I6867">
        <v>0.0</v>
      </c>
      <c r="J6867">
        <v>26.56</v>
      </c>
      <c r="K6867">
        <v>34.46</v>
      </c>
      <c r="L6867">
        <v>19.66</v>
      </c>
      <c r="M6867">
        <v>0.0</v>
      </c>
      <c r="N6867">
        <v>0.0</v>
      </c>
      <c r="O6867">
        <v>25.52</v>
      </c>
      <c r="P6867">
        <v>33.01</v>
      </c>
      <c r="Q6867">
        <v>19.86</v>
      </c>
      <c r="R6867">
        <v>0.0</v>
      </c>
    </row>
    <row r="6868">
      <c r="A6868" s="9">
        <v>45399</v>
      </c>
      <c r="B6868" s="2" t="inlineStr">
        <is>
          <t xml:space="preserve">2024-04</t>
        </is>
      </c>
      <c r="C6868" s="2" t="inlineStr">
        <is>
          <t xml:space="preserve">2023/24</t>
        </is>
      </c>
      <c r="D6868">
        <v>0.0</v>
      </c>
      <c r="E6868">
        <v>27.68</v>
      </c>
      <c r="F6868">
        <v>35.63</v>
      </c>
      <c r="G6868">
        <v>21.8</v>
      </c>
      <c r="H6868">
        <v>0.03</v>
      </c>
      <c r="I6868">
        <v>0.0</v>
      </c>
      <c r="J6868">
        <v>25.78</v>
      </c>
      <c r="K6868">
        <v>31.65</v>
      </c>
      <c r="L6868">
        <v>21.3</v>
      </c>
      <c r="M6868">
        <v>0.01</v>
      </c>
      <c r="N6868">
        <v>0.0</v>
      </c>
      <c r="O6868">
        <v>25.33</v>
      </c>
      <c r="P6868">
        <v>31.99</v>
      </c>
      <c r="Q6868">
        <v>21.43</v>
      </c>
      <c r="R6868">
        <v>0.0</v>
      </c>
    </row>
    <row r="6869">
      <c r="A6869" s="9">
        <v>45400</v>
      </c>
      <c r="B6869" s="2" t="inlineStr">
        <is>
          <t xml:space="preserve">2024-04</t>
        </is>
      </c>
      <c r="C6869" s="2" t="inlineStr">
        <is>
          <t xml:space="preserve">2023/24</t>
        </is>
      </c>
      <c r="D6869">
        <v>0.0</v>
      </c>
      <c r="E6869">
        <v>26.86</v>
      </c>
      <c r="F6869">
        <v>35.44</v>
      </c>
      <c r="G6869">
        <v>19.93</v>
      </c>
      <c r="H6869">
        <v>0.32</v>
      </c>
      <c r="I6869">
        <v>0.0</v>
      </c>
      <c r="J6869">
        <v>26.41</v>
      </c>
      <c r="K6869">
        <v>34.18</v>
      </c>
      <c r="L6869">
        <v>21.18</v>
      </c>
      <c r="M6869">
        <v>0.22</v>
      </c>
      <c r="N6869">
        <v>0.0</v>
      </c>
      <c r="O6869">
        <v>25.18</v>
      </c>
      <c r="P6869">
        <v>32.59</v>
      </c>
      <c r="Q6869">
        <v>20.12</v>
      </c>
      <c r="R6869">
        <v>0.05</v>
      </c>
    </row>
    <row r="6870">
      <c r="A6870" s="9">
        <v>45401</v>
      </c>
      <c r="B6870" s="2" t="inlineStr">
        <is>
          <t xml:space="preserve">2024-04</t>
        </is>
      </c>
      <c r="C6870" s="2" t="inlineStr">
        <is>
          <t xml:space="preserve">2023/24</t>
        </is>
      </c>
      <c r="D6870">
        <v>0.301</v>
      </c>
      <c r="E6870">
        <v>26.48</v>
      </c>
      <c r="F6870">
        <v>34.25</v>
      </c>
      <c r="G6870">
        <v>19.82</v>
      </c>
      <c r="H6870">
        <v>0.65</v>
      </c>
      <c r="I6870">
        <v>0.348</v>
      </c>
      <c r="J6870">
        <v>26.23</v>
      </c>
      <c r="K6870">
        <v>34.16</v>
      </c>
      <c r="L6870">
        <v>19.34</v>
      </c>
      <c r="M6870">
        <v>0.1</v>
      </c>
      <c r="N6870">
        <v>0.0</v>
      </c>
      <c r="O6870">
        <v>25.36</v>
      </c>
      <c r="P6870">
        <v>33.0</v>
      </c>
      <c r="Q6870">
        <v>19.84</v>
      </c>
      <c r="R6870">
        <v>0.05</v>
      </c>
    </row>
    <row r="6871">
      <c r="A6871" s="9">
        <v>45402</v>
      </c>
      <c r="B6871" s="2" t="inlineStr">
        <is>
          <t xml:space="preserve">2024-04</t>
        </is>
      </c>
      <c r="C6871" s="2" t="inlineStr">
        <is>
          <t xml:space="preserve">2023/24</t>
        </is>
      </c>
      <c r="D6871">
        <v>0.541</v>
      </c>
      <c r="E6871">
        <v>27.37</v>
      </c>
      <c r="F6871">
        <v>34.76</v>
      </c>
      <c r="G6871">
        <v>21.28</v>
      </c>
      <c r="H6871">
        <v>1.24</v>
      </c>
      <c r="I6871">
        <v>0.0</v>
      </c>
      <c r="J6871">
        <v>25.72</v>
      </c>
      <c r="K6871">
        <v>32.07</v>
      </c>
      <c r="L6871">
        <v>21.85</v>
      </c>
      <c r="M6871">
        <v>2.93</v>
      </c>
      <c r="N6871">
        <v>0.051</v>
      </c>
      <c r="O6871">
        <v>25.84</v>
      </c>
      <c r="P6871">
        <v>33.01</v>
      </c>
      <c r="Q6871">
        <v>21.25</v>
      </c>
      <c r="R6871">
        <v>2.57</v>
      </c>
    </row>
    <row r="6872">
      <c r="A6872" s="9">
        <v>45403</v>
      </c>
      <c r="B6872" s="2" t="inlineStr">
        <is>
          <t xml:space="preserve">2024-04</t>
        </is>
      </c>
      <c r="C6872" s="2" t="inlineStr">
        <is>
          <t xml:space="preserve">2023/24</t>
        </is>
      </c>
      <c r="D6872">
        <v>10.355</v>
      </c>
      <c r="E6872">
        <v>26.06</v>
      </c>
      <c r="F6872">
        <v>32.59</v>
      </c>
      <c r="G6872">
        <v>20.96</v>
      </c>
      <c r="H6872">
        <v>13.46</v>
      </c>
      <c r="I6872">
        <v>1.924</v>
      </c>
      <c r="J6872">
        <v>26.63</v>
      </c>
      <c r="K6872">
        <v>33.32</v>
      </c>
      <c r="L6872">
        <v>21.51</v>
      </c>
      <c r="M6872">
        <v>2.72</v>
      </c>
      <c r="N6872">
        <v>7.718</v>
      </c>
      <c r="O6872">
        <v>26.24</v>
      </c>
      <c r="P6872">
        <v>33.63</v>
      </c>
      <c r="Q6872">
        <v>20.9</v>
      </c>
      <c r="R6872">
        <v>3.22</v>
      </c>
    </row>
    <row r="6873">
      <c r="A6873" s="9">
        <v>45404</v>
      </c>
      <c r="B6873" s="2" t="inlineStr">
        <is>
          <t xml:space="preserve">2024-04</t>
        </is>
      </c>
      <c r="C6873" s="2" t="inlineStr">
        <is>
          <t xml:space="preserve">2023/24</t>
        </is>
      </c>
      <c r="D6873">
        <v>10.046</v>
      </c>
      <c r="E6873">
        <v>24.52</v>
      </c>
      <c r="F6873">
        <v>30.17</v>
      </c>
      <c r="G6873">
        <v>20.96</v>
      </c>
      <c r="H6873">
        <v>14.25</v>
      </c>
      <c r="I6873">
        <v>4.835</v>
      </c>
      <c r="J6873">
        <v>25.43</v>
      </c>
      <c r="K6873">
        <v>31.82</v>
      </c>
      <c r="L6873">
        <v>20.8</v>
      </c>
      <c r="M6873">
        <v>2.17</v>
      </c>
      <c r="N6873">
        <v>0.531</v>
      </c>
      <c r="O6873">
        <v>24.9</v>
      </c>
      <c r="P6873">
        <v>31.28</v>
      </c>
      <c r="Q6873">
        <v>20.75</v>
      </c>
      <c r="R6873">
        <v>0.81</v>
      </c>
    </row>
    <row r="6874">
      <c r="A6874" s="9">
        <v>45405</v>
      </c>
      <c r="B6874" s="2" t="inlineStr">
        <is>
          <t xml:space="preserve">2024-04</t>
        </is>
      </c>
      <c r="C6874" s="2" t="inlineStr">
        <is>
          <t xml:space="preserve">2023/24</t>
        </is>
      </c>
      <c r="D6874">
        <v>1.7</v>
      </c>
      <c r="E6874">
        <v>24.27</v>
      </c>
      <c r="F6874">
        <v>29.84</v>
      </c>
      <c r="G6874">
        <v>19.67</v>
      </c>
      <c r="H6874">
        <v>0.9</v>
      </c>
      <c r="I6874">
        <v>0.0</v>
      </c>
      <c r="J6874">
        <v>24.82</v>
      </c>
      <c r="K6874">
        <v>31.28</v>
      </c>
      <c r="L6874">
        <v>19.99</v>
      </c>
      <c r="M6874">
        <v>0.06</v>
      </c>
      <c r="N6874">
        <v>0.0</v>
      </c>
      <c r="O6874">
        <v>24.37</v>
      </c>
      <c r="P6874">
        <v>29.98</v>
      </c>
      <c r="Q6874">
        <v>20.26</v>
      </c>
      <c r="R6874">
        <v>0.09</v>
      </c>
    </row>
    <row r="6875">
      <c r="A6875" s="9">
        <v>45406</v>
      </c>
      <c r="B6875" s="2" t="inlineStr">
        <is>
          <t xml:space="preserve">2024-04</t>
        </is>
      </c>
      <c r="C6875" s="2" t="inlineStr">
        <is>
          <t xml:space="preserve">2023/24</t>
        </is>
      </c>
      <c r="D6875">
        <v>0.0</v>
      </c>
      <c r="E6875">
        <v>25.49</v>
      </c>
      <c r="F6875">
        <v>32.67</v>
      </c>
      <c r="G6875">
        <v>19.83</v>
      </c>
      <c r="H6875">
        <v>0.09</v>
      </c>
      <c r="I6875">
        <v>0.0</v>
      </c>
      <c r="J6875">
        <v>25.76</v>
      </c>
      <c r="K6875">
        <v>32.94</v>
      </c>
      <c r="L6875">
        <v>20.14</v>
      </c>
      <c r="M6875">
        <v>1.48</v>
      </c>
      <c r="N6875">
        <v>0.0</v>
      </c>
      <c r="O6875">
        <v>25.02</v>
      </c>
      <c r="P6875">
        <v>31.63</v>
      </c>
      <c r="Q6875">
        <v>20.3</v>
      </c>
      <c r="R6875">
        <v>0.4</v>
      </c>
    </row>
    <row r="6876">
      <c r="A6876" s="9">
        <v>45407</v>
      </c>
      <c r="B6876" s="2" t="inlineStr">
        <is>
          <t xml:space="preserve">2024-04</t>
        </is>
      </c>
      <c r="C6876" s="2" t="inlineStr">
        <is>
          <t xml:space="preserve">2023/24</t>
        </is>
      </c>
      <c r="D6876">
        <v>0.035</v>
      </c>
      <c r="E6876">
        <v>25.48</v>
      </c>
      <c r="F6876">
        <v>32.93</v>
      </c>
      <c r="G6876">
        <v>20.25</v>
      </c>
      <c r="H6876">
        <v>0.43</v>
      </c>
      <c r="I6876">
        <v>5.391</v>
      </c>
      <c r="J6876">
        <v>25.32</v>
      </c>
      <c r="K6876">
        <v>32.44</v>
      </c>
      <c r="L6876">
        <v>20.56</v>
      </c>
      <c r="M6876">
        <v>1.98</v>
      </c>
      <c r="N6876">
        <v>0.376</v>
      </c>
      <c r="O6876">
        <v>24.62</v>
      </c>
      <c r="P6876">
        <v>31.22</v>
      </c>
      <c r="Q6876">
        <v>20.72</v>
      </c>
      <c r="R6876">
        <v>0.55</v>
      </c>
    </row>
    <row r="6877">
      <c r="A6877" s="9">
        <v>45408</v>
      </c>
      <c r="B6877" s="2" t="inlineStr">
        <is>
          <t xml:space="preserve">2024-04</t>
        </is>
      </c>
      <c r="C6877" s="2" t="inlineStr">
        <is>
          <t xml:space="preserve">2023/24</t>
        </is>
      </c>
      <c r="D6877">
        <v>6.534</v>
      </c>
      <c r="E6877">
        <v>25.1</v>
      </c>
      <c r="F6877">
        <v>33.19</v>
      </c>
      <c r="G6877">
        <v>17.65</v>
      </c>
      <c r="H6877">
        <v>2.44</v>
      </c>
      <c r="I6877">
        <v>0.0</v>
      </c>
      <c r="J6877">
        <v>26.04</v>
      </c>
      <c r="K6877">
        <v>33.44</v>
      </c>
      <c r="L6877">
        <v>19.45</v>
      </c>
      <c r="M6877">
        <v>0.29</v>
      </c>
      <c r="N6877">
        <v>0.07</v>
      </c>
      <c r="O6877">
        <v>25.03</v>
      </c>
      <c r="P6877">
        <v>32.64</v>
      </c>
      <c r="Q6877">
        <v>19.64</v>
      </c>
      <c r="R6877">
        <v>0.45</v>
      </c>
    </row>
    <row r="6878">
      <c r="A6878" s="9">
        <v>45409</v>
      </c>
      <c r="B6878" s="2" t="inlineStr">
        <is>
          <t xml:space="preserve">2024-04</t>
        </is>
      </c>
      <c r="C6878" s="2" t="inlineStr">
        <is>
          <t xml:space="preserve">2023/24</t>
        </is>
      </c>
      <c r="D6878">
        <v>0.194</v>
      </c>
      <c r="E6878">
        <v>26.55</v>
      </c>
      <c r="F6878">
        <v>34.31</v>
      </c>
      <c r="G6878">
        <v>19.81</v>
      </c>
      <c r="H6878">
        <v>0.37</v>
      </c>
      <c r="I6878">
        <v>2.182</v>
      </c>
      <c r="J6878">
        <v>26.01</v>
      </c>
      <c r="K6878">
        <v>32.88</v>
      </c>
      <c r="L6878">
        <v>20.64</v>
      </c>
      <c r="M6878">
        <v>3.12</v>
      </c>
      <c r="N6878">
        <v>0.062</v>
      </c>
      <c r="O6878">
        <v>26.63</v>
      </c>
      <c r="P6878">
        <v>35.01</v>
      </c>
      <c r="Q6878">
        <v>20.05</v>
      </c>
      <c r="R6878">
        <v>1.23</v>
      </c>
    </row>
    <row r="6879">
      <c r="A6879" s="9">
        <v>45410</v>
      </c>
      <c r="B6879" s="2" t="inlineStr">
        <is>
          <t xml:space="preserve">2024-04</t>
        </is>
      </c>
      <c r="C6879" s="2" t="inlineStr">
        <is>
          <t xml:space="preserve">2023/24</t>
        </is>
      </c>
      <c r="D6879">
        <v>6.942</v>
      </c>
      <c r="E6879">
        <v>25.96</v>
      </c>
      <c r="F6879">
        <v>32.48</v>
      </c>
      <c r="G6879">
        <v>21.03</v>
      </c>
      <c r="H6879">
        <v>4.56</v>
      </c>
      <c r="I6879">
        <v>3.402</v>
      </c>
      <c r="J6879">
        <v>25.95</v>
      </c>
      <c r="K6879">
        <v>32.65</v>
      </c>
      <c r="L6879">
        <v>21.61</v>
      </c>
      <c r="M6879">
        <v>5.41</v>
      </c>
      <c r="N6879">
        <v>11.97</v>
      </c>
      <c r="O6879">
        <v>26.39</v>
      </c>
      <c r="P6879">
        <v>32.49</v>
      </c>
      <c r="Q6879">
        <v>22.44</v>
      </c>
      <c r="R6879">
        <v>6.12</v>
      </c>
    </row>
    <row r="6880">
      <c r="A6880" s="9">
        <v>45411</v>
      </c>
      <c r="B6880" s="2" t="inlineStr">
        <is>
          <t xml:space="preserve">2024-04</t>
        </is>
      </c>
      <c r="C6880" s="2" t="inlineStr">
        <is>
          <t xml:space="preserve">2023/24</t>
        </is>
      </c>
      <c r="D6880">
        <v>0.206</v>
      </c>
      <c r="E6880">
        <v>25.81</v>
      </c>
      <c r="F6880">
        <v>32.23</v>
      </c>
      <c r="G6880">
        <v>20.85</v>
      </c>
      <c r="H6880">
        <v>1.4</v>
      </c>
      <c r="I6880">
        <v>0.0</v>
      </c>
      <c r="J6880">
        <v>25.75</v>
      </c>
      <c r="K6880">
        <v>32.92</v>
      </c>
      <c r="L6880">
        <v>20.96</v>
      </c>
      <c r="M6880">
        <v>0.09</v>
      </c>
      <c r="N6880">
        <v>0.0</v>
      </c>
      <c r="O6880">
        <v>27.54</v>
      </c>
      <c r="P6880">
        <v>35.43</v>
      </c>
      <c r="Q6880">
        <v>22.15</v>
      </c>
      <c r="R6880">
        <v>0.3</v>
      </c>
    </row>
    <row r="6881">
      <c r="A6881" s="9">
        <v>45412</v>
      </c>
      <c r="B6881" s="2" t="inlineStr">
        <is>
          <t xml:space="preserve">2024-04</t>
        </is>
      </c>
      <c r="C6881" s="2" t="inlineStr">
        <is>
          <t xml:space="preserve">2023/24</t>
        </is>
      </c>
      <c r="D6881">
        <v>3.521</v>
      </c>
      <c r="E6881">
        <v>25.61</v>
      </c>
      <c r="F6881">
        <v>31.43</v>
      </c>
      <c r="G6881">
        <v>20.5</v>
      </c>
      <c r="H6881">
        <v>0.82</v>
      </c>
      <c r="I6881">
        <v>0.0</v>
      </c>
      <c r="J6881">
        <v>26.14</v>
      </c>
      <c r="K6881">
        <v>32.3</v>
      </c>
      <c r="L6881">
        <v>20.99</v>
      </c>
      <c r="M6881">
        <v>2.65</v>
      </c>
      <c r="N6881">
        <v>0.1</v>
      </c>
      <c r="O6881">
        <v>26.99</v>
      </c>
      <c r="P6881">
        <v>33.49</v>
      </c>
      <c r="Q6881">
        <v>21.93</v>
      </c>
      <c r="R6881">
        <v>0.63</v>
      </c>
    </row>
    <row r="6882">
      <c r="A6882" s="9">
        <v>45413</v>
      </c>
      <c r="B6882" s="2" t="inlineStr">
        <is>
          <t xml:space="preserve">2024-05</t>
        </is>
      </c>
      <c r="C6882" s="2" t="inlineStr">
        <is>
          <t xml:space="preserve">2023/24</t>
        </is>
      </c>
      <c r="D6882">
        <v>0.142</v>
      </c>
      <c r="E6882">
        <v>26.94</v>
      </c>
      <c r="F6882">
        <v>34.52</v>
      </c>
      <c r="G6882">
        <v>20.13</v>
      </c>
      <c r="H6882">
        <v>0.75</v>
      </c>
      <c r="I6882">
        <v>11.637</v>
      </c>
      <c r="J6882">
        <v>26.83</v>
      </c>
      <c r="K6882">
        <v>34.09</v>
      </c>
      <c r="L6882">
        <v>21.34</v>
      </c>
      <c r="M6882">
        <v>4.48</v>
      </c>
      <c r="N6882">
        <v>2.699</v>
      </c>
      <c r="O6882">
        <v>26.94</v>
      </c>
      <c r="P6882">
        <v>34.35</v>
      </c>
      <c r="Q6882">
        <v>21.84</v>
      </c>
      <c r="R6882">
        <v>0.69</v>
      </c>
    </row>
    <row r="6883">
      <c r="A6883" s="9">
        <v>45414</v>
      </c>
      <c r="B6883" s="2" t="inlineStr">
        <is>
          <t xml:space="preserve">2024-05</t>
        </is>
      </c>
      <c r="C6883" s="2" t="inlineStr">
        <is>
          <t xml:space="preserve">2023/24</t>
        </is>
      </c>
      <c r="D6883">
        <v>1.388</v>
      </c>
      <c r="E6883">
        <v>26.89</v>
      </c>
      <c r="F6883">
        <v>35.2</v>
      </c>
      <c r="G6883">
        <v>20.29</v>
      </c>
      <c r="H6883">
        <v>1.25</v>
      </c>
      <c r="I6883">
        <v>0.577</v>
      </c>
      <c r="J6883">
        <v>27.03</v>
      </c>
      <c r="K6883">
        <v>34.53</v>
      </c>
      <c r="L6883">
        <v>21.1</v>
      </c>
      <c r="M6883">
        <v>0.29</v>
      </c>
      <c r="N6883">
        <v>0.0</v>
      </c>
      <c r="O6883">
        <v>27.34</v>
      </c>
      <c r="P6883">
        <v>35.4</v>
      </c>
      <c r="Q6883">
        <v>21.39</v>
      </c>
      <c r="R6883">
        <v>0.04</v>
      </c>
    </row>
    <row r="6884">
      <c r="A6884" s="9">
        <v>45415</v>
      </c>
      <c r="B6884" s="2" t="inlineStr">
        <is>
          <t xml:space="preserve">2024-05</t>
        </is>
      </c>
      <c r="C6884" s="2" t="inlineStr">
        <is>
          <t xml:space="preserve">2023/24</t>
        </is>
      </c>
      <c r="D6884">
        <v>0.0</v>
      </c>
      <c r="E6884">
        <v>26.7</v>
      </c>
      <c r="F6884">
        <v>35.51</v>
      </c>
      <c r="G6884">
        <v>18.5</v>
      </c>
      <c r="H6884">
        <v>0.04</v>
      </c>
      <c r="I6884">
        <v>0.0</v>
      </c>
      <c r="J6884">
        <v>27.4</v>
      </c>
      <c r="K6884">
        <v>35.47</v>
      </c>
      <c r="L6884">
        <v>21.38</v>
      </c>
      <c r="M6884">
        <v>0.26</v>
      </c>
      <c r="N6884">
        <v>0.0</v>
      </c>
      <c r="O6884">
        <v>26.86</v>
      </c>
      <c r="P6884">
        <v>35.85</v>
      </c>
      <c r="Q6884">
        <v>20.29</v>
      </c>
      <c r="R6884">
        <v>0.01</v>
      </c>
    </row>
    <row r="6885">
      <c r="A6885" s="9">
        <v>45416</v>
      </c>
      <c r="B6885" s="2" t="inlineStr">
        <is>
          <t xml:space="preserve">2024-05</t>
        </is>
      </c>
      <c r="C6885" s="2" t="inlineStr">
        <is>
          <t xml:space="preserve">2023/24</t>
        </is>
      </c>
      <c r="D6885">
        <v>0.0</v>
      </c>
      <c r="E6885">
        <v>26.96</v>
      </c>
      <c r="F6885">
        <v>35.46</v>
      </c>
      <c r="G6885">
        <v>19.8</v>
      </c>
      <c r="H6885">
        <v>0.32</v>
      </c>
      <c r="I6885">
        <v>0.697</v>
      </c>
      <c r="J6885">
        <v>27.12</v>
      </c>
      <c r="K6885">
        <v>35.76</v>
      </c>
      <c r="L6885">
        <v>20.49</v>
      </c>
      <c r="M6885">
        <v>0.46</v>
      </c>
      <c r="N6885">
        <v>0.0</v>
      </c>
      <c r="O6885">
        <v>26.12</v>
      </c>
      <c r="P6885">
        <v>34.85</v>
      </c>
      <c r="Q6885">
        <v>19.29</v>
      </c>
      <c r="R6885">
        <v>0.03</v>
      </c>
    </row>
    <row r="6886">
      <c r="A6886" s="9">
        <v>45417</v>
      </c>
      <c r="B6886" s="2" t="inlineStr">
        <is>
          <t xml:space="preserve">2024-05</t>
        </is>
      </c>
      <c r="C6886" s="2" t="inlineStr">
        <is>
          <t xml:space="preserve">2023/24</t>
        </is>
      </c>
      <c r="D6886">
        <v>0.308</v>
      </c>
      <c r="E6886">
        <v>27.45</v>
      </c>
      <c r="F6886">
        <v>35.85</v>
      </c>
      <c r="G6886">
        <v>20.83</v>
      </c>
      <c r="H6886">
        <v>0.2</v>
      </c>
      <c r="I6886">
        <v>0.0</v>
      </c>
      <c r="J6886">
        <v>27.44</v>
      </c>
      <c r="K6886">
        <v>35.46</v>
      </c>
      <c r="L6886">
        <v>21.32</v>
      </c>
      <c r="M6886">
        <v>0.03</v>
      </c>
      <c r="N6886">
        <v>0.0</v>
      </c>
      <c r="O6886">
        <v>27.38</v>
      </c>
      <c r="P6886">
        <v>36.3</v>
      </c>
      <c r="Q6886">
        <v>20.64</v>
      </c>
      <c r="R6886">
        <v>0.01</v>
      </c>
    </row>
    <row r="6887">
      <c r="A6887" s="9">
        <v>45418</v>
      </c>
      <c r="B6887" s="2" t="inlineStr">
        <is>
          <t xml:space="preserve">2024-05</t>
        </is>
      </c>
      <c r="C6887" s="2" t="inlineStr">
        <is>
          <t xml:space="preserve">2023/24</t>
        </is>
      </c>
      <c r="D6887">
        <v>0.0</v>
      </c>
      <c r="E6887">
        <v>27.76</v>
      </c>
      <c r="F6887">
        <v>35.78</v>
      </c>
      <c r="G6887">
        <v>20.07</v>
      </c>
      <c r="H6887">
        <v>0.0</v>
      </c>
      <c r="I6887">
        <v>0.0</v>
      </c>
      <c r="J6887">
        <v>27.99</v>
      </c>
      <c r="K6887">
        <v>36.0</v>
      </c>
      <c r="L6887">
        <v>21.84</v>
      </c>
      <c r="M6887">
        <v>0.0</v>
      </c>
      <c r="N6887">
        <v>0.0</v>
      </c>
      <c r="O6887">
        <v>27.69</v>
      </c>
      <c r="P6887">
        <v>36.11</v>
      </c>
      <c r="Q6887">
        <v>20.82</v>
      </c>
      <c r="R6887">
        <v>0.0</v>
      </c>
    </row>
    <row r="6888">
      <c r="A6888" s="9">
        <v>45419</v>
      </c>
      <c r="B6888" s="2" t="inlineStr">
        <is>
          <t xml:space="preserve">2024-05</t>
        </is>
      </c>
      <c r="C6888" s="2" t="inlineStr">
        <is>
          <t xml:space="preserve">2023/24</t>
        </is>
      </c>
      <c r="D6888">
        <v>0.0</v>
      </c>
      <c r="E6888">
        <v>28.33</v>
      </c>
      <c r="F6888">
        <v>36.16</v>
      </c>
      <c r="G6888">
        <v>21.28</v>
      </c>
      <c r="H6888">
        <v>0.0</v>
      </c>
      <c r="I6888">
        <v>0.0</v>
      </c>
      <c r="J6888">
        <v>27.83</v>
      </c>
      <c r="K6888">
        <v>35.39</v>
      </c>
      <c r="L6888">
        <v>22.47</v>
      </c>
      <c r="M6888">
        <v>0.0</v>
      </c>
      <c r="N6888">
        <v>0.0</v>
      </c>
      <c r="O6888">
        <v>28.74</v>
      </c>
      <c r="P6888">
        <v>36.61</v>
      </c>
      <c r="Q6888">
        <v>21.82</v>
      </c>
      <c r="R6888">
        <v>0.0</v>
      </c>
    </row>
    <row r="6889">
      <c r="A6889" s="9">
        <v>45420</v>
      </c>
      <c r="B6889" s="2" t="inlineStr">
        <is>
          <t xml:space="preserve">2024-05</t>
        </is>
      </c>
      <c r="C6889" s="2" t="inlineStr">
        <is>
          <t xml:space="preserve">2023/24</t>
        </is>
      </c>
      <c r="D6889">
        <v>0.0</v>
      </c>
      <c r="E6889">
        <v>28.55</v>
      </c>
      <c r="F6889">
        <v>35.88</v>
      </c>
      <c r="G6889">
        <v>22.81</v>
      </c>
      <c r="H6889">
        <v>0.07</v>
      </c>
      <c r="I6889">
        <v>0.0</v>
      </c>
      <c r="J6889">
        <v>28.17</v>
      </c>
      <c r="K6889">
        <v>35.56</v>
      </c>
      <c r="L6889">
        <v>22.68</v>
      </c>
      <c r="M6889">
        <v>0.0</v>
      </c>
      <c r="N6889">
        <v>0.0</v>
      </c>
      <c r="O6889">
        <v>29.47</v>
      </c>
      <c r="P6889">
        <v>37.14</v>
      </c>
      <c r="Q6889">
        <v>22.84</v>
      </c>
      <c r="R6889">
        <v>0.0</v>
      </c>
    </row>
    <row r="6890">
      <c r="A6890" s="9">
        <v>45421</v>
      </c>
      <c r="B6890" s="2" t="inlineStr">
        <is>
          <t xml:space="preserve">2024-05</t>
        </is>
      </c>
      <c r="C6890" s="2" t="inlineStr">
        <is>
          <t xml:space="preserve">2023/24</t>
        </is>
      </c>
      <c r="D6890">
        <v>0.07</v>
      </c>
      <c r="E6890">
        <v>27.06</v>
      </c>
      <c r="F6890">
        <v>31.99</v>
      </c>
      <c r="G6890">
        <v>23.94</v>
      </c>
      <c r="H6890">
        <v>0.35</v>
      </c>
      <c r="I6890">
        <v>0.0</v>
      </c>
      <c r="J6890">
        <v>26.75</v>
      </c>
      <c r="K6890">
        <v>30.8</v>
      </c>
      <c r="L6890">
        <v>23.66</v>
      </c>
      <c r="M6890">
        <v>0.01</v>
      </c>
      <c r="N6890">
        <v>0.0</v>
      </c>
      <c r="O6890">
        <v>27.59</v>
      </c>
      <c r="P6890">
        <v>31.74</v>
      </c>
      <c r="Q6890">
        <v>24.52</v>
      </c>
      <c r="R6890">
        <v>0.0</v>
      </c>
    </row>
    <row r="6891">
      <c r="A6891" s="9">
        <v>45422</v>
      </c>
      <c r="B6891" s="2" t="inlineStr">
        <is>
          <t xml:space="preserve">2024-05</t>
        </is>
      </c>
      <c r="C6891" s="2" t="inlineStr">
        <is>
          <t xml:space="preserve">2023/24</t>
        </is>
      </c>
      <c r="D6891">
        <v>0.0</v>
      </c>
      <c r="E6891">
        <v>26.64</v>
      </c>
      <c r="F6891">
        <v>31.22</v>
      </c>
      <c r="G6891">
        <v>23.26</v>
      </c>
      <c r="H6891">
        <v>0.01</v>
      </c>
      <c r="I6891">
        <v>0.0</v>
      </c>
      <c r="J6891">
        <v>27.48</v>
      </c>
      <c r="K6891">
        <v>33.49</v>
      </c>
      <c r="L6891">
        <v>22.79</v>
      </c>
      <c r="M6891">
        <v>0.0</v>
      </c>
      <c r="N6891">
        <v>0.0</v>
      </c>
      <c r="O6891">
        <v>28.67</v>
      </c>
      <c r="P6891">
        <v>35.48</v>
      </c>
      <c r="Q6891">
        <v>23.73</v>
      </c>
      <c r="R6891">
        <v>0.0</v>
      </c>
    </row>
    <row r="6892">
      <c r="A6892" s="9">
        <v>45423</v>
      </c>
      <c r="B6892" s="2" t="inlineStr">
        <is>
          <t xml:space="preserve">2024-05</t>
        </is>
      </c>
      <c r="C6892" s="2" t="inlineStr">
        <is>
          <t xml:space="preserve">2023/24</t>
        </is>
      </c>
      <c r="D6892">
        <v>0.097</v>
      </c>
      <c r="E6892">
        <v>27.18</v>
      </c>
      <c r="F6892">
        <v>32.89</v>
      </c>
      <c r="G6892">
        <v>22.06</v>
      </c>
      <c r="H6892">
        <v>3.12</v>
      </c>
      <c r="I6892">
        <v>0.0</v>
      </c>
      <c r="J6892">
        <v>27.97</v>
      </c>
      <c r="K6892">
        <v>34.91</v>
      </c>
      <c r="L6892">
        <v>23.19</v>
      </c>
      <c r="M6892">
        <v>2.52</v>
      </c>
      <c r="N6892">
        <v>0.0</v>
      </c>
      <c r="O6892">
        <v>28.61</v>
      </c>
      <c r="P6892">
        <v>34.88</v>
      </c>
      <c r="Q6892">
        <v>23.41</v>
      </c>
      <c r="R6892">
        <v>3.23</v>
      </c>
    </row>
    <row r="6893">
      <c r="A6893" s="9">
        <v>45424</v>
      </c>
      <c r="B6893" s="2" t="inlineStr">
        <is>
          <t xml:space="preserve">2024-05</t>
        </is>
      </c>
      <c r="C6893" s="2" t="inlineStr">
        <is>
          <t xml:space="preserve">2023/24</t>
        </is>
      </c>
      <c r="D6893">
        <v>6.432</v>
      </c>
      <c r="E6893">
        <v>26.52</v>
      </c>
      <c r="F6893">
        <v>32.37</v>
      </c>
      <c r="G6893">
        <v>22.57</v>
      </c>
      <c r="H6893">
        <v>1.29</v>
      </c>
      <c r="I6893">
        <v>2.334</v>
      </c>
      <c r="J6893">
        <v>26.98</v>
      </c>
      <c r="K6893">
        <v>33.0</v>
      </c>
      <c r="L6893">
        <v>22.78</v>
      </c>
      <c r="M6893">
        <v>2.83</v>
      </c>
      <c r="N6893">
        <v>10.288</v>
      </c>
      <c r="O6893">
        <v>28.22</v>
      </c>
      <c r="P6893">
        <v>34.43</v>
      </c>
      <c r="Q6893">
        <v>23.79</v>
      </c>
      <c r="R6893">
        <v>3.17</v>
      </c>
    </row>
    <row r="6894">
      <c r="A6894" s="9">
        <v>45425</v>
      </c>
      <c r="B6894" s="2" t="inlineStr">
        <is>
          <t xml:space="preserve">2024-05</t>
        </is>
      </c>
      <c r="C6894" s="2" t="inlineStr">
        <is>
          <t xml:space="preserve">2023/24</t>
        </is>
      </c>
      <c r="D6894">
        <v>0.0</v>
      </c>
      <c r="E6894">
        <v>27.02</v>
      </c>
      <c r="F6894">
        <v>33.75</v>
      </c>
      <c r="G6894">
        <v>21.24</v>
      </c>
      <c r="H6894">
        <v>0.31</v>
      </c>
      <c r="I6894">
        <v>0.06</v>
      </c>
      <c r="J6894">
        <v>26.15</v>
      </c>
      <c r="K6894">
        <v>31.57</v>
      </c>
      <c r="L6894">
        <v>22.24</v>
      </c>
      <c r="M6894">
        <v>0.18</v>
      </c>
      <c r="N6894">
        <v>0.668</v>
      </c>
      <c r="O6894">
        <v>28.28</v>
      </c>
      <c r="P6894">
        <v>34.98</v>
      </c>
      <c r="Q6894">
        <v>22.54</v>
      </c>
      <c r="R6894">
        <v>0.12</v>
      </c>
    </row>
    <row r="6895">
      <c r="A6895" s="9">
        <v>45426</v>
      </c>
      <c r="B6895" s="2" t="inlineStr">
        <is>
          <t xml:space="preserve">2024-05</t>
        </is>
      </c>
      <c r="C6895" s="2" t="inlineStr">
        <is>
          <t xml:space="preserve">2023/24</t>
        </is>
      </c>
      <c r="D6895">
        <v>0.0</v>
      </c>
      <c r="E6895">
        <v>27.87</v>
      </c>
      <c r="F6895">
        <v>35.68</v>
      </c>
      <c r="G6895">
        <v>21.74</v>
      </c>
      <c r="H6895">
        <v>0.01</v>
      </c>
      <c r="I6895">
        <v>0.0</v>
      </c>
      <c r="J6895">
        <v>27.08</v>
      </c>
      <c r="K6895">
        <v>34.52</v>
      </c>
      <c r="L6895">
        <v>21.54</v>
      </c>
      <c r="M6895">
        <v>0.0</v>
      </c>
      <c r="N6895">
        <v>0.0</v>
      </c>
      <c r="O6895">
        <v>29.28</v>
      </c>
      <c r="P6895">
        <v>37.16</v>
      </c>
      <c r="Q6895">
        <v>23.38</v>
      </c>
      <c r="R6895">
        <v>0.0</v>
      </c>
    </row>
    <row r="6896">
      <c r="A6896" s="9">
        <v>45427</v>
      </c>
      <c r="B6896" s="2" t="inlineStr">
        <is>
          <t xml:space="preserve">2024-05</t>
        </is>
      </c>
      <c r="C6896" s="2" t="inlineStr">
        <is>
          <t xml:space="preserve">2023/24</t>
        </is>
      </c>
      <c r="D6896">
        <v>0.0</v>
      </c>
      <c r="E6896">
        <v>27.8</v>
      </c>
      <c r="F6896">
        <v>35.98</v>
      </c>
      <c r="G6896">
        <v>20.65</v>
      </c>
      <c r="H6896">
        <v>2.66</v>
      </c>
      <c r="I6896">
        <v>0.0</v>
      </c>
      <c r="J6896">
        <v>27.33</v>
      </c>
      <c r="K6896">
        <v>34.9</v>
      </c>
      <c r="L6896">
        <v>22.36</v>
      </c>
      <c r="M6896">
        <v>0.06</v>
      </c>
      <c r="N6896">
        <v>0.0</v>
      </c>
      <c r="O6896">
        <v>29.42</v>
      </c>
      <c r="P6896">
        <v>37.44</v>
      </c>
      <c r="Q6896">
        <v>23.57</v>
      </c>
      <c r="R6896">
        <v>0.05</v>
      </c>
    </row>
    <row r="6897">
      <c r="A6897" s="9">
        <v>45428</v>
      </c>
      <c r="B6897" s="2" t="inlineStr">
        <is>
          <t xml:space="preserve">2024-05</t>
        </is>
      </c>
      <c r="C6897" s="2" t="inlineStr">
        <is>
          <t xml:space="preserve">2023/24</t>
        </is>
      </c>
      <c r="D6897">
        <v>7.817</v>
      </c>
      <c r="E6897">
        <v>25.82</v>
      </c>
      <c r="F6897">
        <v>31.85</v>
      </c>
      <c r="G6897">
        <v>21.52</v>
      </c>
      <c r="H6897">
        <v>10.82</v>
      </c>
      <c r="I6897">
        <v>0.0</v>
      </c>
      <c r="J6897">
        <v>26.57</v>
      </c>
      <c r="K6897">
        <v>33.03</v>
      </c>
      <c r="L6897">
        <v>22.32</v>
      </c>
      <c r="M6897">
        <v>0.4</v>
      </c>
      <c r="N6897">
        <v>0.0</v>
      </c>
      <c r="O6897">
        <v>29.03</v>
      </c>
      <c r="P6897">
        <v>36.95</v>
      </c>
      <c r="Q6897">
        <v>23.38</v>
      </c>
      <c r="R6897">
        <v>2.46</v>
      </c>
    </row>
    <row r="6898">
      <c r="A6898" s="9">
        <v>45429</v>
      </c>
      <c r="B6898" s="2" t="inlineStr">
        <is>
          <t xml:space="preserve">2024-05</t>
        </is>
      </c>
      <c r="C6898" s="2" t="inlineStr">
        <is>
          <t xml:space="preserve">2023/24</t>
        </is>
      </c>
      <c r="D6898">
        <v>0.087</v>
      </c>
      <c r="E6898">
        <v>25.18</v>
      </c>
      <c r="F6898">
        <v>30.54</v>
      </c>
      <c r="G6898">
        <v>21.87</v>
      </c>
      <c r="H6898">
        <v>2.3</v>
      </c>
      <c r="I6898">
        <v>1.115</v>
      </c>
      <c r="J6898">
        <v>25.5</v>
      </c>
      <c r="K6898">
        <v>31.39</v>
      </c>
      <c r="L6898">
        <v>21.44</v>
      </c>
      <c r="M6898">
        <v>2.39</v>
      </c>
      <c r="N6898">
        <v>0.545</v>
      </c>
      <c r="O6898">
        <v>27.15</v>
      </c>
      <c r="P6898">
        <v>33.77</v>
      </c>
      <c r="Q6898">
        <v>22.64</v>
      </c>
      <c r="R6898">
        <v>4.85</v>
      </c>
    </row>
    <row r="6899">
      <c r="A6899" s="9">
        <v>45430</v>
      </c>
      <c r="B6899" s="2" t="inlineStr">
        <is>
          <t xml:space="preserve">2024-05</t>
        </is>
      </c>
      <c r="C6899" s="2" t="inlineStr">
        <is>
          <t xml:space="preserve">2023/24</t>
        </is>
      </c>
      <c r="D6899">
        <v>2.598</v>
      </c>
      <c r="E6899">
        <v>27.2</v>
      </c>
      <c r="F6899">
        <v>34.46</v>
      </c>
      <c r="G6899">
        <v>20.99</v>
      </c>
      <c r="H6899">
        <v>1.3</v>
      </c>
      <c r="I6899">
        <v>0.914</v>
      </c>
      <c r="J6899">
        <v>26.4</v>
      </c>
      <c r="K6899">
        <v>32.21</v>
      </c>
      <c r="L6899">
        <v>21.77</v>
      </c>
      <c r="M6899">
        <v>0.89</v>
      </c>
      <c r="N6899">
        <v>4.011</v>
      </c>
      <c r="O6899">
        <v>28.8</v>
      </c>
      <c r="P6899">
        <v>36.18</v>
      </c>
      <c r="Q6899">
        <v>22.68</v>
      </c>
      <c r="R6899">
        <v>1.17</v>
      </c>
    </row>
    <row r="6900">
      <c r="A6900" s="9">
        <v>45431</v>
      </c>
      <c r="B6900" s="2" t="inlineStr">
        <is>
          <t xml:space="preserve">2024-05</t>
        </is>
      </c>
      <c r="C6900" s="2" t="inlineStr">
        <is>
          <t xml:space="preserve">2023/24</t>
        </is>
      </c>
      <c r="D6900">
        <v>0.48</v>
      </c>
      <c r="E6900">
        <v>28.2</v>
      </c>
      <c r="F6900">
        <v>35.41</v>
      </c>
      <c r="G6900">
        <v>22.23</v>
      </c>
      <c r="H6900">
        <v>0.68</v>
      </c>
      <c r="I6900">
        <v>0.0</v>
      </c>
      <c r="J6900">
        <v>27.99</v>
      </c>
      <c r="K6900">
        <v>34.06</v>
      </c>
      <c r="L6900">
        <v>22.83</v>
      </c>
      <c r="M6900">
        <v>0.29</v>
      </c>
      <c r="N6900">
        <v>0.0</v>
      </c>
      <c r="O6900">
        <v>27.62</v>
      </c>
      <c r="P6900">
        <v>33.06</v>
      </c>
      <c r="Q6900">
        <v>24.14</v>
      </c>
      <c r="R6900">
        <v>0.26</v>
      </c>
    </row>
    <row r="6901">
      <c r="A6901" s="9">
        <v>45432</v>
      </c>
      <c r="B6901" s="2" t="inlineStr">
        <is>
          <t xml:space="preserve">2024-05</t>
        </is>
      </c>
      <c r="C6901" s="2" t="inlineStr">
        <is>
          <t xml:space="preserve">2023/24</t>
        </is>
      </c>
      <c r="D6901">
        <v>2.248</v>
      </c>
      <c r="E6901">
        <v>28.08</v>
      </c>
      <c r="F6901">
        <v>35.78</v>
      </c>
      <c r="G6901">
        <v>22.06</v>
      </c>
      <c r="H6901">
        <v>1.42</v>
      </c>
      <c r="I6901">
        <v>1.092</v>
      </c>
      <c r="J6901">
        <v>28.37</v>
      </c>
      <c r="K6901">
        <v>35.63</v>
      </c>
      <c r="L6901">
        <v>23.06</v>
      </c>
      <c r="M6901">
        <v>0.98</v>
      </c>
      <c r="N6901">
        <v>0.246</v>
      </c>
      <c r="O6901">
        <v>27.86</v>
      </c>
      <c r="P6901">
        <v>35.11</v>
      </c>
      <c r="Q6901">
        <v>22.93</v>
      </c>
      <c r="R6901">
        <v>0.69</v>
      </c>
    </row>
    <row r="6902">
      <c r="A6902" s="9">
        <v>45433</v>
      </c>
      <c r="B6902" s="2" t="inlineStr">
        <is>
          <t xml:space="preserve">2024-05</t>
        </is>
      </c>
      <c r="C6902" s="2" t="inlineStr">
        <is>
          <t xml:space="preserve">2023/24</t>
        </is>
      </c>
      <c r="D6902">
        <v>1.302</v>
      </c>
      <c r="E6902">
        <v>27.7</v>
      </c>
      <c r="F6902">
        <v>34.51</v>
      </c>
      <c r="G6902">
        <v>21.38</v>
      </c>
      <c r="H6902">
        <v>0.37</v>
      </c>
      <c r="I6902">
        <v>0.287</v>
      </c>
      <c r="J6902">
        <v>27.96</v>
      </c>
      <c r="K6902">
        <v>34.77</v>
      </c>
      <c r="L6902">
        <v>23.23</v>
      </c>
      <c r="M6902">
        <v>0.34</v>
      </c>
      <c r="N6902">
        <v>0.478</v>
      </c>
      <c r="O6902">
        <v>28.09</v>
      </c>
      <c r="P6902">
        <v>35.08</v>
      </c>
      <c r="Q6902">
        <v>22.93</v>
      </c>
      <c r="R6902">
        <v>0.35</v>
      </c>
    </row>
    <row r="6903">
      <c r="A6903" s="9">
        <v>45434</v>
      </c>
      <c r="B6903" s="2" t="inlineStr">
        <is>
          <t xml:space="preserve">2024-05</t>
        </is>
      </c>
      <c r="C6903" s="2" t="inlineStr">
        <is>
          <t xml:space="preserve">2023/24</t>
        </is>
      </c>
      <c r="D6903">
        <v>0.031</v>
      </c>
      <c r="E6903">
        <v>27.98</v>
      </c>
      <c r="F6903">
        <v>35.09</v>
      </c>
      <c r="G6903">
        <v>21.94</v>
      </c>
      <c r="H6903">
        <v>0.05</v>
      </c>
      <c r="I6903">
        <v>0.0</v>
      </c>
      <c r="J6903">
        <v>28.62</v>
      </c>
      <c r="K6903">
        <v>36.59</v>
      </c>
      <c r="L6903">
        <v>22.33</v>
      </c>
      <c r="M6903">
        <v>0.0</v>
      </c>
      <c r="N6903">
        <v>0.0</v>
      </c>
      <c r="O6903">
        <v>27.81</v>
      </c>
      <c r="P6903">
        <v>35.2</v>
      </c>
      <c r="Q6903">
        <v>22.55</v>
      </c>
      <c r="R6903">
        <v>0.0</v>
      </c>
    </row>
    <row r="6904">
      <c r="A6904" s="9">
        <v>45435</v>
      </c>
      <c r="B6904" s="2" t="inlineStr">
        <is>
          <t xml:space="preserve">2024-05</t>
        </is>
      </c>
      <c r="C6904" s="2" t="inlineStr">
        <is>
          <t xml:space="preserve">2023/24</t>
        </is>
      </c>
      <c r="D6904">
        <v>0.0</v>
      </c>
      <c r="E6904">
        <v>28.3</v>
      </c>
      <c r="F6904">
        <v>36.02</v>
      </c>
      <c r="G6904">
        <v>21.43</v>
      </c>
      <c r="H6904">
        <v>0.37</v>
      </c>
      <c r="I6904">
        <v>0.0</v>
      </c>
      <c r="J6904">
        <v>28.34</v>
      </c>
      <c r="K6904">
        <v>35.57</v>
      </c>
      <c r="L6904">
        <v>22.08</v>
      </c>
      <c r="M6904">
        <v>1.86</v>
      </c>
      <c r="N6904">
        <v>0.0</v>
      </c>
      <c r="O6904">
        <v>28.03</v>
      </c>
      <c r="P6904">
        <v>36.25</v>
      </c>
      <c r="Q6904">
        <v>21.29</v>
      </c>
      <c r="R6904">
        <v>0.01</v>
      </c>
    </row>
    <row r="6905">
      <c r="A6905" s="9">
        <v>45436</v>
      </c>
      <c r="B6905" s="2" t="inlineStr">
        <is>
          <t xml:space="preserve">2024-05</t>
        </is>
      </c>
      <c r="C6905" s="2" t="inlineStr">
        <is>
          <t xml:space="preserve">2023/24</t>
        </is>
      </c>
      <c r="D6905">
        <v>0.0</v>
      </c>
      <c r="E6905">
        <v>28.39</v>
      </c>
      <c r="F6905">
        <v>35.41</v>
      </c>
      <c r="G6905">
        <v>23.09</v>
      </c>
      <c r="H6905">
        <v>0.85</v>
      </c>
      <c r="I6905">
        <v>3.095</v>
      </c>
      <c r="J6905">
        <v>27.51</v>
      </c>
      <c r="K6905">
        <v>34.55</v>
      </c>
      <c r="L6905">
        <v>22.6</v>
      </c>
      <c r="M6905">
        <v>2.43</v>
      </c>
      <c r="N6905">
        <v>0.0</v>
      </c>
      <c r="O6905">
        <v>29.58</v>
      </c>
      <c r="P6905">
        <v>37.29</v>
      </c>
      <c r="Q6905">
        <v>23.28</v>
      </c>
      <c r="R6905">
        <v>0.05</v>
      </c>
    </row>
    <row r="6906">
      <c r="A6906" s="9">
        <v>45437</v>
      </c>
      <c r="B6906" s="2" t="inlineStr">
        <is>
          <t xml:space="preserve">2024-05</t>
        </is>
      </c>
      <c r="C6906" s="2" t="inlineStr">
        <is>
          <t xml:space="preserve">2023/24</t>
        </is>
      </c>
      <c r="D6906">
        <v>0.026</v>
      </c>
      <c r="E6906">
        <v>28.58</v>
      </c>
      <c r="F6906">
        <v>35.27</v>
      </c>
      <c r="G6906">
        <v>23.49</v>
      </c>
      <c r="H6906">
        <v>1.03</v>
      </c>
      <c r="I6906">
        <v>0.0</v>
      </c>
      <c r="J6906">
        <v>28.64</v>
      </c>
      <c r="K6906">
        <v>36.69</v>
      </c>
      <c r="L6906">
        <v>22.36</v>
      </c>
      <c r="M6906">
        <v>0.32</v>
      </c>
      <c r="N6906">
        <v>0.0</v>
      </c>
      <c r="O6906">
        <v>29.74</v>
      </c>
      <c r="P6906">
        <v>36.67</v>
      </c>
      <c r="Q6906">
        <v>24.03</v>
      </c>
      <c r="R6906">
        <v>0.49</v>
      </c>
    </row>
    <row r="6907">
      <c r="A6907" s="9">
        <v>45438</v>
      </c>
      <c r="B6907" s="2" t="inlineStr">
        <is>
          <t xml:space="preserve">2024-05</t>
        </is>
      </c>
      <c r="C6907" s="2" t="inlineStr">
        <is>
          <t xml:space="preserve">2023/24</t>
        </is>
      </c>
      <c r="D6907">
        <v>1.744</v>
      </c>
      <c r="E6907">
        <v>28.35</v>
      </c>
      <c r="F6907">
        <v>34.9</v>
      </c>
      <c r="G6907">
        <v>22.58</v>
      </c>
      <c r="H6907">
        <v>1.0</v>
      </c>
      <c r="I6907">
        <v>0.82</v>
      </c>
      <c r="J6907">
        <v>26.84</v>
      </c>
      <c r="K6907">
        <v>32.6</v>
      </c>
      <c r="L6907">
        <v>23.54</v>
      </c>
      <c r="M6907">
        <v>1.19</v>
      </c>
      <c r="N6907">
        <v>2.746</v>
      </c>
      <c r="O6907">
        <v>29.49</v>
      </c>
      <c r="P6907">
        <v>36.07</v>
      </c>
      <c r="Q6907">
        <v>24.47</v>
      </c>
      <c r="R6907">
        <v>1.31</v>
      </c>
    </row>
    <row r="6908">
      <c r="A6908" s="9">
        <v>45439</v>
      </c>
      <c r="B6908" s="2" t="inlineStr">
        <is>
          <t xml:space="preserve">2024-05</t>
        </is>
      </c>
      <c r="C6908" s="2" t="inlineStr">
        <is>
          <t xml:space="preserve">2023/24</t>
        </is>
      </c>
      <c r="D6908">
        <v>0.029</v>
      </c>
      <c r="E6908">
        <v>27.94</v>
      </c>
      <c r="F6908">
        <v>35.0</v>
      </c>
      <c r="G6908">
        <v>22.42</v>
      </c>
      <c r="H6908">
        <v>1.97</v>
      </c>
      <c r="I6908">
        <v>0.0</v>
      </c>
      <c r="J6908">
        <v>28.14</v>
      </c>
      <c r="K6908">
        <v>34.37</v>
      </c>
      <c r="L6908">
        <v>22.53</v>
      </c>
      <c r="M6908">
        <v>0.31</v>
      </c>
      <c r="N6908">
        <v>0.0</v>
      </c>
      <c r="O6908">
        <v>29.03</v>
      </c>
      <c r="P6908">
        <v>34.75</v>
      </c>
      <c r="Q6908">
        <v>24.83</v>
      </c>
      <c r="R6908">
        <v>0.78</v>
      </c>
    </row>
    <row r="6909">
      <c r="A6909" s="9">
        <v>45440</v>
      </c>
      <c r="B6909" s="2" t="inlineStr">
        <is>
          <t xml:space="preserve">2024-05</t>
        </is>
      </c>
      <c r="C6909" s="2" t="inlineStr">
        <is>
          <t xml:space="preserve">2023/24</t>
        </is>
      </c>
      <c r="D6909">
        <v>10.162</v>
      </c>
      <c r="E6909">
        <v>26.96</v>
      </c>
      <c r="F6909">
        <v>33.34</v>
      </c>
      <c r="G6909">
        <v>21.77</v>
      </c>
      <c r="H6909">
        <v>9.12</v>
      </c>
      <c r="I6909">
        <v>0.321</v>
      </c>
      <c r="J6909">
        <v>27.25</v>
      </c>
      <c r="K6909">
        <v>33.64</v>
      </c>
      <c r="L6909">
        <v>23.46</v>
      </c>
      <c r="M6909">
        <v>8.0</v>
      </c>
      <c r="N6909">
        <v>1.027</v>
      </c>
      <c r="O6909">
        <v>27.24</v>
      </c>
      <c r="P6909">
        <v>33.3</v>
      </c>
      <c r="Q6909">
        <v>23.15</v>
      </c>
      <c r="R6909">
        <v>6.18</v>
      </c>
    </row>
    <row r="6910">
      <c r="A6910" s="9">
        <v>45441</v>
      </c>
      <c r="B6910" s="2" t="inlineStr">
        <is>
          <t xml:space="preserve">2024-05</t>
        </is>
      </c>
      <c r="C6910" s="2" t="inlineStr">
        <is>
          <t xml:space="preserve">2023/24</t>
        </is>
      </c>
      <c r="D6910">
        <v>6.378</v>
      </c>
      <c r="E6910">
        <v>26.14</v>
      </c>
      <c r="F6910">
        <v>34.28</v>
      </c>
      <c r="G6910">
        <v>19.98</v>
      </c>
      <c r="H6910">
        <v>6.97</v>
      </c>
      <c r="I6910">
        <v>7.173</v>
      </c>
      <c r="J6910">
        <v>26.65</v>
      </c>
      <c r="K6910">
        <v>33.14</v>
      </c>
      <c r="L6910">
        <v>22.35</v>
      </c>
      <c r="M6910">
        <v>12.48</v>
      </c>
      <c r="N6910">
        <v>0.492</v>
      </c>
      <c r="O6910">
        <v>26.74</v>
      </c>
      <c r="P6910">
        <v>33.68</v>
      </c>
      <c r="Q6910">
        <v>22.87</v>
      </c>
      <c r="R6910">
        <v>5.15</v>
      </c>
    </row>
    <row r="6911">
      <c r="A6911" s="9">
        <v>45442</v>
      </c>
      <c r="B6911" s="2" t="inlineStr">
        <is>
          <t xml:space="preserve">2024-05</t>
        </is>
      </c>
      <c r="C6911" s="2" t="inlineStr">
        <is>
          <t xml:space="preserve">2023/24</t>
        </is>
      </c>
      <c r="D6911">
        <v>3.485</v>
      </c>
      <c r="E6911">
        <v>25.68</v>
      </c>
      <c r="F6911">
        <v>32.17</v>
      </c>
      <c r="G6911">
        <v>19.85</v>
      </c>
      <c r="H6911">
        <v>0.5</v>
      </c>
      <c r="I6911">
        <v>18.222</v>
      </c>
      <c r="J6911">
        <v>25.71</v>
      </c>
      <c r="K6911">
        <v>30.66</v>
      </c>
      <c r="L6911">
        <v>21.94</v>
      </c>
      <c r="M6911">
        <v>7.75</v>
      </c>
      <c r="N6911">
        <v>1.732</v>
      </c>
      <c r="O6911">
        <v>26.2</v>
      </c>
      <c r="P6911">
        <v>32.41</v>
      </c>
      <c r="Q6911">
        <v>22.2</v>
      </c>
      <c r="R6911">
        <v>1.57</v>
      </c>
    </row>
    <row r="6912">
      <c r="A6912" s="9">
        <v>45443</v>
      </c>
      <c r="B6912" s="2" t="inlineStr">
        <is>
          <t xml:space="preserve">2024-05</t>
        </is>
      </c>
      <c r="C6912" s="2" t="inlineStr">
        <is>
          <t xml:space="preserve">2023/24</t>
        </is>
      </c>
      <c r="D6912">
        <v>0.306</v>
      </c>
      <c r="E6912">
        <v>25.54</v>
      </c>
      <c r="F6912">
        <v>32.48</v>
      </c>
      <c r="G6912">
        <v>20.71</v>
      </c>
      <c r="H6912">
        <v>1.91</v>
      </c>
      <c r="I6912">
        <v>11.082</v>
      </c>
      <c r="J6912">
        <v>25.63</v>
      </c>
      <c r="K6912">
        <v>31.0</v>
      </c>
      <c r="L6912">
        <v>21.66</v>
      </c>
      <c r="M6912">
        <v>7.32</v>
      </c>
      <c r="N6912">
        <v>0.595</v>
      </c>
      <c r="O6912">
        <v>26.07</v>
      </c>
      <c r="P6912">
        <v>32.73</v>
      </c>
      <c r="Q6912">
        <v>22.14</v>
      </c>
      <c r="R6912">
        <v>2.86</v>
      </c>
    </row>
    <row r="6913">
      <c r="A6913" s="9">
        <v>45444</v>
      </c>
      <c r="B6913" s="2" t="inlineStr">
        <is>
          <t xml:space="preserve">2024-06</t>
        </is>
      </c>
      <c r="C6913" s="2" t="inlineStr">
        <is>
          <t xml:space="preserve">2023/24</t>
        </is>
      </c>
      <c r="D6913">
        <v>1.518</v>
      </c>
      <c r="E6913">
        <v>26.29</v>
      </c>
      <c r="F6913">
        <v>33.69</v>
      </c>
      <c r="G6913">
        <v>20.03</v>
      </c>
      <c r="H6913">
        <v>0.92</v>
      </c>
      <c r="I6913">
        <v>10.195</v>
      </c>
      <c r="J6913">
        <v>26.39</v>
      </c>
      <c r="K6913">
        <v>32.84</v>
      </c>
      <c r="L6913">
        <v>22.16</v>
      </c>
      <c r="M6913">
        <v>4.5</v>
      </c>
      <c r="N6913">
        <v>3.8</v>
      </c>
      <c r="O6913">
        <v>26.59</v>
      </c>
      <c r="P6913">
        <v>33.56</v>
      </c>
      <c r="Q6913">
        <v>22.21</v>
      </c>
      <c r="R6913">
        <v>1.14</v>
      </c>
    </row>
    <row r="6914">
      <c r="A6914" s="9">
        <v>45445</v>
      </c>
      <c r="B6914" s="2" t="inlineStr">
        <is>
          <t xml:space="preserve">2024-06</t>
        </is>
      </c>
      <c r="C6914" s="2" t="inlineStr">
        <is>
          <t xml:space="preserve">2023/24</t>
        </is>
      </c>
      <c r="D6914">
        <v>0.0</v>
      </c>
      <c r="E6914">
        <v>25.95</v>
      </c>
      <c r="F6914">
        <v>31.1</v>
      </c>
      <c r="G6914">
        <v>21.36</v>
      </c>
      <c r="H6914">
        <v>23.93</v>
      </c>
      <c r="I6914">
        <v>1.13</v>
      </c>
      <c r="J6914">
        <v>26.22</v>
      </c>
      <c r="K6914">
        <v>31.97</v>
      </c>
      <c r="L6914">
        <v>21.15</v>
      </c>
      <c r="M6914">
        <v>2.15</v>
      </c>
      <c r="N6914">
        <v>0.302</v>
      </c>
      <c r="O6914">
        <v>26.67</v>
      </c>
      <c r="P6914">
        <v>32.69</v>
      </c>
      <c r="Q6914">
        <v>22.3</v>
      </c>
      <c r="R6914">
        <v>3.8</v>
      </c>
    </row>
    <row r="6915">
      <c r="A6915" s="9">
        <v>45446</v>
      </c>
      <c r="B6915" s="2" t="inlineStr">
        <is>
          <t xml:space="preserve">2024-06</t>
        </is>
      </c>
      <c r="C6915" s="2" t="inlineStr">
        <is>
          <t xml:space="preserve">2023/24</t>
        </is>
      </c>
      <c r="D6915">
        <v>0.052</v>
      </c>
      <c r="E6915">
        <v>25.03</v>
      </c>
      <c r="F6915">
        <v>30.28</v>
      </c>
      <c r="G6915">
        <v>21.41</v>
      </c>
      <c r="H6915">
        <v>16.77</v>
      </c>
      <c r="I6915">
        <v>12.774</v>
      </c>
      <c r="J6915">
        <v>25.64</v>
      </c>
      <c r="K6915">
        <v>31.03</v>
      </c>
      <c r="L6915">
        <v>21.97</v>
      </c>
      <c r="M6915">
        <v>3.29</v>
      </c>
      <c r="N6915">
        <v>0.361</v>
      </c>
      <c r="O6915">
        <v>26.0</v>
      </c>
      <c r="P6915">
        <v>31.67</v>
      </c>
      <c r="Q6915">
        <v>22.23</v>
      </c>
      <c r="R6915">
        <v>3.36</v>
      </c>
    </row>
    <row r="6916">
      <c r="A6916" s="9">
        <v>45447</v>
      </c>
      <c r="B6916" s="2" t="inlineStr">
        <is>
          <t xml:space="preserve">2024-06</t>
        </is>
      </c>
      <c r="C6916" s="2" t="inlineStr">
        <is>
          <t xml:space="preserve">2023/24</t>
        </is>
      </c>
      <c r="D6916">
        <v>4.032</v>
      </c>
      <c r="E6916">
        <v>24.01</v>
      </c>
      <c r="F6916">
        <v>27.22</v>
      </c>
      <c r="G6916">
        <v>21.86</v>
      </c>
      <c r="H6916">
        <v>2.68</v>
      </c>
      <c r="I6916">
        <v>0.495</v>
      </c>
      <c r="J6916">
        <v>26.35</v>
      </c>
      <c r="K6916">
        <v>32.32</v>
      </c>
      <c r="L6916">
        <v>22.18</v>
      </c>
      <c r="M6916">
        <v>0.6</v>
      </c>
      <c r="N6916">
        <v>0.946</v>
      </c>
      <c r="O6916">
        <v>28.19</v>
      </c>
      <c r="P6916">
        <v>35.91</v>
      </c>
      <c r="Q6916">
        <v>21.8</v>
      </c>
      <c r="R6916">
        <v>0.73</v>
      </c>
    </row>
    <row r="6917">
      <c r="A6917" s="9">
        <v>45448</v>
      </c>
      <c r="B6917" s="2" t="inlineStr">
        <is>
          <t xml:space="preserve">2024-06</t>
        </is>
      </c>
      <c r="C6917" s="2" t="inlineStr">
        <is>
          <t xml:space="preserve">2023/24</t>
        </is>
      </c>
      <c r="D6917">
        <v>8.725</v>
      </c>
      <c r="E6917">
        <v>23.71</v>
      </c>
      <c r="F6917">
        <v>27.75</v>
      </c>
      <c r="G6917">
        <v>21.29</v>
      </c>
      <c r="H6917">
        <v>13.08</v>
      </c>
      <c r="I6917">
        <v>0.917</v>
      </c>
      <c r="J6917">
        <v>25.01</v>
      </c>
      <c r="K6917">
        <v>30.13</v>
      </c>
      <c r="L6917">
        <v>21.98</v>
      </c>
      <c r="M6917">
        <v>3.93</v>
      </c>
      <c r="N6917">
        <v>2.779</v>
      </c>
      <c r="O6917">
        <v>26.82</v>
      </c>
      <c r="P6917">
        <v>33.47</v>
      </c>
      <c r="Q6917">
        <v>22.02</v>
      </c>
      <c r="R6917">
        <v>5.97</v>
      </c>
    </row>
    <row r="6918">
      <c r="A6918" s="9">
        <v>45449</v>
      </c>
      <c r="B6918" s="2" t="inlineStr">
        <is>
          <t xml:space="preserve">2024-06</t>
        </is>
      </c>
      <c r="C6918" s="2" t="inlineStr">
        <is>
          <t xml:space="preserve">2023/24</t>
        </is>
      </c>
      <c r="D6918">
        <v>9.651</v>
      </c>
      <c r="E6918">
        <v>24.86</v>
      </c>
      <c r="F6918">
        <v>30.61</v>
      </c>
      <c r="G6918">
        <v>20.79</v>
      </c>
      <c r="H6918">
        <v>4.42</v>
      </c>
      <c r="I6918">
        <v>1.75</v>
      </c>
      <c r="J6918">
        <v>23.75</v>
      </c>
      <c r="K6918">
        <v>27.36</v>
      </c>
      <c r="L6918">
        <v>21.62</v>
      </c>
      <c r="M6918">
        <v>1.05</v>
      </c>
      <c r="N6918">
        <v>0.348</v>
      </c>
      <c r="O6918">
        <v>25.89</v>
      </c>
      <c r="P6918">
        <v>31.68</v>
      </c>
      <c r="Q6918">
        <v>22.6</v>
      </c>
      <c r="R6918">
        <v>2.12</v>
      </c>
    </row>
    <row r="6919">
      <c r="A6919" s="9">
        <v>45450</v>
      </c>
      <c r="B6919" s="2" t="inlineStr">
        <is>
          <t xml:space="preserve">2024-06</t>
        </is>
      </c>
      <c r="C6919" s="2" t="inlineStr">
        <is>
          <t xml:space="preserve">2023/24</t>
        </is>
      </c>
      <c r="D6919">
        <v>7.162</v>
      </c>
      <c r="E6919">
        <v>24.35</v>
      </c>
      <c r="F6919">
        <v>30.31</v>
      </c>
      <c r="G6919">
        <v>20.48</v>
      </c>
      <c r="H6919">
        <v>5.68</v>
      </c>
      <c r="I6919">
        <v>0.0</v>
      </c>
      <c r="J6919">
        <v>25.14</v>
      </c>
      <c r="K6919">
        <v>31.23</v>
      </c>
      <c r="L6919">
        <v>20.78</v>
      </c>
      <c r="M6919">
        <v>1.86</v>
      </c>
      <c r="N6919">
        <v>0.336</v>
      </c>
      <c r="O6919">
        <v>25.56</v>
      </c>
      <c r="P6919">
        <v>31.29</v>
      </c>
      <c r="Q6919">
        <v>21.76</v>
      </c>
      <c r="R6919">
        <v>5.22</v>
      </c>
    </row>
    <row r="6920">
      <c r="A6920" s="9">
        <v>45451</v>
      </c>
      <c r="B6920" s="2" t="inlineStr">
        <is>
          <t xml:space="preserve">2024-06</t>
        </is>
      </c>
      <c r="C6920" s="2" t="inlineStr">
        <is>
          <t xml:space="preserve">2023/24</t>
        </is>
      </c>
      <c r="D6920">
        <v>1.759</v>
      </c>
      <c r="E6920">
        <v>23.5</v>
      </c>
      <c r="F6920">
        <v>27.07</v>
      </c>
      <c r="G6920">
        <v>21.15</v>
      </c>
      <c r="H6920">
        <v>4.62</v>
      </c>
      <c r="I6920">
        <v>0.088</v>
      </c>
      <c r="J6920">
        <v>25.01</v>
      </c>
      <c r="K6920">
        <v>29.87</v>
      </c>
      <c r="L6920">
        <v>21.62</v>
      </c>
      <c r="M6920">
        <v>1.38</v>
      </c>
      <c r="N6920">
        <v>3.952</v>
      </c>
      <c r="O6920">
        <v>25.41</v>
      </c>
      <c r="P6920">
        <v>30.76</v>
      </c>
      <c r="Q6920">
        <v>22.07</v>
      </c>
      <c r="R6920">
        <v>7.94</v>
      </c>
    </row>
    <row r="6921">
      <c r="A6921" s="9">
        <v>45452</v>
      </c>
      <c r="B6921" s="2" t="inlineStr">
        <is>
          <t xml:space="preserve">2024-06</t>
        </is>
      </c>
      <c r="C6921" s="2" t="inlineStr">
        <is>
          <t xml:space="preserve">2023/24</t>
        </is>
      </c>
      <c r="D6921">
        <v>0.861</v>
      </c>
      <c r="E6921">
        <v>24.59</v>
      </c>
      <c r="F6921">
        <v>29.68</v>
      </c>
      <c r="G6921">
        <v>20.3</v>
      </c>
      <c r="H6921">
        <v>7.94</v>
      </c>
      <c r="I6921">
        <v>1.969</v>
      </c>
      <c r="J6921">
        <v>25.24</v>
      </c>
      <c r="K6921">
        <v>30.67</v>
      </c>
      <c r="L6921">
        <v>21.28</v>
      </c>
      <c r="M6921">
        <v>2.24</v>
      </c>
      <c r="N6921">
        <v>2.602</v>
      </c>
      <c r="O6921">
        <v>25.99</v>
      </c>
      <c r="P6921">
        <v>31.9</v>
      </c>
      <c r="Q6921">
        <v>21.86</v>
      </c>
      <c r="R6921">
        <v>6.47</v>
      </c>
    </row>
    <row r="6922">
      <c r="A6922" s="9">
        <v>45453</v>
      </c>
      <c r="B6922" s="2" t="inlineStr">
        <is>
          <t xml:space="preserve">2024-06</t>
        </is>
      </c>
      <c r="C6922" s="2" t="inlineStr">
        <is>
          <t xml:space="preserve">2023/24</t>
        </is>
      </c>
      <c r="D6922">
        <v>17.376</v>
      </c>
      <c r="E6922">
        <v>23.57</v>
      </c>
      <c r="F6922">
        <v>26.95</v>
      </c>
      <c r="G6922">
        <v>21.04</v>
      </c>
      <c r="H6922">
        <v>19.32</v>
      </c>
      <c r="I6922">
        <v>1.032</v>
      </c>
      <c r="J6922">
        <v>24.22</v>
      </c>
      <c r="K6922">
        <v>28.63</v>
      </c>
      <c r="L6922">
        <v>21.27</v>
      </c>
      <c r="M6922">
        <v>5.75</v>
      </c>
      <c r="N6922">
        <v>3.653</v>
      </c>
      <c r="O6922">
        <v>24.61</v>
      </c>
      <c r="P6922">
        <v>29.71</v>
      </c>
      <c r="Q6922">
        <v>21.38</v>
      </c>
      <c r="R6922">
        <v>10.62</v>
      </c>
    </row>
    <row r="6923">
      <c r="A6923" s="9">
        <v>45454</v>
      </c>
      <c r="B6923" s="2" t="inlineStr">
        <is>
          <t xml:space="preserve">2024-06</t>
        </is>
      </c>
      <c r="C6923" s="2" t="inlineStr">
        <is>
          <t xml:space="preserve">2023/24</t>
        </is>
      </c>
      <c r="D6923">
        <v>3.54</v>
      </c>
      <c r="E6923">
        <v>23.78</v>
      </c>
      <c r="F6923">
        <v>27.65</v>
      </c>
      <c r="G6923">
        <v>20.65</v>
      </c>
      <c r="H6923">
        <v>2.53</v>
      </c>
      <c r="I6923">
        <v>3.387</v>
      </c>
      <c r="J6923">
        <v>24.94</v>
      </c>
      <c r="K6923">
        <v>30.75</v>
      </c>
      <c r="L6923">
        <v>21.41</v>
      </c>
      <c r="M6923">
        <v>0.99</v>
      </c>
      <c r="N6923">
        <v>0.229</v>
      </c>
      <c r="O6923">
        <v>25.92</v>
      </c>
      <c r="P6923">
        <v>32.36</v>
      </c>
      <c r="Q6923">
        <v>21.47</v>
      </c>
      <c r="R6923">
        <v>0.51</v>
      </c>
    </row>
    <row r="6924">
      <c r="A6924" s="9">
        <v>45455</v>
      </c>
      <c r="B6924" s="2" t="inlineStr">
        <is>
          <t xml:space="preserve">2024-06</t>
        </is>
      </c>
      <c r="C6924" s="2" t="inlineStr">
        <is>
          <t xml:space="preserve">2023/24</t>
        </is>
      </c>
      <c r="D6924">
        <v>1.339</v>
      </c>
      <c r="E6924">
        <v>23.84</v>
      </c>
      <c r="F6924">
        <v>27.69</v>
      </c>
      <c r="G6924">
        <v>21.44</v>
      </c>
      <c r="H6924">
        <v>1.02</v>
      </c>
      <c r="I6924">
        <v>6.011</v>
      </c>
      <c r="J6924">
        <v>24.54</v>
      </c>
      <c r="K6924">
        <v>30.02</v>
      </c>
      <c r="L6924">
        <v>21.58</v>
      </c>
      <c r="M6924">
        <v>3.54</v>
      </c>
      <c r="N6924">
        <v>0.969</v>
      </c>
      <c r="O6924">
        <v>25.02</v>
      </c>
      <c r="P6924">
        <v>29.48</v>
      </c>
      <c r="Q6924">
        <v>22.32</v>
      </c>
      <c r="R6924">
        <v>1.03</v>
      </c>
    </row>
    <row r="6925">
      <c r="A6925" s="9">
        <v>45456</v>
      </c>
      <c r="B6925" s="2" t="inlineStr">
        <is>
          <t xml:space="preserve">2024-06</t>
        </is>
      </c>
      <c r="C6925" s="2" t="inlineStr">
        <is>
          <t xml:space="preserve">2023/24</t>
        </is>
      </c>
      <c r="D6925">
        <v>2.201</v>
      </c>
      <c r="E6925">
        <v>23.96</v>
      </c>
      <c r="F6925">
        <v>27.75</v>
      </c>
      <c r="G6925">
        <v>20.85</v>
      </c>
      <c r="H6925">
        <v>4.53</v>
      </c>
      <c r="I6925">
        <v>0.228</v>
      </c>
      <c r="J6925">
        <v>25.61</v>
      </c>
      <c r="K6925">
        <v>31.69</v>
      </c>
      <c r="L6925">
        <v>20.71</v>
      </c>
      <c r="M6925">
        <v>1.38</v>
      </c>
      <c r="N6925">
        <v>0.0</v>
      </c>
      <c r="O6925">
        <v>26.16</v>
      </c>
      <c r="P6925">
        <v>32.26</v>
      </c>
      <c r="Q6925">
        <v>21.8</v>
      </c>
      <c r="R6925">
        <v>4.6</v>
      </c>
    </row>
    <row r="6926">
      <c r="A6926" s="9">
        <v>45457</v>
      </c>
      <c r="B6926" s="2" t="inlineStr">
        <is>
          <t xml:space="preserve">2024-06</t>
        </is>
      </c>
      <c r="C6926" s="2" t="inlineStr">
        <is>
          <t xml:space="preserve">2023/24</t>
        </is>
      </c>
      <c r="D6926">
        <v>5.7</v>
      </c>
      <c r="E6926">
        <v>23.76</v>
      </c>
      <c r="F6926">
        <v>27.48</v>
      </c>
      <c r="G6926">
        <v>20.91</v>
      </c>
      <c r="H6926">
        <v>16.08</v>
      </c>
      <c r="I6926">
        <v>0.0</v>
      </c>
      <c r="J6926">
        <v>25.07</v>
      </c>
      <c r="K6926">
        <v>29.02</v>
      </c>
      <c r="L6926">
        <v>21.98</v>
      </c>
      <c r="M6926">
        <v>1.85</v>
      </c>
      <c r="N6926">
        <v>0.894</v>
      </c>
      <c r="O6926">
        <v>25.08</v>
      </c>
      <c r="P6926">
        <v>28.9</v>
      </c>
      <c r="Q6926">
        <v>22.49</v>
      </c>
      <c r="R6926">
        <v>7.99</v>
      </c>
    </row>
    <row r="6927">
      <c r="A6927" s="9">
        <v>45458</v>
      </c>
      <c r="B6927" s="2" t="inlineStr">
        <is>
          <t xml:space="preserve">2024-06</t>
        </is>
      </c>
      <c r="C6927" s="2" t="inlineStr">
        <is>
          <t xml:space="preserve">2023/24</t>
        </is>
      </c>
      <c r="D6927">
        <v>18.191</v>
      </c>
      <c r="E6927">
        <v>22.92</v>
      </c>
      <c r="F6927">
        <v>25.7</v>
      </c>
      <c r="G6927">
        <v>20.4</v>
      </c>
      <c r="H6927">
        <v>10.1</v>
      </c>
      <c r="I6927">
        <v>3.585</v>
      </c>
      <c r="J6927">
        <v>23.52</v>
      </c>
      <c r="K6927">
        <v>26.71</v>
      </c>
      <c r="L6927">
        <v>21.17</v>
      </c>
      <c r="M6927">
        <v>12.07</v>
      </c>
      <c r="N6927">
        <v>7.071</v>
      </c>
      <c r="O6927">
        <v>24.17</v>
      </c>
      <c r="P6927">
        <v>27.31</v>
      </c>
      <c r="Q6927">
        <v>21.76</v>
      </c>
      <c r="R6927">
        <v>15.44</v>
      </c>
    </row>
    <row r="6928">
      <c r="A6928" s="9">
        <v>45459</v>
      </c>
      <c r="B6928" s="2" t="inlineStr">
        <is>
          <t xml:space="preserve">2024-06</t>
        </is>
      </c>
      <c r="C6928" s="2" t="inlineStr">
        <is>
          <t xml:space="preserve">2023/24</t>
        </is>
      </c>
      <c r="D6928">
        <v>13.648</v>
      </c>
      <c r="E6928">
        <v>22.39</v>
      </c>
      <c r="F6928">
        <v>26.54</v>
      </c>
      <c r="G6928">
        <v>19.85</v>
      </c>
      <c r="H6928">
        <v>19.45</v>
      </c>
      <c r="I6928">
        <v>38.937</v>
      </c>
      <c r="J6928">
        <v>22.76</v>
      </c>
      <c r="K6928">
        <v>26.17</v>
      </c>
      <c r="L6928">
        <v>20.97</v>
      </c>
      <c r="M6928">
        <v>28.66</v>
      </c>
      <c r="N6928">
        <v>23.414</v>
      </c>
      <c r="O6928">
        <v>23.47</v>
      </c>
      <c r="P6928">
        <v>27.86</v>
      </c>
      <c r="Q6928">
        <v>21.09</v>
      </c>
      <c r="R6928">
        <v>13.58</v>
      </c>
    </row>
    <row r="6929">
      <c r="A6929" s="9">
        <v>45460</v>
      </c>
      <c r="B6929" s="2" t="inlineStr">
        <is>
          <t xml:space="preserve">2024-06</t>
        </is>
      </c>
      <c r="C6929" s="2" t="inlineStr">
        <is>
          <t xml:space="preserve">2023/24</t>
        </is>
      </c>
      <c r="D6929">
        <v>52.38</v>
      </c>
      <c r="E6929">
        <v>22.35</v>
      </c>
      <c r="F6929">
        <v>25.34</v>
      </c>
      <c r="G6929">
        <v>19.86</v>
      </c>
      <c r="H6929">
        <v>44.22</v>
      </c>
      <c r="I6929">
        <v>23.667</v>
      </c>
      <c r="J6929">
        <v>22.94</v>
      </c>
      <c r="K6929">
        <v>25.98</v>
      </c>
      <c r="L6929">
        <v>21.05</v>
      </c>
      <c r="M6929">
        <v>26.92</v>
      </c>
      <c r="N6929">
        <v>10.519</v>
      </c>
      <c r="O6929">
        <v>23.49</v>
      </c>
      <c r="P6929">
        <v>27.49</v>
      </c>
      <c r="Q6929">
        <v>20.8</v>
      </c>
      <c r="R6929">
        <v>27.34</v>
      </c>
    </row>
    <row r="6930">
      <c r="A6930" s="9">
        <v>45461</v>
      </c>
      <c r="B6930" s="2" t="inlineStr">
        <is>
          <t xml:space="preserve">2024-06</t>
        </is>
      </c>
      <c r="C6930" s="2" t="inlineStr">
        <is>
          <t xml:space="preserve">2023/24</t>
        </is>
      </c>
      <c r="D6930">
        <v>47.937</v>
      </c>
      <c r="E6930">
        <v>22.12</v>
      </c>
      <c r="F6930">
        <v>25.2</v>
      </c>
      <c r="G6930">
        <v>19.91</v>
      </c>
      <c r="H6930">
        <v>15.62</v>
      </c>
      <c r="I6930">
        <v>26.252</v>
      </c>
      <c r="J6930">
        <v>23.23</v>
      </c>
      <c r="K6930">
        <v>25.98</v>
      </c>
      <c r="L6930">
        <v>21.87</v>
      </c>
      <c r="M6930">
        <v>20.88</v>
      </c>
      <c r="N6930">
        <v>16.032</v>
      </c>
      <c r="O6930">
        <v>23.68</v>
      </c>
      <c r="P6930">
        <v>27.5</v>
      </c>
      <c r="Q6930">
        <v>21.13</v>
      </c>
      <c r="R6930">
        <v>15.73</v>
      </c>
    </row>
    <row r="6931">
      <c r="A6931" s="9">
        <v>45462</v>
      </c>
      <c r="B6931" s="2" t="inlineStr">
        <is>
          <t xml:space="preserve">2024-06</t>
        </is>
      </c>
      <c r="C6931" s="2" t="inlineStr">
        <is>
          <t xml:space="preserve">2023/24</t>
        </is>
      </c>
      <c r="D6931">
        <v>4.804</v>
      </c>
      <c r="E6931">
        <v>20.98</v>
      </c>
      <c r="F6931">
        <v>24.76</v>
      </c>
      <c r="G6931">
        <v>17.79</v>
      </c>
      <c r="H6931">
        <v>9.14</v>
      </c>
      <c r="I6931">
        <v>0.751</v>
      </c>
      <c r="J6931">
        <v>23.44</v>
      </c>
      <c r="K6931">
        <v>26.38</v>
      </c>
      <c r="L6931">
        <v>21.49</v>
      </c>
      <c r="M6931">
        <v>6.51</v>
      </c>
      <c r="N6931">
        <v>0.064</v>
      </c>
      <c r="O6931">
        <v>24.2</v>
      </c>
      <c r="P6931">
        <v>28.25</v>
      </c>
      <c r="Q6931">
        <v>21.44</v>
      </c>
      <c r="R6931">
        <v>6.03</v>
      </c>
    </row>
    <row r="6932">
      <c r="A6932" s="9">
        <v>45463</v>
      </c>
      <c r="B6932" s="2" t="inlineStr">
        <is>
          <t xml:space="preserve">2024-06</t>
        </is>
      </c>
      <c r="C6932" s="2" t="inlineStr">
        <is>
          <t xml:space="preserve">2023/24</t>
        </is>
      </c>
      <c r="D6932">
        <v>22.717</v>
      </c>
      <c r="E6932">
        <v>19.12</v>
      </c>
      <c r="F6932">
        <v>21.09</v>
      </c>
      <c r="G6932">
        <v>17.68</v>
      </c>
      <c r="H6932">
        <v>17.24</v>
      </c>
      <c r="I6932">
        <v>16.673</v>
      </c>
      <c r="J6932">
        <v>22.06</v>
      </c>
      <c r="K6932">
        <v>24.7</v>
      </c>
      <c r="L6932">
        <v>20.26</v>
      </c>
      <c r="M6932">
        <v>11.59</v>
      </c>
      <c r="N6932">
        <v>9.826</v>
      </c>
      <c r="O6932">
        <v>21.28</v>
      </c>
      <c r="P6932">
        <v>23.59</v>
      </c>
      <c r="Q6932">
        <v>18.97</v>
      </c>
      <c r="R6932">
        <v>10.18</v>
      </c>
    </row>
    <row r="6933">
      <c r="A6933" s="9">
        <v>45464</v>
      </c>
      <c r="B6933" s="2" t="inlineStr">
        <is>
          <t xml:space="preserve">2024-06</t>
        </is>
      </c>
      <c r="C6933" s="2" t="inlineStr">
        <is>
          <t xml:space="preserve">2023/24</t>
        </is>
      </c>
      <c r="D6933">
        <v>13.788</v>
      </c>
      <c r="E6933">
        <v>19.66</v>
      </c>
      <c r="F6933">
        <v>22.33</v>
      </c>
      <c r="G6933">
        <v>17.55</v>
      </c>
      <c r="H6933">
        <v>5.11</v>
      </c>
      <c r="I6933">
        <v>0.444</v>
      </c>
      <c r="J6933">
        <v>21.03</v>
      </c>
      <c r="K6933">
        <v>23.01</v>
      </c>
      <c r="L6933">
        <v>19.3</v>
      </c>
      <c r="M6933">
        <v>1.24</v>
      </c>
      <c r="N6933">
        <v>1.835</v>
      </c>
      <c r="O6933">
        <v>20.73</v>
      </c>
      <c r="P6933">
        <v>23.55</v>
      </c>
      <c r="Q6933">
        <v>18.34</v>
      </c>
      <c r="R6933">
        <v>2.3</v>
      </c>
    </row>
    <row r="6934">
      <c r="A6934" s="9">
        <v>45465</v>
      </c>
      <c r="B6934" s="2" t="inlineStr">
        <is>
          <t xml:space="preserve">2024-06</t>
        </is>
      </c>
      <c r="C6934" s="2" t="inlineStr">
        <is>
          <t xml:space="preserve">2023/24</t>
        </is>
      </c>
      <c r="D6934">
        <v>8.265</v>
      </c>
      <c r="E6934">
        <v>22.59</v>
      </c>
      <c r="F6934">
        <v>27.98</v>
      </c>
      <c r="G6934">
        <v>17.48</v>
      </c>
      <c r="H6934">
        <v>16.94</v>
      </c>
      <c r="I6934">
        <v>0.885</v>
      </c>
      <c r="J6934">
        <v>24.31</v>
      </c>
      <c r="K6934">
        <v>29.91</v>
      </c>
      <c r="L6934">
        <v>19.47</v>
      </c>
      <c r="M6934">
        <v>5.2</v>
      </c>
      <c r="N6934">
        <v>3.763</v>
      </c>
      <c r="O6934">
        <v>24.92</v>
      </c>
      <c r="P6934">
        <v>32.08</v>
      </c>
      <c r="Q6934">
        <v>19.21</v>
      </c>
      <c r="R6934">
        <v>7.55</v>
      </c>
    </row>
    <row r="6935">
      <c r="A6935" s="9">
        <v>45466</v>
      </c>
      <c r="B6935" s="2" t="inlineStr">
        <is>
          <t xml:space="preserve">2024-06</t>
        </is>
      </c>
      <c r="C6935" s="2" t="inlineStr">
        <is>
          <t xml:space="preserve">2023/24</t>
        </is>
      </c>
      <c r="D6935">
        <v>12.356</v>
      </c>
      <c r="E6935">
        <v>22.79</v>
      </c>
      <c r="F6935">
        <v>26.35</v>
      </c>
      <c r="G6935">
        <v>19.86</v>
      </c>
      <c r="H6935">
        <v>7.19</v>
      </c>
      <c r="I6935">
        <v>3.704</v>
      </c>
      <c r="J6935">
        <v>24.1</v>
      </c>
      <c r="K6935">
        <v>27.84</v>
      </c>
      <c r="L6935">
        <v>21.09</v>
      </c>
      <c r="M6935">
        <v>6.48</v>
      </c>
      <c r="N6935">
        <v>15.516</v>
      </c>
      <c r="O6935">
        <v>24.21</v>
      </c>
      <c r="P6935">
        <v>28.2</v>
      </c>
      <c r="Q6935">
        <v>21.94</v>
      </c>
      <c r="R6935">
        <v>7.57</v>
      </c>
    </row>
    <row r="6936">
      <c r="A6936" s="9">
        <v>45467</v>
      </c>
      <c r="B6936" s="2" t="inlineStr">
        <is>
          <t xml:space="preserve">2024-06</t>
        </is>
      </c>
      <c r="C6936" s="2" t="inlineStr">
        <is>
          <t xml:space="preserve">2023/24</t>
        </is>
      </c>
      <c r="D6936">
        <v>11.214</v>
      </c>
      <c r="E6936">
        <v>23.23</v>
      </c>
      <c r="F6936">
        <v>27.46</v>
      </c>
      <c r="G6936">
        <v>19.31</v>
      </c>
      <c r="H6936">
        <v>6.89</v>
      </c>
      <c r="I6936">
        <v>6.108</v>
      </c>
      <c r="J6936">
        <v>23.33</v>
      </c>
      <c r="K6936">
        <v>26.94</v>
      </c>
      <c r="L6936">
        <v>20.41</v>
      </c>
      <c r="M6936">
        <v>16.43</v>
      </c>
      <c r="N6936">
        <v>18.441</v>
      </c>
      <c r="O6936">
        <v>24.14</v>
      </c>
      <c r="P6936">
        <v>27.48</v>
      </c>
      <c r="Q6936">
        <v>21.79</v>
      </c>
      <c r="R6936">
        <v>15.54</v>
      </c>
    </row>
    <row r="6937">
      <c r="A6937" s="9">
        <v>45468</v>
      </c>
      <c r="B6937" s="2" t="inlineStr">
        <is>
          <t xml:space="preserve">2024-06</t>
        </is>
      </c>
      <c r="C6937" s="2" t="inlineStr">
        <is>
          <t xml:space="preserve">2023/24</t>
        </is>
      </c>
      <c r="D6937">
        <v>2.42</v>
      </c>
      <c r="E6937">
        <v>22.75</v>
      </c>
      <c r="F6937">
        <v>26.93</v>
      </c>
      <c r="G6937">
        <v>19.42</v>
      </c>
      <c r="H6937">
        <v>13.59</v>
      </c>
      <c r="I6937">
        <v>0.156</v>
      </c>
      <c r="J6937">
        <v>24.01</v>
      </c>
      <c r="K6937">
        <v>28.05</v>
      </c>
      <c r="L6937">
        <v>20.56</v>
      </c>
      <c r="M6937">
        <v>57.58</v>
      </c>
      <c r="N6937">
        <v>0.525</v>
      </c>
      <c r="O6937">
        <v>24.37</v>
      </c>
      <c r="P6937">
        <v>27.49</v>
      </c>
      <c r="Q6937">
        <v>22.38</v>
      </c>
      <c r="R6937">
        <v>38.65</v>
      </c>
    </row>
    <row r="6938">
      <c r="A6938" s="9">
        <v>45469</v>
      </c>
      <c r="B6938" s="2" t="inlineStr">
        <is>
          <t xml:space="preserve">2024-06</t>
        </is>
      </c>
      <c r="C6938" s="2" t="inlineStr">
        <is>
          <t xml:space="preserve">2023/24</t>
        </is>
      </c>
      <c r="D6938">
        <v>38.56</v>
      </c>
      <c r="E6938">
        <v>22.51</v>
      </c>
      <c r="F6938">
        <v>26.18</v>
      </c>
      <c r="G6938">
        <v>18.76</v>
      </c>
      <c r="H6938">
        <v>14.1</v>
      </c>
      <c r="I6938">
        <v>22.286</v>
      </c>
      <c r="J6938">
        <v>24.88</v>
      </c>
      <c r="K6938">
        <v>29.73</v>
      </c>
      <c r="L6938">
        <v>21.03</v>
      </c>
      <c r="M6938">
        <v>2.11</v>
      </c>
      <c r="N6938">
        <v>2.894</v>
      </c>
      <c r="O6938">
        <v>24.08</v>
      </c>
      <c r="P6938">
        <v>28.7</v>
      </c>
      <c r="Q6938">
        <v>20.59</v>
      </c>
      <c r="R6938">
        <v>7.74</v>
      </c>
    </row>
    <row r="6939">
      <c r="A6939" s="9">
        <v>45470</v>
      </c>
      <c r="B6939" s="2" t="inlineStr">
        <is>
          <t xml:space="preserve">2024-06</t>
        </is>
      </c>
      <c r="C6939" s="2" t="inlineStr">
        <is>
          <t xml:space="preserve">2023/24</t>
        </is>
      </c>
      <c r="D6939">
        <v>0.856</v>
      </c>
      <c r="E6939">
        <v>22.97</v>
      </c>
      <c r="F6939">
        <v>26.69</v>
      </c>
      <c r="G6939">
        <v>19.34</v>
      </c>
      <c r="H6939">
        <v>1.81</v>
      </c>
      <c r="I6939">
        <v>1.301</v>
      </c>
      <c r="J6939">
        <v>24.05</v>
      </c>
      <c r="K6939">
        <v>28.67</v>
      </c>
      <c r="L6939">
        <v>20.38</v>
      </c>
      <c r="M6939">
        <v>3.69</v>
      </c>
      <c r="N6939">
        <v>0.075</v>
      </c>
      <c r="O6939">
        <v>24.33</v>
      </c>
      <c r="P6939">
        <v>28.05</v>
      </c>
      <c r="Q6939">
        <v>21.54</v>
      </c>
      <c r="R6939">
        <v>2.07</v>
      </c>
    </row>
    <row r="6940">
      <c r="A6940" s="9">
        <v>45471</v>
      </c>
      <c r="B6940" s="2" t="inlineStr">
        <is>
          <t xml:space="preserve">2024-06</t>
        </is>
      </c>
      <c r="C6940" s="2" t="inlineStr">
        <is>
          <t xml:space="preserve">2023/24</t>
        </is>
      </c>
      <c r="D6940">
        <v>6.447</v>
      </c>
      <c r="E6940">
        <v>21.89</v>
      </c>
      <c r="F6940">
        <v>24.55</v>
      </c>
      <c r="G6940">
        <v>19.66</v>
      </c>
      <c r="H6940">
        <v>14.17</v>
      </c>
      <c r="I6940">
        <v>4.863</v>
      </c>
      <c r="J6940">
        <v>22.54</v>
      </c>
      <c r="K6940">
        <v>24.85</v>
      </c>
      <c r="L6940">
        <v>21.04</v>
      </c>
      <c r="M6940">
        <v>9.96</v>
      </c>
      <c r="N6940">
        <v>18.461</v>
      </c>
      <c r="O6940">
        <v>23.72</v>
      </c>
      <c r="P6940">
        <v>26.18</v>
      </c>
      <c r="Q6940">
        <v>22.0</v>
      </c>
      <c r="R6940">
        <v>14.66</v>
      </c>
    </row>
    <row r="6941">
      <c r="A6941" s="9">
        <v>45472</v>
      </c>
      <c r="B6941" s="2" t="inlineStr">
        <is>
          <t xml:space="preserve">2024-06</t>
        </is>
      </c>
      <c r="C6941" s="2" t="inlineStr">
        <is>
          <t xml:space="preserve">2023/24</t>
        </is>
      </c>
      <c r="D6941">
        <v>29.867</v>
      </c>
      <c r="E6941">
        <v>21.84</v>
      </c>
      <c r="F6941">
        <v>25.22</v>
      </c>
      <c r="G6941">
        <v>19.12</v>
      </c>
      <c r="H6941">
        <v>14.93</v>
      </c>
      <c r="I6941">
        <v>6.416</v>
      </c>
      <c r="J6941">
        <v>22.52</v>
      </c>
      <c r="K6941">
        <v>25.87</v>
      </c>
      <c r="L6941">
        <v>20.74</v>
      </c>
      <c r="M6941">
        <v>16.75</v>
      </c>
      <c r="N6941">
        <v>27.131</v>
      </c>
      <c r="O6941">
        <v>23.11</v>
      </c>
      <c r="P6941">
        <v>26.53</v>
      </c>
      <c r="Q6941">
        <v>20.93</v>
      </c>
      <c r="R6941">
        <v>13.01</v>
      </c>
    </row>
    <row r="6942">
      <c r="A6942" s="9">
        <v>45473</v>
      </c>
      <c r="B6942" s="2" t="inlineStr">
        <is>
          <t xml:space="preserve">2024-06</t>
        </is>
      </c>
      <c r="C6942" s="2" t="inlineStr">
        <is>
          <t xml:space="preserve">2023/24</t>
        </is>
      </c>
      <c r="D6942">
        <v>2.144</v>
      </c>
      <c r="E6942">
        <v>23.01</v>
      </c>
      <c r="F6942">
        <v>27.74</v>
      </c>
      <c r="G6942">
        <v>19.25</v>
      </c>
      <c r="H6942">
        <v>3.38</v>
      </c>
      <c r="I6942">
        <v>7.004</v>
      </c>
      <c r="J6942">
        <v>23.4</v>
      </c>
      <c r="K6942">
        <v>27.39</v>
      </c>
      <c r="L6942">
        <v>19.89</v>
      </c>
      <c r="M6942">
        <v>7.95</v>
      </c>
      <c r="N6942">
        <v>3.728</v>
      </c>
      <c r="O6942">
        <v>23.66</v>
      </c>
      <c r="P6942">
        <v>28.49</v>
      </c>
      <c r="Q6942">
        <v>20.04</v>
      </c>
      <c r="R6942">
        <v>6.6</v>
      </c>
    </row>
    <row r="6943">
      <c r="A6943" s="9">
        <v>45474</v>
      </c>
      <c r="B6943" s="2" t="inlineStr">
        <is>
          <t xml:space="preserve">2024-07</t>
        </is>
      </c>
      <c r="C6943" s="2" t="inlineStr">
        <is>
          <t xml:space="preserve">2024/25</t>
        </is>
      </c>
      <c r="D6943">
        <v>4.284</v>
      </c>
      <c r="E6943">
        <v>22.69</v>
      </c>
      <c r="F6943">
        <v>26.81</v>
      </c>
      <c r="G6943">
        <v>19.75</v>
      </c>
      <c r="H6943">
        <v>3.19</v>
      </c>
      <c r="I6943">
        <v>0.0</v>
      </c>
      <c r="J6943">
        <v>23.41</v>
      </c>
      <c r="K6943">
        <v>26.38</v>
      </c>
      <c r="L6943">
        <v>21.21</v>
      </c>
      <c r="M6943">
        <v>0.93</v>
      </c>
      <c r="N6943">
        <v>0.538</v>
      </c>
      <c r="O6943">
        <v>23.6</v>
      </c>
      <c r="P6943">
        <v>26.18</v>
      </c>
      <c r="Q6943">
        <v>22.07</v>
      </c>
      <c r="R6943">
        <v>5.2</v>
      </c>
    </row>
    <row r="6944">
      <c r="A6944" s="9">
        <v>45475</v>
      </c>
      <c r="B6944" s="2" t="inlineStr">
        <is>
          <t xml:space="preserve">2024-07</t>
        </is>
      </c>
      <c r="C6944" s="2" t="inlineStr">
        <is>
          <t xml:space="preserve">2024/25</t>
        </is>
      </c>
      <c r="D6944">
        <v>2.1</v>
      </c>
      <c r="E6944">
        <v>22.53</v>
      </c>
      <c r="F6944">
        <v>27.16</v>
      </c>
      <c r="G6944">
        <v>18.92</v>
      </c>
      <c r="H6944">
        <v>2.39</v>
      </c>
      <c r="I6944">
        <v>0.713</v>
      </c>
      <c r="J6944">
        <v>23.75</v>
      </c>
      <c r="K6944">
        <v>27.77</v>
      </c>
      <c r="L6944">
        <v>20.19</v>
      </c>
      <c r="M6944">
        <v>1.64</v>
      </c>
      <c r="N6944">
        <v>0.134</v>
      </c>
      <c r="O6944">
        <v>23.84</v>
      </c>
      <c r="P6944">
        <v>27.66</v>
      </c>
      <c r="Q6944">
        <v>21.28</v>
      </c>
      <c r="R6944">
        <v>2.3</v>
      </c>
    </row>
    <row r="6945">
      <c r="A6945" s="9">
        <v>45476</v>
      </c>
      <c r="B6945" s="2" t="inlineStr">
        <is>
          <t xml:space="preserve">2024-07</t>
        </is>
      </c>
      <c r="C6945" s="2" t="inlineStr">
        <is>
          <t xml:space="preserve">2024/25</t>
        </is>
      </c>
      <c r="D6945">
        <v>8.666</v>
      </c>
      <c r="E6945">
        <v>21.99</v>
      </c>
      <c r="F6945">
        <v>26.88</v>
      </c>
      <c r="G6945">
        <v>18.27</v>
      </c>
      <c r="H6945">
        <v>3.3</v>
      </c>
      <c r="I6945">
        <v>3.887</v>
      </c>
      <c r="J6945">
        <v>23.5</v>
      </c>
      <c r="K6945">
        <v>27.92</v>
      </c>
      <c r="L6945">
        <v>20.43</v>
      </c>
      <c r="M6945">
        <v>1.94</v>
      </c>
      <c r="N6945">
        <v>0.33</v>
      </c>
      <c r="O6945">
        <v>23.81</v>
      </c>
      <c r="P6945">
        <v>28.2</v>
      </c>
      <c r="Q6945">
        <v>20.98</v>
      </c>
      <c r="R6945">
        <v>1.28</v>
      </c>
    </row>
    <row r="6946">
      <c r="A6946" s="9">
        <v>45477</v>
      </c>
      <c r="B6946" s="2" t="inlineStr">
        <is>
          <t xml:space="preserve">2024-07</t>
        </is>
      </c>
      <c r="C6946" s="2" t="inlineStr">
        <is>
          <t xml:space="preserve">2024/25</t>
        </is>
      </c>
      <c r="D6946">
        <v>0.06</v>
      </c>
      <c r="E6946">
        <v>22.13</v>
      </c>
      <c r="F6946">
        <v>27.25</v>
      </c>
      <c r="G6946">
        <v>18.38</v>
      </c>
      <c r="H6946">
        <v>2.28</v>
      </c>
      <c r="I6946">
        <v>1.229</v>
      </c>
      <c r="J6946">
        <v>23.01</v>
      </c>
      <c r="K6946">
        <v>27.85</v>
      </c>
      <c r="L6946">
        <v>18.76</v>
      </c>
      <c r="M6946">
        <v>1.55</v>
      </c>
      <c r="N6946">
        <v>0.082</v>
      </c>
      <c r="O6946">
        <v>23.11</v>
      </c>
      <c r="P6946">
        <v>27.8</v>
      </c>
      <c r="Q6946">
        <v>19.81</v>
      </c>
      <c r="R6946">
        <v>2.15</v>
      </c>
    </row>
    <row r="6947">
      <c r="A6947" s="9">
        <v>45478</v>
      </c>
      <c r="B6947" s="2" t="inlineStr">
        <is>
          <t xml:space="preserve">2024-07</t>
        </is>
      </c>
      <c r="C6947" s="2" t="inlineStr">
        <is>
          <t xml:space="preserve">2024/25</t>
        </is>
      </c>
      <c r="D6947">
        <v>12.633</v>
      </c>
      <c r="E6947">
        <v>21.92</v>
      </c>
      <c r="F6947">
        <v>26.36</v>
      </c>
      <c r="G6947">
        <v>18.63</v>
      </c>
      <c r="H6947">
        <v>9.38</v>
      </c>
      <c r="I6947">
        <v>2.958</v>
      </c>
      <c r="J6947">
        <v>21.65</v>
      </c>
      <c r="K6947">
        <v>24.94</v>
      </c>
      <c r="L6947">
        <v>19.11</v>
      </c>
      <c r="M6947">
        <v>4.62</v>
      </c>
      <c r="N6947">
        <v>3.463</v>
      </c>
      <c r="O6947">
        <v>22.44</v>
      </c>
      <c r="P6947">
        <v>26.38</v>
      </c>
      <c r="Q6947">
        <v>19.89</v>
      </c>
      <c r="R6947">
        <v>6.12</v>
      </c>
    </row>
    <row r="6948">
      <c r="A6948" s="9">
        <v>45479</v>
      </c>
      <c r="B6948" s="2" t="inlineStr">
        <is>
          <t xml:space="preserve">2024-07</t>
        </is>
      </c>
      <c r="C6948" s="2" t="inlineStr">
        <is>
          <t xml:space="preserve">2024/25</t>
        </is>
      </c>
      <c r="D6948">
        <v>7.988</v>
      </c>
      <c r="E6948">
        <v>22.45</v>
      </c>
      <c r="F6948">
        <v>25.71</v>
      </c>
      <c r="G6948">
        <v>20.13</v>
      </c>
      <c r="H6948">
        <v>6.77</v>
      </c>
      <c r="I6948">
        <v>8.238</v>
      </c>
      <c r="J6948">
        <v>22.0</v>
      </c>
      <c r="K6948">
        <v>24.34</v>
      </c>
      <c r="L6948">
        <v>20.01</v>
      </c>
      <c r="M6948">
        <v>17.27</v>
      </c>
      <c r="N6948">
        <v>5.449</v>
      </c>
      <c r="O6948">
        <v>22.65</v>
      </c>
      <c r="P6948">
        <v>25.29</v>
      </c>
      <c r="Q6948">
        <v>20.68</v>
      </c>
      <c r="R6948">
        <v>9.55</v>
      </c>
    </row>
    <row r="6949">
      <c r="A6949" s="9">
        <v>45480</v>
      </c>
      <c r="B6949" s="2" t="inlineStr">
        <is>
          <t xml:space="preserve">2024-07</t>
        </is>
      </c>
      <c r="C6949" s="2" t="inlineStr">
        <is>
          <t xml:space="preserve">2024/25</t>
        </is>
      </c>
      <c r="D6949">
        <v>21.267</v>
      </c>
      <c r="E6949">
        <v>21.67</v>
      </c>
      <c r="F6949">
        <v>24.82</v>
      </c>
      <c r="G6949">
        <v>19.55</v>
      </c>
      <c r="H6949">
        <v>37.97</v>
      </c>
      <c r="I6949">
        <v>15.987</v>
      </c>
      <c r="J6949">
        <v>22.46</v>
      </c>
      <c r="K6949">
        <v>25.31</v>
      </c>
      <c r="L6949">
        <v>20.33</v>
      </c>
      <c r="M6949">
        <v>18.5</v>
      </c>
      <c r="N6949">
        <v>17.288</v>
      </c>
      <c r="O6949">
        <v>22.63</v>
      </c>
      <c r="P6949">
        <v>25.51</v>
      </c>
      <c r="Q6949">
        <v>20.97</v>
      </c>
      <c r="R6949">
        <v>13.35</v>
      </c>
    </row>
    <row r="6950">
      <c r="A6950" s="9">
        <v>45481</v>
      </c>
      <c r="B6950" s="2" t="inlineStr">
        <is>
          <t xml:space="preserve">2024-07</t>
        </is>
      </c>
      <c r="C6950" s="2" t="inlineStr">
        <is>
          <t xml:space="preserve">2024/25</t>
        </is>
      </c>
      <c r="D6950">
        <v>32.315</v>
      </c>
      <c r="E6950">
        <v>22.48</v>
      </c>
      <c r="F6950">
        <v>26.41</v>
      </c>
      <c r="G6950">
        <v>19.24</v>
      </c>
      <c r="H6950">
        <v>8.3</v>
      </c>
      <c r="I6950">
        <v>33.627</v>
      </c>
      <c r="J6950">
        <v>23.21</v>
      </c>
      <c r="K6950">
        <v>27.27</v>
      </c>
      <c r="L6950">
        <v>20.68</v>
      </c>
      <c r="M6950">
        <v>9.71</v>
      </c>
      <c r="N6950">
        <v>4.061</v>
      </c>
      <c r="O6950">
        <v>23.96</v>
      </c>
      <c r="P6950">
        <v>27.94</v>
      </c>
      <c r="Q6950">
        <v>21.02</v>
      </c>
      <c r="R6950">
        <v>4.0</v>
      </c>
    </row>
    <row r="6951">
      <c r="A6951" s="9">
        <v>45482</v>
      </c>
      <c r="B6951" s="2" t="inlineStr">
        <is>
          <t xml:space="preserve">2024-07</t>
        </is>
      </c>
      <c r="C6951" s="2" t="inlineStr">
        <is>
          <t xml:space="preserve">2024/25</t>
        </is>
      </c>
      <c r="D6951">
        <v>12.665</v>
      </c>
      <c r="E6951">
        <v>22.15</v>
      </c>
      <c r="F6951">
        <v>25.7</v>
      </c>
      <c r="G6951">
        <v>19.43</v>
      </c>
      <c r="H6951">
        <v>7.71</v>
      </c>
      <c r="I6951">
        <v>0.132</v>
      </c>
      <c r="J6951">
        <v>23.45</v>
      </c>
      <c r="K6951">
        <v>27.48</v>
      </c>
      <c r="L6951">
        <v>20.39</v>
      </c>
      <c r="M6951">
        <v>1.01</v>
      </c>
      <c r="N6951">
        <v>0.69</v>
      </c>
      <c r="O6951">
        <v>23.66</v>
      </c>
      <c r="P6951">
        <v>26.67</v>
      </c>
      <c r="Q6951">
        <v>21.57</v>
      </c>
      <c r="R6951">
        <v>4.38</v>
      </c>
    </row>
    <row r="6952">
      <c r="A6952" s="9">
        <v>45483</v>
      </c>
      <c r="B6952" s="2" t="inlineStr">
        <is>
          <t xml:space="preserve">2024-07</t>
        </is>
      </c>
      <c r="C6952" s="2" t="inlineStr">
        <is>
          <t xml:space="preserve">2024/25</t>
        </is>
      </c>
      <c r="D6952">
        <v>0.077</v>
      </c>
      <c r="E6952">
        <v>22.47</v>
      </c>
      <c r="F6952">
        <v>26.91</v>
      </c>
      <c r="G6952">
        <v>19.32</v>
      </c>
      <c r="H6952">
        <v>7.07</v>
      </c>
      <c r="I6952">
        <v>0.348</v>
      </c>
      <c r="J6952">
        <v>23.57</v>
      </c>
      <c r="K6952">
        <v>27.35</v>
      </c>
      <c r="L6952">
        <v>20.43</v>
      </c>
      <c r="M6952">
        <v>8.58</v>
      </c>
      <c r="N6952">
        <v>0.0</v>
      </c>
      <c r="O6952">
        <v>24.09</v>
      </c>
      <c r="P6952">
        <v>27.94</v>
      </c>
      <c r="Q6952">
        <v>21.62</v>
      </c>
      <c r="R6952">
        <v>5.54</v>
      </c>
    </row>
    <row r="6953">
      <c r="A6953" s="9">
        <v>45484</v>
      </c>
      <c r="B6953" s="2" t="inlineStr">
        <is>
          <t xml:space="preserve">2024-07</t>
        </is>
      </c>
      <c r="C6953" s="2" t="inlineStr">
        <is>
          <t xml:space="preserve">2024/25</t>
        </is>
      </c>
      <c r="D6953">
        <v>18.049</v>
      </c>
      <c r="E6953">
        <v>21.22</v>
      </c>
      <c r="F6953">
        <v>25.24</v>
      </c>
      <c r="G6953">
        <v>18.08</v>
      </c>
      <c r="H6953">
        <v>5.55</v>
      </c>
      <c r="I6953">
        <v>17.319</v>
      </c>
      <c r="J6953">
        <v>23.71</v>
      </c>
      <c r="K6953">
        <v>27.87</v>
      </c>
      <c r="L6953">
        <v>20.63</v>
      </c>
      <c r="M6953">
        <v>2.15</v>
      </c>
      <c r="N6953">
        <v>1.724</v>
      </c>
      <c r="O6953">
        <v>23.77</v>
      </c>
      <c r="P6953">
        <v>27.63</v>
      </c>
      <c r="Q6953">
        <v>21.24</v>
      </c>
      <c r="R6953">
        <v>4.4</v>
      </c>
    </row>
    <row r="6954">
      <c r="A6954" s="9">
        <v>45485</v>
      </c>
      <c r="B6954" s="2" t="inlineStr">
        <is>
          <t xml:space="preserve">2024-07</t>
        </is>
      </c>
      <c r="C6954" s="2" t="inlineStr">
        <is>
          <t xml:space="preserve">2024/25</t>
        </is>
      </c>
      <c r="D6954">
        <v>2.874</v>
      </c>
      <c r="E6954">
        <v>21.54</v>
      </c>
      <c r="F6954">
        <v>26.67</v>
      </c>
      <c r="G6954">
        <v>17.14</v>
      </c>
      <c r="H6954">
        <v>0.92</v>
      </c>
      <c r="I6954">
        <v>0.0</v>
      </c>
      <c r="J6954">
        <v>22.41</v>
      </c>
      <c r="K6954">
        <v>26.99</v>
      </c>
      <c r="L6954">
        <v>19.65</v>
      </c>
      <c r="M6954">
        <v>0.1</v>
      </c>
      <c r="N6954">
        <v>0.053</v>
      </c>
      <c r="O6954">
        <v>22.73</v>
      </c>
      <c r="P6954">
        <v>27.46</v>
      </c>
      <c r="Q6954">
        <v>19.07</v>
      </c>
      <c r="R6954">
        <v>1.15</v>
      </c>
    </row>
    <row r="6955">
      <c r="A6955" s="9">
        <v>45486</v>
      </c>
      <c r="B6955" s="2" t="inlineStr">
        <is>
          <t xml:space="preserve">2024-07</t>
        </is>
      </c>
      <c r="C6955" s="2" t="inlineStr">
        <is>
          <t xml:space="preserve">2024/25</t>
        </is>
      </c>
      <c r="D6955">
        <v>0.0</v>
      </c>
      <c r="E6955">
        <v>22.54</v>
      </c>
      <c r="F6955">
        <v>26.58</v>
      </c>
      <c r="G6955">
        <v>19.04</v>
      </c>
      <c r="H6955">
        <v>4.83</v>
      </c>
      <c r="I6955">
        <v>0.0</v>
      </c>
      <c r="J6955">
        <v>23.14</v>
      </c>
      <c r="K6955">
        <v>26.86</v>
      </c>
      <c r="L6955">
        <v>19.62</v>
      </c>
      <c r="M6955">
        <v>3.97</v>
      </c>
      <c r="N6955">
        <v>0.0</v>
      </c>
      <c r="O6955">
        <v>23.76</v>
      </c>
      <c r="P6955">
        <v>27.33</v>
      </c>
      <c r="Q6955">
        <v>21.16</v>
      </c>
      <c r="R6955">
        <v>5.56</v>
      </c>
    </row>
    <row r="6956">
      <c r="A6956" s="9">
        <v>45487</v>
      </c>
      <c r="B6956" s="2" t="inlineStr">
        <is>
          <t xml:space="preserve">2024-07</t>
        </is>
      </c>
      <c r="C6956" s="2" t="inlineStr">
        <is>
          <t xml:space="preserve">2024/25</t>
        </is>
      </c>
      <c r="D6956">
        <v>7.462</v>
      </c>
      <c r="E6956">
        <v>22.68</v>
      </c>
      <c r="F6956">
        <v>27.46</v>
      </c>
      <c r="G6956">
        <v>19.03</v>
      </c>
      <c r="H6956">
        <v>3.5</v>
      </c>
      <c r="I6956">
        <v>2.917</v>
      </c>
      <c r="J6956">
        <v>23.6</v>
      </c>
      <c r="K6956">
        <v>28.02</v>
      </c>
      <c r="L6956">
        <v>20.68</v>
      </c>
      <c r="M6956">
        <v>2.97</v>
      </c>
      <c r="N6956">
        <v>12.758</v>
      </c>
      <c r="O6956">
        <v>23.85</v>
      </c>
      <c r="P6956">
        <v>27.87</v>
      </c>
      <c r="Q6956">
        <v>21.56</v>
      </c>
      <c r="R6956">
        <v>6.62</v>
      </c>
    </row>
    <row r="6957">
      <c r="A6957" s="9">
        <v>45488</v>
      </c>
      <c r="B6957" s="2" t="inlineStr">
        <is>
          <t xml:space="preserve">2024-07</t>
        </is>
      </c>
      <c r="C6957" s="2" t="inlineStr">
        <is>
          <t xml:space="preserve">2024/25</t>
        </is>
      </c>
      <c r="D6957">
        <v>0.87</v>
      </c>
      <c r="E6957">
        <v>22.87</v>
      </c>
      <c r="F6957">
        <v>26.53</v>
      </c>
      <c r="G6957">
        <v>20.03</v>
      </c>
      <c r="H6957">
        <v>6.39</v>
      </c>
      <c r="I6957">
        <v>0.0</v>
      </c>
      <c r="J6957">
        <v>23.24</v>
      </c>
      <c r="K6957">
        <v>26.97</v>
      </c>
      <c r="L6957">
        <v>20.3</v>
      </c>
      <c r="M6957">
        <v>5.57</v>
      </c>
      <c r="N6957">
        <v>0.411</v>
      </c>
      <c r="O6957">
        <v>23.29</v>
      </c>
      <c r="P6957">
        <v>26.82</v>
      </c>
      <c r="Q6957">
        <v>20.94</v>
      </c>
      <c r="R6957">
        <v>9.95</v>
      </c>
    </row>
    <row r="6958">
      <c r="A6958" s="9">
        <v>45489</v>
      </c>
      <c r="B6958" s="2" t="inlineStr">
        <is>
          <t xml:space="preserve">2024-07</t>
        </is>
      </c>
      <c r="C6958" s="2" t="inlineStr">
        <is>
          <t xml:space="preserve">2024/25</t>
        </is>
      </c>
      <c r="D6958">
        <v>3.571</v>
      </c>
      <c r="E6958">
        <v>22.91</v>
      </c>
      <c r="F6958">
        <v>27.59</v>
      </c>
      <c r="G6958">
        <v>19.26</v>
      </c>
      <c r="H6958">
        <v>2.7</v>
      </c>
      <c r="I6958">
        <v>6.151</v>
      </c>
      <c r="J6958">
        <v>23.82</v>
      </c>
      <c r="K6958">
        <v>28.84</v>
      </c>
      <c r="L6958">
        <v>20.05</v>
      </c>
      <c r="M6958">
        <v>2.81</v>
      </c>
      <c r="N6958">
        <v>1.079</v>
      </c>
      <c r="O6958">
        <v>23.93</v>
      </c>
      <c r="P6958">
        <v>28.55</v>
      </c>
      <c r="Q6958">
        <v>20.94</v>
      </c>
      <c r="R6958">
        <v>6.49</v>
      </c>
    </row>
    <row r="6959">
      <c r="A6959" s="9">
        <v>45490</v>
      </c>
      <c r="B6959" s="2" t="inlineStr">
        <is>
          <t xml:space="preserve">2024-07</t>
        </is>
      </c>
      <c r="C6959" s="2" t="inlineStr">
        <is>
          <t xml:space="preserve">2024/25</t>
        </is>
      </c>
      <c r="D6959">
        <v>0.095</v>
      </c>
      <c r="E6959">
        <v>23.2</v>
      </c>
      <c r="F6959">
        <v>28.16</v>
      </c>
      <c r="G6959">
        <v>19.02</v>
      </c>
      <c r="H6959">
        <v>0.43</v>
      </c>
      <c r="I6959">
        <v>0.0</v>
      </c>
      <c r="J6959">
        <v>23.82</v>
      </c>
      <c r="K6959">
        <v>28.83</v>
      </c>
      <c r="L6959">
        <v>20.46</v>
      </c>
      <c r="M6959">
        <v>0.11</v>
      </c>
      <c r="N6959">
        <v>0.0</v>
      </c>
      <c r="O6959">
        <v>24.3</v>
      </c>
      <c r="P6959">
        <v>28.81</v>
      </c>
      <c r="Q6959">
        <v>21.3</v>
      </c>
      <c r="R6959">
        <v>0.15</v>
      </c>
    </row>
    <row r="6960">
      <c r="A6960" s="9">
        <v>45491</v>
      </c>
      <c r="B6960" s="2" t="inlineStr">
        <is>
          <t xml:space="preserve">2024-07</t>
        </is>
      </c>
      <c r="C6960" s="2" t="inlineStr">
        <is>
          <t xml:space="preserve">2024/25</t>
        </is>
      </c>
      <c r="D6960">
        <v>0.824</v>
      </c>
      <c r="E6960">
        <v>23.54</v>
      </c>
      <c r="F6960">
        <v>28.29</v>
      </c>
      <c r="G6960">
        <v>20.04</v>
      </c>
      <c r="H6960">
        <v>3.15</v>
      </c>
      <c r="I6960">
        <v>1.324</v>
      </c>
      <c r="J6960">
        <v>23.79</v>
      </c>
      <c r="K6960">
        <v>28.28</v>
      </c>
      <c r="L6960">
        <v>19.97</v>
      </c>
      <c r="M6960">
        <v>4.92</v>
      </c>
      <c r="N6960">
        <v>0.986</v>
      </c>
      <c r="O6960">
        <v>24.15</v>
      </c>
      <c r="P6960">
        <v>28.69</v>
      </c>
      <c r="Q6960">
        <v>20.81</v>
      </c>
      <c r="R6960">
        <v>2.46</v>
      </c>
    </row>
    <row r="6961">
      <c r="A6961" s="9">
        <v>45492</v>
      </c>
      <c r="B6961" s="2" t="inlineStr">
        <is>
          <t xml:space="preserve">2024-07</t>
        </is>
      </c>
      <c r="C6961" s="2" t="inlineStr">
        <is>
          <t xml:space="preserve">2024/25</t>
        </is>
      </c>
      <c r="D6961">
        <v>10.828</v>
      </c>
      <c r="E6961">
        <v>22.44</v>
      </c>
      <c r="F6961">
        <v>26.75</v>
      </c>
      <c r="G6961">
        <v>19.24</v>
      </c>
      <c r="H6961">
        <v>11.52</v>
      </c>
      <c r="I6961">
        <v>13.7</v>
      </c>
      <c r="J6961">
        <v>23.07</v>
      </c>
      <c r="K6961">
        <v>26.32</v>
      </c>
      <c r="L6961">
        <v>20.35</v>
      </c>
      <c r="M6961">
        <v>13.06</v>
      </c>
      <c r="N6961">
        <v>1.861</v>
      </c>
      <c r="O6961">
        <v>23.43</v>
      </c>
      <c r="P6961">
        <v>26.47</v>
      </c>
      <c r="Q6961">
        <v>21.73</v>
      </c>
      <c r="R6961">
        <v>8.16</v>
      </c>
    </row>
    <row r="6962">
      <c r="A6962" s="9">
        <v>45493</v>
      </c>
      <c r="B6962" s="2" t="inlineStr">
        <is>
          <t xml:space="preserve">2024-07</t>
        </is>
      </c>
      <c r="C6962" s="2" t="inlineStr">
        <is>
          <t xml:space="preserve">2024/25</t>
        </is>
      </c>
      <c r="D6962">
        <v>32.664</v>
      </c>
      <c r="E6962">
        <v>22.03</v>
      </c>
      <c r="F6962">
        <v>26.53</v>
      </c>
      <c r="G6962">
        <v>18.06</v>
      </c>
      <c r="H6962">
        <v>16.58</v>
      </c>
      <c r="I6962">
        <v>17.938</v>
      </c>
      <c r="J6962">
        <v>23.51</v>
      </c>
      <c r="K6962">
        <v>27.41</v>
      </c>
      <c r="L6962">
        <v>20.63</v>
      </c>
      <c r="M6962">
        <v>11.63</v>
      </c>
      <c r="N6962">
        <v>10.812</v>
      </c>
      <c r="O6962">
        <v>23.6</v>
      </c>
      <c r="P6962">
        <v>27.31</v>
      </c>
      <c r="Q6962">
        <v>20.8</v>
      </c>
      <c r="R6962">
        <v>13.47</v>
      </c>
    </row>
    <row r="6963">
      <c r="A6963" s="9">
        <v>45494</v>
      </c>
      <c r="B6963" s="2" t="inlineStr">
        <is>
          <t xml:space="preserve">2024-07</t>
        </is>
      </c>
      <c r="C6963" s="2" t="inlineStr">
        <is>
          <t xml:space="preserve">2024/25</t>
        </is>
      </c>
      <c r="D6963">
        <v>9.44</v>
      </c>
      <c r="E6963">
        <v>22.57</v>
      </c>
      <c r="F6963">
        <v>26.11</v>
      </c>
      <c r="G6963">
        <v>19.88</v>
      </c>
      <c r="H6963">
        <v>8.68</v>
      </c>
      <c r="I6963">
        <v>5.451</v>
      </c>
      <c r="J6963">
        <v>22.75</v>
      </c>
      <c r="K6963">
        <v>25.77</v>
      </c>
      <c r="L6963">
        <v>20.91</v>
      </c>
      <c r="M6963">
        <v>3.14</v>
      </c>
      <c r="N6963">
        <v>9.685</v>
      </c>
      <c r="O6963">
        <v>22.89</v>
      </c>
      <c r="P6963">
        <v>25.49</v>
      </c>
      <c r="Q6963">
        <v>21.35</v>
      </c>
      <c r="R6963">
        <v>7.51</v>
      </c>
    </row>
    <row r="6964">
      <c r="A6964" s="9">
        <v>45495</v>
      </c>
      <c r="B6964" s="2" t="inlineStr">
        <is>
          <t xml:space="preserve">2024-07</t>
        </is>
      </c>
      <c r="C6964" s="2" t="inlineStr">
        <is>
          <t xml:space="preserve">2024/25</t>
        </is>
      </c>
      <c r="D6964">
        <v>6.126</v>
      </c>
      <c r="E6964">
        <v>22.73</v>
      </c>
      <c r="F6964">
        <v>26.62</v>
      </c>
      <c r="G6964">
        <v>19.89</v>
      </c>
      <c r="H6964">
        <v>6.54</v>
      </c>
      <c r="I6964">
        <v>0.237</v>
      </c>
      <c r="J6964">
        <v>23.58</v>
      </c>
      <c r="K6964">
        <v>27.59</v>
      </c>
      <c r="L6964">
        <v>19.96</v>
      </c>
      <c r="M6964">
        <v>7.8</v>
      </c>
      <c r="N6964">
        <v>0.728</v>
      </c>
      <c r="O6964">
        <v>23.77</v>
      </c>
      <c r="P6964">
        <v>27.42</v>
      </c>
      <c r="Q6964">
        <v>20.98</v>
      </c>
      <c r="R6964">
        <v>6.2</v>
      </c>
    </row>
    <row r="6965">
      <c r="A6965" s="9">
        <v>45496</v>
      </c>
      <c r="B6965" s="2" t="inlineStr">
        <is>
          <t xml:space="preserve">2024-07</t>
        </is>
      </c>
      <c r="C6965" s="2" t="inlineStr">
        <is>
          <t xml:space="preserve">2024/25</t>
        </is>
      </c>
      <c r="D6965">
        <v>1.117</v>
      </c>
      <c r="E6965">
        <v>22.48</v>
      </c>
      <c r="F6965">
        <v>27.7</v>
      </c>
      <c r="G6965">
        <v>18.17</v>
      </c>
      <c r="H6965">
        <v>3.51</v>
      </c>
      <c r="I6965">
        <v>18.224</v>
      </c>
      <c r="J6965">
        <v>24.61</v>
      </c>
      <c r="K6965">
        <v>29.15</v>
      </c>
      <c r="L6965">
        <v>20.79</v>
      </c>
      <c r="M6965">
        <v>3.32</v>
      </c>
      <c r="N6965">
        <v>0.84</v>
      </c>
      <c r="O6965">
        <v>24.13</v>
      </c>
      <c r="P6965">
        <v>28.91</v>
      </c>
      <c r="Q6965">
        <v>21.19</v>
      </c>
      <c r="R6965">
        <v>4.33</v>
      </c>
    </row>
    <row r="6966">
      <c r="A6966" s="9">
        <v>45497</v>
      </c>
      <c r="B6966" s="2" t="inlineStr">
        <is>
          <t xml:space="preserve">2024-07</t>
        </is>
      </c>
      <c r="C6966" s="2" t="inlineStr">
        <is>
          <t xml:space="preserve">2024/25</t>
        </is>
      </c>
      <c r="D6966">
        <v>0.0</v>
      </c>
      <c r="E6966">
        <v>23.08</v>
      </c>
      <c r="F6966">
        <v>27.89</v>
      </c>
      <c r="G6966">
        <v>18.73</v>
      </c>
      <c r="H6966">
        <v>0.96</v>
      </c>
      <c r="I6966">
        <v>0.0</v>
      </c>
      <c r="J6966">
        <v>23.76</v>
      </c>
      <c r="K6966">
        <v>27.82</v>
      </c>
      <c r="L6966">
        <v>20.14</v>
      </c>
      <c r="M6966">
        <v>0.19</v>
      </c>
      <c r="N6966">
        <v>0.0</v>
      </c>
      <c r="O6966">
        <v>23.6</v>
      </c>
      <c r="P6966">
        <v>27.0</v>
      </c>
      <c r="Q6966">
        <v>20.99</v>
      </c>
      <c r="R6966">
        <v>0.12</v>
      </c>
    </row>
    <row r="6967">
      <c r="A6967" s="9">
        <v>45498</v>
      </c>
      <c r="B6967" s="2" t="inlineStr">
        <is>
          <t xml:space="preserve">2024-07</t>
        </is>
      </c>
      <c r="C6967" s="2" t="inlineStr">
        <is>
          <t xml:space="preserve">2024/25</t>
        </is>
      </c>
      <c r="D6967">
        <v>0.856</v>
      </c>
      <c r="E6967">
        <v>22.88</v>
      </c>
      <c r="F6967">
        <v>26.57</v>
      </c>
      <c r="G6967">
        <v>20.13</v>
      </c>
      <c r="H6967">
        <v>3.74</v>
      </c>
      <c r="I6967">
        <v>4.853</v>
      </c>
      <c r="J6967">
        <v>22.87</v>
      </c>
      <c r="K6967">
        <v>25.46</v>
      </c>
      <c r="L6967">
        <v>20.63</v>
      </c>
      <c r="M6967">
        <v>9.37</v>
      </c>
      <c r="N6967">
        <v>0.19</v>
      </c>
      <c r="O6967">
        <v>23.42</v>
      </c>
      <c r="P6967">
        <v>26.08</v>
      </c>
      <c r="Q6967">
        <v>21.7</v>
      </c>
      <c r="R6967">
        <v>1.68</v>
      </c>
    </row>
    <row r="6968">
      <c r="A6968" s="9">
        <v>45499</v>
      </c>
      <c r="B6968" s="2" t="inlineStr">
        <is>
          <t xml:space="preserve">2024-07</t>
        </is>
      </c>
      <c r="C6968" s="2" t="inlineStr">
        <is>
          <t xml:space="preserve">2024/25</t>
        </is>
      </c>
      <c r="D6968">
        <v>5.632</v>
      </c>
      <c r="E6968">
        <v>22.62</v>
      </c>
      <c r="F6968">
        <v>27.15</v>
      </c>
      <c r="G6968">
        <v>18.79</v>
      </c>
      <c r="H6968">
        <v>6.33</v>
      </c>
      <c r="I6968">
        <v>15.965</v>
      </c>
      <c r="J6968">
        <v>23.49</v>
      </c>
      <c r="K6968">
        <v>27.84</v>
      </c>
      <c r="L6968">
        <v>20.07</v>
      </c>
      <c r="M6968">
        <v>5.51</v>
      </c>
      <c r="N6968">
        <v>1.007</v>
      </c>
      <c r="O6968">
        <v>23.93</v>
      </c>
      <c r="P6968">
        <v>28.06</v>
      </c>
      <c r="Q6968">
        <v>21.12</v>
      </c>
      <c r="R6968">
        <v>9.52</v>
      </c>
    </row>
    <row r="6969">
      <c r="A6969" s="9">
        <v>45500</v>
      </c>
      <c r="B6969" s="2" t="inlineStr">
        <is>
          <t xml:space="preserve">2024-07</t>
        </is>
      </c>
      <c r="C6969" s="2" t="inlineStr">
        <is>
          <t xml:space="preserve">2024/25</t>
        </is>
      </c>
      <c r="D6969">
        <v>9.258</v>
      </c>
      <c r="E6969">
        <v>22.61</v>
      </c>
      <c r="F6969">
        <v>27.13</v>
      </c>
      <c r="G6969">
        <v>18.73</v>
      </c>
      <c r="H6969">
        <v>9.38</v>
      </c>
      <c r="I6969">
        <v>1.772</v>
      </c>
      <c r="J6969">
        <v>23.78</v>
      </c>
      <c r="K6969">
        <v>28.13</v>
      </c>
      <c r="L6969">
        <v>20.44</v>
      </c>
      <c r="M6969">
        <v>5.09</v>
      </c>
      <c r="N6969">
        <v>12.711</v>
      </c>
      <c r="O6969">
        <v>23.9</v>
      </c>
      <c r="P6969">
        <v>27.87</v>
      </c>
      <c r="Q6969">
        <v>21.45</v>
      </c>
      <c r="R6969">
        <v>14.52</v>
      </c>
    </row>
    <row r="6970">
      <c r="A6970" s="9">
        <v>45501</v>
      </c>
      <c r="B6970" s="2" t="inlineStr">
        <is>
          <t xml:space="preserve">2024-07</t>
        </is>
      </c>
      <c r="C6970" s="2" t="inlineStr">
        <is>
          <t xml:space="preserve">2024/25</t>
        </is>
      </c>
      <c r="D6970">
        <v>13.14</v>
      </c>
      <c r="E6970">
        <v>21.54</v>
      </c>
      <c r="F6970">
        <v>25.65</v>
      </c>
      <c r="G6970">
        <v>18.19</v>
      </c>
      <c r="H6970">
        <v>8.77</v>
      </c>
      <c r="I6970">
        <v>0.0</v>
      </c>
      <c r="J6970">
        <v>23.41</v>
      </c>
      <c r="K6970">
        <v>27.03</v>
      </c>
      <c r="L6970">
        <v>20.81</v>
      </c>
      <c r="M6970">
        <v>1.24</v>
      </c>
      <c r="N6970">
        <v>3.445</v>
      </c>
      <c r="O6970">
        <v>23.15</v>
      </c>
      <c r="P6970">
        <v>26.06</v>
      </c>
      <c r="Q6970">
        <v>21.25</v>
      </c>
      <c r="R6970">
        <v>4.7</v>
      </c>
    </row>
    <row r="6971">
      <c r="A6971" s="9">
        <v>45502</v>
      </c>
      <c r="B6971" s="2" t="inlineStr">
        <is>
          <t xml:space="preserve">2024-07</t>
        </is>
      </c>
      <c r="C6971" s="2" t="inlineStr">
        <is>
          <t xml:space="preserve">2024/25</t>
        </is>
      </c>
      <c r="D6971">
        <v>13.676</v>
      </c>
      <c r="E6971">
        <v>21.25</v>
      </c>
      <c r="F6971">
        <v>26.73</v>
      </c>
      <c r="G6971">
        <v>16.0</v>
      </c>
      <c r="H6971">
        <v>6.55</v>
      </c>
      <c r="I6971">
        <v>0.11</v>
      </c>
      <c r="J6971">
        <v>23.89</v>
      </c>
      <c r="K6971">
        <v>28.63</v>
      </c>
      <c r="L6971">
        <v>19.7</v>
      </c>
      <c r="M6971">
        <v>0.86</v>
      </c>
      <c r="N6971">
        <v>0.171</v>
      </c>
      <c r="O6971">
        <v>23.48</v>
      </c>
      <c r="P6971">
        <v>27.88</v>
      </c>
      <c r="Q6971">
        <v>20.1</v>
      </c>
      <c r="R6971">
        <v>5.64</v>
      </c>
    </row>
    <row r="6972">
      <c r="A6972" s="9">
        <v>45503</v>
      </c>
      <c r="B6972" s="2" t="inlineStr">
        <is>
          <t xml:space="preserve">2024-07</t>
        </is>
      </c>
      <c r="C6972" s="2" t="inlineStr">
        <is>
          <t xml:space="preserve">2024/25</t>
        </is>
      </c>
      <c r="D6972">
        <v>0.0</v>
      </c>
      <c r="E6972">
        <v>21.88</v>
      </c>
      <c r="F6972">
        <v>26.87</v>
      </c>
      <c r="G6972">
        <v>17.72</v>
      </c>
      <c r="H6972">
        <v>56.39</v>
      </c>
      <c r="I6972">
        <v>0.0</v>
      </c>
      <c r="J6972">
        <v>23.7</v>
      </c>
      <c r="K6972">
        <v>27.78</v>
      </c>
      <c r="L6972">
        <v>21.23</v>
      </c>
      <c r="M6972">
        <v>0.92</v>
      </c>
      <c r="N6972">
        <v>0.636</v>
      </c>
      <c r="O6972">
        <v>23.69</v>
      </c>
      <c r="P6972">
        <v>27.34</v>
      </c>
      <c r="Q6972">
        <v>21.26</v>
      </c>
      <c r="R6972">
        <v>6.88</v>
      </c>
    </row>
    <row r="6973">
      <c r="A6973" s="9">
        <v>45504</v>
      </c>
      <c r="B6973" s="2" t="inlineStr">
        <is>
          <t xml:space="preserve">2024-07</t>
        </is>
      </c>
      <c r="C6973" s="2" t="inlineStr">
        <is>
          <t xml:space="preserve">2024/25</t>
        </is>
      </c>
      <c r="D6973">
        <v>0.0</v>
      </c>
      <c r="E6973">
        <v>22.27</v>
      </c>
      <c r="F6973">
        <v>26.17</v>
      </c>
      <c r="G6973">
        <v>18.58</v>
      </c>
      <c r="H6973">
        <v>111.58</v>
      </c>
      <c r="I6973">
        <v>0.851</v>
      </c>
      <c r="J6973">
        <v>23.56</v>
      </c>
      <c r="K6973">
        <v>27.09</v>
      </c>
      <c r="L6973">
        <v>21.32</v>
      </c>
      <c r="M6973">
        <v>0.57</v>
      </c>
      <c r="N6973">
        <v>0.057</v>
      </c>
      <c r="O6973">
        <v>23.7</v>
      </c>
      <c r="P6973">
        <v>27.54</v>
      </c>
      <c r="Q6973">
        <v>21.51</v>
      </c>
      <c r="R6973">
        <v>2.43</v>
      </c>
    </row>
    <row r="6974">
      <c r="A6974" s="9">
        <v>45505</v>
      </c>
      <c r="B6974" s="2" t="inlineStr">
        <is>
          <t xml:space="preserve">2024-08</t>
        </is>
      </c>
      <c r="C6974" s="2" t="inlineStr">
        <is>
          <t xml:space="preserve">2024/25</t>
        </is>
      </c>
      <c r="D6974">
        <v>2.709</v>
      </c>
      <c r="E6974">
        <v>22.18</v>
      </c>
      <c r="F6974">
        <v>25.93</v>
      </c>
      <c r="G6974">
        <v>18.84</v>
      </c>
      <c r="H6974">
        <v>2.0</v>
      </c>
      <c r="I6974">
        <v>0.12</v>
      </c>
      <c r="J6974">
        <v>23.1</v>
      </c>
      <c r="K6974">
        <v>27.46</v>
      </c>
      <c r="L6974">
        <v>20.59</v>
      </c>
      <c r="M6974">
        <v>0.4</v>
      </c>
      <c r="N6974">
        <v>0.395</v>
      </c>
      <c r="O6974">
        <v>23.68</v>
      </c>
      <c r="P6974">
        <v>27.85</v>
      </c>
      <c r="Q6974">
        <v>21.36</v>
      </c>
      <c r="R6974">
        <v>1.27</v>
      </c>
    </row>
    <row r="6975">
      <c r="A6975" s="9">
        <v>45506</v>
      </c>
      <c r="B6975" s="2" t="inlineStr">
        <is>
          <t xml:space="preserve">2024-08</t>
        </is>
      </c>
      <c r="C6975" s="2" t="inlineStr">
        <is>
          <t xml:space="preserve">2024/25</t>
        </is>
      </c>
      <c r="D6975">
        <v>5.448</v>
      </c>
      <c r="E6975">
        <v>21.89</v>
      </c>
      <c r="F6975">
        <v>25.57</v>
      </c>
      <c r="G6975">
        <v>19.09</v>
      </c>
      <c r="H6975">
        <v>10.79</v>
      </c>
      <c r="I6975">
        <v>0.0</v>
      </c>
      <c r="J6975">
        <v>22.62</v>
      </c>
      <c r="K6975">
        <v>26.93</v>
      </c>
      <c r="L6975">
        <v>19.47</v>
      </c>
      <c r="M6975">
        <v>6.5</v>
      </c>
      <c r="N6975">
        <v>0.094</v>
      </c>
      <c r="O6975">
        <v>22.84</v>
      </c>
      <c r="P6975">
        <v>26.46</v>
      </c>
      <c r="Q6975">
        <v>20.58</v>
      </c>
      <c r="R6975">
        <v>7.62</v>
      </c>
    </row>
    <row r="6976">
      <c r="A6976" s="9">
        <v>45507</v>
      </c>
      <c r="B6976" s="2" t="inlineStr">
        <is>
          <t xml:space="preserve">2024-08</t>
        </is>
      </c>
      <c r="C6976" s="2" t="inlineStr">
        <is>
          <t xml:space="preserve">2024/25</t>
        </is>
      </c>
      <c r="D6976">
        <v>14.914</v>
      </c>
      <c r="E6976">
        <v>22.47</v>
      </c>
      <c r="F6976">
        <v>26.92</v>
      </c>
      <c r="G6976">
        <v>18.88</v>
      </c>
      <c r="H6976">
        <v>7.56</v>
      </c>
      <c r="I6976">
        <v>9.228</v>
      </c>
      <c r="J6976">
        <v>22.97</v>
      </c>
      <c r="K6976">
        <v>27.11</v>
      </c>
      <c r="L6976">
        <v>19.33</v>
      </c>
      <c r="M6976">
        <v>8.61</v>
      </c>
      <c r="N6976">
        <v>14.953</v>
      </c>
      <c r="O6976">
        <v>23.31</v>
      </c>
      <c r="P6976">
        <v>27.44</v>
      </c>
      <c r="Q6976">
        <v>20.28</v>
      </c>
      <c r="R6976">
        <v>5.97</v>
      </c>
    </row>
    <row r="6977">
      <c r="A6977" s="9">
        <v>45508</v>
      </c>
      <c r="B6977" s="2" t="inlineStr">
        <is>
          <t xml:space="preserve">2024-08</t>
        </is>
      </c>
      <c r="C6977" s="2" t="inlineStr">
        <is>
          <t xml:space="preserve">2024/25</t>
        </is>
      </c>
      <c r="D6977">
        <v>13.97</v>
      </c>
      <c r="E6977">
        <v>22.71</v>
      </c>
      <c r="F6977">
        <v>28.06</v>
      </c>
      <c r="G6977">
        <v>18.85</v>
      </c>
      <c r="H6977">
        <v>9.72</v>
      </c>
      <c r="I6977">
        <v>24.709</v>
      </c>
      <c r="J6977">
        <v>23.58</v>
      </c>
      <c r="K6977">
        <v>27.58</v>
      </c>
      <c r="L6977">
        <v>20.07</v>
      </c>
      <c r="M6977">
        <v>19.39</v>
      </c>
      <c r="N6977">
        <v>20.675</v>
      </c>
      <c r="O6977">
        <v>24.22</v>
      </c>
      <c r="P6977">
        <v>29.46</v>
      </c>
      <c r="Q6977">
        <v>20.19</v>
      </c>
      <c r="R6977">
        <v>10.3</v>
      </c>
    </row>
    <row r="6978">
      <c r="A6978" s="9">
        <v>45509</v>
      </c>
      <c r="B6978" s="2" t="inlineStr">
        <is>
          <t xml:space="preserve">2024-08</t>
        </is>
      </c>
      <c r="C6978" s="2" t="inlineStr">
        <is>
          <t xml:space="preserve">2024/25</t>
        </is>
      </c>
      <c r="D6978">
        <v>2.572</v>
      </c>
      <c r="E6978">
        <v>22.55</v>
      </c>
      <c r="F6978">
        <v>26.44</v>
      </c>
      <c r="G6978">
        <v>19.17</v>
      </c>
      <c r="H6978">
        <v>0.42</v>
      </c>
      <c r="I6978">
        <v>3.929</v>
      </c>
      <c r="J6978">
        <v>24.34</v>
      </c>
      <c r="K6978">
        <v>28.92</v>
      </c>
      <c r="L6978">
        <v>20.57</v>
      </c>
      <c r="M6978">
        <v>2.1</v>
      </c>
      <c r="N6978">
        <v>0.903</v>
      </c>
      <c r="O6978">
        <v>24.14</v>
      </c>
      <c r="P6978">
        <v>27.91</v>
      </c>
      <c r="Q6978">
        <v>21.19</v>
      </c>
      <c r="R6978">
        <v>0.71</v>
      </c>
    </row>
    <row r="6979">
      <c r="A6979" s="9">
        <v>45510</v>
      </c>
      <c r="B6979" s="2" t="inlineStr">
        <is>
          <t xml:space="preserve">2024-08</t>
        </is>
      </c>
      <c r="C6979" s="2" t="inlineStr">
        <is>
          <t xml:space="preserve">2024/25</t>
        </is>
      </c>
      <c r="D6979">
        <v>0.245</v>
      </c>
      <c r="E6979">
        <v>23.22</v>
      </c>
      <c r="F6979">
        <v>28.22</v>
      </c>
      <c r="G6979">
        <v>19.18</v>
      </c>
      <c r="H6979">
        <v>0.33</v>
      </c>
      <c r="I6979">
        <v>0.0</v>
      </c>
      <c r="J6979">
        <v>23.95</v>
      </c>
      <c r="K6979">
        <v>28.5</v>
      </c>
      <c r="L6979">
        <v>20.39</v>
      </c>
      <c r="M6979">
        <v>1.38</v>
      </c>
      <c r="N6979">
        <v>0.0</v>
      </c>
      <c r="O6979">
        <v>24.46</v>
      </c>
      <c r="P6979">
        <v>29.11</v>
      </c>
      <c r="Q6979">
        <v>21.61</v>
      </c>
      <c r="R6979">
        <v>0.45</v>
      </c>
    </row>
    <row r="6980">
      <c r="A6980" s="9">
        <v>45511</v>
      </c>
      <c r="B6980" s="2" t="inlineStr">
        <is>
          <t xml:space="preserve">2024-08</t>
        </is>
      </c>
      <c r="C6980" s="2" t="inlineStr">
        <is>
          <t xml:space="preserve">2024/25</t>
        </is>
      </c>
      <c r="D6980">
        <v>0.116</v>
      </c>
      <c r="E6980">
        <v>22.8</v>
      </c>
      <c r="F6980">
        <v>26.55</v>
      </c>
      <c r="G6980">
        <v>19.93</v>
      </c>
      <c r="H6980">
        <v>4.25</v>
      </c>
      <c r="I6980">
        <v>10.465</v>
      </c>
      <c r="J6980">
        <v>23.08</v>
      </c>
      <c r="K6980">
        <v>27.38</v>
      </c>
      <c r="L6980">
        <v>19.72</v>
      </c>
      <c r="M6980">
        <v>6.42</v>
      </c>
      <c r="N6980">
        <v>0.587</v>
      </c>
      <c r="O6980">
        <v>23.64</v>
      </c>
      <c r="P6980">
        <v>27.81</v>
      </c>
      <c r="Q6980">
        <v>21.1</v>
      </c>
      <c r="R6980">
        <v>2.96</v>
      </c>
    </row>
    <row r="6981">
      <c r="A6981" s="9">
        <v>45512</v>
      </c>
      <c r="B6981" s="2" t="inlineStr">
        <is>
          <t xml:space="preserve">2024-08</t>
        </is>
      </c>
      <c r="C6981" s="2" t="inlineStr">
        <is>
          <t xml:space="preserve">2024/25</t>
        </is>
      </c>
      <c r="D6981">
        <v>5.312</v>
      </c>
      <c r="E6981">
        <v>22.19</v>
      </c>
      <c r="F6981">
        <v>26.68</v>
      </c>
      <c r="G6981">
        <v>19.1</v>
      </c>
      <c r="H6981">
        <v>5.36</v>
      </c>
      <c r="I6981">
        <v>2.918</v>
      </c>
      <c r="J6981">
        <v>23.48</v>
      </c>
      <c r="K6981">
        <v>27.96</v>
      </c>
      <c r="L6981">
        <v>20.08</v>
      </c>
      <c r="M6981">
        <v>1.55</v>
      </c>
      <c r="N6981">
        <v>0.642</v>
      </c>
      <c r="O6981">
        <v>23.88</v>
      </c>
      <c r="P6981">
        <v>28.04</v>
      </c>
      <c r="Q6981">
        <v>20.92</v>
      </c>
      <c r="R6981">
        <v>3.48</v>
      </c>
    </row>
    <row r="6982">
      <c r="A6982" s="9">
        <v>45513</v>
      </c>
      <c r="B6982" s="2" t="inlineStr">
        <is>
          <t xml:space="preserve">2024-08</t>
        </is>
      </c>
      <c r="C6982" s="2" t="inlineStr">
        <is>
          <t xml:space="preserve">2024/25</t>
        </is>
      </c>
      <c r="D6982">
        <v>3.772</v>
      </c>
      <c r="E6982">
        <v>21.85</v>
      </c>
      <c r="F6982">
        <v>25.43</v>
      </c>
      <c r="G6982">
        <v>19.11</v>
      </c>
      <c r="H6982">
        <v>4.29</v>
      </c>
      <c r="I6982">
        <v>1.988</v>
      </c>
      <c r="J6982">
        <v>22.98</v>
      </c>
      <c r="K6982">
        <v>26.89</v>
      </c>
      <c r="L6982">
        <v>20.69</v>
      </c>
      <c r="M6982">
        <v>0.8</v>
      </c>
      <c r="N6982">
        <v>0.134</v>
      </c>
      <c r="O6982">
        <v>23.86</v>
      </c>
      <c r="P6982">
        <v>27.35</v>
      </c>
      <c r="Q6982">
        <v>21.24</v>
      </c>
      <c r="R6982">
        <v>0.57</v>
      </c>
    </row>
    <row r="6983">
      <c r="A6983" s="9">
        <v>45514</v>
      </c>
      <c r="B6983" s="2" t="inlineStr">
        <is>
          <t xml:space="preserve">2024-08</t>
        </is>
      </c>
      <c r="C6983" s="2" t="inlineStr">
        <is>
          <t xml:space="preserve">2024/25</t>
        </is>
      </c>
      <c r="D6983">
        <v>0.036</v>
      </c>
      <c r="E6983">
        <v>23.13</v>
      </c>
      <c r="F6983">
        <v>28.16</v>
      </c>
      <c r="G6983">
        <v>18.98</v>
      </c>
      <c r="H6983">
        <v>0.66</v>
      </c>
      <c r="I6983">
        <v>0.0</v>
      </c>
      <c r="J6983">
        <v>23.77</v>
      </c>
      <c r="K6983">
        <v>28.21</v>
      </c>
      <c r="L6983">
        <v>19.94</v>
      </c>
      <c r="M6983">
        <v>0.79</v>
      </c>
      <c r="N6983">
        <v>0.0</v>
      </c>
      <c r="O6983">
        <v>24.33</v>
      </c>
      <c r="P6983">
        <v>28.38</v>
      </c>
      <c r="Q6983">
        <v>21.21</v>
      </c>
      <c r="R6983">
        <v>1.0</v>
      </c>
    </row>
    <row r="6984">
      <c r="A6984" s="9">
        <v>45515</v>
      </c>
      <c r="B6984" s="2" t="inlineStr">
        <is>
          <t xml:space="preserve">2024-08</t>
        </is>
      </c>
      <c r="C6984" s="2" t="inlineStr">
        <is>
          <t xml:space="preserve">2024/25</t>
        </is>
      </c>
      <c r="D6984">
        <v>1.144</v>
      </c>
      <c r="E6984">
        <v>22.64</v>
      </c>
      <c r="F6984">
        <v>26.84</v>
      </c>
      <c r="G6984">
        <v>19.83</v>
      </c>
      <c r="H6984">
        <v>2.3</v>
      </c>
      <c r="I6984">
        <v>1.609</v>
      </c>
      <c r="J6984">
        <v>22.44</v>
      </c>
      <c r="K6984">
        <v>25.99</v>
      </c>
      <c r="L6984">
        <v>20.14</v>
      </c>
      <c r="M6984">
        <v>1.85</v>
      </c>
      <c r="N6984">
        <v>1.565</v>
      </c>
      <c r="O6984">
        <v>22.96</v>
      </c>
      <c r="P6984">
        <v>25.7</v>
      </c>
      <c r="Q6984">
        <v>20.93</v>
      </c>
      <c r="R6984">
        <v>2.7</v>
      </c>
    </row>
    <row r="6985">
      <c r="A6985" s="9">
        <v>45516</v>
      </c>
      <c r="B6985" s="2" t="inlineStr">
        <is>
          <t xml:space="preserve">2024-08</t>
        </is>
      </c>
      <c r="C6985" s="2" t="inlineStr">
        <is>
          <t xml:space="preserve">2024/25</t>
        </is>
      </c>
      <c r="D6985">
        <v>5.78</v>
      </c>
      <c r="E6985">
        <v>22.01</v>
      </c>
      <c r="F6985">
        <v>25.79</v>
      </c>
      <c r="G6985">
        <v>19.12</v>
      </c>
      <c r="H6985">
        <v>3.93</v>
      </c>
      <c r="I6985">
        <v>11.333</v>
      </c>
      <c r="J6985">
        <v>23.35</v>
      </c>
      <c r="K6985">
        <v>28.04</v>
      </c>
      <c r="L6985">
        <v>19.19</v>
      </c>
      <c r="M6985">
        <v>7.15</v>
      </c>
      <c r="N6985">
        <v>1.42</v>
      </c>
      <c r="O6985">
        <v>23.46</v>
      </c>
      <c r="P6985">
        <v>27.82</v>
      </c>
      <c r="Q6985">
        <v>20.3</v>
      </c>
      <c r="R6985">
        <v>5.72</v>
      </c>
    </row>
    <row r="6986">
      <c r="A6986" s="9">
        <v>45517</v>
      </c>
      <c r="B6986" s="2" t="inlineStr">
        <is>
          <t xml:space="preserve">2024-08</t>
        </is>
      </c>
      <c r="C6986" s="2" t="inlineStr">
        <is>
          <t xml:space="preserve">2024/25</t>
        </is>
      </c>
      <c r="D6986">
        <v>4.789</v>
      </c>
      <c r="E6986">
        <v>21.8</v>
      </c>
      <c r="F6986">
        <v>25.92</v>
      </c>
      <c r="G6986">
        <v>17.82</v>
      </c>
      <c r="H6986">
        <v>9.08</v>
      </c>
      <c r="I6986">
        <v>0.519</v>
      </c>
      <c r="J6986">
        <v>23.32</v>
      </c>
      <c r="K6986">
        <v>27.92</v>
      </c>
      <c r="L6986">
        <v>19.94</v>
      </c>
      <c r="M6986">
        <v>2.47</v>
      </c>
      <c r="N6986">
        <v>1.748</v>
      </c>
      <c r="O6986">
        <v>23.27</v>
      </c>
      <c r="P6986">
        <v>27.31</v>
      </c>
      <c r="Q6986">
        <v>20.78</v>
      </c>
      <c r="R6986">
        <v>6.37</v>
      </c>
    </row>
    <row r="6987">
      <c r="A6987" s="9">
        <v>45518</v>
      </c>
      <c r="B6987" s="2" t="inlineStr">
        <is>
          <t xml:space="preserve">2024-08</t>
        </is>
      </c>
      <c r="C6987" s="2" t="inlineStr">
        <is>
          <t xml:space="preserve">2024/25</t>
        </is>
      </c>
      <c r="D6987">
        <v>6.428</v>
      </c>
      <c r="E6987">
        <v>22.49</v>
      </c>
      <c r="F6987">
        <v>26.57</v>
      </c>
      <c r="G6987">
        <v>19.7</v>
      </c>
      <c r="H6987">
        <v>3.33</v>
      </c>
      <c r="I6987">
        <v>1.053</v>
      </c>
      <c r="J6987">
        <v>22.95</v>
      </c>
      <c r="K6987">
        <v>26.97</v>
      </c>
      <c r="L6987">
        <v>19.83</v>
      </c>
      <c r="M6987">
        <v>1.36</v>
      </c>
      <c r="N6987">
        <v>1.572</v>
      </c>
      <c r="O6987">
        <v>23.26</v>
      </c>
      <c r="P6987">
        <v>26.56</v>
      </c>
      <c r="Q6987">
        <v>21.03</v>
      </c>
      <c r="R6987">
        <v>2.09</v>
      </c>
    </row>
    <row r="6988">
      <c r="A6988" s="9">
        <v>45519</v>
      </c>
      <c r="B6988" s="2" t="inlineStr">
        <is>
          <t xml:space="preserve">2024-08</t>
        </is>
      </c>
      <c r="C6988" s="2" t="inlineStr">
        <is>
          <t xml:space="preserve">2024/25</t>
        </is>
      </c>
      <c r="D6988">
        <v>0.032</v>
      </c>
      <c r="E6988">
        <v>22.96</v>
      </c>
      <c r="F6988">
        <v>27.81</v>
      </c>
      <c r="G6988">
        <v>18.76</v>
      </c>
      <c r="H6988">
        <v>1.28</v>
      </c>
      <c r="I6988">
        <v>0.067</v>
      </c>
      <c r="J6988">
        <v>23.92</v>
      </c>
      <c r="K6988">
        <v>28.27</v>
      </c>
      <c r="L6988">
        <v>20.07</v>
      </c>
      <c r="M6988">
        <v>3.54</v>
      </c>
      <c r="N6988">
        <v>0.0</v>
      </c>
      <c r="O6988">
        <v>24.24</v>
      </c>
      <c r="P6988">
        <v>28.63</v>
      </c>
      <c r="Q6988">
        <v>21.31</v>
      </c>
      <c r="R6988">
        <v>0.64</v>
      </c>
    </row>
    <row r="6989">
      <c r="A6989" s="9">
        <v>45520</v>
      </c>
      <c r="B6989" s="2" t="inlineStr">
        <is>
          <t xml:space="preserve">2024-08</t>
        </is>
      </c>
      <c r="C6989" s="2" t="inlineStr">
        <is>
          <t xml:space="preserve">2024/25</t>
        </is>
      </c>
      <c r="D6989">
        <v>6.004</v>
      </c>
      <c r="E6989">
        <v>23.32</v>
      </c>
      <c r="F6989">
        <v>27.63</v>
      </c>
      <c r="G6989">
        <v>19.51</v>
      </c>
      <c r="H6989">
        <v>3.17</v>
      </c>
      <c r="I6989">
        <v>9.052</v>
      </c>
      <c r="J6989">
        <v>24.48</v>
      </c>
      <c r="K6989">
        <v>28.74</v>
      </c>
      <c r="L6989">
        <v>21.23</v>
      </c>
      <c r="M6989">
        <v>6.25</v>
      </c>
      <c r="N6989">
        <v>0.453</v>
      </c>
      <c r="O6989">
        <v>24.55</v>
      </c>
      <c r="P6989">
        <v>28.81</v>
      </c>
      <c r="Q6989">
        <v>21.48</v>
      </c>
      <c r="R6989">
        <v>2.0</v>
      </c>
    </row>
    <row r="6990">
      <c r="A6990" s="9">
        <v>45521</v>
      </c>
      <c r="B6990" s="2" t="inlineStr">
        <is>
          <t xml:space="preserve">2024-08</t>
        </is>
      </c>
      <c r="C6990" s="2" t="inlineStr">
        <is>
          <t xml:space="preserve">2024/25</t>
        </is>
      </c>
      <c r="D6990">
        <v>2.162</v>
      </c>
      <c r="E6990">
        <v>22.98</v>
      </c>
      <c r="F6990">
        <v>26.68</v>
      </c>
      <c r="G6990">
        <v>20.25</v>
      </c>
      <c r="H6990">
        <v>11.48</v>
      </c>
      <c r="I6990">
        <v>36.31</v>
      </c>
      <c r="J6990">
        <v>23.68</v>
      </c>
      <c r="K6990">
        <v>27.37</v>
      </c>
      <c r="L6990">
        <v>20.69</v>
      </c>
      <c r="M6990">
        <v>22.96</v>
      </c>
      <c r="N6990">
        <v>13.348</v>
      </c>
      <c r="O6990">
        <v>23.75</v>
      </c>
      <c r="P6990">
        <v>26.87</v>
      </c>
      <c r="Q6990">
        <v>21.8</v>
      </c>
      <c r="R6990">
        <v>9.32</v>
      </c>
    </row>
    <row r="6991">
      <c r="A6991" s="9">
        <v>45522</v>
      </c>
      <c r="B6991" s="2" t="inlineStr">
        <is>
          <t xml:space="preserve">2024-08</t>
        </is>
      </c>
      <c r="C6991" s="2" t="inlineStr">
        <is>
          <t xml:space="preserve">2024/25</t>
        </is>
      </c>
      <c r="D6991">
        <v>34.422</v>
      </c>
      <c r="E6991">
        <v>22.79</v>
      </c>
      <c r="F6991">
        <v>27.33</v>
      </c>
      <c r="G6991">
        <v>18.68</v>
      </c>
      <c r="H6991">
        <v>9.91</v>
      </c>
      <c r="I6991">
        <v>8.52</v>
      </c>
      <c r="J6991">
        <v>23.33</v>
      </c>
      <c r="K6991">
        <v>26.79</v>
      </c>
      <c r="L6991">
        <v>20.96</v>
      </c>
      <c r="M6991">
        <v>3.18</v>
      </c>
      <c r="N6991">
        <v>8.114</v>
      </c>
      <c r="O6991">
        <v>23.48</v>
      </c>
      <c r="P6991">
        <v>26.76</v>
      </c>
      <c r="Q6991">
        <v>21.58</v>
      </c>
      <c r="R6991">
        <v>7.17</v>
      </c>
    </row>
    <row r="6992">
      <c r="A6992" s="9">
        <v>45523</v>
      </c>
      <c r="B6992" s="2" t="inlineStr">
        <is>
          <t xml:space="preserve">2024-08</t>
        </is>
      </c>
      <c r="C6992" s="2" t="inlineStr">
        <is>
          <t xml:space="preserve">2024/25</t>
        </is>
      </c>
      <c r="D6992">
        <v>9.819</v>
      </c>
      <c r="E6992">
        <v>22.22</v>
      </c>
      <c r="F6992">
        <v>26.63</v>
      </c>
      <c r="G6992">
        <v>18.48</v>
      </c>
      <c r="H6992">
        <v>5.63</v>
      </c>
      <c r="I6992">
        <v>0.424</v>
      </c>
      <c r="J6992">
        <v>23.38</v>
      </c>
      <c r="K6992">
        <v>27.77</v>
      </c>
      <c r="L6992">
        <v>19.93</v>
      </c>
      <c r="M6992">
        <v>0.64</v>
      </c>
      <c r="N6992">
        <v>0.684</v>
      </c>
      <c r="O6992">
        <v>23.88</v>
      </c>
      <c r="P6992">
        <v>28.21</v>
      </c>
      <c r="Q6992">
        <v>21.27</v>
      </c>
      <c r="R6992">
        <v>4.61</v>
      </c>
    </row>
    <row r="6993">
      <c r="A6993" s="9">
        <v>45524</v>
      </c>
      <c r="B6993" s="2" t="inlineStr">
        <is>
          <t xml:space="preserve">2024-08</t>
        </is>
      </c>
      <c r="C6993" s="2" t="inlineStr">
        <is>
          <t xml:space="preserve">2024/25</t>
        </is>
      </c>
      <c r="D6993">
        <v>5.009</v>
      </c>
      <c r="E6993">
        <v>21.94</v>
      </c>
      <c r="F6993">
        <v>27.68</v>
      </c>
      <c r="G6993">
        <v>16.91</v>
      </c>
      <c r="H6993">
        <v>1.7</v>
      </c>
      <c r="I6993">
        <v>0.029</v>
      </c>
      <c r="J6993">
        <v>23.46</v>
      </c>
      <c r="K6993">
        <v>27.81</v>
      </c>
      <c r="L6993">
        <v>20.5</v>
      </c>
      <c r="M6993">
        <v>0.17</v>
      </c>
      <c r="N6993">
        <v>0.049</v>
      </c>
      <c r="O6993">
        <v>23.79</v>
      </c>
      <c r="P6993">
        <v>28.29</v>
      </c>
      <c r="Q6993">
        <v>21.29</v>
      </c>
      <c r="R6993">
        <v>1.43</v>
      </c>
    </row>
    <row r="6994">
      <c r="A6994" s="9">
        <v>45525</v>
      </c>
      <c r="B6994" s="2" t="inlineStr">
        <is>
          <t xml:space="preserve">2024-08</t>
        </is>
      </c>
      <c r="C6994" s="2" t="inlineStr">
        <is>
          <t xml:space="preserve">2024/25</t>
        </is>
      </c>
      <c r="D6994">
        <v>3.643</v>
      </c>
      <c r="E6994">
        <v>22.22</v>
      </c>
      <c r="F6994">
        <v>26.69</v>
      </c>
      <c r="G6994">
        <v>18.49</v>
      </c>
      <c r="H6994">
        <v>5.11</v>
      </c>
      <c r="I6994">
        <v>0.0</v>
      </c>
      <c r="J6994">
        <v>23.56</v>
      </c>
      <c r="K6994">
        <v>28.32</v>
      </c>
      <c r="L6994">
        <v>19.02</v>
      </c>
      <c r="M6994">
        <v>0.75</v>
      </c>
      <c r="N6994">
        <v>0.131</v>
      </c>
      <c r="O6994">
        <v>23.76</v>
      </c>
      <c r="P6994">
        <v>28.37</v>
      </c>
      <c r="Q6994">
        <v>20.56</v>
      </c>
      <c r="R6994">
        <v>6.84</v>
      </c>
    </row>
    <row r="6995">
      <c r="A6995" s="9">
        <v>45526</v>
      </c>
      <c r="B6995" s="2" t="inlineStr">
        <is>
          <t xml:space="preserve">2024-08</t>
        </is>
      </c>
      <c r="C6995" s="2" t="inlineStr">
        <is>
          <t xml:space="preserve">2024/25</t>
        </is>
      </c>
      <c r="D6995">
        <v>2.326</v>
      </c>
      <c r="E6995">
        <v>21.99</v>
      </c>
      <c r="F6995">
        <v>27.01</v>
      </c>
      <c r="G6995">
        <v>18.49</v>
      </c>
      <c r="H6995">
        <v>3.94</v>
      </c>
      <c r="I6995">
        <v>0.0</v>
      </c>
      <c r="J6995">
        <v>22.75</v>
      </c>
      <c r="K6995">
        <v>27.01</v>
      </c>
      <c r="L6995">
        <v>20.03</v>
      </c>
      <c r="M6995">
        <v>4.45</v>
      </c>
      <c r="N6995">
        <v>0.762</v>
      </c>
      <c r="O6995">
        <v>22.88</v>
      </c>
      <c r="P6995">
        <v>26.12</v>
      </c>
      <c r="Q6995">
        <v>20.83</v>
      </c>
      <c r="R6995">
        <v>6.48</v>
      </c>
    </row>
    <row r="6996">
      <c r="A6996" s="9">
        <v>45527</v>
      </c>
      <c r="B6996" s="2" t="inlineStr">
        <is>
          <t xml:space="preserve">2024-08</t>
        </is>
      </c>
      <c r="C6996" s="2" t="inlineStr">
        <is>
          <t xml:space="preserve">2024/25</t>
        </is>
      </c>
      <c r="D6996">
        <v>4.377</v>
      </c>
      <c r="E6996">
        <v>22.14</v>
      </c>
      <c r="F6996">
        <v>27.03</v>
      </c>
      <c r="G6996">
        <v>18.2</v>
      </c>
      <c r="H6996">
        <v>9.4</v>
      </c>
      <c r="I6996">
        <v>13.223</v>
      </c>
      <c r="J6996">
        <v>22.5</v>
      </c>
      <c r="K6996">
        <v>27.51</v>
      </c>
      <c r="L6996">
        <v>18.69</v>
      </c>
      <c r="M6996">
        <v>8.35</v>
      </c>
      <c r="N6996">
        <v>0.832</v>
      </c>
      <c r="O6996">
        <v>22.92</v>
      </c>
      <c r="P6996">
        <v>27.23</v>
      </c>
      <c r="Q6996">
        <v>20.13</v>
      </c>
      <c r="R6996">
        <v>14.07</v>
      </c>
    </row>
    <row r="6997">
      <c r="A6997" s="9">
        <v>45528</v>
      </c>
      <c r="B6997" s="2" t="inlineStr">
        <is>
          <t xml:space="preserve">2024-08</t>
        </is>
      </c>
      <c r="C6997" s="2" t="inlineStr">
        <is>
          <t xml:space="preserve">2024/25</t>
        </is>
      </c>
      <c r="D6997">
        <v>2.358</v>
      </c>
      <c r="E6997">
        <v>22.27</v>
      </c>
      <c r="F6997">
        <v>26.87</v>
      </c>
      <c r="G6997">
        <v>19.17</v>
      </c>
      <c r="H6997">
        <v>6.97</v>
      </c>
      <c r="I6997">
        <v>8.382</v>
      </c>
      <c r="J6997">
        <v>22.41</v>
      </c>
      <c r="K6997">
        <v>27.03</v>
      </c>
      <c r="L6997">
        <v>19.33</v>
      </c>
      <c r="M6997">
        <v>23.51</v>
      </c>
      <c r="N6997">
        <v>20.088</v>
      </c>
      <c r="O6997">
        <v>22.72</v>
      </c>
      <c r="P6997">
        <v>26.7</v>
      </c>
      <c r="Q6997">
        <v>20.43</v>
      </c>
      <c r="R6997">
        <v>25.59</v>
      </c>
    </row>
    <row r="6998">
      <c r="A6998" s="9">
        <v>45529</v>
      </c>
      <c r="B6998" s="2" t="inlineStr">
        <is>
          <t xml:space="preserve">2024-08</t>
        </is>
      </c>
      <c r="C6998" s="2" t="inlineStr">
        <is>
          <t xml:space="preserve">2024/25</t>
        </is>
      </c>
      <c r="D6998">
        <v>2.473</v>
      </c>
      <c r="E6998">
        <v>22.35</v>
      </c>
      <c r="F6998">
        <v>26.41</v>
      </c>
      <c r="G6998">
        <v>18.83</v>
      </c>
      <c r="H6998">
        <v>6.61</v>
      </c>
      <c r="I6998">
        <v>27.389</v>
      </c>
      <c r="J6998">
        <v>22.53</v>
      </c>
      <c r="K6998">
        <v>27.49</v>
      </c>
      <c r="L6998">
        <v>18.32</v>
      </c>
      <c r="M6998">
        <v>9.65</v>
      </c>
      <c r="N6998">
        <v>12.48</v>
      </c>
      <c r="O6998">
        <v>22.76</v>
      </c>
      <c r="P6998">
        <v>27.08</v>
      </c>
      <c r="Q6998">
        <v>19.51</v>
      </c>
      <c r="R6998">
        <v>9.61</v>
      </c>
    </row>
    <row r="6999">
      <c r="A6999" s="9">
        <v>45530</v>
      </c>
      <c r="B6999" s="2" t="inlineStr">
        <is>
          <t xml:space="preserve">2024-08</t>
        </is>
      </c>
      <c r="C6999" s="2" t="inlineStr">
        <is>
          <t xml:space="preserve">2024/25</t>
        </is>
      </c>
      <c r="D6999">
        <v>2.109</v>
      </c>
      <c r="E6999">
        <v>22.66</v>
      </c>
      <c r="F6999">
        <v>27.19</v>
      </c>
      <c r="G6999">
        <v>19.31</v>
      </c>
      <c r="H6999">
        <v>3.44</v>
      </c>
      <c r="I6999">
        <v>0.221</v>
      </c>
      <c r="J6999">
        <v>23.07</v>
      </c>
      <c r="K6999">
        <v>27.18</v>
      </c>
      <c r="L6999">
        <v>20.14</v>
      </c>
      <c r="M6999">
        <v>1.13</v>
      </c>
      <c r="N6999">
        <v>0.686</v>
      </c>
      <c r="O6999">
        <v>23.24</v>
      </c>
      <c r="P6999">
        <v>26.99</v>
      </c>
      <c r="Q6999">
        <v>20.86</v>
      </c>
      <c r="R6999">
        <v>2.63</v>
      </c>
    </row>
    <row r="7000">
      <c r="A7000" s="9">
        <v>45531</v>
      </c>
      <c r="B7000" s="2" t="inlineStr">
        <is>
          <t xml:space="preserve">2024-08</t>
        </is>
      </c>
      <c r="C7000" s="2" t="inlineStr">
        <is>
          <t xml:space="preserve">2024/25</t>
        </is>
      </c>
      <c r="D7000">
        <v>5.016</v>
      </c>
      <c r="E7000">
        <v>22.62</v>
      </c>
      <c r="F7000">
        <v>27.03</v>
      </c>
      <c r="G7000">
        <v>19.26</v>
      </c>
      <c r="H7000">
        <v>5.43</v>
      </c>
      <c r="I7000">
        <v>2.337</v>
      </c>
      <c r="J7000">
        <v>23.12</v>
      </c>
      <c r="K7000">
        <v>27.26</v>
      </c>
      <c r="L7000">
        <v>19.42</v>
      </c>
      <c r="M7000">
        <v>2.78</v>
      </c>
      <c r="N7000">
        <v>0.543</v>
      </c>
      <c r="O7000">
        <v>23.36</v>
      </c>
      <c r="P7000">
        <v>27.5</v>
      </c>
      <c r="Q7000">
        <v>20.44</v>
      </c>
      <c r="R7000">
        <v>3.24</v>
      </c>
    </row>
    <row r="7001">
      <c r="A7001" s="9">
        <v>45532</v>
      </c>
      <c r="B7001" s="2" t="inlineStr">
        <is>
          <t xml:space="preserve">2024-08</t>
        </is>
      </c>
      <c r="C7001" s="2" t="inlineStr">
        <is>
          <t xml:space="preserve">2024/25</t>
        </is>
      </c>
      <c r="D7001">
        <v>22.417</v>
      </c>
      <c r="E7001">
        <v>22.27</v>
      </c>
      <c r="F7001">
        <v>26.26</v>
      </c>
      <c r="G7001">
        <v>18.83</v>
      </c>
      <c r="H7001">
        <v>9.31</v>
      </c>
      <c r="I7001">
        <v>0.0</v>
      </c>
      <c r="J7001">
        <v>24.3</v>
      </c>
      <c r="K7001">
        <v>28.68</v>
      </c>
      <c r="L7001">
        <v>21.27</v>
      </c>
      <c r="M7001">
        <v>1.36</v>
      </c>
      <c r="N7001">
        <v>0.357</v>
      </c>
      <c r="O7001">
        <v>23.98</v>
      </c>
      <c r="P7001">
        <v>27.73</v>
      </c>
      <c r="Q7001">
        <v>21.69</v>
      </c>
      <c r="R7001">
        <v>3.85</v>
      </c>
    </row>
    <row r="7002">
      <c r="A7002" s="9">
        <v>45533</v>
      </c>
      <c r="B7002" s="2" t="inlineStr">
        <is>
          <t xml:space="preserve">2024-08</t>
        </is>
      </c>
      <c r="C7002" s="2" t="inlineStr">
        <is>
          <t xml:space="preserve">2024/25</t>
        </is>
      </c>
      <c r="D7002">
        <v>5.558</v>
      </c>
      <c r="E7002">
        <v>22.95</v>
      </c>
      <c r="F7002">
        <v>27.34</v>
      </c>
      <c r="G7002">
        <v>19.88</v>
      </c>
      <c r="H7002">
        <v>2.09</v>
      </c>
      <c r="I7002">
        <v>4.883</v>
      </c>
      <c r="J7002">
        <v>24.67</v>
      </c>
      <c r="K7002">
        <v>29.38</v>
      </c>
      <c r="L7002">
        <v>20.43</v>
      </c>
      <c r="M7002">
        <v>1.59</v>
      </c>
      <c r="N7002">
        <v>0.269</v>
      </c>
      <c r="O7002">
        <v>24.42</v>
      </c>
      <c r="P7002">
        <v>28.65</v>
      </c>
      <c r="Q7002">
        <v>21.62</v>
      </c>
      <c r="R7002">
        <v>0.67</v>
      </c>
    </row>
    <row r="7003">
      <c r="A7003" s="9">
        <v>45534</v>
      </c>
      <c r="B7003" s="2" t="inlineStr">
        <is>
          <t xml:space="preserve">2024-08</t>
        </is>
      </c>
      <c r="C7003" s="2" t="inlineStr">
        <is>
          <t xml:space="preserve">2024/25</t>
        </is>
      </c>
      <c r="D7003">
        <v>2.907</v>
      </c>
      <c r="E7003">
        <v>23.21</v>
      </c>
      <c r="F7003">
        <v>28.48</v>
      </c>
      <c r="G7003">
        <v>18.89</v>
      </c>
      <c r="H7003">
        <v>8.91</v>
      </c>
      <c r="I7003">
        <v>0.0</v>
      </c>
      <c r="J7003">
        <v>24.26</v>
      </c>
      <c r="K7003">
        <v>28.75</v>
      </c>
      <c r="L7003">
        <v>20.96</v>
      </c>
      <c r="M7003">
        <v>0.89</v>
      </c>
      <c r="N7003">
        <v>0.051</v>
      </c>
      <c r="O7003">
        <v>24.31</v>
      </c>
      <c r="P7003">
        <v>28.26</v>
      </c>
      <c r="Q7003">
        <v>22.08</v>
      </c>
      <c r="R7003">
        <v>2.45</v>
      </c>
    </row>
    <row r="7004">
      <c r="A7004" s="9">
        <v>45535</v>
      </c>
      <c r="B7004" s="2" t="inlineStr">
        <is>
          <t xml:space="preserve">2024-08</t>
        </is>
      </c>
      <c r="C7004" s="2" t="inlineStr">
        <is>
          <t xml:space="preserve">2024/25</t>
        </is>
      </c>
      <c r="D7004">
        <v>25.371</v>
      </c>
      <c r="E7004">
        <v>23.47</v>
      </c>
      <c r="F7004">
        <v>28.19</v>
      </c>
      <c r="G7004">
        <v>19.92</v>
      </c>
      <c r="H7004">
        <v>5.85</v>
      </c>
      <c r="I7004">
        <v>0.397</v>
      </c>
      <c r="J7004">
        <v>24.14</v>
      </c>
      <c r="K7004">
        <v>28.62</v>
      </c>
      <c r="L7004">
        <v>20.39</v>
      </c>
      <c r="M7004">
        <v>2.0</v>
      </c>
      <c r="N7004">
        <v>3.747</v>
      </c>
      <c r="O7004">
        <v>24.55</v>
      </c>
      <c r="P7004">
        <v>29.03</v>
      </c>
      <c r="Q7004">
        <v>21.56</v>
      </c>
      <c r="R7004">
        <v>3.05</v>
      </c>
    </row>
    <row r="7005">
      <c r="A7005" s="9">
        <v>45536</v>
      </c>
      <c r="B7005" s="2" t="inlineStr">
        <is>
          <t xml:space="preserve">2024-09</t>
        </is>
      </c>
      <c r="C7005" s="2" t="inlineStr">
        <is>
          <t xml:space="preserve">2024/25</t>
        </is>
      </c>
      <c r="D7005">
        <v>8.216</v>
      </c>
      <c r="E7005">
        <v>23.29</v>
      </c>
      <c r="F7005">
        <v>27.44</v>
      </c>
      <c r="G7005">
        <v>19.88</v>
      </c>
      <c r="H7005">
        <v>7.36</v>
      </c>
      <c r="I7005">
        <v>2.321</v>
      </c>
      <c r="J7005">
        <v>24.03</v>
      </c>
      <c r="K7005">
        <v>27.53</v>
      </c>
      <c r="L7005">
        <v>21.58</v>
      </c>
      <c r="M7005">
        <v>3.45</v>
      </c>
      <c r="N7005">
        <v>1.771</v>
      </c>
      <c r="O7005">
        <v>24.59</v>
      </c>
      <c r="P7005">
        <v>28.13</v>
      </c>
      <c r="Q7005">
        <v>22.03</v>
      </c>
      <c r="R7005">
        <v>3.84</v>
      </c>
    </row>
    <row r="7006">
      <c r="A7006" s="9">
        <v>45537</v>
      </c>
      <c r="B7006" s="2" t="inlineStr">
        <is>
          <t xml:space="preserve">2024-09</t>
        </is>
      </c>
      <c r="C7006" s="2" t="inlineStr">
        <is>
          <t xml:space="preserve">2024/25</t>
        </is>
      </c>
      <c r="D7006">
        <v>7.627</v>
      </c>
      <c r="E7006">
        <v>23.52</v>
      </c>
      <c r="F7006">
        <v>28.46</v>
      </c>
      <c r="G7006">
        <v>19.63</v>
      </c>
      <c r="H7006">
        <v>8.42</v>
      </c>
      <c r="I7006">
        <v>0.688</v>
      </c>
      <c r="J7006">
        <v>24.57</v>
      </c>
      <c r="K7006">
        <v>29.01</v>
      </c>
      <c r="L7006">
        <v>20.99</v>
      </c>
      <c r="M7006">
        <v>3.98</v>
      </c>
      <c r="N7006">
        <v>2.159</v>
      </c>
      <c r="O7006">
        <v>24.91</v>
      </c>
      <c r="P7006">
        <v>29.27</v>
      </c>
      <c r="Q7006">
        <v>22.27</v>
      </c>
      <c r="R7006">
        <v>2.79</v>
      </c>
    </row>
    <row r="7007">
      <c r="A7007" s="9">
        <v>45538</v>
      </c>
      <c r="B7007" s="2" t="inlineStr">
        <is>
          <t xml:space="preserve">2024-09</t>
        </is>
      </c>
      <c r="C7007" s="2" t="inlineStr">
        <is>
          <t xml:space="preserve">2024/25</t>
        </is>
      </c>
      <c r="D7007">
        <v>20.946</v>
      </c>
      <c r="E7007">
        <v>22.89</v>
      </c>
      <c r="F7007">
        <v>27.68</v>
      </c>
      <c r="G7007">
        <v>19.06</v>
      </c>
      <c r="H7007">
        <v>7.55</v>
      </c>
      <c r="I7007">
        <v>17.157</v>
      </c>
      <c r="J7007">
        <v>24.26</v>
      </c>
      <c r="K7007">
        <v>28.54</v>
      </c>
      <c r="L7007">
        <v>20.61</v>
      </c>
      <c r="M7007">
        <v>11.83</v>
      </c>
      <c r="N7007">
        <v>1.378</v>
      </c>
      <c r="O7007">
        <v>24.19</v>
      </c>
      <c r="P7007">
        <v>28.41</v>
      </c>
      <c r="Q7007">
        <v>21.54</v>
      </c>
      <c r="R7007">
        <v>5.24</v>
      </c>
    </row>
    <row r="7008">
      <c r="A7008" s="9">
        <v>45539</v>
      </c>
      <c r="B7008" s="2" t="inlineStr">
        <is>
          <t xml:space="preserve">2024-09</t>
        </is>
      </c>
      <c r="C7008" s="2" t="inlineStr">
        <is>
          <t xml:space="preserve">2024/25</t>
        </is>
      </c>
      <c r="D7008">
        <v>19.99</v>
      </c>
      <c r="E7008">
        <v>22.41</v>
      </c>
      <c r="F7008">
        <v>27.1</v>
      </c>
      <c r="G7008">
        <v>18.58</v>
      </c>
      <c r="H7008">
        <v>8.48</v>
      </c>
      <c r="I7008">
        <v>3.74</v>
      </c>
      <c r="J7008">
        <v>24.03</v>
      </c>
      <c r="K7008">
        <v>28.18</v>
      </c>
      <c r="L7008">
        <v>21.31</v>
      </c>
      <c r="M7008">
        <v>13.65</v>
      </c>
      <c r="N7008">
        <v>5.205</v>
      </c>
      <c r="O7008">
        <v>24.01</v>
      </c>
      <c r="P7008">
        <v>27.63</v>
      </c>
      <c r="Q7008">
        <v>21.54</v>
      </c>
      <c r="R7008">
        <v>10.86</v>
      </c>
    </row>
    <row r="7009">
      <c r="A7009" s="9">
        <v>45540</v>
      </c>
      <c r="B7009" s="2" t="inlineStr">
        <is>
          <t xml:space="preserve">2024-09</t>
        </is>
      </c>
      <c r="C7009" s="2" t="inlineStr">
        <is>
          <t xml:space="preserve">2024/25</t>
        </is>
      </c>
      <c r="D7009">
        <v>4.248</v>
      </c>
      <c r="E7009">
        <v>22.87</v>
      </c>
      <c r="F7009">
        <v>26.85</v>
      </c>
      <c r="G7009">
        <v>20.04</v>
      </c>
      <c r="H7009">
        <v>10.07</v>
      </c>
      <c r="I7009">
        <v>0.127</v>
      </c>
      <c r="J7009">
        <v>23.79</v>
      </c>
      <c r="K7009">
        <v>27.75</v>
      </c>
      <c r="L7009">
        <v>20.63</v>
      </c>
      <c r="M7009">
        <v>2.33</v>
      </c>
      <c r="N7009">
        <v>0.354</v>
      </c>
      <c r="O7009">
        <v>23.9</v>
      </c>
      <c r="P7009">
        <v>27.5</v>
      </c>
      <c r="Q7009">
        <v>21.58</v>
      </c>
      <c r="R7009">
        <v>3.38</v>
      </c>
    </row>
    <row r="7010">
      <c r="A7010" s="9">
        <v>45541</v>
      </c>
      <c r="B7010" s="2" t="inlineStr">
        <is>
          <t xml:space="preserve">2024-09</t>
        </is>
      </c>
      <c r="C7010" s="2" t="inlineStr">
        <is>
          <t xml:space="preserve">2024/25</t>
        </is>
      </c>
      <c r="D7010">
        <v>4.572</v>
      </c>
      <c r="E7010">
        <v>22.01</v>
      </c>
      <c r="F7010">
        <v>26.01</v>
      </c>
      <c r="G7010">
        <v>18.54</v>
      </c>
      <c r="H7010">
        <v>9.2</v>
      </c>
      <c r="I7010">
        <v>15.635</v>
      </c>
      <c r="J7010">
        <v>23.52</v>
      </c>
      <c r="K7010">
        <v>27.14</v>
      </c>
      <c r="L7010">
        <v>21.22</v>
      </c>
      <c r="M7010">
        <v>9.68</v>
      </c>
      <c r="N7010">
        <v>0.791</v>
      </c>
      <c r="O7010">
        <v>23.88</v>
      </c>
      <c r="P7010">
        <v>26.9</v>
      </c>
      <c r="Q7010">
        <v>22.08</v>
      </c>
      <c r="R7010">
        <v>12.93</v>
      </c>
    </row>
    <row r="7011">
      <c r="A7011" s="9">
        <v>45542</v>
      </c>
      <c r="B7011" s="2" t="inlineStr">
        <is>
          <t xml:space="preserve">2024-09</t>
        </is>
      </c>
      <c r="C7011" s="2" t="inlineStr">
        <is>
          <t xml:space="preserve">2024/25</t>
        </is>
      </c>
      <c r="D7011">
        <v>5.587</v>
      </c>
      <c r="E7011">
        <v>23.24</v>
      </c>
      <c r="F7011">
        <v>27.47</v>
      </c>
      <c r="G7011">
        <v>19.66</v>
      </c>
      <c r="H7011">
        <v>6.72</v>
      </c>
      <c r="I7011">
        <v>1.903</v>
      </c>
      <c r="J7011">
        <v>22.95</v>
      </c>
      <c r="K7011">
        <v>27.43</v>
      </c>
      <c r="L7011">
        <v>20.36</v>
      </c>
      <c r="M7011">
        <v>3.57</v>
      </c>
      <c r="N7011">
        <v>10.854</v>
      </c>
      <c r="O7011">
        <v>24.26</v>
      </c>
      <c r="P7011">
        <v>29.1</v>
      </c>
      <c r="Q7011">
        <v>21.09</v>
      </c>
      <c r="R7011">
        <v>7.79</v>
      </c>
    </row>
    <row r="7012">
      <c r="A7012" s="9">
        <v>45543</v>
      </c>
      <c r="B7012" s="2" t="inlineStr">
        <is>
          <t xml:space="preserve">2024-09</t>
        </is>
      </c>
      <c r="C7012" s="2" t="inlineStr">
        <is>
          <t xml:space="preserve">2024/25</t>
        </is>
      </c>
      <c r="D7012">
        <v>2.058</v>
      </c>
      <c r="E7012">
        <v>23.34</v>
      </c>
      <c r="F7012">
        <v>27.23</v>
      </c>
      <c r="G7012">
        <v>20.27</v>
      </c>
      <c r="H7012">
        <v>3.52</v>
      </c>
      <c r="I7012">
        <v>0.062</v>
      </c>
      <c r="J7012">
        <v>22.85</v>
      </c>
      <c r="K7012">
        <v>27.01</v>
      </c>
      <c r="L7012">
        <v>19.57</v>
      </c>
      <c r="M7012">
        <v>0.48</v>
      </c>
      <c r="N7012">
        <v>0.527</v>
      </c>
      <c r="O7012">
        <v>23.75</v>
      </c>
      <c r="P7012">
        <v>28.18</v>
      </c>
      <c r="Q7012">
        <v>20.6</v>
      </c>
      <c r="R7012">
        <v>0.92</v>
      </c>
    </row>
    <row r="7013">
      <c r="A7013" s="9">
        <v>45544</v>
      </c>
      <c r="B7013" s="2" t="inlineStr">
        <is>
          <t xml:space="preserve">2024-09</t>
        </is>
      </c>
      <c r="C7013" s="2" t="inlineStr">
        <is>
          <t xml:space="preserve">2024/25</t>
        </is>
      </c>
      <c r="D7013">
        <v>11.739</v>
      </c>
      <c r="E7013">
        <v>23.2</v>
      </c>
      <c r="F7013">
        <v>27.28</v>
      </c>
      <c r="G7013">
        <v>19.77</v>
      </c>
      <c r="H7013">
        <v>8.15</v>
      </c>
      <c r="I7013">
        <v>0.556</v>
      </c>
      <c r="J7013">
        <v>23.85</v>
      </c>
      <c r="K7013">
        <v>28.36</v>
      </c>
      <c r="L7013">
        <v>20.1</v>
      </c>
      <c r="M7013">
        <v>4.48</v>
      </c>
      <c r="N7013">
        <v>1.761</v>
      </c>
      <c r="O7013">
        <v>23.55</v>
      </c>
      <c r="P7013">
        <v>27.2</v>
      </c>
      <c r="Q7013">
        <v>20.6</v>
      </c>
      <c r="R7013">
        <v>4.75</v>
      </c>
    </row>
    <row r="7014">
      <c r="A7014" s="9">
        <v>45545</v>
      </c>
      <c r="B7014" s="2" t="inlineStr">
        <is>
          <t xml:space="preserve">2024-09</t>
        </is>
      </c>
      <c r="C7014" s="2" t="inlineStr">
        <is>
          <t xml:space="preserve">2024/25</t>
        </is>
      </c>
      <c r="D7014">
        <v>7.29</v>
      </c>
      <c r="E7014">
        <v>23.12</v>
      </c>
      <c r="F7014">
        <v>27.98</v>
      </c>
      <c r="G7014">
        <v>18.98</v>
      </c>
      <c r="H7014">
        <v>4.32</v>
      </c>
      <c r="I7014">
        <v>8.301</v>
      </c>
      <c r="J7014">
        <v>24.4</v>
      </c>
      <c r="K7014">
        <v>28.78</v>
      </c>
      <c r="L7014">
        <v>20.86</v>
      </c>
      <c r="M7014">
        <v>5.44</v>
      </c>
      <c r="N7014">
        <v>1.344</v>
      </c>
      <c r="O7014">
        <v>24.8</v>
      </c>
      <c r="P7014">
        <v>29.25</v>
      </c>
      <c r="Q7014">
        <v>20.71</v>
      </c>
      <c r="R7014">
        <v>4.89</v>
      </c>
    </row>
    <row r="7015">
      <c r="A7015" s="9">
        <v>45546</v>
      </c>
      <c r="B7015" s="2" t="inlineStr">
        <is>
          <t xml:space="preserve">2024-09</t>
        </is>
      </c>
      <c r="C7015" s="2" t="inlineStr">
        <is>
          <t xml:space="preserve">2024/25</t>
        </is>
      </c>
      <c r="D7015">
        <v>1.112</v>
      </c>
      <c r="E7015">
        <v>23.55</v>
      </c>
      <c r="F7015">
        <v>27.94</v>
      </c>
      <c r="G7015">
        <v>19.35</v>
      </c>
      <c r="H7015">
        <v>1.22</v>
      </c>
      <c r="I7015">
        <v>3.875</v>
      </c>
      <c r="J7015">
        <v>24.13</v>
      </c>
      <c r="K7015">
        <v>28.2</v>
      </c>
      <c r="L7015">
        <v>20.54</v>
      </c>
      <c r="M7015">
        <v>5.33</v>
      </c>
      <c r="N7015">
        <v>15.349</v>
      </c>
      <c r="O7015">
        <v>25.23</v>
      </c>
      <c r="P7015">
        <v>29.39</v>
      </c>
      <c r="Q7015">
        <v>21.0</v>
      </c>
      <c r="R7015">
        <v>4.66</v>
      </c>
    </row>
    <row r="7016">
      <c r="A7016" s="9">
        <v>45547</v>
      </c>
      <c r="B7016" s="2" t="inlineStr">
        <is>
          <t xml:space="preserve">2024-09</t>
        </is>
      </c>
      <c r="C7016" s="2" t="inlineStr">
        <is>
          <t xml:space="preserve">2024/25</t>
        </is>
      </c>
      <c r="D7016">
        <v>1.162</v>
      </c>
      <c r="E7016">
        <v>24.37</v>
      </c>
      <c r="F7016">
        <v>29.08</v>
      </c>
      <c r="G7016">
        <v>20.19</v>
      </c>
      <c r="H7016">
        <v>0.34</v>
      </c>
      <c r="I7016">
        <v>0.0</v>
      </c>
      <c r="J7016">
        <v>25.04</v>
      </c>
      <c r="K7016">
        <v>30.09</v>
      </c>
      <c r="L7016">
        <v>20.99</v>
      </c>
      <c r="M7016">
        <v>1.34</v>
      </c>
      <c r="N7016">
        <v>0.102</v>
      </c>
      <c r="O7016">
        <v>25.4</v>
      </c>
      <c r="P7016">
        <v>29.62</v>
      </c>
      <c r="Q7016">
        <v>22.06</v>
      </c>
      <c r="R7016">
        <v>0.36</v>
      </c>
    </row>
    <row r="7017">
      <c r="A7017" s="9">
        <v>45548</v>
      </c>
      <c r="B7017" s="2" t="inlineStr">
        <is>
          <t xml:space="preserve">2024-09</t>
        </is>
      </c>
      <c r="C7017" s="2" t="inlineStr">
        <is>
          <t xml:space="preserve">2024/25</t>
        </is>
      </c>
      <c r="D7017">
        <v>0.257</v>
      </c>
      <c r="E7017">
        <v>24.17</v>
      </c>
      <c r="F7017">
        <v>28.98</v>
      </c>
      <c r="G7017">
        <v>20.05</v>
      </c>
      <c r="H7017">
        <v>0.67</v>
      </c>
      <c r="I7017">
        <v>6.195</v>
      </c>
      <c r="J7017">
        <v>24.57</v>
      </c>
      <c r="K7017">
        <v>28.24</v>
      </c>
      <c r="L7017">
        <v>22.41</v>
      </c>
      <c r="M7017">
        <v>2.12</v>
      </c>
      <c r="N7017">
        <v>0.236</v>
      </c>
      <c r="O7017">
        <v>25.38</v>
      </c>
      <c r="P7017">
        <v>29.8</v>
      </c>
      <c r="Q7017">
        <v>22.45</v>
      </c>
      <c r="R7017">
        <v>0.4</v>
      </c>
    </row>
    <row r="7018">
      <c r="A7018" s="9">
        <v>45549</v>
      </c>
      <c r="B7018" s="2" t="inlineStr">
        <is>
          <t xml:space="preserve">2024-09</t>
        </is>
      </c>
      <c r="C7018" s="2" t="inlineStr">
        <is>
          <t xml:space="preserve">2024/25</t>
        </is>
      </c>
      <c r="D7018">
        <v>2.662</v>
      </c>
      <c r="E7018">
        <v>23.8</v>
      </c>
      <c r="F7018">
        <v>28.67</v>
      </c>
      <c r="G7018">
        <v>19.5</v>
      </c>
      <c r="H7018">
        <v>3.66</v>
      </c>
      <c r="I7018">
        <v>0.659</v>
      </c>
      <c r="J7018">
        <v>24.54</v>
      </c>
      <c r="K7018">
        <v>28.19</v>
      </c>
      <c r="L7018">
        <v>21.45</v>
      </c>
      <c r="M7018">
        <v>3.12</v>
      </c>
      <c r="N7018">
        <v>1.198</v>
      </c>
      <c r="O7018">
        <v>24.57</v>
      </c>
      <c r="P7018">
        <v>28.31</v>
      </c>
      <c r="Q7018">
        <v>22.14</v>
      </c>
      <c r="R7018">
        <v>4.34</v>
      </c>
    </row>
    <row r="7019">
      <c r="A7019" s="9">
        <v>45550</v>
      </c>
      <c r="B7019" s="2" t="inlineStr">
        <is>
          <t xml:space="preserve">2024-09</t>
        </is>
      </c>
      <c r="C7019" s="2" t="inlineStr">
        <is>
          <t xml:space="preserve">2024/25</t>
        </is>
      </c>
      <c r="D7019">
        <v>13.777</v>
      </c>
      <c r="E7019">
        <v>23.64</v>
      </c>
      <c r="F7019">
        <v>27.99</v>
      </c>
      <c r="G7019">
        <v>20.07</v>
      </c>
      <c r="H7019">
        <v>8.62</v>
      </c>
      <c r="I7019">
        <v>4.821</v>
      </c>
      <c r="J7019">
        <v>24.68</v>
      </c>
      <c r="K7019">
        <v>28.38</v>
      </c>
      <c r="L7019">
        <v>21.75</v>
      </c>
      <c r="M7019">
        <v>7.39</v>
      </c>
      <c r="N7019">
        <v>17.847</v>
      </c>
      <c r="O7019">
        <v>24.97</v>
      </c>
      <c r="P7019">
        <v>28.63</v>
      </c>
      <c r="Q7019">
        <v>22.4</v>
      </c>
      <c r="R7019">
        <v>8.91</v>
      </c>
    </row>
    <row r="7020">
      <c r="A7020" s="9">
        <v>45551</v>
      </c>
      <c r="B7020" s="2" t="inlineStr">
        <is>
          <t xml:space="preserve">2024-09</t>
        </is>
      </c>
      <c r="C7020" s="2" t="inlineStr">
        <is>
          <t xml:space="preserve">2024/25</t>
        </is>
      </c>
      <c r="D7020">
        <v>9.798</v>
      </c>
      <c r="E7020">
        <v>23.44</v>
      </c>
      <c r="F7020">
        <v>28.04</v>
      </c>
      <c r="G7020">
        <v>19.4</v>
      </c>
      <c r="H7020">
        <v>2.91</v>
      </c>
      <c r="I7020">
        <v>0.0</v>
      </c>
      <c r="J7020">
        <v>25.0</v>
      </c>
      <c r="K7020">
        <v>28.59</v>
      </c>
      <c r="L7020">
        <v>22.04</v>
      </c>
      <c r="M7020">
        <v>0.1</v>
      </c>
      <c r="N7020">
        <v>0.102</v>
      </c>
      <c r="O7020">
        <v>24.89</v>
      </c>
      <c r="P7020">
        <v>28.92</v>
      </c>
      <c r="Q7020">
        <v>22.68</v>
      </c>
      <c r="R7020">
        <v>0.67</v>
      </c>
    </row>
    <row r="7021">
      <c r="A7021" s="9">
        <v>45552</v>
      </c>
      <c r="B7021" s="2" t="inlineStr">
        <is>
          <t xml:space="preserve">2024-09</t>
        </is>
      </c>
      <c r="C7021" s="2" t="inlineStr">
        <is>
          <t xml:space="preserve">2024/25</t>
        </is>
      </c>
      <c r="D7021">
        <v>4.38</v>
      </c>
      <c r="E7021">
        <v>23.37</v>
      </c>
      <c r="F7021">
        <v>27.62</v>
      </c>
      <c r="G7021">
        <v>19.42</v>
      </c>
      <c r="H7021">
        <v>4.17</v>
      </c>
      <c r="I7021">
        <v>0.0</v>
      </c>
      <c r="J7021">
        <v>24.84</v>
      </c>
      <c r="K7021">
        <v>28.95</v>
      </c>
      <c r="L7021">
        <v>21.14</v>
      </c>
      <c r="M7021">
        <v>0.78</v>
      </c>
      <c r="N7021">
        <v>0.077</v>
      </c>
      <c r="O7021">
        <v>24.8</v>
      </c>
      <c r="P7021">
        <v>28.92</v>
      </c>
      <c r="Q7021">
        <v>21.95</v>
      </c>
      <c r="R7021">
        <v>2.32</v>
      </c>
    </row>
    <row r="7022">
      <c r="A7022" s="9">
        <v>45553</v>
      </c>
      <c r="B7022" s="2" t="inlineStr">
        <is>
          <t xml:space="preserve">2024-09</t>
        </is>
      </c>
      <c r="C7022" s="2" t="inlineStr">
        <is>
          <t xml:space="preserve">2024/25</t>
        </is>
      </c>
      <c r="D7022">
        <v>22.604</v>
      </c>
      <c r="E7022">
        <v>22.94</v>
      </c>
      <c r="F7022">
        <v>26.97</v>
      </c>
      <c r="G7022">
        <v>19.37</v>
      </c>
      <c r="H7022">
        <v>14.31</v>
      </c>
      <c r="I7022">
        <v>0.656</v>
      </c>
      <c r="J7022">
        <v>24.43</v>
      </c>
      <c r="K7022">
        <v>28.57</v>
      </c>
      <c r="L7022">
        <v>20.89</v>
      </c>
      <c r="M7022">
        <v>5.61</v>
      </c>
      <c r="N7022">
        <v>2.227</v>
      </c>
      <c r="O7022">
        <v>24.22</v>
      </c>
      <c r="P7022">
        <v>27.87</v>
      </c>
      <c r="Q7022">
        <v>21.9</v>
      </c>
      <c r="R7022">
        <v>11.27</v>
      </c>
    </row>
    <row r="7023">
      <c r="A7023" s="9">
        <v>45554</v>
      </c>
      <c r="B7023" s="2" t="inlineStr">
        <is>
          <t xml:space="preserve">2024-09</t>
        </is>
      </c>
      <c r="C7023" s="2" t="inlineStr">
        <is>
          <t xml:space="preserve">2024/25</t>
        </is>
      </c>
      <c r="D7023">
        <v>12.481</v>
      </c>
      <c r="E7023">
        <v>22.87</v>
      </c>
      <c r="F7023">
        <v>27.86</v>
      </c>
      <c r="G7023">
        <v>19.0</v>
      </c>
      <c r="H7023">
        <v>9.51</v>
      </c>
      <c r="I7023">
        <v>5.332</v>
      </c>
      <c r="J7023">
        <v>24.62</v>
      </c>
      <c r="K7023">
        <v>28.84</v>
      </c>
      <c r="L7023">
        <v>21.57</v>
      </c>
      <c r="M7023">
        <v>3.35</v>
      </c>
      <c r="N7023">
        <v>2.553</v>
      </c>
      <c r="O7023">
        <v>24.0</v>
      </c>
      <c r="P7023">
        <v>28.08</v>
      </c>
      <c r="Q7023">
        <v>21.28</v>
      </c>
      <c r="R7023">
        <v>9.39</v>
      </c>
    </row>
    <row r="7024">
      <c r="A7024" s="9">
        <v>45555</v>
      </c>
      <c r="B7024" s="2" t="inlineStr">
        <is>
          <t xml:space="preserve">2024-09</t>
        </is>
      </c>
      <c r="C7024" s="2" t="inlineStr">
        <is>
          <t xml:space="preserve">2024/25</t>
        </is>
      </c>
      <c r="D7024">
        <v>2.589</v>
      </c>
      <c r="E7024">
        <v>22.15</v>
      </c>
      <c r="F7024">
        <v>26.62</v>
      </c>
      <c r="G7024">
        <v>18.46</v>
      </c>
      <c r="H7024">
        <v>6.2</v>
      </c>
      <c r="I7024">
        <v>0.693</v>
      </c>
      <c r="J7024">
        <v>24.42</v>
      </c>
      <c r="K7024">
        <v>29.24</v>
      </c>
      <c r="L7024">
        <v>20.78</v>
      </c>
      <c r="M7024">
        <v>9.99</v>
      </c>
      <c r="N7024">
        <v>0.579</v>
      </c>
      <c r="O7024">
        <v>23.83</v>
      </c>
      <c r="P7024">
        <v>27.96</v>
      </c>
      <c r="Q7024">
        <v>20.83</v>
      </c>
      <c r="R7024">
        <v>6.26</v>
      </c>
    </row>
    <row r="7025">
      <c r="A7025" s="9">
        <v>45556</v>
      </c>
      <c r="B7025" s="2" t="inlineStr">
        <is>
          <t xml:space="preserve">2024-09</t>
        </is>
      </c>
      <c r="C7025" s="2" t="inlineStr">
        <is>
          <t xml:space="preserve">2024/25</t>
        </is>
      </c>
      <c r="D7025">
        <v>16.111</v>
      </c>
      <c r="E7025">
        <v>21.4</v>
      </c>
      <c r="F7025">
        <v>24.31</v>
      </c>
      <c r="G7025">
        <v>19.25</v>
      </c>
      <c r="H7025">
        <v>13.3</v>
      </c>
      <c r="I7025">
        <v>26.143</v>
      </c>
      <c r="J7025">
        <v>23.24</v>
      </c>
      <c r="K7025">
        <v>26.7</v>
      </c>
      <c r="L7025">
        <v>20.25</v>
      </c>
      <c r="M7025">
        <v>16.85</v>
      </c>
      <c r="N7025">
        <v>21.767</v>
      </c>
      <c r="O7025">
        <v>23.11</v>
      </c>
      <c r="P7025">
        <v>26.55</v>
      </c>
      <c r="Q7025">
        <v>20.78</v>
      </c>
      <c r="R7025">
        <v>9.24</v>
      </c>
    </row>
    <row r="7026">
      <c r="A7026" s="9">
        <v>45557</v>
      </c>
      <c r="B7026" s="2" t="inlineStr">
        <is>
          <t xml:space="preserve">2024-09</t>
        </is>
      </c>
      <c r="C7026" s="2" t="inlineStr">
        <is>
          <t xml:space="preserve">2024/25</t>
        </is>
      </c>
      <c r="D7026">
        <v>1.628</v>
      </c>
      <c r="E7026">
        <v>21.86</v>
      </c>
      <c r="F7026">
        <v>26.06</v>
      </c>
      <c r="G7026">
        <v>19.06</v>
      </c>
      <c r="H7026">
        <v>7.55</v>
      </c>
      <c r="I7026">
        <v>20.562</v>
      </c>
      <c r="J7026">
        <v>22.28</v>
      </c>
      <c r="K7026">
        <v>26.23</v>
      </c>
      <c r="L7026">
        <v>19.01</v>
      </c>
      <c r="M7026">
        <v>14.95</v>
      </c>
      <c r="N7026">
        <v>7.465</v>
      </c>
      <c r="O7026">
        <v>22.67</v>
      </c>
      <c r="P7026">
        <v>26.15</v>
      </c>
      <c r="Q7026">
        <v>19.76</v>
      </c>
      <c r="R7026">
        <v>6.74</v>
      </c>
    </row>
    <row r="7027">
      <c r="A7027" s="9">
        <v>45558</v>
      </c>
      <c r="B7027" s="2" t="inlineStr">
        <is>
          <t xml:space="preserve">2024-09</t>
        </is>
      </c>
      <c r="C7027" s="2" t="inlineStr">
        <is>
          <t xml:space="preserve">2024/25</t>
        </is>
      </c>
      <c r="D7027">
        <v>23.887</v>
      </c>
      <c r="E7027">
        <v>22.17</v>
      </c>
      <c r="F7027">
        <v>26.7</v>
      </c>
      <c r="G7027">
        <v>18.78</v>
      </c>
      <c r="H7027">
        <v>51.31</v>
      </c>
      <c r="I7027">
        <v>4.192</v>
      </c>
      <c r="J7027">
        <v>22.88</v>
      </c>
      <c r="K7027">
        <v>27.85</v>
      </c>
      <c r="L7027">
        <v>18.49</v>
      </c>
      <c r="M7027">
        <v>7.81</v>
      </c>
      <c r="N7027">
        <v>4.733</v>
      </c>
      <c r="O7027">
        <v>23.11</v>
      </c>
      <c r="P7027">
        <v>27.6</v>
      </c>
      <c r="Q7027">
        <v>19.7</v>
      </c>
      <c r="R7027">
        <v>12.67</v>
      </c>
    </row>
    <row r="7028">
      <c r="A7028" s="9">
        <v>45559</v>
      </c>
      <c r="B7028" s="2" t="inlineStr">
        <is>
          <t xml:space="preserve">2024-09</t>
        </is>
      </c>
      <c r="C7028" s="2" t="inlineStr">
        <is>
          <t xml:space="preserve">2024/25</t>
        </is>
      </c>
      <c r="D7028">
        <v>3.493</v>
      </c>
      <c r="E7028">
        <v>22.18</v>
      </c>
      <c r="F7028">
        <v>26.95</v>
      </c>
      <c r="G7028">
        <v>18.44</v>
      </c>
      <c r="H7028">
        <v>9.12</v>
      </c>
      <c r="I7028">
        <v>7.85</v>
      </c>
      <c r="J7028">
        <v>22.4</v>
      </c>
      <c r="K7028">
        <v>25.98</v>
      </c>
      <c r="L7028">
        <v>20.06</v>
      </c>
      <c r="M7028">
        <v>9.41</v>
      </c>
      <c r="N7028">
        <v>0.995</v>
      </c>
      <c r="O7028">
        <v>23.27</v>
      </c>
      <c r="P7028">
        <v>28.22</v>
      </c>
      <c r="Q7028">
        <v>19.89</v>
      </c>
      <c r="R7028">
        <v>4.12</v>
      </c>
    </row>
    <row r="7029">
      <c r="A7029" s="9">
        <v>45560</v>
      </c>
      <c r="B7029" s="2" t="inlineStr">
        <is>
          <t xml:space="preserve">2024-09</t>
        </is>
      </c>
      <c r="C7029" s="2" t="inlineStr">
        <is>
          <t xml:space="preserve">2024/25</t>
        </is>
      </c>
      <c r="D7029">
        <v>11.328</v>
      </c>
      <c r="E7029">
        <v>21.66</v>
      </c>
      <c r="F7029">
        <v>25.1</v>
      </c>
      <c r="G7029">
        <v>18.36</v>
      </c>
      <c r="H7029">
        <v>11.74</v>
      </c>
      <c r="I7029">
        <v>0.781</v>
      </c>
      <c r="J7029">
        <v>21.87</v>
      </c>
      <c r="K7029">
        <v>24.39</v>
      </c>
      <c r="L7029">
        <v>19.88</v>
      </c>
      <c r="M7029">
        <v>2.39</v>
      </c>
      <c r="N7029">
        <v>2.456</v>
      </c>
      <c r="O7029">
        <v>22.12</v>
      </c>
      <c r="P7029">
        <v>25.13</v>
      </c>
      <c r="Q7029">
        <v>19.36</v>
      </c>
      <c r="R7029">
        <v>4.21</v>
      </c>
    </row>
    <row r="7030">
      <c r="A7030" s="9">
        <v>45561</v>
      </c>
      <c r="B7030" s="2" t="inlineStr">
        <is>
          <t xml:space="preserve">2024-09</t>
        </is>
      </c>
      <c r="C7030" s="2" t="inlineStr">
        <is>
          <t xml:space="preserve">2024/25</t>
        </is>
      </c>
      <c r="D7030">
        <v>4.485</v>
      </c>
      <c r="E7030">
        <v>22.66</v>
      </c>
      <c r="F7030">
        <v>27.04</v>
      </c>
      <c r="G7030">
        <v>18.91</v>
      </c>
      <c r="H7030">
        <v>5.99</v>
      </c>
      <c r="I7030">
        <v>0.0</v>
      </c>
      <c r="J7030">
        <v>23.37</v>
      </c>
      <c r="K7030">
        <v>27.59</v>
      </c>
      <c r="L7030">
        <v>19.76</v>
      </c>
      <c r="M7030">
        <v>1.74</v>
      </c>
      <c r="N7030">
        <v>0.256</v>
      </c>
      <c r="O7030">
        <v>23.87</v>
      </c>
      <c r="P7030">
        <v>28.79</v>
      </c>
      <c r="Q7030">
        <v>19.75</v>
      </c>
      <c r="R7030">
        <v>2.46</v>
      </c>
    </row>
    <row r="7031">
      <c r="A7031" s="9">
        <v>45562</v>
      </c>
      <c r="B7031" s="2" t="inlineStr">
        <is>
          <t xml:space="preserve">2024-09</t>
        </is>
      </c>
      <c r="C7031" s="2" t="inlineStr">
        <is>
          <t xml:space="preserve">2024/25</t>
        </is>
      </c>
      <c r="D7031">
        <v>11.378</v>
      </c>
      <c r="E7031">
        <v>21.92</v>
      </c>
      <c r="F7031">
        <v>25.57</v>
      </c>
      <c r="G7031">
        <v>19.41</v>
      </c>
      <c r="H7031">
        <v>20.61</v>
      </c>
      <c r="I7031">
        <v>6.412</v>
      </c>
      <c r="J7031">
        <v>22.85</v>
      </c>
      <c r="K7031">
        <v>26.55</v>
      </c>
      <c r="L7031">
        <v>20.09</v>
      </c>
      <c r="M7031">
        <v>3.78</v>
      </c>
      <c r="N7031">
        <v>1.336</v>
      </c>
      <c r="O7031">
        <v>23.13</v>
      </c>
      <c r="P7031">
        <v>26.75</v>
      </c>
      <c r="Q7031">
        <v>20.88</v>
      </c>
      <c r="R7031">
        <v>4.96</v>
      </c>
    </row>
    <row r="7032">
      <c r="A7032" s="9">
        <v>45563</v>
      </c>
      <c r="B7032" s="2" t="inlineStr">
        <is>
          <t xml:space="preserve">2024-09</t>
        </is>
      </c>
      <c r="C7032" s="2" t="inlineStr">
        <is>
          <t xml:space="preserve">2024/25</t>
        </is>
      </c>
      <c r="D7032">
        <v>14.579</v>
      </c>
      <c r="E7032">
        <v>21.77</v>
      </c>
      <c r="F7032">
        <v>25.28</v>
      </c>
      <c r="G7032">
        <v>19.27</v>
      </c>
      <c r="H7032">
        <v>4.8</v>
      </c>
      <c r="I7032">
        <v>1.127</v>
      </c>
      <c r="J7032">
        <v>22.09</v>
      </c>
      <c r="K7032">
        <v>26.39</v>
      </c>
      <c r="L7032">
        <v>18.35</v>
      </c>
      <c r="M7032">
        <v>2.92</v>
      </c>
      <c r="N7032">
        <v>2.878</v>
      </c>
      <c r="O7032">
        <v>22.92</v>
      </c>
      <c r="P7032">
        <v>27.01</v>
      </c>
      <c r="Q7032">
        <v>19.15</v>
      </c>
      <c r="R7032">
        <v>3.71</v>
      </c>
    </row>
    <row r="7033">
      <c r="A7033" s="9">
        <v>45564</v>
      </c>
      <c r="B7033" s="2" t="inlineStr">
        <is>
          <t xml:space="preserve">2024-09</t>
        </is>
      </c>
      <c r="C7033" s="2" t="inlineStr">
        <is>
          <t xml:space="preserve">2024/25</t>
        </is>
      </c>
      <c r="D7033">
        <v>9.989</v>
      </c>
      <c r="E7033">
        <v>22.29</v>
      </c>
      <c r="F7033">
        <v>26.59</v>
      </c>
      <c r="G7033">
        <v>18.5</v>
      </c>
      <c r="H7033">
        <v>12.64</v>
      </c>
      <c r="I7033">
        <v>3.288</v>
      </c>
      <c r="J7033">
        <v>23.04</v>
      </c>
      <c r="K7033">
        <v>27.65</v>
      </c>
      <c r="L7033">
        <v>19.43</v>
      </c>
      <c r="M7033">
        <v>6.05</v>
      </c>
      <c r="N7033">
        <v>11.736</v>
      </c>
      <c r="O7033">
        <v>23.86</v>
      </c>
      <c r="P7033">
        <v>28.64</v>
      </c>
      <c r="Q7033">
        <v>20.09</v>
      </c>
      <c r="R7033">
        <v>8.7</v>
      </c>
    </row>
    <row r="7034">
      <c r="A7034" s="9">
        <v>45565</v>
      </c>
      <c r="B7034" s="2" t="inlineStr">
        <is>
          <t xml:space="preserve">2024-09</t>
        </is>
      </c>
      <c r="C7034" s="2" t="inlineStr">
        <is>
          <t xml:space="preserve">2024/25</t>
        </is>
      </c>
      <c r="D7034">
        <v>7.777</v>
      </c>
      <c r="E7034">
        <v>22.32</v>
      </c>
      <c r="F7034">
        <v>26.46</v>
      </c>
      <c r="G7034">
        <v>19.74</v>
      </c>
      <c r="H7034">
        <v>4.32</v>
      </c>
      <c r="I7034">
        <v>0.385</v>
      </c>
      <c r="J7034">
        <v>22.59</v>
      </c>
      <c r="K7034">
        <v>26.49</v>
      </c>
      <c r="L7034">
        <v>19.97</v>
      </c>
      <c r="M7034">
        <v>4.37</v>
      </c>
      <c r="N7034">
        <v>1.143</v>
      </c>
      <c r="O7034">
        <v>23.8</v>
      </c>
      <c r="P7034">
        <v>28.27</v>
      </c>
      <c r="Q7034">
        <v>21.35</v>
      </c>
      <c r="R7034">
        <v>3.99</v>
      </c>
    </row>
    <row r="7035">
      <c r="A7035" s="9">
        <v>45566</v>
      </c>
      <c r="B7035" s="2" t="inlineStr">
        <is>
          <t xml:space="preserve">2024-10</t>
        </is>
      </c>
      <c r="C7035" s="2" t="inlineStr">
        <is>
          <t xml:space="preserve">2024/25</t>
        </is>
      </c>
      <c r="D7035">
        <v>6.403</v>
      </c>
      <c r="E7035">
        <v>21.8</v>
      </c>
      <c r="F7035">
        <v>25.68</v>
      </c>
      <c r="G7035">
        <v>19.1</v>
      </c>
      <c r="H7035">
        <v>8.27</v>
      </c>
      <c r="I7035">
        <v>5.549</v>
      </c>
      <c r="J7035">
        <v>21.78</v>
      </c>
      <c r="K7035">
        <v>24.34</v>
      </c>
      <c r="L7035">
        <v>19.91</v>
      </c>
      <c r="M7035">
        <v>2.35</v>
      </c>
      <c r="N7035">
        <v>1.681</v>
      </c>
      <c r="O7035">
        <v>23.24</v>
      </c>
      <c r="P7035">
        <v>26.62</v>
      </c>
      <c r="Q7035">
        <v>21.01</v>
      </c>
      <c r="R7035">
        <v>6.48</v>
      </c>
    </row>
    <row r="7036">
      <c r="A7036" s="9">
        <v>45567</v>
      </c>
      <c r="B7036" s="2" t="inlineStr">
        <is>
          <t xml:space="preserve">2024-10</t>
        </is>
      </c>
      <c r="C7036" s="2" t="inlineStr">
        <is>
          <t xml:space="preserve">2024/25</t>
        </is>
      </c>
      <c r="D7036">
        <v>0.55</v>
      </c>
      <c r="E7036">
        <v>21.9</v>
      </c>
      <c r="F7036">
        <v>25.97</v>
      </c>
      <c r="G7036">
        <v>18.57</v>
      </c>
      <c r="H7036">
        <v>2.56</v>
      </c>
      <c r="I7036">
        <v>0.0</v>
      </c>
      <c r="J7036">
        <v>21.89</v>
      </c>
      <c r="K7036">
        <v>25.52</v>
      </c>
      <c r="L7036">
        <v>19.57</v>
      </c>
      <c r="M7036">
        <v>0.36</v>
      </c>
      <c r="N7036">
        <v>0.295</v>
      </c>
      <c r="O7036">
        <v>22.71</v>
      </c>
      <c r="P7036">
        <v>26.84</v>
      </c>
      <c r="Q7036">
        <v>20.03</v>
      </c>
      <c r="R7036">
        <v>3.43</v>
      </c>
    </row>
    <row r="7037">
      <c r="A7037" s="9">
        <v>45568</v>
      </c>
      <c r="B7037" s="2" t="inlineStr">
        <is>
          <t xml:space="preserve">2024-10</t>
        </is>
      </c>
      <c r="C7037" s="2" t="inlineStr">
        <is>
          <t xml:space="preserve">2024/25</t>
        </is>
      </c>
      <c r="D7037">
        <v>7.66</v>
      </c>
      <c r="E7037">
        <v>22.07</v>
      </c>
      <c r="F7037">
        <v>25.73</v>
      </c>
      <c r="G7037">
        <v>18.8</v>
      </c>
      <c r="H7037">
        <v>4.72</v>
      </c>
      <c r="I7037">
        <v>0.942</v>
      </c>
      <c r="J7037">
        <v>21.8</v>
      </c>
      <c r="K7037">
        <v>25.95</v>
      </c>
      <c r="L7037">
        <v>18.97</v>
      </c>
      <c r="M7037">
        <v>0.76</v>
      </c>
      <c r="N7037">
        <v>0.222</v>
      </c>
      <c r="O7037">
        <v>22.9</v>
      </c>
      <c r="P7037">
        <v>27.57</v>
      </c>
      <c r="Q7037">
        <v>19.44</v>
      </c>
      <c r="R7037">
        <v>1.18</v>
      </c>
    </row>
    <row r="7038">
      <c r="A7038" s="9">
        <v>45569</v>
      </c>
      <c r="B7038" s="2" t="inlineStr">
        <is>
          <t xml:space="preserve">2024-10</t>
        </is>
      </c>
      <c r="C7038" s="2" t="inlineStr">
        <is>
          <t xml:space="preserve">2024/25</t>
        </is>
      </c>
      <c r="D7038">
        <v>4.181</v>
      </c>
      <c r="E7038">
        <v>23.17</v>
      </c>
      <c r="F7038">
        <v>27.24</v>
      </c>
      <c r="G7038">
        <v>19.27</v>
      </c>
      <c r="H7038">
        <v>2.71</v>
      </c>
      <c r="I7038">
        <v>0.388</v>
      </c>
      <c r="J7038">
        <v>23.04</v>
      </c>
      <c r="K7038">
        <v>28.24</v>
      </c>
      <c r="L7038">
        <v>19.43</v>
      </c>
      <c r="M7038">
        <v>0.57</v>
      </c>
      <c r="N7038">
        <v>0.053</v>
      </c>
      <c r="O7038">
        <v>23.91</v>
      </c>
      <c r="P7038">
        <v>28.69</v>
      </c>
      <c r="Q7038">
        <v>20.1</v>
      </c>
      <c r="R7038">
        <v>1.44</v>
      </c>
    </row>
    <row r="7039">
      <c r="A7039" s="9">
        <v>45570</v>
      </c>
      <c r="B7039" s="2" t="inlineStr">
        <is>
          <t xml:space="preserve">2024-10</t>
        </is>
      </c>
      <c r="C7039" s="2" t="inlineStr">
        <is>
          <t xml:space="preserve">2024/25</t>
        </is>
      </c>
      <c r="D7039">
        <v>0.987</v>
      </c>
      <c r="E7039">
        <v>23.48</v>
      </c>
      <c r="F7039">
        <v>27.41</v>
      </c>
      <c r="G7039">
        <v>19.88</v>
      </c>
      <c r="H7039">
        <v>1.75</v>
      </c>
      <c r="I7039">
        <v>0.57</v>
      </c>
      <c r="J7039">
        <v>23.13</v>
      </c>
      <c r="K7039">
        <v>27.85</v>
      </c>
      <c r="L7039">
        <v>19.09</v>
      </c>
      <c r="M7039">
        <v>1.08</v>
      </c>
      <c r="N7039">
        <v>2.253</v>
      </c>
      <c r="O7039">
        <v>24.33</v>
      </c>
      <c r="P7039">
        <v>27.72</v>
      </c>
      <c r="Q7039">
        <v>20.82</v>
      </c>
      <c r="R7039">
        <v>3.23</v>
      </c>
    </row>
    <row r="7040">
      <c r="A7040" s="9">
        <v>45571</v>
      </c>
      <c r="B7040" s="2" t="inlineStr">
        <is>
          <t xml:space="preserve">2024-10</t>
        </is>
      </c>
      <c r="C7040" s="2" t="inlineStr">
        <is>
          <t xml:space="preserve">2024/25</t>
        </is>
      </c>
      <c r="D7040">
        <v>0.0</v>
      </c>
      <c r="E7040">
        <v>23.53</v>
      </c>
      <c r="F7040">
        <v>28.11</v>
      </c>
      <c r="G7040">
        <v>19.3</v>
      </c>
      <c r="H7040">
        <v>0.0</v>
      </c>
      <c r="I7040">
        <v>0.0</v>
      </c>
      <c r="J7040">
        <v>23.81</v>
      </c>
      <c r="K7040">
        <v>27.69</v>
      </c>
      <c r="L7040">
        <v>20.9</v>
      </c>
      <c r="M7040">
        <v>0.04</v>
      </c>
      <c r="N7040">
        <v>0.041</v>
      </c>
      <c r="O7040">
        <v>24.36</v>
      </c>
      <c r="P7040">
        <v>27.38</v>
      </c>
      <c r="Q7040">
        <v>22.02</v>
      </c>
      <c r="R7040">
        <v>0.02</v>
      </c>
    </row>
    <row r="7041">
      <c r="A7041" s="9">
        <v>45572</v>
      </c>
      <c r="B7041" s="2" t="inlineStr">
        <is>
          <t xml:space="preserve">2024-10</t>
        </is>
      </c>
      <c r="C7041" s="2" t="inlineStr">
        <is>
          <t xml:space="preserve">2024/25</t>
        </is>
      </c>
      <c r="D7041">
        <v>0.0</v>
      </c>
      <c r="E7041">
        <v>23.19</v>
      </c>
      <c r="F7041">
        <v>27.09</v>
      </c>
      <c r="G7041">
        <v>20.02</v>
      </c>
      <c r="H7041">
        <v>4.43</v>
      </c>
      <c r="I7041">
        <v>0.0</v>
      </c>
      <c r="J7041">
        <v>22.24</v>
      </c>
      <c r="K7041">
        <v>25.24</v>
      </c>
      <c r="L7041">
        <v>20.24</v>
      </c>
      <c r="M7041">
        <v>0.11</v>
      </c>
      <c r="N7041">
        <v>0.0</v>
      </c>
      <c r="O7041">
        <v>22.8</v>
      </c>
      <c r="P7041">
        <v>25.15</v>
      </c>
      <c r="Q7041">
        <v>20.61</v>
      </c>
      <c r="R7041">
        <v>0.91</v>
      </c>
    </row>
    <row r="7042">
      <c r="A7042" s="9">
        <v>45573</v>
      </c>
      <c r="B7042" s="2" t="inlineStr">
        <is>
          <t xml:space="preserve">2024-10</t>
        </is>
      </c>
      <c r="C7042" s="2" t="inlineStr">
        <is>
          <t xml:space="preserve">2024/25</t>
        </is>
      </c>
      <c r="D7042">
        <v>7.735</v>
      </c>
      <c r="E7042">
        <v>23.09</v>
      </c>
      <c r="F7042">
        <v>27.58</v>
      </c>
      <c r="G7042">
        <v>19.38</v>
      </c>
      <c r="H7042">
        <v>7.52</v>
      </c>
      <c r="I7042">
        <v>0.0</v>
      </c>
      <c r="J7042">
        <v>22.66</v>
      </c>
      <c r="K7042">
        <v>25.75</v>
      </c>
      <c r="L7042">
        <v>20.37</v>
      </c>
      <c r="M7042">
        <v>0.95</v>
      </c>
      <c r="N7042">
        <v>0.452</v>
      </c>
      <c r="O7042">
        <v>23.42</v>
      </c>
      <c r="P7042">
        <v>28.46</v>
      </c>
      <c r="Q7042">
        <v>19.66</v>
      </c>
      <c r="R7042">
        <v>3.27</v>
      </c>
    </row>
    <row r="7043">
      <c r="A7043" s="9">
        <v>45574</v>
      </c>
      <c r="B7043" s="2" t="inlineStr">
        <is>
          <t xml:space="preserve">2024-10</t>
        </is>
      </c>
      <c r="C7043" s="2" t="inlineStr">
        <is>
          <t xml:space="preserve">2024/25</t>
        </is>
      </c>
      <c r="D7043">
        <v>0.0</v>
      </c>
      <c r="E7043">
        <v>21.64</v>
      </c>
      <c r="F7043">
        <v>25.04</v>
      </c>
      <c r="G7043">
        <v>19.43</v>
      </c>
      <c r="H7043">
        <v>0.83</v>
      </c>
      <c r="I7043">
        <v>0.631</v>
      </c>
      <c r="J7043">
        <v>22.29</v>
      </c>
      <c r="K7043">
        <v>26.34</v>
      </c>
      <c r="L7043">
        <v>19.13</v>
      </c>
      <c r="M7043">
        <v>0.57</v>
      </c>
      <c r="N7043">
        <v>0.0</v>
      </c>
      <c r="O7043">
        <v>22.61</v>
      </c>
      <c r="P7043">
        <v>26.98</v>
      </c>
      <c r="Q7043">
        <v>19.76</v>
      </c>
      <c r="R7043">
        <v>0.1</v>
      </c>
    </row>
    <row r="7044">
      <c r="A7044" s="9">
        <v>45575</v>
      </c>
      <c r="B7044" s="2" t="inlineStr">
        <is>
          <t xml:space="preserve">2024-10</t>
        </is>
      </c>
      <c r="C7044" s="2" t="inlineStr">
        <is>
          <t xml:space="preserve">2024/25</t>
        </is>
      </c>
      <c r="D7044">
        <v>0.0</v>
      </c>
      <c r="E7044">
        <v>21.05</v>
      </c>
      <c r="F7044">
        <v>24.79</v>
      </c>
      <c r="G7044">
        <v>18.51</v>
      </c>
      <c r="H7044">
        <v>2.59</v>
      </c>
      <c r="I7044">
        <v>0.0</v>
      </c>
      <c r="J7044">
        <v>21.14</v>
      </c>
      <c r="K7044">
        <v>25.23</v>
      </c>
      <c r="L7044">
        <v>18.18</v>
      </c>
      <c r="M7044">
        <v>0.1</v>
      </c>
      <c r="N7044">
        <v>0.058</v>
      </c>
      <c r="O7044">
        <v>21.57</v>
      </c>
      <c r="P7044">
        <v>25.48</v>
      </c>
      <c r="Q7044">
        <v>19.05</v>
      </c>
      <c r="R7044">
        <v>1.09</v>
      </c>
    </row>
    <row r="7045">
      <c r="A7045" s="9">
        <v>45576</v>
      </c>
      <c r="B7045" s="2" t="inlineStr">
        <is>
          <t xml:space="preserve">2024-10</t>
        </is>
      </c>
      <c r="C7045" s="2" t="inlineStr">
        <is>
          <t xml:space="preserve">2024/25</t>
        </is>
      </c>
      <c r="D7045">
        <v>0.0</v>
      </c>
      <c r="E7045">
        <v>20.28</v>
      </c>
      <c r="F7045">
        <v>23.99</v>
      </c>
      <c r="G7045">
        <v>17.97</v>
      </c>
      <c r="H7045">
        <v>0.61</v>
      </c>
      <c r="I7045">
        <v>0.0</v>
      </c>
      <c r="J7045">
        <v>20.53</v>
      </c>
      <c r="K7045">
        <v>25.41</v>
      </c>
      <c r="L7045">
        <v>17.46</v>
      </c>
      <c r="M7045">
        <v>0.24</v>
      </c>
      <c r="N7045">
        <v>0.0</v>
      </c>
      <c r="O7045">
        <v>21.05</v>
      </c>
      <c r="P7045">
        <v>25.16</v>
      </c>
      <c r="Q7045">
        <v>18.61</v>
      </c>
      <c r="R7045">
        <v>2.6</v>
      </c>
    </row>
    <row r="7046">
      <c r="A7046" s="9">
        <v>45577</v>
      </c>
      <c r="B7046" s="2" t="inlineStr">
        <is>
          <t xml:space="preserve">2024-10</t>
        </is>
      </c>
      <c r="C7046" s="2" t="inlineStr">
        <is>
          <t xml:space="preserve">2024/25</t>
        </is>
      </c>
      <c r="D7046">
        <v>0.131</v>
      </c>
      <c r="E7046">
        <v>20.83</v>
      </c>
      <c r="F7046">
        <v>24.62</v>
      </c>
      <c r="G7046">
        <v>17.9</v>
      </c>
      <c r="H7046">
        <v>5.2</v>
      </c>
      <c r="I7046">
        <v>0.0</v>
      </c>
      <c r="J7046">
        <v>21.37</v>
      </c>
      <c r="K7046">
        <v>26.03</v>
      </c>
      <c r="L7046">
        <v>18.2</v>
      </c>
      <c r="M7046">
        <v>1.8</v>
      </c>
      <c r="N7046">
        <v>3.547</v>
      </c>
      <c r="O7046">
        <v>21.26</v>
      </c>
      <c r="P7046">
        <v>25.37</v>
      </c>
      <c r="Q7046">
        <v>18.5</v>
      </c>
      <c r="R7046">
        <v>9.14</v>
      </c>
    </row>
    <row r="7047">
      <c r="A7047" s="9">
        <v>45578</v>
      </c>
      <c r="B7047" s="2" t="inlineStr">
        <is>
          <t xml:space="preserve">2024-10</t>
        </is>
      </c>
      <c r="C7047" s="2" t="inlineStr">
        <is>
          <t xml:space="preserve">2024/25</t>
        </is>
      </c>
      <c r="D7047">
        <v>0.0</v>
      </c>
      <c r="E7047">
        <v>20.96</v>
      </c>
      <c r="F7047">
        <v>25.63</v>
      </c>
      <c r="G7047">
        <v>17.9</v>
      </c>
      <c r="H7047">
        <v>0.85</v>
      </c>
      <c r="I7047">
        <v>0.0</v>
      </c>
      <c r="J7047">
        <v>21.03</v>
      </c>
      <c r="K7047">
        <v>23.76</v>
      </c>
      <c r="L7047">
        <v>18.53</v>
      </c>
      <c r="M7047">
        <v>0.04</v>
      </c>
      <c r="N7047">
        <v>0.0</v>
      </c>
      <c r="O7047">
        <v>21.07</v>
      </c>
      <c r="P7047">
        <v>23.55</v>
      </c>
      <c r="Q7047">
        <v>18.76</v>
      </c>
      <c r="R7047">
        <v>0.62</v>
      </c>
    </row>
    <row r="7048">
      <c r="A7048" s="9">
        <v>45579</v>
      </c>
      <c r="B7048" s="2" t="inlineStr">
        <is>
          <t xml:space="preserve">2024-10</t>
        </is>
      </c>
      <c r="C7048" s="2" t="inlineStr">
        <is>
          <t xml:space="preserve">2024/25</t>
        </is>
      </c>
      <c r="D7048">
        <v>0.0</v>
      </c>
      <c r="E7048">
        <v>20.89</v>
      </c>
      <c r="F7048">
        <v>25.17</v>
      </c>
      <c r="G7048">
        <v>17.8</v>
      </c>
      <c r="H7048">
        <v>0.38</v>
      </c>
      <c r="I7048">
        <v>0.0</v>
      </c>
      <c r="J7048">
        <v>21.33</v>
      </c>
      <c r="K7048">
        <v>26.46</v>
      </c>
      <c r="L7048">
        <v>17.57</v>
      </c>
      <c r="M7048">
        <v>0.03</v>
      </c>
      <c r="N7048">
        <v>0.0</v>
      </c>
      <c r="O7048">
        <v>20.86</v>
      </c>
      <c r="P7048">
        <v>24.75</v>
      </c>
      <c r="Q7048">
        <v>17.87</v>
      </c>
      <c r="R7048">
        <v>0.91</v>
      </c>
    </row>
    <row r="7049">
      <c r="A7049" s="9">
        <v>45580</v>
      </c>
      <c r="B7049" s="2" t="inlineStr">
        <is>
          <t xml:space="preserve">2024-10</t>
        </is>
      </c>
      <c r="C7049" s="2" t="inlineStr">
        <is>
          <t xml:space="preserve">2024/25</t>
        </is>
      </c>
      <c r="D7049">
        <v>0.0</v>
      </c>
      <c r="E7049">
        <v>21.28</v>
      </c>
      <c r="F7049">
        <v>25.98</v>
      </c>
      <c r="G7049">
        <v>17.96</v>
      </c>
      <c r="H7049">
        <v>0.43</v>
      </c>
      <c r="I7049">
        <v>0.0</v>
      </c>
      <c r="J7049">
        <v>22.28</v>
      </c>
      <c r="K7049">
        <v>27.46</v>
      </c>
      <c r="L7049">
        <v>17.72</v>
      </c>
      <c r="M7049">
        <v>5.69</v>
      </c>
      <c r="N7049">
        <v>0.0</v>
      </c>
      <c r="O7049">
        <v>22.1</v>
      </c>
      <c r="P7049">
        <v>26.88</v>
      </c>
      <c r="Q7049">
        <v>18.5</v>
      </c>
      <c r="R7049">
        <v>1.95</v>
      </c>
    </row>
    <row r="7050">
      <c r="A7050" s="9">
        <v>45581</v>
      </c>
      <c r="B7050" s="2" t="inlineStr">
        <is>
          <t xml:space="preserve">2024-10</t>
        </is>
      </c>
      <c r="C7050" s="2" t="inlineStr">
        <is>
          <t xml:space="preserve">2024/25</t>
        </is>
      </c>
      <c r="D7050">
        <v>0.499</v>
      </c>
      <c r="E7050">
        <v>21.26</v>
      </c>
      <c r="F7050">
        <v>25.76</v>
      </c>
      <c r="G7050">
        <v>17.69</v>
      </c>
      <c r="H7050">
        <v>2.36</v>
      </c>
      <c r="I7050">
        <v>28.758</v>
      </c>
      <c r="J7050">
        <v>22.35</v>
      </c>
      <c r="K7050">
        <v>26.84</v>
      </c>
      <c r="L7050">
        <v>19.17</v>
      </c>
      <c r="M7050">
        <v>10.42</v>
      </c>
      <c r="N7050">
        <v>1.425</v>
      </c>
      <c r="O7050">
        <v>22.18</v>
      </c>
      <c r="P7050">
        <v>26.53</v>
      </c>
      <c r="Q7050">
        <v>19.2</v>
      </c>
      <c r="R7050">
        <v>4.94</v>
      </c>
    </row>
    <row r="7051">
      <c r="A7051" s="9">
        <v>45582</v>
      </c>
      <c r="B7051" s="2" t="inlineStr">
        <is>
          <t xml:space="preserve">2024-10</t>
        </is>
      </c>
      <c r="C7051" s="2" t="inlineStr">
        <is>
          <t xml:space="preserve">2024/25</t>
        </is>
      </c>
      <c r="D7051">
        <v>0.08</v>
      </c>
      <c r="E7051">
        <v>21.52</v>
      </c>
      <c r="F7051">
        <v>26.35</v>
      </c>
      <c r="G7051">
        <v>17.89</v>
      </c>
      <c r="H7051">
        <v>2.08</v>
      </c>
      <c r="I7051">
        <v>1.797</v>
      </c>
      <c r="J7051">
        <v>22.05</v>
      </c>
      <c r="K7051">
        <v>26.27</v>
      </c>
      <c r="L7051">
        <v>18.51</v>
      </c>
      <c r="M7051">
        <v>0.96</v>
      </c>
      <c r="N7051">
        <v>0.07</v>
      </c>
      <c r="O7051">
        <v>22.32</v>
      </c>
      <c r="P7051">
        <v>26.7</v>
      </c>
      <c r="Q7051">
        <v>19.27</v>
      </c>
      <c r="R7051">
        <v>3.95</v>
      </c>
    </row>
    <row r="7052">
      <c r="A7052" s="9">
        <v>45583</v>
      </c>
      <c r="B7052" s="2" t="inlineStr">
        <is>
          <t xml:space="preserve">2024-10</t>
        </is>
      </c>
      <c r="C7052" s="2" t="inlineStr">
        <is>
          <t xml:space="preserve">2024/25</t>
        </is>
      </c>
      <c r="D7052">
        <v>1.074</v>
      </c>
      <c r="E7052">
        <v>21.5</v>
      </c>
      <c r="F7052">
        <v>24.98</v>
      </c>
      <c r="G7052">
        <v>18.61</v>
      </c>
      <c r="H7052">
        <v>8.91</v>
      </c>
      <c r="I7052">
        <v>0.321</v>
      </c>
      <c r="J7052">
        <v>22.55</v>
      </c>
      <c r="K7052">
        <v>27.33</v>
      </c>
      <c r="L7052">
        <v>19.28</v>
      </c>
      <c r="M7052">
        <v>2.69</v>
      </c>
      <c r="N7052">
        <v>1.975</v>
      </c>
      <c r="O7052">
        <v>22.43</v>
      </c>
      <c r="P7052">
        <v>25.98</v>
      </c>
      <c r="Q7052">
        <v>19.61</v>
      </c>
      <c r="R7052">
        <v>18.43</v>
      </c>
    </row>
    <row r="7053">
      <c r="A7053" s="9">
        <v>45584</v>
      </c>
      <c r="B7053" s="2" t="inlineStr">
        <is>
          <t xml:space="preserve">2024-10</t>
        </is>
      </c>
      <c r="C7053" s="2" t="inlineStr">
        <is>
          <t xml:space="preserve">2024/25</t>
        </is>
      </c>
      <c r="D7053">
        <v>5.647</v>
      </c>
      <c r="E7053">
        <v>21.66</v>
      </c>
      <c r="F7053">
        <v>24.39</v>
      </c>
      <c r="G7053">
        <v>19.67</v>
      </c>
      <c r="H7053">
        <v>10.88</v>
      </c>
      <c r="I7053">
        <v>1.562</v>
      </c>
      <c r="J7053">
        <v>22.61</v>
      </c>
      <c r="K7053">
        <v>26.35</v>
      </c>
      <c r="L7053">
        <v>19.54</v>
      </c>
      <c r="M7053">
        <v>8.72</v>
      </c>
      <c r="N7053">
        <v>9.642</v>
      </c>
      <c r="O7053">
        <v>22.53</v>
      </c>
      <c r="P7053">
        <v>25.27</v>
      </c>
      <c r="Q7053">
        <v>20.58</v>
      </c>
      <c r="R7053">
        <v>13.12</v>
      </c>
    </row>
    <row r="7054">
      <c r="A7054" s="9">
        <v>45585</v>
      </c>
      <c r="B7054" s="2" t="inlineStr">
        <is>
          <t xml:space="preserve">2024-10</t>
        </is>
      </c>
      <c r="C7054" s="2" t="inlineStr">
        <is>
          <t xml:space="preserve">2024/25</t>
        </is>
      </c>
      <c r="D7054">
        <v>7.285</v>
      </c>
      <c r="E7054">
        <v>21.51</v>
      </c>
      <c r="F7054">
        <v>25.44</v>
      </c>
      <c r="G7054">
        <v>18.67</v>
      </c>
      <c r="H7054">
        <v>1.91</v>
      </c>
      <c r="I7054">
        <v>13.353</v>
      </c>
      <c r="J7054">
        <v>22.6</v>
      </c>
      <c r="K7054">
        <v>26.41</v>
      </c>
      <c r="L7054">
        <v>19.86</v>
      </c>
      <c r="M7054">
        <v>5.84</v>
      </c>
      <c r="N7054">
        <v>6.006</v>
      </c>
      <c r="O7054">
        <v>22.74</v>
      </c>
      <c r="P7054">
        <v>26.11</v>
      </c>
      <c r="Q7054">
        <v>20.26</v>
      </c>
      <c r="R7054">
        <v>2.22</v>
      </c>
    </row>
    <row r="7055">
      <c r="A7055" s="9">
        <v>45586</v>
      </c>
      <c r="B7055" s="2" t="inlineStr">
        <is>
          <t xml:space="preserve">2024-10</t>
        </is>
      </c>
      <c r="C7055" s="2" t="inlineStr">
        <is>
          <t xml:space="preserve">2024/25</t>
        </is>
      </c>
      <c r="D7055">
        <v>2.431</v>
      </c>
      <c r="E7055">
        <v>21.38</v>
      </c>
      <c r="F7055">
        <v>24.93</v>
      </c>
      <c r="G7055">
        <v>18.81</v>
      </c>
      <c r="H7055">
        <v>4.93</v>
      </c>
      <c r="I7055">
        <v>4.494</v>
      </c>
      <c r="J7055">
        <v>22.36</v>
      </c>
      <c r="K7055">
        <v>26.86</v>
      </c>
      <c r="L7055">
        <v>19.43</v>
      </c>
      <c r="M7055">
        <v>4.46</v>
      </c>
      <c r="N7055">
        <v>0.3</v>
      </c>
      <c r="O7055">
        <v>22.35</v>
      </c>
      <c r="P7055">
        <v>25.74</v>
      </c>
      <c r="Q7055">
        <v>20.2</v>
      </c>
      <c r="R7055">
        <v>6.5</v>
      </c>
    </row>
    <row r="7056">
      <c r="A7056" s="9">
        <v>45587</v>
      </c>
      <c r="B7056" s="2" t="inlineStr">
        <is>
          <t xml:space="preserve">2024-10</t>
        </is>
      </c>
      <c r="C7056" s="2" t="inlineStr">
        <is>
          <t xml:space="preserve">2024/25</t>
        </is>
      </c>
      <c r="D7056">
        <v>0.028</v>
      </c>
      <c r="E7056">
        <v>22.14</v>
      </c>
      <c r="F7056">
        <v>26.79</v>
      </c>
      <c r="G7056">
        <v>19.01</v>
      </c>
      <c r="H7056">
        <v>4.94</v>
      </c>
      <c r="I7056">
        <v>7.716</v>
      </c>
      <c r="J7056">
        <v>22.34</v>
      </c>
      <c r="K7056">
        <v>26.81</v>
      </c>
      <c r="L7056">
        <v>19.17</v>
      </c>
      <c r="M7056">
        <v>3.66</v>
      </c>
      <c r="N7056">
        <v>1.873</v>
      </c>
      <c r="O7056">
        <v>22.15</v>
      </c>
      <c r="P7056">
        <v>25.58</v>
      </c>
      <c r="Q7056">
        <v>20.24</v>
      </c>
      <c r="R7056">
        <v>10.13</v>
      </c>
    </row>
    <row r="7057">
      <c r="A7057" s="9">
        <v>45588</v>
      </c>
      <c r="B7057" s="2" t="inlineStr">
        <is>
          <t xml:space="preserve">2024-10</t>
        </is>
      </c>
      <c r="C7057" s="2" t="inlineStr">
        <is>
          <t xml:space="preserve">2024/25</t>
        </is>
      </c>
      <c r="D7057">
        <v>0.892</v>
      </c>
      <c r="E7057">
        <v>20.64</v>
      </c>
      <c r="F7057">
        <v>24.99</v>
      </c>
      <c r="G7057">
        <v>17.67</v>
      </c>
      <c r="H7057">
        <v>2.51</v>
      </c>
      <c r="I7057">
        <v>0.065</v>
      </c>
      <c r="J7057">
        <v>21.46</v>
      </c>
      <c r="K7057">
        <v>26.18</v>
      </c>
      <c r="L7057">
        <v>18.27</v>
      </c>
      <c r="M7057">
        <v>0.51</v>
      </c>
      <c r="N7057">
        <v>0.743</v>
      </c>
      <c r="O7057">
        <v>21.33</v>
      </c>
      <c r="P7057">
        <v>25.63</v>
      </c>
      <c r="Q7057">
        <v>18.81</v>
      </c>
      <c r="R7057">
        <v>3.2</v>
      </c>
    </row>
    <row r="7058">
      <c r="A7058" s="9">
        <v>45589</v>
      </c>
      <c r="B7058" s="2" t="inlineStr">
        <is>
          <t xml:space="preserve">2024-10</t>
        </is>
      </c>
      <c r="C7058" s="2" t="inlineStr">
        <is>
          <t xml:space="preserve">2024/25</t>
        </is>
      </c>
      <c r="D7058">
        <v>0.0</v>
      </c>
      <c r="E7058">
        <v>20.86</v>
      </c>
      <c r="F7058">
        <v>25.72</v>
      </c>
      <c r="G7058">
        <v>17.2</v>
      </c>
      <c r="H7058">
        <v>0.67</v>
      </c>
      <c r="I7058">
        <v>0.025</v>
      </c>
      <c r="J7058">
        <v>21.22</v>
      </c>
      <c r="K7058">
        <v>25.98</v>
      </c>
      <c r="L7058">
        <v>17.64</v>
      </c>
      <c r="M7058">
        <v>0.36</v>
      </c>
      <c r="N7058">
        <v>0.339</v>
      </c>
      <c r="O7058">
        <v>21.36</v>
      </c>
      <c r="P7058">
        <v>25.26</v>
      </c>
      <c r="Q7058">
        <v>18.11</v>
      </c>
      <c r="R7058">
        <v>2.08</v>
      </c>
    </row>
    <row r="7059">
      <c r="A7059" s="9">
        <v>45590</v>
      </c>
      <c r="B7059" s="2" t="inlineStr">
        <is>
          <t xml:space="preserve">2024-10</t>
        </is>
      </c>
      <c r="C7059" s="2" t="inlineStr">
        <is>
          <t xml:space="preserve">2024/25</t>
        </is>
      </c>
      <c r="D7059">
        <v>0.0</v>
      </c>
      <c r="E7059">
        <v>21.6</v>
      </c>
      <c r="F7059">
        <v>26.21</v>
      </c>
      <c r="G7059">
        <v>17.97</v>
      </c>
      <c r="H7059">
        <v>0.83</v>
      </c>
      <c r="I7059">
        <v>0.038</v>
      </c>
      <c r="J7059">
        <v>21.98</v>
      </c>
      <c r="K7059">
        <v>27.28</v>
      </c>
      <c r="L7059">
        <v>18.1</v>
      </c>
      <c r="M7059">
        <v>0.18</v>
      </c>
      <c r="N7059">
        <v>0.427</v>
      </c>
      <c r="O7059">
        <v>21.73</v>
      </c>
      <c r="P7059">
        <v>26.27</v>
      </c>
      <c r="Q7059">
        <v>18.33</v>
      </c>
      <c r="R7059">
        <v>0.46</v>
      </c>
    </row>
    <row r="7060">
      <c r="A7060" s="9">
        <v>45591</v>
      </c>
      <c r="B7060" s="2" t="inlineStr">
        <is>
          <t xml:space="preserve">2024-10</t>
        </is>
      </c>
      <c r="C7060" s="2" t="inlineStr">
        <is>
          <t xml:space="preserve">2024/25</t>
        </is>
      </c>
      <c r="D7060">
        <v>2.466</v>
      </c>
      <c r="E7060">
        <v>21.89</v>
      </c>
      <c r="F7060">
        <v>25.79</v>
      </c>
      <c r="G7060">
        <v>19.22</v>
      </c>
      <c r="H7060">
        <v>3.58</v>
      </c>
      <c r="I7060">
        <v>0.792</v>
      </c>
      <c r="J7060">
        <v>22.61</v>
      </c>
      <c r="K7060">
        <v>27.05</v>
      </c>
      <c r="L7060">
        <v>19.53</v>
      </c>
      <c r="M7060">
        <v>1.69</v>
      </c>
      <c r="N7060">
        <v>3.32</v>
      </c>
      <c r="O7060">
        <v>22.82</v>
      </c>
      <c r="P7060">
        <v>26.54</v>
      </c>
      <c r="Q7060">
        <v>20.19</v>
      </c>
      <c r="R7060">
        <v>3.19</v>
      </c>
    </row>
    <row r="7061">
      <c r="A7061" s="9">
        <v>45592</v>
      </c>
      <c r="B7061" s="2" t="inlineStr">
        <is>
          <t xml:space="preserve">2024-10</t>
        </is>
      </c>
      <c r="C7061" s="2" t="inlineStr">
        <is>
          <t xml:space="preserve">2024/25</t>
        </is>
      </c>
      <c r="D7061">
        <v>0.0</v>
      </c>
      <c r="E7061">
        <v>20.91</v>
      </c>
      <c r="F7061">
        <v>24.37</v>
      </c>
      <c r="G7061">
        <v>18.7</v>
      </c>
      <c r="H7061">
        <v>2.91</v>
      </c>
      <c r="I7061">
        <v>0.0</v>
      </c>
      <c r="J7061">
        <v>21.8</v>
      </c>
      <c r="K7061">
        <v>24.89</v>
      </c>
      <c r="L7061">
        <v>19.74</v>
      </c>
      <c r="M7061">
        <v>0.28</v>
      </c>
      <c r="N7061">
        <v>0.106</v>
      </c>
      <c r="O7061">
        <v>22.07</v>
      </c>
      <c r="P7061">
        <v>25.23</v>
      </c>
      <c r="Q7061">
        <v>20.28</v>
      </c>
      <c r="R7061">
        <v>3.31</v>
      </c>
    </row>
    <row r="7062">
      <c r="A7062" s="9">
        <v>45593</v>
      </c>
      <c r="B7062" s="2" t="inlineStr">
        <is>
          <t xml:space="preserve">2024-10</t>
        </is>
      </c>
      <c r="C7062" s="2" t="inlineStr">
        <is>
          <t xml:space="preserve">2024/25</t>
        </is>
      </c>
      <c r="D7062">
        <v>0.289</v>
      </c>
      <c r="E7062">
        <v>21.39</v>
      </c>
      <c r="F7062">
        <v>25.68</v>
      </c>
      <c r="G7062">
        <v>18.3</v>
      </c>
      <c r="H7062">
        <v>3.28</v>
      </c>
      <c r="I7062">
        <v>0.0</v>
      </c>
      <c r="J7062">
        <v>21.76</v>
      </c>
      <c r="K7062">
        <v>26.31</v>
      </c>
      <c r="L7062">
        <v>19.21</v>
      </c>
      <c r="M7062">
        <v>0.28</v>
      </c>
      <c r="N7062">
        <v>0.067</v>
      </c>
      <c r="O7062">
        <v>21.04</v>
      </c>
      <c r="P7062">
        <v>23.35</v>
      </c>
      <c r="Q7062">
        <v>19.24</v>
      </c>
      <c r="R7062">
        <v>3.86</v>
      </c>
    </row>
    <row r="7063">
      <c r="A7063" s="9">
        <v>45594</v>
      </c>
      <c r="B7063" s="2" t="inlineStr">
        <is>
          <t xml:space="preserve">2024-10</t>
        </is>
      </c>
      <c r="C7063" s="2" t="inlineStr">
        <is>
          <t xml:space="preserve">2024/25</t>
        </is>
      </c>
      <c r="D7063">
        <v>0.0</v>
      </c>
      <c r="E7063">
        <v>21.75</v>
      </c>
      <c r="F7063">
        <v>26.05</v>
      </c>
      <c r="G7063">
        <v>18.66</v>
      </c>
      <c r="H7063">
        <v>0.15</v>
      </c>
      <c r="I7063">
        <v>0.0</v>
      </c>
      <c r="J7063">
        <v>22.81</v>
      </c>
      <c r="K7063">
        <v>27.71</v>
      </c>
      <c r="L7063">
        <v>18.93</v>
      </c>
      <c r="M7063">
        <v>0.02</v>
      </c>
      <c r="N7063">
        <v>0.0</v>
      </c>
      <c r="O7063">
        <v>22.48</v>
      </c>
      <c r="P7063">
        <v>26.8</v>
      </c>
      <c r="Q7063">
        <v>19.47</v>
      </c>
      <c r="R7063">
        <v>0.88</v>
      </c>
    </row>
    <row r="7064">
      <c r="A7064" s="9">
        <v>45595</v>
      </c>
      <c r="B7064" s="2" t="inlineStr">
        <is>
          <t xml:space="preserve">2024-10</t>
        </is>
      </c>
      <c r="C7064" s="2" t="inlineStr">
        <is>
          <t xml:space="preserve">2024/25</t>
        </is>
      </c>
      <c r="D7064">
        <v>0.0</v>
      </c>
      <c r="E7064">
        <v>20.98</v>
      </c>
      <c r="F7064">
        <v>25.5</v>
      </c>
      <c r="G7064">
        <v>18.16</v>
      </c>
      <c r="H7064">
        <v>0.74</v>
      </c>
      <c r="I7064">
        <v>0.0</v>
      </c>
      <c r="J7064">
        <v>22.88</v>
      </c>
      <c r="K7064">
        <v>27.89</v>
      </c>
      <c r="L7064">
        <v>19.27</v>
      </c>
      <c r="M7064">
        <v>0.06</v>
      </c>
      <c r="N7064">
        <v>0.0</v>
      </c>
      <c r="O7064">
        <v>22.57</v>
      </c>
      <c r="P7064">
        <v>26.47</v>
      </c>
      <c r="Q7064">
        <v>20.24</v>
      </c>
      <c r="R7064">
        <v>1.59</v>
      </c>
    </row>
    <row r="7065">
      <c r="A7065" s="9">
        <v>45596</v>
      </c>
      <c r="B7065" s="2" t="inlineStr">
        <is>
          <t xml:space="preserve">2024-10</t>
        </is>
      </c>
      <c r="C7065" s="2" t="inlineStr">
        <is>
          <t xml:space="preserve">2024/25</t>
        </is>
      </c>
      <c r="D7065">
        <v>0.0</v>
      </c>
      <c r="E7065">
        <v>20.86</v>
      </c>
      <c r="F7065">
        <v>25.29</v>
      </c>
      <c r="G7065">
        <v>17.36</v>
      </c>
      <c r="H7065">
        <v>3.2</v>
      </c>
      <c r="I7065">
        <v>0.0</v>
      </c>
      <c r="J7065">
        <v>22.84</v>
      </c>
      <c r="K7065">
        <v>27.77</v>
      </c>
      <c r="L7065">
        <v>19.2</v>
      </c>
      <c r="M7065">
        <v>0.34</v>
      </c>
      <c r="N7065">
        <v>0.0</v>
      </c>
      <c r="O7065">
        <v>22.66</v>
      </c>
      <c r="P7065">
        <v>26.75</v>
      </c>
      <c r="Q7065">
        <v>19.86</v>
      </c>
      <c r="R7065">
        <v>1.71</v>
      </c>
    </row>
    <row r="7066">
      <c r="A7066" s="9">
        <v>45597</v>
      </c>
      <c r="B7066" s="2" t="inlineStr">
        <is>
          <t xml:space="preserve">2024-11</t>
        </is>
      </c>
      <c r="C7066" s="2" t="inlineStr">
        <is>
          <t xml:space="preserve">2024/25</t>
        </is>
      </c>
      <c r="D7066">
        <v>1.891</v>
      </c>
      <c r="E7066">
        <v>20.96</v>
      </c>
      <c r="F7066">
        <v>24.98</v>
      </c>
      <c r="G7066">
        <v>18.02</v>
      </c>
      <c r="H7066">
        <v>2.26</v>
      </c>
      <c r="I7066">
        <v>0.256</v>
      </c>
      <c r="J7066">
        <v>21.92</v>
      </c>
      <c r="K7066">
        <v>26.83</v>
      </c>
      <c r="L7066">
        <v>18.0</v>
      </c>
      <c r="M7066">
        <v>0.48</v>
      </c>
      <c r="N7066">
        <v>0.504</v>
      </c>
      <c r="O7066">
        <v>21.75</v>
      </c>
      <c r="P7066">
        <v>26.16</v>
      </c>
      <c r="Q7066">
        <v>18.84</v>
      </c>
      <c r="R7066">
        <v>2.32</v>
      </c>
    </row>
    <row r="7067">
      <c r="A7067" s="9">
        <v>45598</v>
      </c>
      <c r="B7067" s="2" t="inlineStr">
        <is>
          <t xml:space="preserve">2024-11</t>
        </is>
      </c>
      <c r="C7067" s="2" t="inlineStr">
        <is>
          <t xml:space="preserve">2024/25</t>
        </is>
      </c>
      <c r="D7067">
        <v>0.657</v>
      </c>
      <c r="E7067">
        <v>21.24</v>
      </c>
      <c r="F7067">
        <v>25.73</v>
      </c>
      <c r="G7067">
        <v>17.87</v>
      </c>
      <c r="H7067">
        <v>5.5</v>
      </c>
      <c r="I7067">
        <v>2.095</v>
      </c>
      <c r="J7067">
        <v>21.83</v>
      </c>
      <c r="K7067">
        <v>26.83</v>
      </c>
      <c r="L7067">
        <v>18.04</v>
      </c>
      <c r="M7067">
        <v>2.47</v>
      </c>
      <c r="N7067">
        <v>0.901</v>
      </c>
      <c r="O7067">
        <v>21.81</v>
      </c>
      <c r="P7067">
        <v>26.28</v>
      </c>
      <c r="Q7067">
        <v>18.89</v>
      </c>
      <c r="R7067">
        <v>4.17</v>
      </c>
    </row>
    <row r="7068">
      <c r="A7068" s="9">
        <v>45599</v>
      </c>
      <c r="B7068" s="2" t="inlineStr">
        <is>
          <t xml:space="preserve">2024-11</t>
        </is>
      </c>
      <c r="C7068" s="2" t="inlineStr">
        <is>
          <t xml:space="preserve">2024/25</t>
        </is>
      </c>
      <c r="D7068">
        <v>5.314</v>
      </c>
      <c r="E7068">
        <v>21.6</v>
      </c>
      <c r="F7068">
        <v>25.96</v>
      </c>
      <c r="G7068">
        <v>18.28</v>
      </c>
      <c r="H7068">
        <v>8.27</v>
      </c>
      <c r="I7068">
        <v>1.741</v>
      </c>
      <c r="J7068">
        <v>22.33</v>
      </c>
      <c r="K7068">
        <v>27.24</v>
      </c>
      <c r="L7068">
        <v>18.48</v>
      </c>
      <c r="M7068">
        <v>3.25</v>
      </c>
      <c r="N7068">
        <v>5.812</v>
      </c>
      <c r="O7068">
        <v>22.06</v>
      </c>
      <c r="P7068">
        <v>26.2</v>
      </c>
      <c r="Q7068">
        <v>19.17</v>
      </c>
      <c r="R7068">
        <v>10.0</v>
      </c>
    </row>
    <row r="7069">
      <c r="A7069" s="9">
        <v>45600</v>
      </c>
      <c r="B7069" s="2" t="inlineStr">
        <is>
          <t xml:space="preserve">2024-11</t>
        </is>
      </c>
      <c r="C7069" s="2" t="inlineStr">
        <is>
          <t xml:space="preserve">2024/25</t>
        </is>
      </c>
      <c r="D7069">
        <v>9.643</v>
      </c>
      <c r="E7069">
        <v>22.22</v>
      </c>
      <c r="F7069">
        <v>26.53</v>
      </c>
      <c r="G7069">
        <v>18.74</v>
      </c>
      <c r="H7069">
        <v>6.97</v>
      </c>
      <c r="I7069">
        <v>0.0</v>
      </c>
      <c r="J7069">
        <v>23.09</v>
      </c>
      <c r="K7069">
        <v>28.46</v>
      </c>
      <c r="L7069">
        <v>18.62</v>
      </c>
      <c r="M7069">
        <v>0.58</v>
      </c>
      <c r="N7069">
        <v>0.114</v>
      </c>
      <c r="O7069">
        <v>22.82</v>
      </c>
      <c r="P7069">
        <v>27.57</v>
      </c>
      <c r="Q7069">
        <v>19.21</v>
      </c>
      <c r="R7069">
        <v>2.27</v>
      </c>
    </row>
    <row r="7070">
      <c r="A7070" s="9">
        <v>45601</v>
      </c>
      <c r="B7070" s="2" t="inlineStr">
        <is>
          <t xml:space="preserve">2024-11</t>
        </is>
      </c>
      <c r="C7070" s="2" t="inlineStr">
        <is>
          <t xml:space="preserve">2024/25</t>
        </is>
      </c>
      <c r="D7070">
        <v>12.422</v>
      </c>
      <c r="E7070">
        <v>22.56</v>
      </c>
      <c r="F7070">
        <v>26.72</v>
      </c>
      <c r="G7070">
        <v>19.75</v>
      </c>
      <c r="H7070">
        <v>4.58</v>
      </c>
      <c r="I7070">
        <v>1.203</v>
      </c>
      <c r="J7070">
        <v>23.15</v>
      </c>
      <c r="K7070">
        <v>27.08</v>
      </c>
      <c r="L7070">
        <v>20.42</v>
      </c>
      <c r="M7070">
        <v>1.49</v>
      </c>
      <c r="N7070">
        <v>1.455</v>
      </c>
      <c r="O7070">
        <v>23.78</v>
      </c>
      <c r="P7070">
        <v>28.44</v>
      </c>
      <c r="Q7070">
        <v>20.9</v>
      </c>
      <c r="R7070">
        <v>1.98</v>
      </c>
    </row>
    <row r="7071">
      <c r="A7071" s="9">
        <v>45602</v>
      </c>
      <c r="B7071" s="2" t="inlineStr">
        <is>
          <t xml:space="preserve">2024-11</t>
        </is>
      </c>
      <c r="C7071" s="2" t="inlineStr">
        <is>
          <t xml:space="preserve">2024/25</t>
        </is>
      </c>
      <c r="D7071">
        <v>0.049</v>
      </c>
      <c r="E7071">
        <v>22.12</v>
      </c>
      <c r="F7071">
        <v>26.78</v>
      </c>
      <c r="G7071">
        <v>18.59</v>
      </c>
      <c r="H7071">
        <v>0.01</v>
      </c>
      <c r="I7071">
        <v>0.0</v>
      </c>
      <c r="J7071">
        <v>23.35</v>
      </c>
      <c r="K7071">
        <v>27.8</v>
      </c>
      <c r="L7071">
        <v>20.39</v>
      </c>
      <c r="M7071">
        <v>0.01</v>
      </c>
      <c r="N7071">
        <v>0.0</v>
      </c>
      <c r="O7071">
        <v>23.53</v>
      </c>
      <c r="P7071">
        <v>28.48</v>
      </c>
      <c r="Q7071">
        <v>20.25</v>
      </c>
      <c r="R7071">
        <v>0.02</v>
      </c>
    </row>
    <row r="7072">
      <c r="A7072" s="9">
        <v>45603</v>
      </c>
      <c r="B7072" s="2" t="inlineStr">
        <is>
          <t xml:space="preserve">2024-11</t>
        </is>
      </c>
      <c r="C7072" s="2" t="inlineStr">
        <is>
          <t xml:space="preserve">2024/25</t>
        </is>
      </c>
      <c r="D7072">
        <v>0.0</v>
      </c>
      <c r="E7072">
        <v>21.16</v>
      </c>
      <c r="F7072">
        <v>25.79</v>
      </c>
      <c r="G7072">
        <v>17.4</v>
      </c>
      <c r="H7072">
        <v>0.0</v>
      </c>
      <c r="I7072">
        <v>0.0</v>
      </c>
      <c r="J7072">
        <v>23.64</v>
      </c>
      <c r="K7072">
        <v>29.64</v>
      </c>
      <c r="L7072">
        <v>18.96</v>
      </c>
      <c r="M7072">
        <v>0.0</v>
      </c>
      <c r="N7072">
        <v>0.0</v>
      </c>
      <c r="O7072">
        <v>22.82</v>
      </c>
      <c r="P7072">
        <v>27.69</v>
      </c>
      <c r="Q7072">
        <v>19.5</v>
      </c>
      <c r="R7072">
        <v>0.0</v>
      </c>
    </row>
    <row r="7073">
      <c r="A7073" s="9">
        <v>45604</v>
      </c>
      <c r="B7073" s="2" t="inlineStr">
        <is>
          <t xml:space="preserve">2024-11</t>
        </is>
      </c>
      <c r="C7073" s="2" t="inlineStr">
        <is>
          <t xml:space="preserve">2024/25</t>
        </is>
      </c>
      <c r="D7073">
        <v>0.0</v>
      </c>
      <c r="E7073">
        <v>21.23</v>
      </c>
      <c r="F7073">
        <v>24.99</v>
      </c>
      <c r="G7073">
        <v>18.08</v>
      </c>
      <c r="H7073">
        <v>0.12</v>
      </c>
      <c r="I7073">
        <v>0.0</v>
      </c>
      <c r="J7073">
        <v>22.47</v>
      </c>
      <c r="K7073">
        <v>26.79</v>
      </c>
      <c r="L7073">
        <v>18.71</v>
      </c>
      <c r="M7073">
        <v>0.0</v>
      </c>
      <c r="N7073">
        <v>0.0</v>
      </c>
      <c r="O7073">
        <v>21.89</v>
      </c>
      <c r="P7073">
        <v>25.85</v>
      </c>
      <c r="Q7073">
        <v>18.77</v>
      </c>
      <c r="R7073">
        <v>0.0</v>
      </c>
    </row>
    <row r="7074">
      <c r="A7074" s="9">
        <v>45605</v>
      </c>
      <c r="B7074" s="2" t="inlineStr">
        <is>
          <t xml:space="preserve">2024-11</t>
        </is>
      </c>
      <c r="C7074" s="2" t="inlineStr">
        <is>
          <t xml:space="preserve">2024/25</t>
        </is>
      </c>
      <c r="D7074">
        <v>0.024</v>
      </c>
      <c r="E7074">
        <v>21.5</v>
      </c>
      <c r="F7074">
        <v>26.28</v>
      </c>
      <c r="G7074">
        <v>18.43</v>
      </c>
      <c r="H7074">
        <v>0.93</v>
      </c>
      <c r="I7074">
        <v>0.0</v>
      </c>
      <c r="J7074">
        <v>22.87</v>
      </c>
      <c r="K7074">
        <v>28.69</v>
      </c>
      <c r="L7074">
        <v>17.9</v>
      </c>
      <c r="M7074">
        <v>0.0</v>
      </c>
      <c r="N7074">
        <v>0.0</v>
      </c>
      <c r="O7074">
        <v>22.01</v>
      </c>
      <c r="P7074">
        <v>27.02</v>
      </c>
      <c r="Q7074">
        <v>18.19</v>
      </c>
      <c r="R7074">
        <v>0.0</v>
      </c>
    </row>
    <row r="7075">
      <c r="A7075" s="9">
        <v>45606</v>
      </c>
      <c r="B7075" s="2" t="inlineStr">
        <is>
          <t xml:space="preserve">2024-11</t>
        </is>
      </c>
      <c r="C7075" s="2" t="inlineStr">
        <is>
          <t xml:space="preserve">2024/25</t>
        </is>
      </c>
      <c r="D7075">
        <v>0.504</v>
      </c>
      <c r="E7075">
        <v>21.03</v>
      </c>
      <c r="F7075">
        <v>25.27</v>
      </c>
      <c r="G7075">
        <v>17.83</v>
      </c>
      <c r="H7075">
        <v>0.77</v>
      </c>
      <c r="I7075">
        <v>0.0</v>
      </c>
      <c r="J7075">
        <v>22.56</v>
      </c>
      <c r="K7075">
        <v>28.68</v>
      </c>
      <c r="L7075">
        <v>17.51</v>
      </c>
      <c r="M7075">
        <v>0.02</v>
      </c>
      <c r="N7075">
        <v>0.0</v>
      </c>
      <c r="O7075">
        <v>22.13</v>
      </c>
      <c r="P7075">
        <v>26.7</v>
      </c>
      <c r="Q7075">
        <v>18.6</v>
      </c>
      <c r="R7075">
        <v>0.02</v>
      </c>
    </row>
    <row r="7076">
      <c r="A7076" s="9">
        <v>45607</v>
      </c>
      <c r="B7076" s="2" t="inlineStr">
        <is>
          <t xml:space="preserve">2024-11</t>
        </is>
      </c>
      <c r="C7076" s="2" t="inlineStr">
        <is>
          <t xml:space="preserve">2024/25</t>
        </is>
      </c>
      <c r="D7076">
        <v>0.095</v>
      </c>
      <c r="E7076">
        <v>20.45</v>
      </c>
      <c r="F7076">
        <v>24.98</v>
      </c>
      <c r="G7076">
        <v>16.72</v>
      </c>
      <c r="H7076">
        <v>0.17</v>
      </c>
      <c r="I7076">
        <v>0.0</v>
      </c>
      <c r="J7076">
        <v>22.65</v>
      </c>
      <c r="K7076">
        <v>28.39</v>
      </c>
      <c r="L7076">
        <v>18.25</v>
      </c>
      <c r="M7076">
        <v>0.06</v>
      </c>
      <c r="N7076">
        <v>0.0</v>
      </c>
      <c r="O7076">
        <v>22.1</v>
      </c>
      <c r="P7076">
        <v>26.76</v>
      </c>
      <c r="Q7076">
        <v>19.02</v>
      </c>
      <c r="R7076">
        <v>0.04</v>
      </c>
    </row>
    <row r="7077">
      <c r="A7077" s="9">
        <v>45608</v>
      </c>
      <c r="B7077" s="2" t="inlineStr">
        <is>
          <t xml:space="preserve">2024-11</t>
        </is>
      </c>
      <c r="C7077" s="2" t="inlineStr">
        <is>
          <t xml:space="preserve">2024/25</t>
        </is>
      </c>
      <c r="D7077">
        <v>0.038</v>
      </c>
      <c r="E7077">
        <v>20.92</v>
      </c>
      <c r="F7077">
        <v>25.77</v>
      </c>
      <c r="G7077">
        <v>17.05</v>
      </c>
      <c r="H7077">
        <v>0.65</v>
      </c>
      <c r="I7077">
        <v>0.077</v>
      </c>
      <c r="J7077">
        <v>22.43</v>
      </c>
      <c r="K7077">
        <v>27.13</v>
      </c>
      <c r="L7077">
        <v>18.92</v>
      </c>
      <c r="M7077">
        <v>0.35</v>
      </c>
      <c r="N7077">
        <v>0.835</v>
      </c>
      <c r="O7077">
        <v>22.19</v>
      </c>
      <c r="P7077">
        <v>26.73</v>
      </c>
      <c r="Q7077">
        <v>18.47</v>
      </c>
      <c r="R7077">
        <v>0.52</v>
      </c>
    </row>
    <row r="7078">
      <c r="A7078" s="9">
        <v>45609</v>
      </c>
      <c r="B7078" s="2" t="inlineStr">
        <is>
          <t xml:space="preserve">2024-11</t>
        </is>
      </c>
      <c r="C7078" s="2" t="inlineStr">
        <is>
          <t xml:space="preserve">2024/25</t>
        </is>
      </c>
      <c r="D7078">
        <v>1.904</v>
      </c>
      <c r="E7078">
        <v>21.26</v>
      </c>
      <c r="F7078">
        <v>25.86</v>
      </c>
      <c r="G7078">
        <v>18.08</v>
      </c>
      <c r="H7078">
        <v>3.18</v>
      </c>
      <c r="I7078">
        <v>0.0</v>
      </c>
      <c r="J7078">
        <v>22.85</v>
      </c>
      <c r="K7078">
        <v>28.03</v>
      </c>
      <c r="L7078">
        <v>19.3</v>
      </c>
      <c r="M7078">
        <v>1.07</v>
      </c>
      <c r="N7078">
        <v>0.0</v>
      </c>
      <c r="O7078">
        <v>22.43</v>
      </c>
      <c r="P7078">
        <v>27.36</v>
      </c>
      <c r="Q7078">
        <v>19.78</v>
      </c>
      <c r="R7078">
        <v>1.79</v>
      </c>
    </row>
    <row r="7079">
      <c r="A7079" s="9">
        <v>45610</v>
      </c>
      <c r="B7079" s="2" t="inlineStr">
        <is>
          <t xml:space="preserve">2024-11</t>
        </is>
      </c>
      <c r="C7079" s="2" t="inlineStr">
        <is>
          <t xml:space="preserve">2024/25</t>
        </is>
      </c>
      <c r="D7079">
        <v>0.392</v>
      </c>
      <c r="E7079">
        <v>20.02</v>
      </c>
      <c r="F7079">
        <v>23.4</v>
      </c>
      <c r="G7079">
        <v>17.76</v>
      </c>
      <c r="H7079">
        <v>13.36</v>
      </c>
      <c r="I7079">
        <v>2.789</v>
      </c>
      <c r="J7079">
        <v>21.89</v>
      </c>
      <c r="K7079">
        <v>26.9</v>
      </c>
      <c r="L7079">
        <v>18.51</v>
      </c>
      <c r="M7079">
        <v>2.52</v>
      </c>
      <c r="N7079">
        <v>1.025</v>
      </c>
      <c r="O7079">
        <v>21.16</v>
      </c>
      <c r="P7079">
        <v>23.91</v>
      </c>
      <c r="Q7079">
        <v>18.97</v>
      </c>
      <c r="R7079">
        <v>15.32</v>
      </c>
    </row>
    <row r="7080">
      <c r="A7080" s="9">
        <v>45611</v>
      </c>
      <c r="B7080" s="2" t="inlineStr">
        <is>
          <t xml:space="preserve">2024-11</t>
        </is>
      </c>
      <c r="C7080" s="2" t="inlineStr">
        <is>
          <t xml:space="preserve">2024/25</t>
        </is>
      </c>
      <c r="D7080">
        <v>8.568</v>
      </c>
      <c r="E7080">
        <v>19.75</v>
      </c>
      <c r="F7080">
        <v>20.85</v>
      </c>
      <c r="G7080">
        <v>19.09</v>
      </c>
      <c r="H7080">
        <v>45.15</v>
      </c>
      <c r="I7080">
        <v>0.518</v>
      </c>
      <c r="J7080">
        <v>21.33</v>
      </c>
      <c r="K7080">
        <v>24.95</v>
      </c>
      <c r="L7080">
        <v>18.67</v>
      </c>
      <c r="M7080">
        <v>8.45</v>
      </c>
      <c r="N7080">
        <v>3.091</v>
      </c>
      <c r="O7080">
        <v>20.85</v>
      </c>
      <c r="P7080">
        <v>22.69</v>
      </c>
      <c r="Q7080">
        <v>19.65</v>
      </c>
      <c r="R7080">
        <v>48.48</v>
      </c>
    </row>
    <row r="7081">
      <c r="A7081" s="9">
        <v>45612</v>
      </c>
      <c r="B7081" s="2" t="inlineStr">
        <is>
          <t xml:space="preserve">2024-11</t>
        </is>
      </c>
      <c r="C7081" s="2" t="inlineStr">
        <is>
          <t xml:space="preserve">2024/25</t>
        </is>
      </c>
      <c r="D7081">
        <v>13.643</v>
      </c>
      <c r="E7081">
        <v>20.56</v>
      </c>
      <c r="F7081">
        <v>23.08</v>
      </c>
      <c r="G7081">
        <v>19.14</v>
      </c>
      <c r="H7081">
        <v>50.6</v>
      </c>
      <c r="I7081">
        <v>4.05</v>
      </c>
      <c r="J7081">
        <v>20.83</v>
      </c>
      <c r="K7081">
        <v>23.64</v>
      </c>
      <c r="L7081">
        <v>18.93</v>
      </c>
      <c r="M7081">
        <v>28.25</v>
      </c>
      <c r="N7081">
        <v>24.063</v>
      </c>
      <c r="O7081">
        <v>21.11</v>
      </c>
      <c r="P7081">
        <v>23.12</v>
      </c>
      <c r="Q7081">
        <v>20.07</v>
      </c>
      <c r="R7081">
        <v>51.51</v>
      </c>
    </row>
    <row r="7082">
      <c r="A7082" s="9">
        <v>45613</v>
      </c>
      <c r="B7082" s="2" t="inlineStr">
        <is>
          <t xml:space="preserve">2024-11</t>
        </is>
      </c>
      <c r="C7082" s="2" t="inlineStr">
        <is>
          <t xml:space="preserve">2024/25</t>
        </is>
      </c>
      <c r="D7082">
        <v>30.708</v>
      </c>
      <c r="E7082">
        <v>21.1</v>
      </c>
      <c r="F7082">
        <v>23.78</v>
      </c>
      <c r="G7082">
        <v>19.41</v>
      </c>
      <c r="H7082">
        <v>21.7</v>
      </c>
      <c r="I7082">
        <v>32.551</v>
      </c>
      <c r="J7082">
        <v>21.54</v>
      </c>
      <c r="K7082">
        <v>24.07</v>
      </c>
      <c r="L7082">
        <v>19.85</v>
      </c>
      <c r="M7082">
        <v>28.51</v>
      </c>
      <c r="N7082">
        <v>27.201</v>
      </c>
      <c r="O7082">
        <v>21.63</v>
      </c>
      <c r="P7082">
        <v>24.01</v>
      </c>
      <c r="Q7082">
        <v>19.72</v>
      </c>
      <c r="R7082">
        <v>12.67</v>
      </c>
    </row>
    <row r="7083">
      <c r="A7083" s="9">
        <v>45614</v>
      </c>
      <c r="B7083" s="2" t="inlineStr">
        <is>
          <t xml:space="preserve">2024-11</t>
        </is>
      </c>
      <c r="C7083" s="2" t="inlineStr">
        <is>
          <t xml:space="preserve">2024/25</t>
        </is>
      </c>
      <c r="D7083">
        <v>4.565</v>
      </c>
      <c r="E7083">
        <v>21.78</v>
      </c>
      <c r="F7083">
        <v>26.52</v>
      </c>
      <c r="G7083">
        <v>18.58</v>
      </c>
      <c r="H7083">
        <v>1.28</v>
      </c>
      <c r="I7083">
        <v>24.144</v>
      </c>
      <c r="J7083">
        <v>21.71</v>
      </c>
      <c r="K7083">
        <v>25.71</v>
      </c>
      <c r="L7083">
        <v>18.8</v>
      </c>
      <c r="M7083">
        <v>7.36</v>
      </c>
      <c r="N7083">
        <v>1.446</v>
      </c>
      <c r="O7083">
        <v>22.62</v>
      </c>
      <c r="P7083">
        <v>27.44</v>
      </c>
      <c r="Q7083">
        <v>19.44</v>
      </c>
      <c r="R7083">
        <v>0.88</v>
      </c>
    </row>
    <row r="7084">
      <c r="A7084" s="9">
        <v>45615</v>
      </c>
      <c r="B7084" s="2" t="inlineStr">
        <is>
          <t xml:space="preserve">2024-11</t>
        </is>
      </c>
      <c r="C7084" s="2" t="inlineStr">
        <is>
          <t xml:space="preserve">2024/25</t>
        </is>
      </c>
      <c r="D7084">
        <v>1.937</v>
      </c>
      <c r="E7084">
        <v>22.38</v>
      </c>
      <c r="F7084">
        <v>27.36</v>
      </c>
      <c r="G7084">
        <v>18.03</v>
      </c>
      <c r="H7084">
        <v>1.03</v>
      </c>
      <c r="I7084">
        <v>5.026</v>
      </c>
      <c r="J7084">
        <v>22.81</v>
      </c>
      <c r="K7084">
        <v>27.2</v>
      </c>
      <c r="L7084">
        <v>19.74</v>
      </c>
      <c r="M7084">
        <v>2.17</v>
      </c>
      <c r="N7084">
        <v>0.199</v>
      </c>
      <c r="O7084">
        <v>23.93</v>
      </c>
      <c r="P7084">
        <v>28.87</v>
      </c>
      <c r="Q7084">
        <v>20.09</v>
      </c>
      <c r="R7084">
        <v>0.34</v>
      </c>
    </row>
    <row r="7085">
      <c r="A7085" s="9">
        <v>45616</v>
      </c>
      <c r="B7085" s="2" t="inlineStr">
        <is>
          <t xml:space="preserve">2024-11</t>
        </is>
      </c>
      <c r="C7085" s="2" t="inlineStr">
        <is>
          <t xml:space="preserve">2024/25</t>
        </is>
      </c>
      <c r="D7085">
        <v>0.0</v>
      </c>
      <c r="E7085">
        <v>22.44</v>
      </c>
      <c r="F7085">
        <v>27.09</v>
      </c>
      <c r="G7085">
        <v>19.62</v>
      </c>
      <c r="H7085">
        <v>1.05</v>
      </c>
      <c r="I7085">
        <v>0.0</v>
      </c>
      <c r="J7085">
        <v>22.95</v>
      </c>
      <c r="K7085">
        <v>27.15</v>
      </c>
      <c r="L7085">
        <v>20.07</v>
      </c>
      <c r="M7085">
        <v>3.57</v>
      </c>
      <c r="N7085">
        <v>0.0</v>
      </c>
      <c r="O7085">
        <v>23.35</v>
      </c>
      <c r="P7085">
        <v>26.98</v>
      </c>
      <c r="Q7085">
        <v>20.51</v>
      </c>
      <c r="R7085">
        <v>2.53</v>
      </c>
    </row>
    <row r="7086">
      <c r="A7086" s="9">
        <v>45617</v>
      </c>
      <c r="B7086" s="2" t="inlineStr">
        <is>
          <t xml:space="preserve">2024-11</t>
        </is>
      </c>
      <c r="C7086" s="2" t="inlineStr">
        <is>
          <t xml:space="preserve">2024/25</t>
        </is>
      </c>
      <c r="D7086">
        <v>6.013</v>
      </c>
      <c r="E7086">
        <v>19.68</v>
      </c>
      <c r="F7086">
        <v>23.3</v>
      </c>
      <c r="G7086">
        <v>16.69</v>
      </c>
      <c r="H7086">
        <v>18.93</v>
      </c>
      <c r="I7086">
        <v>12.651</v>
      </c>
      <c r="J7086">
        <v>20.68</v>
      </c>
      <c r="K7086">
        <v>23.08</v>
      </c>
      <c r="L7086">
        <v>17.72</v>
      </c>
      <c r="M7086">
        <v>12.29</v>
      </c>
      <c r="N7086">
        <v>17.129</v>
      </c>
      <c r="O7086">
        <v>20.49</v>
      </c>
      <c r="P7086">
        <v>22.38</v>
      </c>
      <c r="Q7086">
        <v>17.82</v>
      </c>
      <c r="R7086">
        <v>38.7</v>
      </c>
    </row>
    <row r="7087">
      <c r="A7087" s="9">
        <v>45618</v>
      </c>
      <c r="B7087" s="2" t="inlineStr">
        <is>
          <t xml:space="preserve">2024-11</t>
        </is>
      </c>
      <c r="C7087" s="2" t="inlineStr">
        <is>
          <t xml:space="preserve">2024/25</t>
        </is>
      </c>
      <c r="D7087">
        <v>0.0</v>
      </c>
      <c r="E7087">
        <v>17.64</v>
      </c>
      <c r="F7087">
        <v>21.8</v>
      </c>
      <c r="G7087">
        <v>14.56</v>
      </c>
      <c r="H7087">
        <v>1.07</v>
      </c>
      <c r="I7087">
        <v>0.0</v>
      </c>
      <c r="J7087">
        <v>18.78</v>
      </c>
      <c r="K7087">
        <v>22.83</v>
      </c>
      <c r="L7087">
        <v>15.78</v>
      </c>
      <c r="M7087">
        <v>0.01</v>
      </c>
      <c r="N7087">
        <v>0.0</v>
      </c>
      <c r="O7087">
        <v>18.49</v>
      </c>
      <c r="P7087">
        <v>22.01</v>
      </c>
      <c r="Q7087">
        <v>16.05</v>
      </c>
      <c r="R7087">
        <v>0.69</v>
      </c>
    </row>
    <row r="7088">
      <c r="A7088" s="9">
        <v>45619</v>
      </c>
      <c r="B7088" s="2" t="inlineStr">
        <is>
          <t xml:space="preserve">2024-11</t>
        </is>
      </c>
      <c r="C7088" s="2" t="inlineStr">
        <is>
          <t xml:space="preserve">2024/25</t>
        </is>
      </c>
      <c r="D7088">
        <v>0.0</v>
      </c>
      <c r="E7088">
        <v>17.0</v>
      </c>
      <c r="F7088">
        <v>21.71</v>
      </c>
      <c r="G7088">
        <v>13.52</v>
      </c>
      <c r="H7088">
        <v>0.85</v>
      </c>
      <c r="I7088">
        <v>0.0</v>
      </c>
      <c r="J7088">
        <v>16.76</v>
      </c>
      <c r="K7088">
        <v>21.66</v>
      </c>
      <c r="L7088">
        <v>13.56</v>
      </c>
      <c r="M7088">
        <v>0.02</v>
      </c>
      <c r="N7088">
        <v>0.0</v>
      </c>
      <c r="O7088">
        <v>16.74</v>
      </c>
      <c r="P7088">
        <v>20.62</v>
      </c>
      <c r="Q7088">
        <v>14.61</v>
      </c>
      <c r="R7088">
        <v>0.47</v>
      </c>
    </row>
    <row r="7089">
      <c r="A7089" s="9">
        <v>45620</v>
      </c>
      <c r="B7089" s="2" t="inlineStr">
        <is>
          <t xml:space="preserve">2024-11</t>
        </is>
      </c>
      <c r="C7089" s="2" t="inlineStr">
        <is>
          <t xml:space="preserve">2024/25</t>
        </is>
      </c>
      <c r="D7089">
        <v>0.0</v>
      </c>
      <c r="E7089">
        <v>18.29</v>
      </c>
      <c r="F7089">
        <v>23.51</v>
      </c>
      <c r="G7089">
        <v>14.58</v>
      </c>
      <c r="H7089">
        <v>0.03</v>
      </c>
      <c r="I7089">
        <v>0.0</v>
      </c>
      <c r="J7089">
        <v>18.02</v>
      </c>
      <c r="K7089">
        <v>24.13</v>
      </c>
      <c r="L7089">
        <v>13.09</v>
      </c>
      <c r="M7089">
        <v>0.02</v>
      </c>
      <c r="N7089">
        <v>0.0</v>
      </c>
      <c r="O7089">
        <v>18.15</v>
      </c>
      <c r="P7089">
        <v>22.98</v>
      </c>
      <c r="Q7089">
        <v>14.17</v>
      </c>
      <c r="R7089">
        <v>0.14</v>
      </c>
    </row>
    <row r="7090">
      <c r="A7090" s="9">
        <v>45621</v>
      </c>
      <c r="B7090" s="2" t="inlineStr">
        <is>
          <t xml:space="preserve">2024-11</t>
        </is>
      </c>
      <c r="C7090" s="2" t="inlineStr">
        <is>
          <t xml:space="preserve">2024/25</t>
        </is>
      </c>
      <c r="D7090">
        <v>0.0</v>
      </c>
      <c r="E7090">
        <v>19.27</v>
      </c>
      <c r="F7090">
        <v>24.63</v>
      </c>
      <c r="G7090">
        <v>14.52</v>
      </c>
      <c r="H7090">
        <v>0.59</v>
      </c>
      <c r="I7090">
        <v>0.0</v>
      </c>
      <c r="J7090">
        <v>19.73</v>
      </c>
      <c r="K7090">
        <v>25.41</v>
      </c>
      <c r="L7090">
        <v>15.78</v>
      </c>
      <c r="M7090">
        <v>0.25</v>
      </c>
      <c r="N7090">
        <v>0.0</v>
      </c>
      <c r="O7090">
        <v>19.81</v>
      </c>
      <c r="P7090">
        <v>24.46</v>
      </c>
      <c r="Q7090">
        <v>15.76</v>
      </c>
      <c r="R7090">
        <v>1.82</v>
      </c>
    </row>
    <row r="7091">
      <c r="A7091" s="9">
        <v>45622</v>
      </c>
      <c r="B7091" s="2" t="inlineStr">
        <is>
          <t xml:space="preserve">2024-11</t>
        </is>
      </c>
      <c r="C7091" s="2" t="inlineStr">
        <is>
          <t xml:space="preserve">2024/25</t>
        </is>
      </c>
      <c r="D7091">
        <v>0.0</v>
      </c>
      <c r="E7091">
        <v>20.68</v>
      </c>
      <c r="F7091">
        <v>25.07</v>
      </c>
      <c r="G7091">
        <v>17.8</v>
      </c>
      <c r="H7091">
        <v>6.17</v>
      </c>
      <c r="I7091">
        <v>0.096</v>
      </c>
      <c r="J7091">
        <v>20.71</v>
      </c>
      <c r="K7091">
        <v>25.18</v>
      </c>
      <c r="L7091">
        <v>18.01</v>
      </c>
      <c r="M7091">
        <v>1.68</v>
      </c>
      <c r="N7091">
        <v>1.541</v>
      </c>
      <c r="O7091">
        <v>20.85</v>
      </c>
      <c r="P7091">
        <v>24.58</v>
      </c>
      <c r="Q7091">
        <v>18.97</v>
      </c>
      <c r="R7091">
        <v>15.02</v>
      </c>
    </row>
    <row r="7092">
      <c r="A7092" s="9">
        <v>45623</v>
      </c>
      <c r="B7092" s="2" t="inlineStr">
        <is>
          <t xml:space="preserve">2024-11</t>
        </is>
      </c>
      <c r="C7092" s="2" t="inlineStr">
        <is>
          <t xml:space="preserve">2024/25</t>
        </is>
      </c>
      <c r="D7092">
        <v>0.197</v>
      </c>
      <c r="E7092">
        <v>19.85</v>
      </c>
      <c r="F7092">
        <v>24.04</v>
      </c>
      <c r="G7092">
        <v>17.0</v>
      </c>
      <c r="H7092">
        <v>4.5</v>
      </c>
      <c r="I7092">
        <v>0.0</v>
      </c>
      <c r="J7092">
        <v>20.07</v>
      </c>
      <c r="K7092">
        <v>25.04</v>
      </c>
      <c r="L7092">
        <v>16.9</v>
      </c>
      <c r="M7092">
        <v>0.33</v>
      </c>
      <c r="N7092">
        <v>0.195</v>
      </c>
      <c r="O7092">
        <v>19.99</v>
      </c>
      <c r="P7092">
        <v>23.93</v>
      </c>
      <c r="Q7092">
        <v>17.6</v>
      </c>
      <c r="R7092">
        <v>4.99</v>
      </c>
    </row>
    <row r="7093">
      <c r="A7093" s="9">
        <v>45624</v>
      </c>
      <c r="B7093" s="2" t="inlineStr">
        <is>
          <t xml:space="preserve">2024-11</t>
        </is>
      </c>
      <c r="C7093" s="2" t="inlineStr">
        <is>
          <t xml:space="preserve">2024/25</t>
        </is>
      </c>
      <c r="D7093">
        <v>0.0</v>
      </c>
      <c r="E7093">
        <v>19.35</v>
      </c>
      <c r="F7093">
        <v>24.44</v>
      </c>
      <c r="G7093">
        <v>15.59</v>
      </c>
      <c r="H7093">
        <v>0.01</v>
      </c>
      <c r="I7093">
        <v>0.0</v>
      </c>
      <c r="J7093">
        <v>20.0</v>
      </c>
      <c r="K7093">
        <v>26.43</v>
      </c>
      <c r="L7093">
        <v>15.64</v>
      </c>
      <c r="M7093">
        <v>0.0</v>
      </c>
      <c r="N7093">
        <v>0.0</v>
      </c>
      <c r="O7093">
        <v>19.93</v>
      </c>
      <c r="P7093">
        <v>24.82</v>
      </c>
      <c r="Q7093">
        <v>16.88</v>
      </c>
      <c r="R7093">
        <v>0.04</v>
      </c>
    </row>
    <row r="7094">
      <c r="A7094" s="9">
        <v>45625</v>
      </c>
      <c r="B7094" s="2" t="inlineStr">
        <is>
          <t xml:space="preserve">2024-11</t>
        </is>
      </c>
      <c r="C7094" s="2" t="inlineStr">
        <is>
          <t xml:space="preserve">2024/25</t>
        </is>
      </c>
      <c r="D7094">
        <v>0.0</v>
      </c>
      <c r="E7094">
        <v>19.5</v>
      </c>
      <c r="F7094">
        <v>24.45</v>
      </c>
      <c r="G7094">
        <v>16.52</v>
      </c>
      <c r="H7094">
        <v>0.1</v>
      </c>
      <c r="I7094">
        <v>0.0</v>
      </c>
      <c r="J7094">
        <v>20.06</v>
      </c>
      <c r="K7094">
        <v>26.3</v>
      </c>
      <c r="L7094">
        <v>15.72</v>
      </c>
      <c r="M7094">
        <v>0.1</v>
      </c>
      <c r="N7094">
        <v>0.0</v>
      </c>
      <c r="O7094">
        <v>20.03</v>
      </c>
      <c r="P7094">
        <v>24.88</v>
      </c>
      <c r="Q7094">
        <v>16.89</v>
      </c>
      <c r="R7094">
        <v>0.23</v>
      </c>
    </row>
    <row r="7095">
      <c r="A7095" s="9">
        <v>45626</v>
      </c>
      <c r="B7095" s="2" t="inlineStr">
        <is>
          <t xml:space="preserve">2024-11</t>
        </is>
      </c>
      <c r="C7095" s="2" t="inlineStr">
        <is>
          <t xml:space="preserve">2024/25</t>
        </is>
      </c>
      <c r="D7095">
        <v>0.0</v>
      </c>
      <c r="E7095">
        <v>18.61</v>
      </c>
      <c r="F7095">
        <v>22.62</v>
      </c>
      <c r="G7095">
        <v>15.46</v>
      </c>
      <c r="H7095">
        <v>1.15</v>
      </c>
      <c r="I7095">
        <v>0.0</v>
      </c>
      <c r="J7095">
        <v>19.14</v>
      </c>
      <c r="K7095">
        <v>23.55</v>
      </c>
      <c r="L7095">
        <v>15.95</v>
      </c>
      <c r="M7095">
        <v>0.58</v>
      </c>
      <c r="N7095">
        <v>0.463</v>
      </c>
      <c r="O7095">
        <v>18.87</v>
      </c>
      <c r="P7095">
        <v>22.28</v>
      </c>
      <c r="Q7095">
        <v>16.19</v>
      </c>
      <c r="R7095">
        <v>2.48</v>
      </c>
    </row>
    <row r="7096">
      <c r="A7096" s="9">
        <v>45627</v>
      </c>
      <c r="B7096" s="2" t="inlineStr">
        <is>
          <t xml:space="preserve">2024-12</t>
        </is>
      </c>
      <c r="C7096" s="2" t="inlineStr">
        <is>
          <t xml:space="preserve">2024/25</t>
        </is>
      </c>
      <c r="D7096">
        <v>0.126</v>
      </c>
      <c r="E7096">
        <v>20.38</v>
      </c>
      <c r="F7096">
        <v>24.3</v>
      </c>
      <c r="G7096">
        <v>17.6</v>
      </c>
      <c r="H7096">
        <v>9.65</v>
      </c>
      <c r="I7096">
        <v>0.0</v>
      </c>
      <c r="J7096">
        <v>19.84</v>
      </c>
      <c r="K7096">
        <v>23.3</v>
      </c>
      <c r="L7096">
        <v>17.68</v>
      </c>
      <c r="M7096">
        <v>2.08</v>
      </c>
      <c r="N7096">
        <v>4.097</v>
      </c>
      <c r="O7096">
        <v>19.95</v>
      </c>
      <c r="P7096">
        <v>22.11</v>
      </c>
      <c r="Q7096">
        <v>18.06</v>
      </c>
      <c r="R7096">
        <v>13.48</v>
      </c>
    </row>
    <row r="7097">
      <c r="A7097" s="9">
        <v>45628</v>
      </c>
      <c r="B7097" s="2" t="inlineStr">
        <is>
          <t xml:space="preserve">2024-12</t>
        </is>
      </c>
      <c r="C7097" s="2" t="inlineStr">
        <is>
          <t xml:space="preserve">2024/25</t>
        </is>
      </c>
      <c r="D7097">
        <v>0.827</v>
      </c>
      <c r="E7097">
        <v>19.73</v>
      </c>
      <c r="F7097">
        <v>23.53</v>
      </c>
      <c r="G7097">
        <v>16.66</v>
      </c>
      <c r="H7097">
        <v>7.31</v>
      </c>
      <c r="I7097">
        <v>0.523</v>
      </c>
      <c r="J7097">
        <v>20.79</v>
      </c>
      <c r="K7097">
        <v>24.79</v>
      </c>
      <c r="L7097">
        <v>17.86</v>
      </c>
      <c r="M7097">
        <v>1.88</v>
      </c>
      <c r="N7097">
        <v>2.356</v>
      </c>
      <c r="O7097">
        <v>20.63</v>
      </c>
      <c r="P7097">
        <v>23.22</v>
      </c>
      <c r="Q7097">
        <v>18.24</v>
      </c>
      <c r="R7097">
        <v>11.08</v>
      </c>
    </row>
    <row r="7098">
      <c r="A7098" s="9">
        <v>45629</v>
      </c>
      <c r="B7098" s="2" t="inlineStr">
        <is>
          <t xml:space="preserve">2024-12</t>
        </is>
      </c>
      <c r="C7098" s="2" t="inlineStr">
        <is>
          <t xml:space="preserve">2024/25</t>
        </is>
      </c>
      <c r="D7098">
        <v>0.101</v>
      </c>
      <c r="E7098">
        <v>18.13</v>
      </c>
      <c r="F7098">
        <v>21.5</v>
      </c>
      <c r="G7098">
        <v>15.93</v>
      </c>
      <c r="H7098">
        <v>0.37</v>
      </c>
      <c r="I7098">
        <v>0.0</v>
      </c>
      <c r="J7098">
        <v>19.25</v>
      </c>
      <c r="K7098">
        <v>23.04</v>
      </c>
      <c r="L7098">
        <v>17.29</v>
      </c>
      <c r="M7098">
        <v>0.13</v>
      </c>
      <c r="N7098">
        <v>0.085</v>
      </c>
      <c r="O7098">
        <v>19.17</v>
      </c>
      <c r="P7098">
        <v>22.08</v>
      </c>
      <c r="Q7098">
        <v>17.64</v>
      </c>
      <c r="R7098">
        <v>1.06</v>
      </c>
    </row>
    <row r="7099">
      <c r="A7099" s="9">
        <v>45630</v>
      </c>
      <c r="B7099" s="2" t="inlineStr">
        <is>
          <t xml:space="preserve">2024-12</t>
        </is>
      </c>
      <c r="C7099" s="2" t="inlineStr">
        <is>
          <t xml:space="preserve">2024/25</t>
        </is>
      </c>
      <c r="D7099">
        <v>0.0</v>
      </c>
      <c r="E7099">
        <v>18.25</v>
      </c>
      <c r="F7099">
        <v>22.31</v>
      </c>
      <c r="G7099">
        <v>15.63</v>
      </c>
      <c r="H7099">
        <v>0.81</v>
      </c>
      <c r="I7099">
        <v>0.0</v>
      </c>
      <c r="J7099">
        <v>19.17</v>
      </c>
      <c r="K7099">
        <v>23.14</v>
      </c>
      <c r="L7099">
        <v>17.12</v>
      </c>
      <c r="M7099">
        <v>0.48</v>
      </c>
      <c r="N7099">
        <v>0.134</v>
      </c>
      <c r="O7099">
        <v>18.98</v>
      </c>
      <c r="P7099">
        <v>22.22</v>
      </c>
      <c r="Q7099">
        <v>17.2</v>
      </c>
      <c r="R7099">
        <v>2.44</v>
      </c>
    </row>
    <row r="7100">
      <c r="A7100" s="9">
        <v>45631</v>
      </c>
      <c r="B7100" s="2" t="inlineStr">
        <is>
          <t xml:space="preserve">2024-12</t>
        </is>
      </c>
      <c r="C7100" s="2" t="inlineStr">
        <is>
          <t xml:space="preserve">2024/25</t>
        </is>
      </c>
      <c r="D7100">
        <v>0.0</v>
      </c>
      <c r="E7100">
        <v>18.85</v>
      </c>
      <c r="F7100">
        <v>22.99</v>
      </c>
      <c r="G7100">
        <v>15.98</v>
      </c>
      <c r="H7100">
        <v>2.81</v>
      </c>
      <c r="I7100">
        <v>0.144</v>
      </c>
      <c r="J7100">
        <v>19.57</v>
      </c>
      <c r="K7100">
        <v>24.81</v>
      </c>
      <c r="L7100">
        <v>16.23</v>
      </c>
      <c r="M7100">
        <v>0.76</v>
      </c>
      <c r="N7100">
        <v>0.844</v>
      </c>
      <c r="O7100">
        <v>18.84</v>
      </c>
      <c r="P7100">
        <v>22.65</v>
      </c>
      <c r="Q7100">
        <v>16.6</v>
      </c>
      <c r="R7100">
        <v>6.16</v>
      </c>
    </row>
    <row r="7101">
      <c r="A7101" s="9">
        <v>45632</v>
      </c>
      <c r="B7101" s="2" t="inlineStr">
        <is>
          <t xml:space="preserve">2024-12</t>
        </is>
      </c>
      <c r="C7101" s="2" t="inlineStr">
        <is>
          <t xml:space="preserve">2024/25</t>
        </is>
      </c>
      <c r="D7101">
        <v>0.101</v>
      </c>
      <c r="E7101">
        <v>20.04</v>
      </c>
      <c r="F7101">
        <v>23.87</v>
      </c>
      <c r="G7101">
        <v>17.88</v>
      </c>
      <c r="H7101">
        <v>7.51</v>
      </c>
      <c r="I7101">
        <v>0.07</v>
      </c>
      <c r="J7101">
        <v>19.25</v>
      </c>
      <c r="K7101">
        <v>23.19</v>
      </c>
      <c r="L7101">
        <v>16.58</v>
      </c>
      <c r="M7101">
        <v>1.79</v>
      </c>
      <c r="N7101">
        <v>1.119</v>
      </c>
      <c r="O7101">
        <v>18.8</v>
      </c>
      <c r="P7101">
        <v>20.56</v>
      </c>
      <c r="Q7101">
        <v>17.05</v>
      </c>
      <c r="R7101">
        <v>15.45</v>
      </c>
    </row>
    <row r="7102">
      <c r="A7102" s="9">
        <v>45633</v>
      </c>
      <c r="B7102" s="2" t="inlineStr">
        <is>
          <t xml:space="preserve">2024-12</t>
        </is>
      </c>
      <c r="C7102" s="2" t="inlineStr">
        <is>
          <t xml:space="preserve">2024/25</t>
        </is>
      </c>
      <c r="D7102">
        <v>0.951</v>
      </c>
      <c r="E7102">
        <v>19.54</v>
      </c>
      <c r="F7102">
        <v>22.75</v>
      </c>
      <c r="G7102">
        <v>17.19</v>
      </c>
      <c r="H7102">
        <v>9.67</v>
      </c>
      <c r="I7102">
        <v>0.0</v>
      </c>
      <c r="J7102">
        <v>19.26</v>
      </c>
      <c r="K7102">
        <v>22.14</v>
      </c>
      <c r="L7102">
        <v>17.12</v>
      </c>
      <c r="M7102">
        <v>3.34</v>
      </c>
      <c r="N7102">
        <v>4.744</v>
      </c>
      <c r="O7102">
        <v>19.37</v>
      </c>
      <c r="P7102">
        <v>21.21</v>
      </c>
      <c r="Q7102">
        <v>17.77</v>
      </c>
      <c r="R7102">
        <v>15.58</v>
      </c>
    </row>
    <row r="7103">
      <c r="A7103" s="9">
        <v>45634</v>
      </c>
      <c r="B7103" s="2" t="inlineStr">
        <is>
          <t xml:space="preserve">2024-12</t>
        </is>
      </c>
      <c r="C7103" s="2" t="inlineStr">
        <is>
          <t xml:space="preserve">2024/25</t>
        </is>
      </c>
      <c r="D7103">
        <v>2.522</v>
      </c>
      <c r="E7103">
        <v>20.07</v>
      </c>
      <c r="F7103">
        <v>23.99</v>
      </c>
      <c r="G7103">
        <v>17.65</v>
      </c>
      <c r="H7103">
        <v>8.24</v>
      </c>
      <c r="I7103">
        <v>0.489</v>
      </c>
      <c r="J7103">
        <v>20.07</v>
      </c>
      <c r="K7103">
        <v>24.37</v>
      </c>
      <c r="L7103">
        <v>17.77</v>
      </c>
      <c r="M7103">
        <v>2.52</v>
      </c>
      <c r="N7103">
        <v>6.436</v>
      </c>
      <c r="O7103">
        <v>20.1</v>
      </c>
      <c r="P7103">
        <v>23.15</v>
      </c>
      <c r="Q7103">
        <v>18.63</v>
      </c>
      <c r="R7103">
        <v>10.38</v>
      </c>
    </row>
    <row r="7104">
      <c r="A7104" s="9">
        <v>45635</v>
      </c>
      <c r="B7104" s="2" t="inlineStr">
        <is>
          <t xml:space="preserve">2024-12</t>
        </is>
      </c>
      <c r="C7104" s="2" t="inlineStr">
        <is>
          <t xml:space="preserve">2024/25</t>
        </is>
      </c>
      <c r="D7104">
        <v>0.085</v>
      </c>
      <c r="E7104">
        <v>20.22</v>
      </c>
      <c r="F7104">
        <v>24.74</v>
      </c>
      <c r="G7104">
        <v>16.95</v>
      </c>
      <c r="H7104">
        <v>1.16</v>
      </c>
      <c r="I7104">
        <v>0.0</v>
      </c>
      <c r="J7104">
        <v>21.08</v>
      </c>
      <c r="K7104">
        <v>26.74</v>
      </c>
      <c r="L7104">
        <v>17.05</v>
      </c>
      <c r="M7104">
        <v>0.31</v>
      </c>
      <c r="N7104">
        <v>0.209</v>
      </c>
      <c r="O7104">
        <v>20.93</v>
      </c>
      <c r="P7104">
        <v>25.24</v>
      </c>
      <c r="Q7104">
        <v>18.23</v>
      </c>
      <c r="R7104">
        <v>2.86</v>
      </c>
    </row>
    <row r="7105">
      <c r="A7105" s="9">
        <v>45636</v>
      </c>
      <c r="B7105" s="2" t="inlineStr">
        <is>
          <t xml:space="preserve">2024-12</t>
        </is>
      </c>
      <c r="C7105" s="2" t="inlineStr">
        <is>
          <t xml:space="preserve">2024/25</t>
        </is>
      </c>
      <c r="D7105">
        <v>0.0</v>
      </c>
      <c r="E7105">
        <v>20.78</v>
      </c>
      <c r="F7105">
        <v>25.43</v>
      </c>
      <c r="G7105">
        <v>16.88</v>
      </c>
      <c r="H7105">
        <v>1.01</v>
      </c>
      <c r="I7105">
        <v>0.0</v>
      </c>
      <c r="J7105">
        <v>21.95</v>
      </c>
      <c r="K7105">
        <v>27.85</v>
      </c>
      <c r="L7105">
        <v>17.35</v>
      </c>
      <c r="M7105">
        <v>0.01</v>
      </c>
      <c r="N7105">
        <v>0.0</v>
      </c>
      <c r="O7105">
        <v>21.39</v>
      </c>
      <c r="P7105">
        <v>25.98</v>
      </c>
      <c r="Q7105">
        <v>17.97</v>
      </c>
      <c r="R7105">
        <v>0.14</v>
      </c>
    </row>
    <row r="7106">
      <c r="A7106" s="9">
        <v>45637</v>
      </c>
      <c r="B7106" s="2" t="inlineStr">
        <is>
          <t xml:space="preserve">2024-12</t>
        </is>
      </c>
      <c r="C7106" s="2" t="inlineStr">
        <is>
          <t xml:space="preserve">2024/25</t>
        </is>
      </c>
      <c r="D7106">
        <v>0.1</v>
      </c>
      <c r="E7106">
        <v>20.77</v>
      </c>
      <c r="F7106">
        <v>25.6</v>
      </c>
      <c r="G7106">
        <v>17.4</v>
      </c>
      <c r="H7106">
        <v>0.9</v>
      </c>
      <c r="I7106">
        <v>0.0</v>
      </c>
      <c r="J7106">
        <v>22.37</v>
      </c>
      <c r="K7106">
        <v>28.16</v>
      </c>
      <c r="L7106">
        <v>18.46</v>
      </c>
      <c r="M7106">
        <v>0.08</v>
      </c>
      <c r="N7106">
        <v>0.0</v>
      </c>
      <c r="O7106">
        <v>22.04</v>
      </c>
      <c r="P7106">
        <v>26.93</v>
      </c>
      <c r="Q7106">
        <v>19.08</v>
      </c>
      <c r="R7106">
        <v>1.03</v>
      </c>
    </row>
    <row r="7107">
      <c r="A7107" s="9">
        <v>45638</v>
      </c>
      <c r="B7107" s="2" t="inlineStr">
        <is>
          <t xml:space="preserve">2024-12</t>
        </is>
      </c>
      <c r="C7107" s="2" t="inlineStr">
        <is>
          <t xml:space="preserve">2024/25</t>
        </is>
      </c>
      <c r="D7107">
        <v>0.031</v>
      </c>
      <c r="E7107">
        <v>19.98</v>
      </c>
      <c r="F7107">
        <v>24.22</v>
      </c>
      <c r="G7107">
        <v>17.41</v>
      </c>
      <c r="H7107">
        <v>3.29</v>
      </c>
      <c r="I7107">
        <v>0.0</v>
      </c>
      <c r="J7107">
        <v>21.43</v>
      </c>
      <c r="K7107">
        <v>26.53</v>
      </c>
      <c r="L7107">
        <v>18.89</v>
      </c>
      <c r="M7107">
        <v>0.82</v>
      </c>
      <c r="N7107">
        <v>0.322</v>
      </c>
      <c r="O7107">
        <v>20.85</v>
      </c>
      <c r="P7107">
        <v>24.36</v>
      </c>
      <c r="Q7107">
        <v>19.24</v>
      </c>
      <c r="R7107">
        <v>6.78</v>
      </c>
    </row>
    <row r="7108">
      <c r="A7108" s="9">
        <v>45639</v>
      </c>
      <c r="B7108" s="2" t="inlineStr">
        <is>
          <t xml:space="preserve">2024-12</t>
        </is>
      </c>
      <c r="C7108" s="2" t="inlineStr">
        <is>
          <t xml:space="preserve">2024/25</t>
        </is>
      </c>
      <c r="D7108">
        <v>0.545</v>
      </c>
      <c r="E7108">
        <v>19.31</v>
      </c>
      <c r="F7108">
        <v>23.28</v>
      </c>
      <c r="G7108">
        <v>16.56</v>
      </c>
      <c r="H7108">
        <v>4.66</v>
      </c>
      <c r="I7108">
        <v>0.158</v>
      </c>
      <c r="J7108">
        <v>20.4</v>
      </c>
      <c r="K7108">
        <v>24.87</v>
      </c>
      <c r="L7108">
        <v>17.78</v>
      </c>
      <c r="M7108">
        <v>2.02</v>
      </c>
      <c r="N7108">
        <v>1.565</v>
      </c>
      <c r="O7108">
        <v>20.05</v>
      </c>
      <c r="P7108">
        <v>23.62</v>
      </c>
      <c r="Q7108">
        <v>18.22</v>
      </c>
      <c r="R7108">
        <v>12.19</v>
      </c>
    </row>
    <row r="7109">
      <c r="A7109" s="9">
        <v>45640</v>
      </c>
      <c r="B7109" s="2" t="inlineStr">
        <is>
          <t xml:space="preserve">2024-12</t>
        </is>
      </c>
      <c r="C7109" s="2" t="inlineStr">
        <is>
          <t xml:space="preserve">2024/25</t>
        </is>
      </c>
      <c r="D7109">
        <v>0.364</v>
      </c>
      <c r="E7109">
        <v>19.3</v>
      </c>
      <c r="F7109">
        <v>23.92</v>
      </c>
      <c r="G7109">
        <v>15.98</v>
      </c>
      <c r="H7109">
        <v>4.46</v>
      </c>
      <c r="I7109">
        <v>0.0</v>
      </c>
      <c r="J7109">
        <v>20.91</v>
      </c>
      <c r="K7109">
        <v>26.06</v>
      </c>
      <c r="L7109">
        <v>17.85</v>
      </c>
      <c r="M7109">
        <v>1.69</v>
      </c>
      <c r="N7109">
        <v>3.758</v>
      </c>
      <c r="O7109">
        <v>20.45</v>
      </c>
      <c r="P7109">
        <v>24.59</v>
      </c>
      <c r="Q7109">
        <v>17.94</v>
      </c>
      <c r="R7109">
        <v>7.2</v>
      </c>
    </row>
    <row r="7110">
      <c r="A7110" s="9">
        <v>45641</v>
      </c>
      <c r="B7110" s="2" t="inlineStr">
        <is>
          <t xml:space="preserve">2024-12</t>
        </is>
      </c>
      <c r="C7110" s="2" t="inlineStr">
        <is>
          <t xml:space="preserve">2024/25</t>
        </is>
      </c>
      <c r="D7110">
        <v>0.217</v>
      </c>
      <c r="E7110">
        <v>17.82</v>
      </c>
      <c r="F7110">
        <v>22.31</v>
      </c>
      <c r="G7110">
        <v>14.54</v>
      </c>
      <c r="H7110">
        <v>0.89</v>
      </c>
      <c r="I7110">
        <v>0.0</v>
      </c>
      <c r="J7110">
        <v>20.46</v>
      </c>
      <c r="K7110">
        <v>25.41</v>
      </c>
      <c r="L7110">
        <v>16.43</v>
      </c>
      <c r="M7110">
        <v>0.84</v>
      </c>
      <c r="N7110">
        <v>1.908</v>
      </c>
      <c r="O7110">
        <v>19.89</v>
      </c>
      <c r="P7110">
        <v>23.55</v>
      </c>
      <c r="Q7110">
        <v>16.9</v>
      </c>
      <c r="R7110">
        <v>2.57</v>
      </c>
    </row>
    <row r="7111">
      <c r="A7111" s="9">
        <v>45642</v>
      </c>
      <c r="B7111" s="2" t="inlineStr">
        <is>
          <t xml:space="preserve">2024-12</t>
        </is>
      </c>
      <c r="C7111" s="2" t="inlineStr">
        <is>
          <t xml:space="preserve">2024/25</t>
        </is>
      </c>
      <c r="D7111">
        <v>0.023</v>
      </c>
      <c r="E7111">
        <v>17.83</v>
      </c>
      <c r="F7111">
        <v>23.11</v>
      </c>
      <c r="G7111">
        <v>13.31</v>
      </c>
      <c r="H7111">
        <v>1.45</v>
      </c>
      <c r="I7111">
        <v>0.086</v>
      </c>
      <c r="J7111">
        <v>18.94</v>
      </c>
      <c r="K7111">
        <v>24.86</v>
      </c>
      <c r="L7111">
        <v>14.24</v>
      </c>
      <c r="M7111">
        <v>0.91</v>
      </c>
      <c r="N7111">
        <v>1.141</v>
      </c>
      <c r="O7111">
        <v>18.84</v>
      </c>
      <c r="P7111">
        <v>23.23</v>
      </c>
      <c r="Q7111">
        <v>15.51</v>
      </c>
      <c r="R7111">
        <v>4.5</v>
      </c>
    </row>
    <row r="7112">
      <c r="A7112" s="9">
        <v>45643</v>
      </c>
      <c r="B7112" s="2" t="inlineStr">
        <is>
          <t xml:space="preserve">2024-12</t>
        </is>
      </c>
      <c r="C7112" s="2" t="inlineStr">
        <is>
          <t xml:space="preserve">2024/25</t>
        </is>
      </c>
      <c r="D7112">
        <v>0.0</v>
      </c>
      <c r="E7112">
        <v>19.0</v>
      </c>
      <c r="F7112">
        <v>23.79</v>
      </c>
      <c r="G7112">
        <v>15.74</v>
      </c>
      <c r="H7112">
        <v>1.48</v>
      </c>
      <c r="I7112">
        <v>0.035</v>
      </c>
      <c r="J7112">
        <v>20.13</v>
      </c>
      <c r="K7112">
        <v>25.93</v>
      </c>
      <c r="L7112">
        <v>16.01</v>
      </c>
      <c r="M7112">
        <v>0.44</v>
      </c>
      <c r="N7112">
        <v>0.489</v>
      </c>
      <c r="O7112">
        <v>19.39</v>
      </c>
      <c r="P7112">
        <v>24.02</v>
      </c>
      <c r="Q7112">
        <v>16.32</v>
      </c>
      <c r="R7112">
        <v>2.83</v>
      </c>
    </row>
    <row r="7113">
      <c r="A7113" s="9">
        <v>45644</v>
      </c>
      <c r="B7113" s="2" t="inlineStr">
        <is>
          <t xml:space="preserve">2024-12</t>
        </is>
      </c>
      <c r="C7113" s="2" t="inlineStr">
        <is>
          <t xml:space="preserve">2024/25</t>
        </is>
      </c>
      <c r="D7113">
        <v>0.1</v>
      </c>
      <c r="E7113">
        <v>19.66</v>
      </c>
      <c r="F7113">
        <v>24.3</v>
      </c>
      <c r="G7113">
        <v>16.37</v>
      </c>
      <c r="H7113">
        <v>9.22</v>
      </c>
      <c r="I7113">
        <v>0.685</v>
      </c>
      <c r="J7113">
        <v>20.77</v>
      </c>
      <c r="K7113">
        <v>26.42</v>
      </c>
      <c r="L7113">
        <v>16.76</v>
      </c>
      <c r="M7113">
        <v>1.02</v>
      </c>
      <c r="N7113">
        <v>0.938</v>
      </c>
      <c r="O7113">
        <v>20.3</v>
      </c>
      <c r="P7113">
        <v>25.03</v>
      </c>
      <c r="Q7113">
        <v>17.16</v>
      </c>
      <c r="R7113">
        <v>4.63</v>
      </c>
    </row>
    <row r="7114">
      <c r="A7114" s="9">
        <v>45645</v>
      </c>
      <c r="B7114" s="2" t="inlineStr">
        <is>
          <t xml:space="preserve">2024-12</t>
        </is>
      </c>
      <c r="C7114" s="2" t="inlineStr">
        <is>
          <t xml:space="preserve">2024/25</t>
        </is>
      </c>
      <c r="D7114">
        <v>0.105</v>
      </c>
      <c r="E7114">
        <v>19.47</v>
      </c>
      <c r="F7114">
        <v>23.86</v>
      </c>
      <c r="G7114">
        <v>17.04</v>
      </c>
      <c r="H7114">
        <v>34.52</v>
      </c>
      <c r="I7114">
        <v>0.154</v>
      </c>
      <c r="J7114">
        <v>20.98</v>
      </c>
      <c r="K7114">
        <v>25.93</v>
      </c>
      <c r="L7114">
        <v>18.42</v>
      </c>
      <c r="M7114">
        <v>15.91</v>
      </c>
      <c r="N7114">
        <v>1.384</v>
      </c>
      <c r="O7114">
        <v>19.92</v>
      </c>
      <c r="P7114">
        <v>23.72</v>
      </c>
      <c r="Q7114">
        <v>17.82</v>
      </c>
      <c r="R7114">
        <v>27.22</v>
      </c>
    </row>
    <row r="7115">
      <c r="A7115" s="9">
        <v>45646</v>
      </c>
      <c r="B7115" s="2" t="inlineStr">
        <is>
          <t xml:space="preserve">2024-12</t>
        </is>
      </c>
      <c r="C7115" s="2" t="inlineStr">
        <is>
          <t xml:space="preserve">2024/25</t>
        </is>
      </c>
      <c r="D7115">
        <v>0.728</v>
      </c>
      <c r="E7115">
        <v>18.5</v>
      </c>
      <c r="F7115">
        <v>22.62</v>
      </c>
      <c r="G7115">
        <v>16.0</v>
      </c>
      <c r="H7115">
        <v>134.01</v>
      </c>
      <c r="I7115">
        <v>0.484</v>
      </c>
      <c r="J7115">
        <v>19.77</v>
      </c>
      <c r="K7115">
        <v>23.19</v>
      </c>
      <c r="L7115">
        <v>17.5</v>
      </c>
      <c r="M7115">
        <v>84.13</v>
      </c>
      <c r="N7115">
        <v>3.27</v>
      </c>
      <c r="O7115">
        <v>19.64</v>
      </c>
      <c r="P7115">
        <v>22.44</v>
      </c>
      <c r="Q7115">
        <v>17.61</v>
      </c>
      <c r="R7115">
        <v>147.0</v>
      </c>
    </row>
    <row r="7116">
      <c r="A7116" s="9">
        <v>45647</v>
      </c>
      <c r="B7116" s="2" t="inlineStr">
        <is>
          <t xml:space="preserve">2024-12</t>
        </is>
      </c>
      <c r="C7116" s="2" t="inlineStr">
        <is>
          <t xml:space="preserve">2024/25</t>
        </is>
      </c>
      <c r="D7116">
        <v>0.217</v>
      </c>
      <c r="E7116">
        <v>18.53</v>
      </c>
      <c r="F7116">
        <v>22.33</v>
      </c>
      <c r="G7116">
        <v>16.2</v>
      </c>
      <c r="H7116">
        <v>6.11</v>
      </c>
      <c r="I7116">
        <v>0.0</v>
      </c>
      <c r="J7116">
        <v>18.99</v>
      </c>
      <c r="K7116">
        <v>23.2</v>
      </c>
      <c r="L7116">
        <v>16.63</v>
      </c>
      <c r="M7116">
        <v>1.06</v>
      </c>
      <c r="N7116">
        <v>2.493</v>
      </c>
      <c r="O7116">
        <v>18.44</v>
      </c>
      <c r="P7116">
        <v>21.88</v>
      </c>
      <c r="Q7116">
        <v>16.55</v>
      </c>
      <c r="R7116">
        <v>6.68</v>
      </c>
    </row>
    <row r="7117">
      <c r="A7117" s="9">
        <v>45648</v>
      </c>
      <c r="B7117" s="2" t="inlineStr">
        <is>
          <t xml:space="preserve">2024-12</t>
        </is>
      </c>
      <c r="C7117" s="2" t="inlineStr">
        <is>
          <t xml:space="preserve">2024/25</t>
        </is>
      </c>
      <c r="D7117">
        <v>0.031</v>
      </c>
      <c r="E7117">
        <v>18.57</v>
      </c>
      <c r="F7117">
        <v>22.27</v>
      </c>
      <c r="G7117">
        <v>16.47</v>
      </c>
      <c r="H7117">
        <v>1.01</v>
      </c>
      <c r="I7117">
        <v>0.0</v>
      </c>
      <c r="J7117">
        <v>18.38</v>
      </c>
      <c r="K7117">
        <v>23.13</v>
      </c>
      <c r="L7117">
        <v>15.3</v>
      </c>
      <c r="M7117">
        <v>0.43</v>
      </c>
      <c r="N7117">
        <v>0.863</v>
      </c>
      <c r="O7117">
        <v>17.95</v>
      </c>
      <c r="P7117">
        <v>21.35</v>
      </c>
      <c r="Q7117">
        <v>15.73</v>
      </c>
      <c r="R7117">
        <v>1.64</v>
      </c>
    </row>
    <row r="7118">
      <c r="A7118" s="9">
        <v>45649</v>
      </c>
      <c r="B7118" s="2" t="inlineStr">
        <is>
          <t xml:space="preserve">2024-12</t>
        </is>
      </c>
      <c r="C7118" s="2" t="inlineStr">
        <is>
          <t xml:space="preserve">2024/25</t>
        </is>
      </c>
      <c r="D7118">
        <v>0.0</v>
      </c>
      <c r="E7118">
        <v>18.66</v>
      </c>
      <c r="F7118">
        <v>23.18</v>
      </c>
      <c r="G7118">
        <v>15.69</v>
      </c>
      <c r="H7118">
        <v>0.07</v>
      </c>
      <c r="I7118">
        <v>0.067</v>
      </c>
      <c r="J7118">
        <v>18.46</v>
      </c>
      <c r="K7118">
        <v>23.48</v>
      </c>
      <c r="L7118">
        <v>15.01</v>
      </c>
      <c r="M7118">
        <v>0.24</v>
      </c>
      <c r="N7118">
        <v>0.748</v>
      </c>
      <c r="O7118">
        <v>18.17</v>
      </c>
      <c r="P7118">
        <v>22.07</v>
      </c>
      <c r="Q7118">
        <v>15.2</v>
      </c>
      <c r="R7118">
        <v>0.33</v>
      </c>
    </row>
    <row r="7119">
      <c r="A7119" s="9">
        <v>45650</v>
      </c>
      <c r="B7119" s="2" t="inlineStr">
        <is>
          <t xml:space="preserve">2024-12</t>
        </is>
      </c>
      <c r="C7119" s="2" t="inlineStr">
        <is>
          <t xml:space="preserve">2024/25</t>
        </is>
      </c>
      <c r="D7119">
        <v>0.0</v>
      </c>
      <c r="E7119">
        <v>19.09</v>
      </c>
      <c r="F7119">
        <v>23.8</v>
      </c>
      <c r="G7119">
        <v>15.25</v>
      </c>
      <c r="H7119">
        <v>0.13</v>
      </c>
      <c r="I7119">
        <v>0.03</v>
      </c>
      <c r="J7119">
        <v>19.57</v>
      </c>
      <c r="K7119">
        <v>24.99</v>
      </c>
      <c r="L7119">
        <v>15.57</v>
      </c>
      <c r="M7119">
        <v>0.09</v>
      </c>
      <c r="N7119">
        <v>0.333</v>
      </c>
      <c r="O7119">
        <v>19.26</v>
      </c>
      <c r="P7119">
        <v>23.98</v>
      </c>
      <c r="Q7119">
        <v>15.97</v>
      </c>
      <c r="R7119">
        <v>0.09</v>
      </c>
    </row>
    <row r="7120">
      <c r="A7120" s="9">
        <v>45651</v>
      </c>
      <c r="B7120" s="2" t="inlineStr">
        <is>
          <t xml:space="preserve">2024-12</t>
        </is>
      </c>
      <c r="C7120" s="2" t="inlineStr">
        <is>
          <t xml:space="preserve">2024/25</t>
        </is>
      </c>
      <c r="D7120">
        <v>0.0</v>
      </c>
      <c r="E7120">
        <v>19.56</v>
      </c>
      <c r="F7120">
        <v>23.05</v>
      </c>
      <c r="G7120">
        <v>16.82</v>
      </c>
      <c r="H7120">
        <v>0.35</v>
      </c>
      <c r="I7120">
        <v>0.0</v>
      </c>
      <c r="J7120">
        <v>19.39</v>
      </c>
      <c r="K7120">
        <v>23.91</v>
      </c>
      <c r="L7120">
        <v>17.06</v>
      </c>
      <c r="M7120">
        <v>0.0</v>
      </c>
      <c r="N7120">
        <v>0.0</v>
      </c>
      <c r="O7120">
        <v>19.66</v>
      </c>
      <c r="P7120">
        <v>22.6</v>
      </c>
      <c r="Q7120">
        <v>17.28</v>
      </c>
      <c r="R7120">
        <v>0.17</v>
      </c>
    </row>
    <row r="7121">
      <c r="A7121" s="9">
        <v>45652</v>
      </c>
      <c r="B7121" s="2" t="inlineStr">
        <is>
          <t xml:space="preserve">2024-12</t>
        </is>
      </c>
      <c r="C7121" s="2" t="inlineStr">
        <is>
          <t xml:space="preserve">2024/25</t>
        </is>
      </c>
      <c r="D7121">
        <v>0.0</v>
      </c>
      <c r="E7121">
        <v>19.91</v>
      </c>
      <c r="F7121">
        <v>23.49</v>
      </c>
      <c r="G7121">
        <v>17.06</v>
      </c>
      <c r="H7121">
        <v>0.56</v>
      </c>
      <c r="I7121">
        <v>0.0</v>
      </c>
      <c r="J7121">
        <v>21.31</v>
      </c>
      <c r="K7121">
        <v>26.53</v>
      </c>
      <c r="L7121">
        <v>17.19</v>
      </c>
      <c r="M7121">
        <v>0.05</v>
      </c>
      <c r="N7121">
        <v>0.0</v>
      </c>
      <c r="O7121">
        <v>20.89</v>
      </c>
      <c r="P7121">
        <v>25.24</v>
      </c>
      <c r="Q7121">
        <v>17.91</v>
      </c>
      <c r="R7121">
        <v>0.06</v>
      </c>
    </row>
    <row r="7122">
      <c r="A7122" s="9">
        <v>45653</v>
      </c>
      <c r="B7122" s="2" t="inlineStr">
        <is>
          <t xml:space="preserve">2024-12</t>
        </is>
      </c>
      <c r="C7122" s="2" t="inlineStr">
        <is>
          <t xml:space="preserve">2024/25</t>
        </is>
      </c>
      <c r="D7122">
        <v>0.0</v>
      </c>
      <c r="E7122">
        <v>20.46</v>
      </c>
      <c r="F7122">
        <v>25.0</v>
      </c>
      <c r="G7122">
        <v>17.35</v>
      </c>
      <c r="H7122">
        <v>0.24</v>
      </c>
      <c r="I7122">
        <v>0.214</v>
      </c>
      <c r="J7122">
        <v>21.9</v>
      </c>
      <c r="K7122">
        <v>27.3</v>
      </c>
      <c r="L7122">
        <v>17.81</v>
      </c>
      <c r="M7122">
        <v>0.08</v>
      </c>
      <c r="N7122">
        <v>0.0</v>
      </c>
      <c r="O7122">
        <v>21.96</v>
      </c>
      <c r="P7122">
        <v>26.63</v>
      </c>
      <c r="Q7122">
        <v>18.53</v>
      </c>
      <c r="R7122">
        <v>0.05</v>
      </c>
    </row>
    <row r="7123">
      <c r="A7123" s="9">
        <v>45654</v>
      </c>
      <c r="B7123" s="2" t="inlineStr">
        <is>
          <t xml:space="preserve">2024-12</t>
        </is>
      </c>
      <c r="C7123" s="2" t="inlineStr">
        <is>
          <t xml:space="preserve">2024/25</t>
        </is>
      </c>
      <c r="D7123">
        <v>0.0</v>
      </c>
      <c r="E7123">
        <v>21.01</v>
      </c>
      <c r="F7123">
        <v>26.36</v>
      </c>
      <c r="G7123">
        <v>15.81</v>
      </c>
      <c r="H7123">
        <v>0.07</v>
      </c>
      <c r="I7123">
        <v>0.0</v>
      </c>
      <c r="J7123">
        <v>23.03</v>
      </c>
      <c r="K7123">
        <v>27.78</v>
      </c>
      <c r="L7123">
        <v>19.78</v>
      </c>
      <c r="M7123">
        <v>0.0</v>
      </c>
      <c r="N7123">
        <v>0.0</v>
      </c>
      <c r="O7123">
        <v>23.16</v>
      </c>
      <c r="P7123">
        <v>27.81</v>
      </c>
      <c r="Q7123">
        <v>19.41</v>
      </c>
      <c r="R7123">
        <v>0.0</v>
      </c>
    </row>
    <row r="7124">
      <c r="A7124" s="9">
        <v>45655</v>
      </c>
      <c r="B7124" s="2" t="inlineStr">
        <is>
          <t xml:space="preserve">2024-12</t>
        </is>
      </c>
      <c r="C7124" s="2" t="inlineStr">
        <is>
          <t xml:space="preserve">2024/25</t>
        </is>
      </c>
      <c r="D7124">
        <v>0.0</v>
      </c>
      <c r="E7124">
        <v>20.82</v>
      </c>
      <c r="F7124">
        <v>24.55</v>
      </c>
      <c r="G7124">
        <v>18.05</v>
      </c>
      <c r="H7124">
        <v>0.75</v>
      </c>
      <c r="I7124">
        <v>0.0</v>
      </c>
      <c r="J7124">
        <v>22.11</v>
      </c>
      <c r="K7124">
        <v>26.62</v>
      </c>
      <c r="L7124">
        <v>18.9</v>
      </c>
      <c r="M7124">
        <v>0.19</v>
      </c>
      <c r="N7124">
        <v>0.0</v>
      </c>
      <c r="O7124">
        <v>21.99</v>
      </c>
      <c r="P7124">
        <v>25.2</v>
      </c>
      <c r="Q7124">
        <v>19.9</v>
      </c>
      <c r="R7124">
        <v>0.44</v>
      </c>
    </row>
    <row r="7125">
      <c r="A7125" s="9">
        <v>45656</v>
      </c>
      <c r="B7125" s="2" t="inlineStr">
        <is>
          <t xml:space="preserve">2024-12</t>
        </is>
      </c>
      <c r="C7125" s="2" t="inlineStr">
        <is>
          <t xml:space="preserve">2024/25</t>
        </is>
      </c>
      <c r="D7125">
        <v>0.021</v>
      </c>
      <c r="E7125">
        <v>20.33</v>
      </c>
      <c r="F7125">
        <v>23.49</v>
      </c>
      <c r="G7125">
        <v>18.02</v>
      </c>
      <c r="H7125">
        <v>1.1</v>
      </c>
      <c r="I7125">
        <v>1.323</v>
      </c>
      <c r="J7125">
        <v>20.94</v>
      </c>
      <c r="K7125">
        <v>24.6</v>
      </c>
      <c r="L7125">
        <v>18.6</v>
      </c>
      <c r="M7125">
        <v>0.71</v>
      </c>
      <c r="N7125">
        <v>0.17</v>
      </c>
      <c r="O7125">
        <v>21.16</v>
      </c>
      <c r="P7125">
        <v>24.23</v>
      </c>
      <c r="Q7125">
        <v>19.17</v>
      </c>
      <c r="R7125">
        <v>1.09</v>
      </c>
    </row>
    <row r="7126">
      <c r="A7126" s="9">
        <v>45657</v>
      </c>
      <c r="B7126" s="2" t="inlineStr">
        <is>
          <t xml:space="preserve">2024-12</t>
        </is>
      </c>
      <c r="C7126" s="2" t="inlineStr">
        <is>
          <t xml:space="preserve">2024/25</t>
        </is>
      </c>
      <c r="D7126">
        <v>0.0</v>
      </c>
      <c r="E7126">
        <v>20.75</v>
      </c>
      <c r="F7126">
        <v>25.05</v>
      </c>
      <c r="G7126">
        <v>17.88</v>
      </c>
      <c r="H7126">
        <v>0.5</v>
      </c>
      <c r="I7126">
        <v>0.0</v>
      </c>
      <c r="J7126">
        <v>21.02</v>
      </c>
      <c r="K7126">
        <v>25.68</v>
      </c>
      <c r="L7126">
        <v>17.9</v>
      </c>
      <c r="M7126">
        <v>0.02</v>
      </c>
      <c r="N7126">
        <v>0.0</v>
      </c>
      <c r="O7126">
        <v>21.33</v>
      </c>
      <c r="P7126">
        <v>25.25</v>
      </c>
      <c r="Q7126">
        <v>18.81</v>
      </c>
      <c r="R7126">
        <v>0.35</v>
      </c>
    </row>
    <row r="7127">
      <c r="A7127" s="9">
        <v>45658</v>
      </c>
      <c r="B7127" s="2" t="inlineStr">
        <is>
          <t xml:space="preserve">2025-01</t>
        </is>
      </c>
      <c r="C7127" s="2" t="inlineStr">
        <is>
          <t xml:space="preserve">2024/25</t>
        </is>
      </c>
      <c r="D7127">
        <v>0.024</v>
      </c>
      <c r="E7127">
        <v>19.6</v>
      </c>
      <c r="F7127">
        <v>24.29</v>
      </c>
      <c r="G7127">
        <v>16.38</v>
      </c>
      <c r="H7127">
        <v>5.51</v>
      </c>
      <c r="I7127">
        <v>0.0</v>
      </c>
      <c r="J7127">
        <v>20.28</v>
      </c>
      <c r="K7127">
        <v>23.58</v>
      </c>
      <c r="L7127">
        <v>18.02</v>
      </c>
      <c r="M7127">
        <v>0.77</v>
      </c>
      <c r="N7127">
        <v>0.054</v>
      </c>
      <c r="O7127">
        <v>20.64</v>
      </c>
      <c r="P7127">
        <v>23.73</v>
      </c>
      <c r="Q7127">
        <v>17.98</v>
      </c>
      <c r="R7127">
        <v>6.68</v>
      </c>
    </row>
    <row r="7128">
      <c r="A7128" s="9">
        <v>45659</v>
      </c>
      <c r="B7128" s="2" t="inlineStr">
        <is>
          <t xml:space="preserve">2025-01</t>
        </is>
      </c>
      <c r="C7128" s="2" t="inlineStr">
        <is>
          <t xml:space="preserve">2024/25</t>
        </is>
      </c>
      <c r="D7128">
        <v>3.073</v>
      </c>
      <c r="E7128">
        <v>17.98</v>
      </c>
      <c r="F7128">
        <v>21.96</v>
      </c>
      <c r="G7128">
        <v>15.58</v>
      </c>
      <c r="H7128">
        <v>3.89</v>
      </c>
      <c r="I7128">
        <v>0.983</v>
      </c>
      <c r="J7128">
        <v>18.9</v>
      </c>
      <c r="K7128">
        <v>23.95</v>
      </c>
      <c r="L7128">
        <v>15.7</v>
      </c>
      <c r="M7128">
        <v>1.52</v>
      </c>
      <c r="N7128">
        <v>0.922</v>
      </c>
      <c r="O7128">
        <v>19.05</v>
      </c>
      <c r="P7128">
        <v>22.96</v>
      </c>
      <c r="Q7128">
        <v>16.68</v>
      </c>
      <c r="R7128">
        <v>6.07</v>
      </c>
    </row>
    <row r="7129">
      <c r="A7129" s="9">
        <v>45660</v>
      </c>
      <c r="B7129" s="2" t="inlineStr">
        <is>
          <t xml:space="preserve">2025-01</t>
        </is>
      </c>
      <c r="C7129" s="2" t="inlineStr">
        <is>
          <t xml:space="preserve">2024/25</t>
        </is>
      </c>
      <c r="D7129">
        <v>0.45</v>
      </c>
      <c r="E7129">
        <v>17.92</v>
      </c>
      <c r="F7129">
        <v>22.13</v>
      </c>
      <c r="G7129">
        <v>15.33</v>
      </c>
      <c r="H7129">
        <v>2.62</v>
      </c>
      <c r="I7129">
        <v>0.92</v>
      </c>
      <c r="J7129">
        <v>18.97</v>
      </c>
      <c r="K7129">
        <v>23.73</v>
      </c>
      <c r="L7129">
        <v>15.87</v>
      </c>
      <c r="M7129">
        <v>1.98</v>
      </c>
      <c r="N7129">
        <v>2.029</v>
      </c>
      <c r="O7129">
        <v>18.8</v>
      </c>
      <c r="P7129">
        <v>22.35</v>
      </c>
      <c r="Q7129">
        <v>16.66</v>
      </c>
      <c r="R7129">
        <v>7.61</v>
      </c>
    </row>
    <row r="7130">
      <c r="A7130" s="9">
        <v>45661</v>
      </c>
      <c r="B7130" s="2" t="inlineStr">
        <is>
          <t xml:space="preserve">2025-01</t>
        </is>
      </c>
      <c r="C7130" s="2" t="inlineStr">
        <is>
          <t xml:space="preserve">2024/25</t>
        </is>
      </c>
      <c r="D7130">
        <v>0.217</v>
      </c>
      <c r="E7130">
        <v>17.98</v>
      </c>
      <c r="F7130">
        <v>22.2</v>
      </c>
      <c r="G7130">
        <v>14.96</v>
      </c>
      <c r="H7130">
        <v>5.79</v>
      </c>
      <c r="I7130">
        <v>0.0</v>
      </c>
      <c r="J7130">
        <v>19.2</v>
      </c>
      <c r="K7130">
        <v>23.63</v>
      </c>
      <c r="L7130">
        <v>16.49</v>
      </c>
      <c r="M7130">
        <v>1.81</v>
      </c>
      <c r="N7130">
        <v>4.767</v>
      </c>
      <c r="O7130">
        <v>19.04</v>
      </c>
      <c r="P7130">
        <v>22.45</v>
      </c>
      <c r="Q7130">
        <v>17.3</v>
      </c>
      <c r="R7130">
        <v>9.59</v>
      </c>
    </row>
    <row r="7131">
      <c r="A7131" s="9">
        <v>45662</v>
      </c>
      <c r="B7131" s="2" t="inlineStr">
        <is>
          <t xml:space="preserve">2025-01</t>
        </is>
      </c>
      <c r="C7131" s="2" t="inlineStr">
        <is>
          <t xml:space="preserve">2024/25</t>
        </is>
      </c>
      <c r="D7131">
        <v>0.0</v>
      </c>
      <c r="E7131">
        <v>19.16</v>
      </c>
      <c r="F7131">
        <v>23.18</v>
      </c>
      <c r="G7131">
        <v>16.24</v>
      </c>
      <c r="H7131">
        <v>0.66</v>
      </c>
      <c r="I7131">
        <v>0.0</v>
      </c>
      <c r="J7131">
        <v>20.27</v>
      </c>
      <c r="K7131">
        <v>26.0</v>
      </c>
      <c r="L7131">
        <v>16.05</v>
      </c>
      <c r="M7131">
        <v>0.08</v>
      </c>
      <c r="N7131">
        <v>0.072</v>
      </c>
      <c r="O7131">
        <v>19.94</v>
      </c>
      <c r="P7131">
        <v>24.47</v>
      </c>
      <c r="Q7131">
        <v>16.95</v>
      </c>
      <c r="R7131">
        <v>0.79</v>
      </c>
    </row>
    <row r="7132">
      <c r="A7132" s="9">
        <v>45663</v>
      </c>
      <c r="B7132" s="2" t="inlineStr">
        <is>
          <t xml:space="preserve">2025-01</t>
        </is>
      </c>
      <c r="C7132" s="2" t="inlineStr">
        <is>
          <t xml:space="preserve">2024/25</t>
        </is>
      </c>
      <c r="D7132">
        <v>0.0</v>
      </c>
      <c r="E7132">
        <v>20.45</v>
      </c>
      <c r="F7132">
        <v>25.92</v>
      </c>
      <c r="G7132">
        <v>15.87</v>
      </c>
      <c r="H7132">
        <v>0.29</v>
      </c>
      <c r="I7132">
        <v>0.0</v>
      </c>
      <c r="J7132">
        <v>21.72</v>
      </c>
      <c r="K7132">
        <v>28.26</v>
      </c>
      <c r="L7132">
        <v>17.14</v>
      </c>
      <c r="M7132">
        <v>0.02</v>
      </c>
      <c r="N7132">
        <v>0.0</v>
      </c>
      <c r="O7132">
        <v>21.44</v>
      </c>
      <c r="P7132">
        <v>26.5</v>
      </c>
      <c r="Q7132">
        <v>18.05</v>
      </c>
      <c r="R7132">
        <v>0.71</v>
      </c>
    </row>
    <row r="7133">
      <c r="A7133" s="9">
        <v>45664</v>
      </c>
      <c r="B7133" s="2" t="inlineStr">
        <is>
          <t xml:space="preserve">2025-01</t>
        </is>
      </c>
      <c r="C7133" s="2" t="inlineStr">
        <is>
          <t xml:space="preserve">2024/25</t>
        </is>
      </c>
      <c r="D7133">
        <v>0.116</v>
      </c>
      <c r="E7133">
        <v>19.85</v>
      </c>
      <c r="F7133">
        <v>23.4</v>
      </c>
      <c r="G7133">
        <v>17.84</v>
      </c>
      <c r="H7133">
        <v>1.23</v>
      </c>
      <c r="I7133">
        <v>0.0</v>
      </c>
      <c r="J7133">
        <v>20.96</v>
      </c>
      <c r="K7133">
        <v>25.85</v>
      </c>
      <c r="L7133">
        <v>17.97</v>
      </c>
      <c r="M7133">
        <v>0.2</v>
      </c>
      <c r="N7133">
        <v>0.0</v>
      </c>
      <c r="O7133">
        <v>20.25</v>
      </c>
      <c r="P7133">
        <v>24.05</v>
      </c>
      <c r="Q7133">
        <v>17.74</v>
      </c>
      <c r="R7133">
        <v>2.36</v>
      </c>
    </row>
    <row r="7134">
      <c r="A7134" s="9">
        <v>45665</v>
      </c>
      <c r="B7134" s="2" t="inlineStr">
        <is>
          <t xml:space="preserve">2025-01</t>
        </is>
      </c>
      <c r="C7134" s="2" t="inlineStr">
        <is>
          <t xml:space="preserve">2024/25</t>
        </is>
      </c>
      <c r="D7134">
        <v>0.0</v>
      </c>
      <c r="E7134">
        <v>19.12</v>
      </c>
      <c r="F7134">
        <v>22.63</v>
      </c>
      <c r="G7134">
        <v>17.25</v>
      </c>
      <c r="H7134">
        <v>2.05</v>
      </c>
      <c r="I7134">
        <v>0.432</v>
      </c>
      <c r="J7134">
        <v>20.89</v>
      </c>
      <c r="K7134">
        <v>25.97</v>
      </c>
      <c r="L7134">
        <v>17.8</v>
      </c>
      <c r="M7134">
        <v>1.21</v>
      </c>
      <c r="N7134">
        <v>1.894</v>
      </c>
      <c r="O7134">
        <v>20.4</v>
      </c>
      <c r="P7134">
        <v>23.63</v>
      </c>
      <c r="Q7134">
        <v>18.44</v>
      </c>
      <c r="R7134">
        <v>6.2</v>
      </c>
    </row>
    <row r="7135">
      <c r="A7135" s="9">
        <v>45666</v>
      </c>
      <c r="B7135" s="2" t="inlineStr">
        <is>
          <t xml:space="preserve">2025-01</t>
        </is>
      </c>
      <c r="C7135" s="2" t="inlineStr">
        <is>
          <t xml:space="preserve">2024/25</t>
        </is>
      </c>
      <c r="D7135">
        <v>0.0</v>
      </c>
      <c r="E7135">
        <v>18.25</v>
      </c>
      <c r="F7135">
        <v>22.22</v>
      </c>
      <c r="G7135">
        <v>15.3</v>
      </c>
      <c r="H7135">
        <v>0.32</v>
      </c>
      <c r="I7135">
        <v>0.027</v>
      </c>
      <c r="J7135">
        <v>20.4</v>
      </c>
      <c r="K7135">
        <v>25.59</v>
      </c>
      <c r="L7135">
        <v>17.15</v>
      </c>
      <c r="M7135">
        <v>0.2</v>
      </c>
      <c r="N7135">
        <v>0.362</v>
      </c>
      <c r="O7135">
        <v>19.72</v>
      </c>
      <c r="P7135">
        <v>23.76</v>
      </c>
      <c r="Q7135">
        <v>17.2</v>
      </c>
      <c r="R7135">
        <v>1.01</v>
      </c>
    </row>
    <row r="7136">
      <c r="A7136" s="9">
        <v>45667</v>
      </c>
      <c r="B7136" s="2" t="inlineStr">
        <is>
          <t xml:space="preserve">2025-01</t>
        </is>
      </c>
      <c r="C7136" s="2" t="inlineStr">
        <is>
          <t xml:space="preserve">2024/25</t>
        </is>
      </c>
      <c r="D7136">
        <v>0.0</v>
      </c>
      <c r="E7136">
        <v>19.03</v>
      </c>
      <c r="F7136">
        <v>25.38</v>
      </c>
      <c r="G7136">
        <v>13.85</v>
      </c>
      <c r="H7136">
        <v>0.0</v>
      </c>
      <c r="I7136">
        <v>0.0</v>
      </c>
      <c r="J7136">
        <v>21.31</v>
      </c>
      <c r="K7136">
        <v>28.14</v>
      </c>
      <c r="L7136">
        <v>15.62</v>
      </c>
      <c r="M7136">
        <v>0.0</v>
      </c>
      <c r="N7136">
        <v>0.0</v>
      </c>
      <c r="O7136">
        <v>20.6</v>
      </c>
      <c r="P7136">
        <v>26.5</v>
      </c>
      <c r="Q7136">
        <v>15.93</v>
      </c>
      <c r="R7136">
        <v>0.0</v>
      </c>
    </row>
    <row r="7137">
      <c r="A7137" s="9">
        <v>45668</v>
      </c>
      <c r="B7137" s="2" t="inlineStr">
        <is>
          <t xml:space="preserve">2025-01</t>
        </is>
      </c>
      <c r="C7137" s="2" t="inlineStr">
        <is>
          <t xml:space="preserve">2024/25</t>
        </is>
      </c>
      <c r="D7137">
        <v>0.0</v>
      </c>
      <c r="E7137">
        <v>19.17</v>
      </c>
      <c r="F7137">
        <v>24.3</v>
      </c>
      <c r="G7137">
        <v>15.33</v>
      </c>
      <c r="H7137">
        <v>0.0</v>
      </c>
      <c r="I7137">
        <v>0.0</v>
      </c>
      <c r="J7137">
        <v>20.54</v>
      </c>
      <c r="K7137">
        <v>26.34</v>
      </c>
      <c r="L7137">
        <v>15.65</v>
      </c>
      <c r="M7137">
        <v>0.03</v>
      </c>
      <c r="N7137">
        <v>0.0</v>
      </c>
      <c r="O7137">
        <v>20.14</v>
      </c>
      <c r="P7137">
        <v>24.69</v>
      </c>
      <c r="Q7137">
        <v>16.33</v>
      </c>
      <c r="R7137">
        <v>0.01</v>
      </c>
    </row>
    <row r="7138">
      <c r="A7138" s="9">
        <v>45669</v>
      </c>
      <c r="B7138" s="2" t="inlineStr">
        <is>
          <t xml:space="preserve">2025-01</t>
        </is>
      </c>
      <c r="C7138" s="2" t="inlineStr">
        <is>
          <t xml:space="preserve">2024/25</t>
        </is>
      </c>
      <c r="D7138">
        <v>0.0</v>
      </c>
      <c r="E7138">
        <v>19.95</v>
      </c>
      <c r="F7138">
        <v>25.37</v>
      </c>
      <c r="G7138">
        <v>15.48</v>
      </c>
      <c r="H7138">
        <v>0.02</v>
      </c>
      <c r="I7138">
        <v>0.0</v>
      </c>
      <c r="J7138">
        <v>21.73</v>
      </c>
      <c r="K7138">
        <v>28.31</v>
      </c>
      <c r="L7138">
        <v>16.18</v>
      </c>
      <c r="M7138">
        <v>0.0</v>
      </c>
      <c r="N7138">
        <v>0.0</v>
      </c>
      <c r="O7138">
        <v>21.06</v>
      </c>
      <c r="P7138">
        <v>26.38</v>
      </c>
      <c r="Q7138">
        <v>17.35</v>
      </c>
      <c r="R7138">
        <v>0.0</v>
      </c>
    </row>
    <row r="7139">
      <c r="A7139" s="9">
        <v>45670</v>
      </c>
      <c r="B7139" s="2" t="inlineStr">
        <is>
          <t xml:space="preserve">2025-01</t>
        </is>
      </c>
      <c r="C7139" s="2" t="inlineStr">
        <is>
          <t xml:space="preserve">2024/25</t>
        </is>
      </c>
      <c r="D7139">
        <v>0.0</v>
      </c>
      <c r="E7139">
        <v>19.94</v>
      </c>
      <c r="F7139">
        <v>24.87</v>
      </c>
      <c r="G7139">
        <v>15.93</v>
      </c>
      <c r="H7139">
        <v>0.04</v>
      </c>
      <c r="I7139">
        <v>0.0</v>
      </c>
      <c r="J7139">
        <v>22.51</v>
      </c>
      <c r="K7139">
        <v>28.83</v>
      </c>
      <c r="L7139">
        <v>18.11</v>
      </c>
      <c r="M7139">
        <v>0.0</v>
      </c>
      <c r="N7139">
        <v>0.0</v>
      </c>
      <c r="O7139">
        <v>21.57</v>
      </c>
      <c r="P7139">
        <v>26.57</v>
      </c>
      <c r="Q7139">
        <v>18.48</v>
      </c>
      <c r="R7139">
        <v>0.0</v>
      </c>
    </row>
    <row r="7140">
      <c r="A7140" s="9">
        <v>45671</v>
      </c>
      <c r="B7140" s="2" t="inlineStr">
        <is>
          <t xml:space="preserve">2025-01</t>
        </is>
      </c>
      <c r="C7140" s="2" t="inlineStr">
        <is>
          <t xml:space="preserve">2024/25</t>
        </is>
      </c>
      <c r="D7140">
        <v>0.0</v>
      </c>
      <c r="E7140">
        <v>19.02</v>
      </c>
      <c r="F7140">
        <v>23.48</v>
      </c>
      <c r="G7140">
        <v>16.12</v>
      </c>
      <c r="H7140">
        <v>0.0</v>
      </c>
      <c r="I7140">
        <v>0.0</v>
      </c>
      <c r="J7140">
        <v>20.76</v>
      </c>
      <c r="K7140">
        <v>26.4</v>
      </c>
      <c r="L7140">
        <v>17.06</v>
      </c>
      <c r="M7140">
        <v>0.0</v>
      </c>
      <c r="N7140">
        <v>0.0</v>
      </c>
      <c r="O7140">
        <v>20.6</v>
      </c>
      <c r="P7140">
        <v>24.58</v>
      </c>
      <c r="Q7140">
        <v>17.69</v>
      </c>
      <c r="R7140">
        <v>0.0</v>
      </c>
    </row>
    <row r="7141">
      <c r="A7141" s="9">
        <v>45672</v>
      </c>
      <c r="B7141" s="2" t="inlineStr">
        <is>
          <t xml:space="preserve">2025-01</t>
        </is>
      </c>
      <c r="C7141" s="2" t="inlineStr">
        <is>
          <t xml:space="preserve">2024/25</t>
        </is>
      </c>
      <c r="D7141">
        <v>0.0</v>
      </c>
      <c r="E7141">
        <v>19.1</v>
      </c>
      <c r="F7141">
        <v>24.44</v>
      </c>
      <c r="G7141">
        <v>15.28</v>
      </c>
      <c r="H7141">
        <v>0.05</v>
      </c>
      <c r="I7141">
        <v>0.0</v>
      </c>
      <c r="J7141">
        <v>20.42</v>
      </c>
      <c r="K7141">
        <v>26.31</v>
      </c>
      <c r="L7141">
        <v>15.48</v>
      </c>
      <c r="M7141">
        <v>0.06</v>
      </c>
      <c r="N7141">
        <v>0.0</v>
      </c>
      <c r="O7141">
        <v>20.12</v>
      </c>
      <c r="P7141">
        <v>24.8</v>
      </c>
      <c r="Q7141">
        <v>16.8</v>
      </c>
      <c r="R7141">
        <v>0.16</v>
      </c>
    </row>
    <row r="7142">
      <c r="A7142" s="9">
        <v>45673</v>
      </c>
      <c r="B7142" s="2" t="inlineStr">
        <is>
          <t xml:space="preserve">2025-01</t>
        </is>
      </c>
      <c r="C7142" s="2" t="inlineStr">
        <is>
          <t xml:space="preserve">2024/25</t>
        </is>
      </c>
      <c r="D7142">
        <v>0.0</v>
      </c>
      <c r="E7142">
        <v>18.52</v>
      </c>
      <c r="F7142">
        <v>23.9</v>
      </c>
      <c r="G7142">
        <v>14.69</v>
      </c>
      <c r="H7142">
        <v>0.1</v>
      </c>
      <c r="I7142">
        <v>0.0</v>
      </c>
      <c r="J7142">
        <v>20.06</v>
      </c>
      <c r="K7142">
        <v>26.12</v>
      </c>
      <c r="L7142">
        <v>15.85</v>
      </c>
      <c r="M7142">
        <v>0.02</v>
      </c>
      <c r="N7142">
        <v>0.0</v>
      </c>
      <c r="O7142">
        <v>19.61</v>
      </c>
      <c r="P7142">
        <v>24.64</v>
      </c>
      <c r="Q7142">
        <v>16.22</v>
      </c>
      <c r="R7142">
        <v>0.39</v>
      </c>
    </row>
    <row r="7143">
      <c r="A7143" s="9">
        <v>45674</v>
      </c>
      <c r="B7143" s="2" t="inlineStr">
        <is>
          <t xml:space="preserve">2025-01</t>
        </is>
      </c>
      <c r="C7143" s="2" t="inlineStr">
        <is>
          <t xml:space="preserve">2024/25</t>
        </is>
      </c>
      <c r="D7143">
        <v>0.0</v>
      </c>
      <c r="E7143">
        <v>17.95</v>
      </c>
      <c r="F7143">
        <v>23.11</v>
      </c>
      <c r="G7143">
        <v>14.13</v>
      </c>
      <c r="H7143">
        <v>0.0</v>
      </c>
      <c r="I7143">
        <v>0.0</v>
      </c>
      <c r="J7143">
        <v>19.3</v>
      </c>
      <c r="K7143">
        <v>25.78</v>
      </c>
      <c r="L7143">
        <v>14.95</v>
      </c>
      <c r="M7143">
        <v>0.0</v>
      </c>
      <c r="N7143">
        <v>0.0</v>
      </c>
      <c r="O7143">
        <v>18.66</v>
      </c>
      <c r="P7143">
        <v>23.51</v>
      </c>
      <c r="Q7143">
        <v>15.48</v>
      </c>
      <c r="R7143">
        <v>0.0</v>
      </c>
    </row>
    <row r="7144">
      <c r="A7144" s="9">
        <v>45675</v>
      </c>
      <c r="B7144" s="2" t="inlineStr">
        <is>
          <t xml:space="preserve">2025-01</t>
        </is>
      </c>
      <c r="C7144" s="2" t="inlineStr">
        <is>
          <t xml:space="preserve">2024/25</t>
        </is>
      </c>
      <c r="D7144">
        <v>0.0</v>
      </c>
      <c r="E7144">
        <v>18.86</v>
      </c>
      <c r="F7144">
        <v>24.98</v>
      </c>
      <c r="G7144">
        <v>13.56</v>
      </c>
      <c r="H7144">
        <v>0.0</v>
      </c>
      <c r="I7144">
        <v>0.0</v>
      </c>
      <c r="J7144">
        <v>21.05</v>
      </c>
      <c r="K7144">
        <v>29.52</v>
      </c>
      <c r="L7144">
        <v>13.64</v>
      </c>
      <c r="M7144">
        <v>0.0</v>
      </c>
      <c r="N7144">
        <v>0.0</v>
      </c>
      <c r="O7144">
        <v>20.14</v>
      </c>
      <c r="P7144">
        <v>26.63</v>
      </c>
      <c r="Q7144">
        <v>14.22</v>
      </c>
      <c r="R7144">
        <v>0.0</v>
      </c>
    </row>
    <row r="7145">
      <c r="A7145" s="9">
        <v>45676</v>
      </c>
      <c r="B7145" s="2" t="inlineStr">
        <is>
          <t xml:space="preserve">2025-01</t>
        </is>
      </c>
      <c r="C7145" s="2" t="inlineStr">
        <is>
          <t xml:space="preserve">2024/25</t>
        </is>
      </c>
      <c r="D7145">
        <v>0.0</v>
      </c>
      <c r="E7145">
        <v>20.35</v>
      </c>
      <c r="F7145">
        <v>26.1</v>
      </c>
      <c r="G7145">
        <v>16.34</v>
      </c>
      <c r="H7145">
        <v>1.5</v>
      </c>
      <c r="I7145">
        <v>0.0</v>
      </c>
      <c r="J7145">
        <v>22.57</v>
      </c>
      <c r="K7145">
        <v>29.64</v>
      </c>
      <c r="L7145">
        <v>16.13</v>
      </c>
      <c r="M7145">
        <v>0.28</v>
      </c>
      <c r="N7145">
        <v>0.0</v>
      </c>
      <c r="O7145">
        <v>21.47</v>
      </c>
      <c r="P7145">
        <v>27.35</v>
      </c>
      <c r="Q7145">
        <v>16.29</v>
      </c>
      <c r="R7145">
        <v>0.61</v>
      </c>
    </row>
    <row r="7146">
      <c r="A7146" s="9">
        <v>45677</v>
      </c>
      <c r="B7146" s="2" t="inlineStr">
        <is>
          <t xml:space="preserve">2025-01</t>
        </is>
      </c>
      <c r="C7146" s="2" t="inlineStr">
        <is>
          <t xml:space="preserve">2024/25</t>
        </is>
      </c>
      <c r="D7146">
        <v>2.736</v>
      </c>
      <c r="E7146">
        <v>19.5</v>
      </c>
      <c r="F7146">
        <v>24.55</v>
      </c>
      <c r="G7146">
        <v>16.1</v>
      </c>
      <c r="H7146">
        <v>2.58</v>
      </c>
      <c r="I7146">
        <v>0.637</v>
      </c>
      <c r="J7146">
        <v>21.39</v>
      </c>
      <c r="K7146">
        <v>26.75</v>
      </c>
      <c r="L7146">
        <v>18.16</v>
      </c>
      <c r="M7146">
        <v>0.88</v>
      </c>
      <c r="N7146">
        <v>0.449</v>
      </c>
      <c r="O7146">
        <v>21.03</v>
      </c>
      <c r="P7146">
        <v>25.08</v>
      </c>
      <c r="Q7146">
        <v>18.45</v>
      </c>
      <c r="R7146">
        <v>2.12</v>
      </c>
    </row>
    <row r="7147">
      <c r="A7147" s="9">
        <v>45678</v>
      </c>
      <c r="B7147" s="2" t="inlineStr">
        <is>
          <t xml:space="preserve">2025-01</t>
        </is>
      </c>
      <c r="C7147" s="2" t="inlineStr">
        <is>
          <t xml:space="preserve">2024/25</t>
        </is>
      </c>
      <c r="D7147">
        <v>0.0</v>
      </c>
      <c r="E7147">
        <v>19.63</v>
      </c>
      <c r="F7147">
        <v>25.03</v>
      </c>
      <c r="G7147">
        <v>16.18</v>
      </c>
      <c r="H7147">
        <v>0.57</v>
      </c>
      <c r="I7147">
        <v>0.0</v>
      </c>
      <c r="J7147">
        <v>21.84</v>
      </c>
      <c r="K7147">
        <v>28.03</v>
      </c>
      <c r="L7147">
        <v>16.87</v>
      </c>
      <c r="M7147">
        <v>0.22</v>
      </c>
      <c r="N7147">
        <v>0.0</v>
      </c>
      <c r="O7147">
        <v>20.96</v>
      </c>
      <c r="P7147">
        <v>25.45</v>
      </c>
      <c r="Q7147">
        <v>17.74</v>
      </c>
      <c r="R7147">
        <v>1.72</v>
      </c>
    </row>
    <row r="7148">
      <c r="A7148" s="9">
        <v>45679</v>
      </c>
      <c r="B7148" s="2" t="inlineStr">
        <is>
          <t xml:space="preserve">2025-01</t>
        </is>
      </c>
      <c r="C7148" s="2" t="inlineStr">
        <is>
          <t xml:space="preserve">2024/25</t>
        </is>
      </c>
      <c r="D7148">
        <v>1.067</v>
      </c>
      <c r="E7148">
        <v>18.68</v>
      </c>
      <c r="F7148">
        <v>22.62</v>
      </c>
      <c r="G7148">
        <v>16.26</v>
      </c>
      <c r="H7148">
        <v>6.53</v>
      </c>
      <c r="I7148">
        <v>0.071</v>
      </c>
      <c r="J7148">
        <v>19.67</v>
      </c>
      <c r="K7148">
        <v>23.61</v>
      </c>
      <c r="L7148">
        <v>16.74</v>
      </c>
      <c r="M7148">
        <v>0.82</v>
      </c>
      <c r="N7148">
        <v>0.443</v>
      </c>
      <c r="O7148">
        <v>19.07</v>
      </c>
      <c r="P7148">
        <v>21.76</v>
      </c>
      <c r="Q7148">
        <v>17.14</v>
      </c>
      <c r="R7148">
        <v>8.14</v>
      </c>
    </row>
    <row r="7149">
      <c r="A7149" s="9">
        <v>45680</v>
      </c>
      <c r="B7149" s="2" t="inlineStr">
        <is>
          <t xml:space="preserve">2025-01</t>
        </is>
      </c>
      <c r="C7149" s="2" t="inlineStr">
        <is>
          <t xml:space="preserve">2024/25</t>
        </is>
      </c>
      <c r="D7149">
        <v>0.0</v>
      </c>
      <c r="E7149">
        <v>18.52</v>
      </c>
      <c r="F7149">
        <v>23.09</v>
      </c>
      <c r="G7149">
        <v>15.68</v>
      </c>
      <c r="H7149">
        <v>1.26</v>
      </c>
      <c r="I7149">
        <v>0.409</v>
      </c>
      <c r="J7149">
        <v>19.08</v>
      </c>
      <c r="K7149">
        <v>24.33</v>
      </c>
      <c r="L7149">
        <v>15.45</v>
      </c>
      <c r="M7149">
        <v>0.48</v>
      </c>
      <c r="N7149">
        <v>0.768</v>
      </c>
      <c r="O7149">
        <v>18.33</v>
      </c>
      <c r="P7149">
        <v>22.11</v>
      </c>
      <c r="Q7149">
        <v>15.79</v>
      </c>
      <c r="R7149">
        <v>2.59</v>
      </c>
    </row>
    <row r="7150">
      <c r="A7150" s="9">
        <v>45681</v>
      </c>
      <c r="B7150" s="2" t="inlineStr">
        <is>
          <t xml:space="preserve">2025-01</t>
        </is>
      </c>
      <c r="C7150" s="2" t="inlineStr">
        <is>
          <t xml:space="preserve">2024/25</t>
        </is>
      </c>
      <c r="D7150">
        <v>0.0</v>
      </c>
      <c r="E7150">
        <v>18.47</v>
      </c>
      <c r="F7150">
        <v>23.42</v>
      </c>
      <c r="G7150">
        <v>14.98</v>
      </c>
      <c r="H7150">
        <v>2.23</v>
      </c>
      <c r="I7150">
        <v>0.038</v>
      </c>
      <c r="J7150">
        <v>20.21</v>
      </c>
      <c r="K7150">
        <v>25.42</v>
      </c>
      <c r="L7150">
        <v>16.71</v>
      </c>
      <c r="M7150">
        <v>0.65</v>
      </c>
      <c r="N7150">
        <v>0.416</v>
      </c>
      <c r="O7150">
        <v>19.58</v>
      </c>
      <c r="P7150">
        <v>23.45</v>
      </c>
      <c r="Q7150">
        <v>16.91</v>
      </c>
      <c r="R7150">
        <v>2.92</v>
      </c>
    </row>
    <row r="7151">
      <c r="A7151" s="9">
        <v>45682</v>
      </c>
      <c r="B7151" s="2" t="inlineStr">
        <is>
          <t xml:space="preserve">2025-01</t>
        </is>
      </c>
      <c r="C7151" s="2" t="inlineStr">
        <is>
          <t xml:space="preserve">2024/25</t>
        </is>
      </c>
      <c r="D7151">
        <v>0.973</v>
      </c>
      <c r="E7151">
        <v>18.17</v>
      </c>
      <c r="F7151">
        <v>22.64</v>
      </c>
      <c r="G7151">
        <v>15.63</v>
      </c>
      <c r="H7151">
        <v>6.1</v>
      </c>
      <c r="I7151">
        <v>0.0</v>
      </c>
      <c r="J7151">
        <v>20.04</v>
      </c>
      <c r="K7151">
        <v>25.46</v>
      </c>
      <c r="L7151">
        <v>16.45</v>
      </c>
      <c r="M7151">
        <v>1.95</v>
      </c>
      <c r="N7151">
        <v>3.025</v>
      </c>
      <c r="O7151">
        <v>19.27</v>
      </c>
      <c r="P7151">
        <v>23.22</v>
      </c>
      <c r="Q7151">
        <v>16.63</v>
      </c>
      <c r="R7151">
        <v>7.98</v>
      </c>
    </row>
    <row r="7152">
      <c r="A7152" s="9">
        <v>45683</v>
      </c>
      <c r="B7152" s="2" t="inlineStr">
        <is>
          <t xml:space="preserve">2025-01</t>
        </is>
      </c>
      <c r="C7152" s="2" t="inlineStr">
        <is>
          <t xml:space="preserve">2024/25</t>
        </is>
      </c>
      <c r="D7152">
        <v>5.268</v>
      </c>
      <c r="E7152">
        <v>18.99</v>
      </c>
      <c r="F7152">
        <v>23.93</v>
      </c>
      <c r="G7152">
        <v>15.05</v>
      </c>
      <c r="H7152">
        <v>9.94</v>
      </c>
      <c r="I7152">
        <v>0.0</v>
      </c>
      <c r="J7152">
        <v>19.59</v>
      </c>
      <c r="K7152">
        <v>25.68</v>
      </c>
      <c r="L7152">
        <v>15.49</v>
      </c>
      <c r="M7152">
        <v>3.51</v>
      </c>
      <c r="N7152">
        <v>8.735</v>
      </c>
      <c r="O7152">
        <v>18.96</v>
      </c>
      <c r="P7152">
        <v>23.49</v>
      </c>
      <c r="Q7152">
        <v>15.92</v>
      </c>
      <c r="R7152">
        <v>13.36</v>
      </c>
    </row>
    <row r="7153">
      <c r="A7153" s="9">
        <v>45684</v>
      </c>
      <c r="B7153" s="2" t="inlineStr">
        <is>
          <t xml:space="preserve">2025-01</t>
        </is>
      </c>
      <c r="C7153" s="2" t="inlineStr">
        <is>
          <t xml:space="preserve">2024/25</t>
        </is>
      </c>
      <c r="D7153">
        <v>0.0</v>
      </c>
      <c r="E7153">
        <v>19.73</v>
      </c>
      <c r="F7153">
        <v>24.63</v>
      </c>
      <c r="G7153">
        <v>16.34</v>
      </c>
      <c r="H7153">
        <v>0.82</v>
      </c>
      <c r="I7153">
        <v>0.0</v>
      </c>
      <c r="J7153">
        <v>21.42</v>
      </c>
      <c r="K7153">
        <v>27.71</v>
      </c>
      <c r="L7153">
        <v>17.22</v>
      </c>
      <c r="M7153">
        <v>0.16</v>
      </c>
      <c r="N7153">
        <v>0.0</v>
      </c>
      <c r="O7153">
        <v>20.72</v>
      </c>
      <c r="P7153">
        <v>25.42</v>
      </c>
      <c r="Q7153">
        <v>17.94</v>
      </c>
      <c r="R7153">
        <v>1.61</v>
      </c>
    </row>
    <row r="7154">
      <c r="A7154" s="9">
        <v>45685</v>
      </c>
      <c r="B7154" s="2" t="inlineStr">
        <is>
          <t xml:space="preserve">2025-01</t>
        </is>
      </c>
      <c r="C7154" s="2" t="inlineStr">
        <is>
          <t xml:space="preserve">2024/25</t>
        </is>
      </c>
      <c r="D7154">
        <v>0.0</v>
      </c>
      <c r="E7154">
        <v>19.92</v>
      </c>
      <c r="F7154">
        <v>24.63</v>
      </c>
      <c r="G7154">
        <v>16.58</v>
      </c>
      <c r="H7154">
        <v>1.84</v>
      </c>
      <c r="I7154">
        <v>0.027</v>
      </c>
      <c r="J7154">
        <v>21.14</v>
      </c>
      <c r="K7154">
        <v>27.69</v>
      </c>
      <c r="L7154">
        <v>16.42</v>
      </c>
      <c r="M7154">
        <v>0.63</v>
      </c>
      <c r="N7154">
        <v>0.534</v>
      </c>
      <c r="O7154">
        <v>20.28</v>
      </c>
      <c r="P7154">
        <v>25.04</v>
      </c>
      <c r="Q7154">
        <v>17.27</v>
      </c>
      <c r="R7154">
        <v>5.51</v>
      </c>
    </row>
    <row r="7155">
      <c r="A7155" s="9">
        <v>45686</v>
      </c>
      <c r="B7155" s="2" t="inlineStr">
        <is>
          <t xml:space="preserve">2025-01</t>
        </is>
      </c>
      <c r="C7155" s="2" t="inlineStr">
        <is>
          <t xml:space="preserve">2024/25</t>
        </is>
      </c>
      <c r="D7155">
        <v>0.0</v>
      </c>
      <c r="E7155">
        <v>20.08</v>
      </c>
      <c r="F7155">
        <v>25.09</v>
      </c>
      <c r="G7155">
        <v>15.64</v>
      </c>
      <c r="H7155">
        <v>0.27</v>
      </c>
      <c r="I7155">
        <v>0.0</v>
      </c>
      <c r="J7155">
        <v>21.93</v>
      </c>
      <c r="K7155">
        <v>28.75</v>
      </c>
      <c r="L7155">
        <v>17.24</v>
      </c>
      <c r="M7155">
        <v>0.01</v>
      </c>
      <c r="N7155">
        <v>0.0</v>
      </c>
      <c r="O7155">
        <v>20.77</v>
      </c>
      <c r="P7155">
        <v>25.51</v>
      </c>
      <c r="Q7155">
        <v>17.42</v>
      </c>
      <c r="R7155">
        <v>0.35</v>
      </c>
    </row>
    <row r="7156">
      <c r="A7156" s="9">
        <v>45687</v>
      </c>
      <c r="B7156" s="2" t="inlineStr">
        <is>
          <t xml:space="preserve">2025-01</t>
        </is>
      </c>
      <c r="C7156" s="2" t="inlineStr">
        <is>
          <t xml:space="preserve">2024/25</t>
        </is>
      </c>
      <c r="D7156">
        <v>0.0</v>
      </c>
      <c r="E7156">
        <v>20.52</v>
      </c>
      <c r="F7156">
        <v>25.45</v>
      </c>
      <c r="G7156">
        <v>16.87</v>
      </c>
      <c r="H7156">
        <v>0.15</v>
      </c>
      <c r="I7156">
        <v>0.0</v>
      </c>
      <c r="J7156">
        <v>23.39</v>
      </c>
      <c r="K7156">
        <v>30.16</v>
      </c>
      <c r="L7156">
        <v>18.12</v>
      </c>
      <c r="M7156">
        <v>0.01</v>
      </c>
      <c r="N7156">
        <v>0.0</v>
      </c>
      <c r="O7156">
        <v>21.86</v>
      </c>
      <c r="P7156">
        <v>27.06</v>
      </c>
      <c r="Q7156">
        <v>18.57</v>
      </c>
      <c r="R7156">
        <v>0.38</v>
      </c>
    </row>
    <row r="7157">
      <c r="A7157" s="9">
        <v>45688</v>
      </c>
      <c r="B7157" s="2" t="inlineStr">
        <is>
          <t xml:space="preserve">2025-01</t>
        </is>
      </c>
      <c r="C7157" s="2" t="inlineStr">
        <is>
          <t xml:space="preserve">2024/25</t>
        </is>
      </c>
      <c r="D7157">
        <v>0.163</v>
      </c>
      <c r="E7157">
        <v>20.49</v>
      </c>
      <c r="F7157">
        <v>25.65</v>
      </c>
      <c r="G7157">
        <v>16.38</v>
      </c>
      <c r="H7157">
        <v>0.26</v>
      </c>
      <c r="I7157">
        <v>0.0</v>
      </c>
      <c r="J7157">
        <v>23.36</v>
      </c>
      <c r="K7157">
        <v>30.08</v>
      </c>
      <c r="L7157">
        <v>18.18</v>
      </c>
      <c r="M7157">
        <v>0.01</v>
      </c>
      <c r="N7157">
        <v>0.0</v>
      </c>
      <c r="O7157">
        <v>22.26</v>
      </c>
      <c r="P7157">
        <v>27.13</v>
      </c>
      <c r="Q7157">
        <v>18.76</v>
      </c>
      <c r="R7157">
        <v>0.01</v>
      </c>
    </row>
    <row r="7158">
      <c r="A7158" s="9">
        <v>45689</v>
      </c>
      <c r="B7158" s="2" t="inlineStr">
        <is>
          <t xml:space="preserve">2025-02</t>
        </is>
      </c>
      <c r="C7158" s="2" t="inlineStr">
        <is>
          <t xml:space="preserve">2024/25</t>
        </is>
      </c>
      <c r="D7158">
        <v>0.039</v>
      </c>
      <c r="E7158">
        <v>19.84</v>
      </c>
      <c r="F7158">
        <v>24.96</v>
      </c>
      <c r="G7158">
        <v>16.03</v>
      </c>
      <c r="H7158">
        <v>0.08</v>
      </c>
      <c r="I7158">
        <v>0.0</v>
      </c>
      <c r="J7158">
        <v>22.24</v>
      </c>
      <c r="K7158">
        <v>28.25</v>
      </c>
      <c r="L7158">
        <v>18.4</v>
      </c>
      <c r="M7158">
        <v>0.01</v>
      </c>
      <c r="N7158">
        <v>0.0</v>
      </c>
      <c r="O7158">
        <v>21.22</v>
      </c>
      <c r="P7158">
        <v>25.19</v>
      </c>
      <c r="Q7158">
        <v>18.39</v>
      </c>
      <c r="R7158">
        <v>0.13</v>
      </c>
    </row>
    <row r="7159">
      <c r="A7159" s="9">
        <v>45690</v>
      </c>
      <c r="B7159" s="2" t="inlineStr">
        <is>
          <t xml:space="preserve">2025-02</t>
        </is>
      </c>
      <c r="C7159" s="2" t="inlineStr">
        <is>
          <t xml:space="preserve">2024/25</t>
        </is>
      </c>
      <c r="D7159">
        <v>0.0</v>
      </c>
      <c r="E7159">
        <v>19.62</v>
      </c>
      <c r="F7159">
        <v>25.0</v>
      </c>
      <c r="G7159">
        <v>16.0</v>
      </c>
      <c r="H7159">
        <v>0.47</v>
      </c>
      <c r="I7159">
        <v>0.0</v>
      </c>
      <c r="J7159">
        <v>21.83</v>
      </c>
      <c r="K7159">
        <v>28.04</v>
      </c>
      <c r="L7159">
        <v>17.79</v>
      </c>
      <c r="M7159">
        <v>0.07</v>
      </c>
      <c r="N7159">
        <v>0.047</v>
      </c>
      <c r="O7159">
        <v>20.83</v>
      </c>
      <c r="P7159">
        <v>24.65</v>
      </c>
      <c r="Q7159">
        <v>18.09</v>
      </c>
      <c r="R7159">
        <v>0.7</v>
      </c>
    </row>
    <row r="7160">
      <c r="A7160" s="9">
        <v>45691</v>
      </c>
      <c r="B7160" s="2" t="inlineStr">
        <is>
          <t xml:space="preserve">2025-02</t>
        </is>
      </c>
      <c r="C7160" s="2" t="inlineStr">
        <is>
          <t xml:space="preserve">2024/25</t>
        </is>
      </c>
      <c r="D7160">
        <v>0.0</v>
      </c>
      <c r="E7160">
        <v>18.54</v>
      </c>
      <c r="F7160">
        <v>23.88</v>
      </c>
      <c r="G7160">
        <v>14.23</v>
      </c>
      <c r="H7160">
        <v>0.16</v>
      </c>
      <c r="I7160">
        <v>0.0</v>
      </c>
      <c r="J7160">
        <v>21.8</v>
      </c>
      <c r="K7160">
        <v>28.13</v>
      </c>
      <c r="L7160">
        <v>18.05</v>
      </c>
      <c r="M7160">
        <v>0.03</v>
      </c>
      <c r="N7160">
        <v>0.0</v>
      </c>
      <c r="O7160">
        <v>20.72</v>
      </c>
      <c r="P7160">
        <v>24.72</v>
      </c>
      <c r="Q7160">
        <v>17.8</v>
      </c>
      <c r="R7160">
        <v>0.3</v>
      </c>
    </row>
    <row r="7161">
      <c r="A7161" s="9">
        <v>45692</v>
      </c>
      <c r="B7161" s="2" t="inlineStr">
        <is>
          <t xml:space="preserve">2025-02</t>
        </is>
      </c>
      <c r="C7161" s="2" t="inlineStr">
        <is>
          <t xml:space="preserve">2024/25</t>
        </is>
      </c>
      <c r="D7161">
        <v>0.0</v>
      </c>
      <c r="E7161">
        <v>18.87</v>
      </c>
      <c r="F7161">
        <v>22.92</v>
      </c>
      <c r="G7161">
        <v>15.64</v>
      </c>
      <c r="H7161">
        <v>0.51</v>
      </c>
      <c r="I7161">
        <v>0.0</v>
      </c>
      <c r="J7161">
        <v>21.87</v>
      </c>
      <c r="K7161">
        <v>28.36</v>
      </c>
      <c r="L7161">
        <v>17.45</v>
      </c>
      <c r="M7161">
        <v>0.15</v>
      </c>
      <c r="N7161">
        <v>0.082</v>
      </c>
      <c r="O7161">
        <v>20.69</v>
      </c>
      <c r="P7161">
        <v>25.13</v>
      </c>
      <c r="Q7161">
        <v>18.08</v>
      </c>
      <c r="R7161">
        <v>1.5</v>
      </c>
    </row>
    <row r="7162">
      <c r="A7162" s="9">
        <v>45693</v>
      </c>
      <c r="B7162" s="2" t="inlineStr">
        <is>
          <t xml:space="preserve">2025-02</t>
        </is>
      </c>
      <c r="C7162" s="2" t="inlineStr">
        <is>
          <t xml:space="preserve">2024/25</t>
        </is>
      </c>
      <c r="D7162">
        <v>0.0</v>
      </c>
      <c r="E7162">
        <v>18.98</v>
      </c>
      <c r="F7162">
        <v>24.52</v>
      </c>
      <c r="G7162">
        <v>14.11</v>
      </c>
      <c r="H7162">
        <v>0.13</v>
      </c>
      <c r="I7162">
        <v>0.0</v>
      </c>
      <c r="J7162">
        <v>22.23</v>
      </c>
      <c r="K7162">
        <v>28.66</v>
      </c>
      <c r="L7162">
        <v>17.77</v>
      </c>
      <c r="M7162">
        <v>0.01</v>
      </c>
      <c r="N7162">
        <v>0.0</v>
      </c>
      <c r="O7162">
        <v>20.87</v>
      </c>
      <c r="P7162">
        <v>25.37</v>
      </c>
      <c r="Q7162">
        <v>17.68</v>
      </c>
      <c r="R7162">
        <v>0.21</v>
      </c>
    </row>
    <row r="7163">
      <c r="A7163" s="9">
        <v>45694</v>
      </c>
      <c r="B7163" s="2" t="inlineStr">
        <is>
          <t xml:space="preserve">2025-02</t>
        </is>
      </c>
      <c r="C7163" s="2" t="inlineStr">
        <is>
          <t xml:space="preserve">2024/25</t>
        </is>
      </c>
      <c r="D7163">
        <v>0.046</v>
      </c>
      <c r="E7163">
        <v>19.12</v>
      </c>
      <c r="F7163">
        <v>24.49</v>
      </c>
      <c r="G7163">
        <v>14.68</v>
      </c>
      <c r="H7163">
        <v>0.11</v>
      </c>
      <c r="I7163">
        <v>0.0</v>
      </c>
      <c r="J7163">
        <v>21.98</v>
      </c>
      <c r="K7163">
        <v>28.82</v>
      </c>
      <c r="L7163">
        <v>17.68</v>
      </c>
      <c r="M7163">
        <v>0.02</v>
      </c>
      <c r="N7163">
        <v>0.0</v>
      </c>
      <c r="O7163">
        <v>20.8</v>
      </c>
      <c r="P7163">
        <v>25.06</v>
      </c>
      <c r="Q7163">
        <v>18.22</v>
      </c>
      <c r="R7163">
        <v>0.2</v>
      </c>
    </row>
    <row r="7164">
      <c r="A7164" s="9">
        <v>45695</v>
      </c>
      <c r="B7164" s="2" t="inlineStr">
        <is>
          <t xml:space="preserve">2025-02</t>
        </is>
      </c>
      <c r="C7164" s="2" t="inlineStr">
        <is>
          <t xml:space="preserve">2024/25</t>
        </is>
      </c>
      <c r="D7164">
        <v>0.117</v>
      </c>
      <c r="E7164">
        <v>19.7</v>
      </c>
      <c r="F7164">
        <v>24.32</v>
      </c>
      <c r="G7164">
        <v>16.05</v>
      </c>
      <c r="H7164">
        <v>0.73</v>
      </c>
      <c r="I7164">
        <v>0.0</v>
      </c>
      <c r="J7164">
        <v>21.82</v>
      </c>
      <c r="K7164">
        <v>28.57</v>
      </c>
      <c r="L7164">
        <v>16.82</v>
      </c>
      <c r="M7164">
        <v>0.02</v>
      </c>
      <c r="N7164">
        <v>0.0</v>
      </c>
      <c r="O7164">
        <v>20.62</v>
      </c>
      <c r="P7164">
        <v>25.46</v>
      </c>
      <c r="Q7164">
        <v>16.99</v>
      </c>
      <c r="R7164">
        <v>0.37</v>
      </c>
    </row>
    <row r="7165">
      <c r="A7165" s="9">
        <v>45696</v>
      </c>
      <c r="B7165" s="2" t="inlineStr">
        <is>
          <t xml:space="preserve">2025-02</t>
        </is>
      </c>
      <c r="C7165" s="2" t="inlineStr">
        <is>
          <t xml:space="preserve">2024/25</t>
        </is>
      </c>
      <c r="D7165">
        <v>0.636</v>
      </c>
      <c r="E7165">
        <v>19.78</v>
      </c>
      <c r="F7165">
        <v>24.46</v>
      </c>
      <c r="G7165">
        <v>15.85</v>
      </c>
      <c r="H7165">
        <v>1.01</v>
      </c>
      <c r="I7165">
        <v>0.0</v>
      </c>
      <c r="J7165">
        <v>22.21</v>
      </c>
      <c r="K7165">
        <v>28.8</v>
      </c>
      <c r="L7165">
        <v>17.31</v>
      </c>
      <c r="M7165">
        <v>0.17</v>
      </c>
      <c r="N7165">
        <v>0.0</v>
      </c>
      <c r="O7165">
        <v>20.91</v>
      </c>
      <c r="P7165">
        <v>25.47</v>
      </c>
      <c r="Q7165">
        <v>17.42</v>
      </c>
      <c r="R7165">
        <v>0.79</v>
      </c>
    </row>
    <row r="7166">
      <c r="A7166" s="9">
        <v>45697</v>
      </c>
      <c r="B7166" s="2" t="inlineStr">
        <is>
          <t xml:space="preserve">2025-02</t>
        </is>
      </c>
      <c r="C7166" s="2" t="inlineStr">
        <is>
          <t xml:space="preserve">2024/25</t>
        </is>
      </c>
      <c r="D7166">
        <v>0.623</v>
      </c>
      <c r="E7166">
        <v>19.81</v>
      </c>
      <c r="F7166">
        <v>24.69</v>
      </c>
      <c r="G7166">
        <v>16.69</v>
      </c>
      <c r="H7166">
        <v>0.5</v>
      </c>
      <c r="I7166">
        <v>0.122</v>
      </c>
      <c r="J7166">
        <v>22.15</v>
      </c>
      <c r="K7166">
        <v>27.72</v>
      </c>
      <c r="L7166">
        <v>18.24</v>
      </c>
      <c r="M7166">
        <v>0.28</v>
      </c>
      <c r="N7166">
        <v>0.687</v>
      </c>
      <c r="O7166">
        <v>20.9</v>
      </c>
      <c r="P7166">
        <v>25.01</v>
      </c>
      <c r="Q7166">
        <v>18.29</v>
      </c>
      <c r="R7166">
        <v>0.7</v>
      </c>
    </row>
    <row r="7167">
      <c r="A7167" s="9">
        <v>45698</v>
      </c>
      <c r="B7167" s="2" t="inlineStr">
        <is>
          <t xml:space="preserve">2025-02</t>
        </is>
      </c>
      <c r="C7167" s="2" t="inlineStr">
        <is>
          <t xml:space="preserve">2024/25</t>
        </is>
      </c>
      <c r="D7167">
        <v>0.0</v>
      </c>
      <c r="E7167">
        <v>19.57</v>
      </c>
      <c r="F7167">
        <v>24.42</v>
      </c>
      <c r="G7167">
        <v>16.22</v>
      </c>
      <c r="H7167">
        <v>0.12</v>
      </c>
      <c r="I7167">
        <v>0.0</v>
      </c>
      <c r="J7167">
        <v>22.15</v>
      </c>
      <c r="K7167">
        <v>28.17</v>
      </c>
      <c r="L7167">
        <v>17.87</v>
      </c>
      <c r="M7167">
        <v>0.02</v>
      </c>
      <c r="N7167">
        <v>0.0</v>
      </c>
      <c r="O7167">
        <v>20.93</v>
      </c>
      <c r="P7167">
        <v>25.22</v>
      </c>
      <c r="Q7167">
        <v>17.99</v>
      </c>
      <c r="R7167">
        <v>0.4</v>
      </c>
    </row>
    <row r="7168">
      <c r="A7168" s="9">
        <v>45699</v>
      </c>
      <c r="B7168" s="2" t="inlineStr">
        <is>
          <t xml:space="preserve">2025-02</t>
        </is>
      </c>
      <c r="C7168" s="2" t="inlineStr">
        <is>
          <t xml:space="preserve">2024/25</t>
        </is>
      </c>
      <c r="D7168">
        <v>0.0</v>
      </c>
      <c r="E7168">
        <v>19.76</v>
      </c>
      <c r="F7168">
        <v>25.02</v>
      </c>
      <c r="G7168">
        <v>16.17</v>
      </c>
      <c r="H7168">
        <v>0.05</v>
      </c>
      <c r="I7168">
        <v>0.0</v>
      </c>
      <c r="J7168">
        <v>22.97</v>
      </c>
      <c r="K7168">
        <v>29.69</v>
      </c>
      <c r="L7168">
        <v>17.1</v>
      </c>
      <c r="M7168">
        <v>0.0</v>
      </c>
      <c r="N7168">
        <v>0.0</v>
      </c>
      <c r="O7168">
        <v>21.42</v>
      </c>
      <c r="P7168">
        <v>26.32</v>
      </c>
      <c r="Q7168">
        <v>17.36</v>
      </c>
      <c r="R7168">
        <v>0.0</v>
      </c>
    </row>
    <row r="7169">
      <c r="A7169" s="9">
        <v>45700</v>
      </c>
      <c r="B7169" s="2" t="inlineStr">
        <is>
          <t xml:space="preserve">2025-02</t>
        </is>
      </c>
      <c r="C7169" s="2" t="inlineStr">
        <is>
          <t xml:space="preserve">2024/25</t>
        </is>
      </c>
      <c r="D7169">
        <v>0.0</v>
      </c>
      <c r="E7169">
        <v>20.12</v>
      </c>
      <c r="F7169">
        <v>26.08</v>
      </c>
      <c r="G7169">
        <v>15.74</v>
      </c>
      <c r="H7169">
        <v>0.04</v>
      </c>
      <c r="I7169">
        <v>0.0</v>
      </c>
      <c r="J7169">
        <v>23.79</v>
      </c>
      <c r="K7169">
        <v>29.45</v>
      </c>
      <c r="L7169">
        <v>19.57</v>
      </c>
      <c r="M7169">
        <v>0.0</v>
      </c>
      <c r="N7169">
        <v>0.0</v>
      </c>
      <c r="O7169">
        <v>22.6</v>
      </c>
      <c r="P7169">
        <v>27.89</v>
      </c>
      <c r="Q7169">
        <v>18.06</v>
      </c>
      <c r="R7169">
        <v>0.0</v>
      </c>
    </row>
    <row r="7170">
      <c r="A7170" s="9">
        <v>45701</v>
      </c>
      <c r="B7170" s="2" t="inlineStr">
        <is>
          <t xml:space="preserve">2025-02</t>
        </is>
      </c>
      <c r="C7170" s="2" t="inlineStr">
        <is>
          <t xml:space="preserve">2024/25</t>
        </is>
      </c>
      <c r="D7170">
        <v>0.043</v>
      </c>
      <c r="E7170">
        <v>20.26</v>
      </c>
      <c r="F7170">
        <v>25.77</v>
      </c>
      <c r="G7170">
        <v>15.96</v>
      </c>
      <c r="H7170">
        <v>0.02</v>
      </c>
      <c r="I7170">
        <v>0.0</v>
      </c>
      <c r="J7170">
        <v>24.25</v>
      </c>
      <c r="K7170">
        <v>31.3</v>
      </c>
      <c r="L7170">
        <v>18.57</v>
      </c>
      <c r="M7170">
        <v>0.33</v>
      </c>
      <c r="N7170">
        <v>0.0</v>
      </c>
      <c r="O7170">
        <v>22.35</v>
      </c>
      <c r="P7170">
        <v>28.04</v>
      </c>
      <c r="Q7170">
        <v>17.35</v>
      </c>
      <c r="R7170">
        <v>0.03</v>
      </c>
    </row>
    <row r="7171">
      <c r="A7171" s="9">
        <v>45702</v>
      </c>
      <c r="B7171" s="2" t="inlineStr">
        <is>
          <t xml:space="preserve">2025-02</t>
        </is>
      </c>
      <c r="C7171" s="2" t="inlineStr">
        <is>
          <t xml:space="preserve">2024/25</t>
        </is>
      </c>
      <c r="D7171">
        <v>0.0</v>
      </c>
      <c r="E7171">
        <v>19.49</v>
      </c>
      <c r="F7171">
        <v>24.47</v>
      </c>
      <c r="G7171">
        <v>14.95</v>
      </c>
      <c r="H7171">
        <v>0.02</v>
      </c>
      <c r="I7171">
        <v>2.653</v>
      </c>
      <c r="J7171">
        <v>23.47</v>
      </c>
      <c r="K7171">
        <v>29.99</v>
      </c>
      <c r="L7171">
        <v>19.46</v>
      </c>
      <c r="M7171">
        <v>1.08</v>
      </c>
      <c r="N7171">
        <v>0.125</v>
      </c>
      <c r="O7171">
        <v>21.88</v>
      </c>
      <c r="P7171">
        <v>26.22</v>
      </c>
      <c r="Q7171">
        <v>19.01</v>
      </c>
      <c r="R7171">
        <v>0.13</v>
      </c>
    </row>
    <row r="7172">
      <c r="A7172" s="9">
        <v>45703</v>
      </c>
      <c r="B7172" s="2" t="inlineStr">
        <is>
          <t xml:space="preserve">2025-02</t>
        </is>
      </c>
      <c r="C7172" s="2" t="inlineStr">
        <is>
          <t xml:space="preserve">2024/25</t>
        </is>
      </c>
      <c r="D7172">
        <v>0.0</v>
      </c>
      <c r="E7172">
        <v>19.6</v>
      </c>
      <c r="F7172">
        <v>25.56</v>
      </c>
      <c r="G7172">
        <v>15.61</v>
      </c>
      <c r="H7172">
        <v>0.02</v>
      </c>
      <c r="I7172">
        <v>0.0</v>
      </c>
      <c r="J7172">
        <v>23.12</v>
      </c>
      <c r="K7172">
        <v>29.4</v>
      </c>
      <c r="L7172">
        <v>18.13</v>
      </c>
      <c r="M7172">
        <v>0.15</v>
      </c>
      <c r="N7172">
        <v>0.0</v>
      </c>
      <c r="O7172">
        <v>21.39</v>
      </c>
      <c r="P7172">
        <v>25.99</v>
      </c>
      <c r="Q7172">
        <v>18.27</v>
      </c>
      <c r="R7172">
        <v>0.05</v>
      </c>
    </row>
    <row r="7173">
      <c r="A7173" s="9">
        <v>45704</v>
      </c>
      <c r="B7173" s="2" t="inlineStr">
        <is>
          <t xml:space="preserve">2025-02</t>
        </is>
      </c>
      <c r="C7173" s="2" t="inlineStr">
        <is>
          <t xml:space="preserve">2024/25</t>
        </is>
      </c>
      <c r="D7173">
        <v>0.0</v>
      </c>
      <c r="E7173">
        <v>19.53</v>
      </c>
      <c r="F7173">
        <v>25.27</v>
      </c>
      <c r="G7173">
        <v>13.24</v>
      </c>
      <c r="H7173">
        <v>0.0</v>
      </c>
      <c r="I7173">
        <v>0.0</v>
      </c>
      <c r="J7173">
        <v>24.0</v>
      </c>
      <c r="K7173">
        <v>30.63</v>
      </c>
      <c r="L7173">
        <v>19.35</v>
      </c>
      <c r="M7173">
        <v>0.44</v>
      </c>
      <c r="N7173">
        <v>0.0</v>
      </c>
      <c r="O7173">
        <v>21.97</v>
      </c>
      <c r="P7173">
        <v>28.02</v>
      </c>
      <c r="Q7173">
        <v>17.57</v>
      </c>
      <c r="R7173">
        <v>0.01</v>
      </c>
    </row>
    <row r="7174">
      <c r="A7174" s="9">
        <v>45705</v>
      </c>
      <c r="B7174" s="2" t="inlineStr">
        <is>
          <t xml:space="preserve">2025-02</t>
        </is>
      </c>
      <c r="C7174" s="2" t="inlineStr">
        <is>
          <t xml:space="preserve">2024/25</t>
        </is>
      </c>
      <c r="D7174">
        <v>0.0</v>
      </c>
      <c r="E7174">
        <v>20.6</v>
      </c>
      <c r="F7174">
        <v>25.78</v>
      </c>
      <c r="G7174">
        <v>16.8</v>
      </c>
      <c r="H7174">
        <v>0.02</v>
      </c>
      <c r="I7174">
        <v>2.902</v>
      </c>
      <c r="J7174">
        <v>23.05</v>
      </c>
      <c r="K7174">
        <v>29.0</v>
      </c>
      <c r="L7174">
        <v>18.82</v>
      </c>
      <c r="M7174">
        <v>1.39</v>
      </c>
      <c r="N7174">
        <v>0.113</v>
      </c>
      <c r="O7174">
        <v>21.97</v>
      </c>
      <c r="P7174">
        <v>26.71</v>
      </c>
      <c r="Q7174">
        <v>19.2</v>
      </c>
      <c r="R7174">
        <v>0.14</v>
      </c>
    </row>
    <row r="7175">
      <c r="A7175" s="9">
        <v>45706</v>
      </c>
      <c r="B7175" s="2" t="inlineStr">
        <is>
          <t xml:space="preserve">2025-02</t>
        </is>
      </c>
      <c r="C7175" s="2" t="inlineStr">
        <is>
          <t xml:space="preserve">2024/25</t>
        </is>
      </c>
      <c r="D7175">
        <v>0.0</v>
      </c>
      <c r="E7175">
        <v>20.71</v>
      </c>
      <c r="F7175">
        <v>25.87</v>
      </c>
      <c r="G7175">
        <v>16.0</v>
      </c>
      <c r="H7175">
        <v>0.15</v>
      </c>
      <c r="I7175">
        <v>0.0</v>
      </c>
      <c r="J7175">
        <v>23.56</v>
      </c>
      <c r="K7175">
        <v>30.13</v>
      </c>
      <c r="L7175">
        <v>19.27</v>
      </c>
      <c r="M7175">
        <v>0.02</v>
      </c>
      <c r="N7175">
        <v>0.0</v>
      </c>
      <c r="O7175">
        <v>22.02</v>
      </c>
      <c r="P7175">
        <v>25.92</v>
      </c>
      <c r="Q7175">
        <v>19.09</v>
      </c>
      <c r="R7175">
        <v>0.05</v>
      </c>
    </row>
    <row r="7176">
      <c r="A7176" s="9">
        <v>45707</v>
      </c>
      <c r="B7176" s="2" t="inlineStr">
        <is>
          <t xml:space="preserve">2025-02</t>
        </is>
      </c>
      <c r="C7176" s="2" t="inlineStr">
        <is>
          <t xml:space="preserve">2024/25</t>
        </is>
      </c>
      <c r="D7176">
        <v>0.492</v>
      </c>
      <c r="E7176">
        <v>20.96</v>
      </c>
      <c r="F7176">
        <v>26.47</v>
      </c>
      <c r="G7176">
        <v>16.88</v>
      </c>
      <c r="H7176">
        <v>0.27</v>
      </c>
      <c r="I7176">
        <v>0.059</v>
      </c>
      <c r="J7176">
        <v>24.32</v>
      </c>
      <c r="K7176">
        <v>30.89</v>
      </c>
      <c r="L7176">
        <v>19.9</v>
      </c>
      <c r="M7176">
        <v>0.22</v>
      </c>
      <c r="N7176">
        <v>0.182</v>
      </c>
      <c r="O7176">
        <v>22.92</v>
      </c>
      <c r="P7176">
        <v>28.0</v>
      </c>
      <c r="Q7176">
        <v>18.73</v>
      </c>
      <c r="R7176">
        <v>0.32</v>
      </c>
    </row>
    <row r="7177">
      <c r="A7177" s="9">
        <v>45708</v>
      </c>
      <c r="B7177" s="2" t="inlineStr">
        <is>
          <t xml:space="preserve">2025-02</t>
        </is>
      </c>
      <c r="C7177" s="2" t="inlineStr">
        <is>
          <t xml:space="preserve">2024/25</t>
        </is>
      </c>
      <c r="D7177">
        <v>1.242</v>
      </c>
      <c r="E7177">
        <v>20.1</v>
      </c>
      <c r="F7177">
        <v>25.46</v>
      </c>
      <c r="G7177">
        <v>16.06</v>
      </c>
      <c r="H7177">
        <v>0.62</v>
      </c>
      <c r="I7177">
        <v>0.0</v>
      </c>
      <c r="J7177">
        <v>23.56</v>
      </c>
      <c r="K7177">
        <v>29.61</v>
      </c>
      <c r="L7177">
        <v>19.63</v>
      </c>
      <c r="M7177">
        <v>0.13</v>
      </c>
      <c r="N7177">
        <v>0.05</v>
      </c>
      <c r="O7177">
        <v>21.88</v>
      </c>
      <c r="P7177">
        <v>26.2</v>
      </c>
      <c r="Q7177">
        <v>19.2</v>
      </c>
      <c r="R7177">
        <v>0.36</v>
      </c>
    </row>
    <row r="7178">
      <c r="A7178" s="9">
        <v>45709</v>
      </c>
      <c r="B7178" s="2" t="inlineStr">
        <is>
          <t xml:space="preserve">2025-02</t>
        </is>
      </c>
      <c r="C7178" s="2" t="inlineStr">
        <is>
          <t xml:space="preserve">2024/25</t>
        </is>
      </c>
      <c r="D7178">
        <v>0.269</v>
      </c>
      <c r="E7178">
        <v>20.39</v>
      </c>
      <c r="F7178">
        <v>25.47</v>
      </c>
      <c r="G7178">
        <v>17.26</v>
      </c>
      <c r="H7178">
        <v>2.04</v>
      </c>
      <c r="I7178">
        <v>0.478</v>
      </c>
      <c r="J7178">
        <v>22.19</v>
      </c>
      <c r="K7178">
        <v>28.82</v>
      </c>
      <c r="L7178">
        <v>17.56</v>
      </c>
      <c r="M7178">
        <v>1.58</v>
      </c>
      <c r="N7178">
        <v>1.821</v>
      </c>
      <c r="O7178">
        <v>21.18</v>
      </c>
      <c r="P7178">
        <v>25.85</v>
      </c>
      <c r="Q7178">
        <v>18.15</v>
      </c>
      <c r="R7178">
        <v>3.7</v>
      </c>
    </row>
    <row r="7179">
      <c r="A7179" s="9">
        <v>45710</v>
      </c>
      <c r="B7179" s="2" t="inlineStr">
        <is>
          <t xml:space="preserve">2025-02</t>
        </is>
      </c>
      <c r="C7179" s="2" t="inlineStr">
        <is>
          <t xml:space="preserve">2024/25</t>
        </is>
      </c>
      <c r="D7179">
        <v>0.372</v>
      </c>
      <c r="E7179">
        <v>19.89</v>
      </c>
      <c r="F7179">
        <v>24.85</v>
      </c>
      <c r="G7179">
        <v>16.09</v>
      </c>
      <c r="H7179">
        <v>0.97</v>
      </c>
      <c r="I7179">
        <v>0.0</v>
      </c>
      <c r="J7179">
        <v>21.69</v>
      </c>
      <c r="K7179">
        <v>28.19</v>
      </c>
      <c r="L7179">
        <v>17.56</v>
      </c>
      <c r="M7179">
        <v>0.78</v>
      </c>
      <c r="N7179">
        <v>2.741</v>
      </c>
      <c r="O7179">
        <v>20.71</v>
      </c>
      <c r="P7179">
        <v>25.11</v>
      </c>
      <c r="Q7179">
        <v>18.02</v>
      </c>
      <c r="R7179">
        <v>3.05</v>
      </c>
    </row>
    <row r="7180">
      <c r="A7180" s="9">
        <v>45711</v>
      </c>
      <c r="B7180" s="2" t="inlineStr">
        <is>
          <t xml:space="preserve">2025-02</t>
        </is>
      </c>
      <c r="C7180" s="2" t="inlineStr">
        <is>
          <t xml:space="preserve">2024/25</t>
        </is>
      </c>
      <c r="D7180">
        <v>0.265</v>
      </c>
      <c r="E7180">
        <v>20.29</v>
      </c>
      <c r="F7180">
        <v>25.59</v>
      </c>
      <c r="G7180">
        <v>16.1</v>
      </c>
      <c r="H7180">
        <v>0.16</v>
      </c>
      <c r="I7180">
        <v>0.0</v>
      </c>
      <c r="J7180">
        <v>23.11</v>
      </c>
      <c r="K7180">
        <v>30.26</v>
      </c>
      <c r="L7180">
        <v>17.24</v>
      </c>
      <c r="M7180">
        <v>0.0</v>
      </c>
      <c r="N7180">
        <v>0.0</v>
      </c>
      <c r="O7180">
        <v>21.29</v>
      </c>
      <c r="P7180">
        <v>26.27</v>
      </c>
      <c r="Q7180">
        <v>17.52</v>
      </c>
      <c r="R7180">
        <v>0.05</v>
      </c>
    </row>
    <row r="7181">
      <c r="A7181" s="9">
        <v>45712</v>
      </c>
      <c r="B7181" s="2" t="inlineStr">
        <is>
          <t xml:space="preserve">2025-02</t>
        </is>
      </c>
      <c r="C7181" s="2" t="inlineStr">
        <is>
          <t xml:space="preserve">2024/25</t>
        </is>
      </c>
      <c r="D7181">
        <v>0.0</v>
      </c>
      <c r="E7181">
        <v>20.87</v>
      </c>
      <c r="F7181">
        <v>26.26</v>
      </c>
      <c r="G7181">
        <v>16.83</v>
      </c>
      <c r="H7181">
        <v>0.43</v>
      </c>
      <c r="I7181">
        <v>0.0</v>
      </c>
      <c r="J7181">
        <v>23.83</v>
      </c>
      <c r="K7181">
        <v>31.36</v>
      </c>
      <c r="L7181">
        <v>17.9</v>
      </c>
      <c r="M7181">
        <v>0.04</v>
      </c>
      <c r="N7181">
        <v>0.0</v>
      </c>
      <c r="O7181">
        <v>21.83</v>
      </c>
      <c r="P7181">
        <v>27.19</v>
      </c>
      <c r="Q7181">
        <v>17.66</v>
      </c>
      <c r="R7181">
        <v>0.36</v>
      </c>
    </row>
    <row r="7182">
      <c r="A7182" s="9">
        <v>45713</v>
      </c>
      <c r="B7182" s="2" t="inlineStr">
        <is>
          <t xml:space="preserve">2025-02</t>
        </is>
      </c>
      <c r="C7182" s="2" t="inlineStr">
        <is>
          <t xml:space="preserve">2024/25</t>
        </is>
      </c>
      <c r="D7182">
        <v>0.508</v>
      </c>
      <c r="E7182">
        <v>20.7</v>
      </c>
      <c r="F7182">
        <v>25.46</v>
      </c>
      <c r="G7182">
        <v>16.92</v>
      </c>
      <c r="H7182">
        <v>4.97</v>
      </c>
      <c r="I7182">
        <v>0.027</v>
      </c>
      <c r="J7182">
        <v>23.04</v>
      </c>
      <c r="K7182">
        <v>30.22</v>
      </c>
      <c r="L7182">
        <v>17.69</v>
      </c>
      <c r="M7182">
        <v>0.7</v>
      </c>
      <c r="N7182">
        <v>0.493</v>
      </c>
      <c r="O7182">
        <v>20.72</v>
      </c>
      <c r="P7182">
        <v>25.9</v>
      </c>
      <c r="Q7182">
        <v>17.43</v>
      </c>
      <c r="R7182">
        <v>6.4</v>
      </c>
    </row>
    <row r="7183">
      <c r="A7183" s="9">
        <v>45714</v>
      </c>
      <c r="B7183" s="2" t="inlineStr">
        <is>
          <t xml:space="preserve">2025-02</t>
        </is>
      </c>
      <c r="C7183" s="2" t="inlineStr">
        <is>
          <t xml:space="preserve">2024/25</t>
        </is>
      </c>
      <c r="D7183">
        <v>0.275</v>
      </c>
      <c r="E7183">
        <v>20.81</v>
      </c>
      <c r="F7183">
        <v>26.61</v>
      </c>
      <c r="G7183">
        <v>16.25</v>
      </c>
      <c r="H7183">
        <v>0.65</v>
      </c>
      <c r="I7183">
        <v>0.0</v>
      </c>
      <c r="J7183">
        <v>24.09</v>
      </c>
      <c r="K7183">
        <v>31.94</v>
      </c>
      <c r="L7183">
        <v>17.69</v>
      </c>
      <c r="M7183">
        <v>0.04</v>
      </c>
      <c r="N7183">
        <v>0.0</v>
      </c>
      <c r="O7183">
        <v>20.73</v>
      </c>
      <c r="P7183">
        <v>26.41</v>
      </c>
      <c r="Q7183">
        <v>16.43</v>
      </c>
      <c r="R7183">
        <v>0.09</v>
      </c>
    </row>
    <row r="7184">
      <c r="A7184" s="9">
        <v>45715</v>
      </c>
      <c r="B7184" s="2" t="inlineStr">
        <is>
          <t xml:space="preserve">2025-02</t>
        </is>
      </c>
      <c r="C7184" s="2" t="inlineStr">
        <is>
          <t xml:space="preserve">2024/25</t>
        </is>
      </c>
      <c r="D7184">
        <v>0.0</v>
      </c>
      <c r="E7184">
        <v>21.78</v>
      </c>
      <c r="F7184">
        <v>28.04</v>
      </c>
      <c r="G7184">
        <v>16.81</v>
      </c>
      <c r="H7184">
        <v>0.19</v>
      </c>
      <c r="I7184">
        <v>0.0</v>
      </c>
      <c r="J7184">
        <v>24.63</v>
      </c>
      <c r="K7184">
        <v>32.16</v>
      </c>
      <c r="L7184">
        <v>18.85</v>
      </c>
      <c r="M7184">
        <v>0.06</v>
      </c>
      <c r="N7184">
        <v>0.0</v>
      </c>
      <c r="O7184">
        <v>22.11</v>
      </c>
      <c r="P7184">
        <v>28.62</v>
      </c>
      <c r="Q7184">
        <v>17.52</v>
      </c>
      <c r="R7184">
        <v>0.31</v>
      </c>
    </row>
    <row r="7185">
      <c r="A7185" s="9">
        <v>45716</v>
      </c>
      <c r="B7185" s="2" t="inlineStr">
        <is>
          <t xml:space="preserve">2025-02</t>
        </is>
      </c>
      <c r="C7185" s="2" t="inlineStr">
        <is>
          <t xml:space="preserve">2024/25</t>
        </is>
      </c>
      <c r="D7185">
        <v>0.305</v>
      </c>
      <c r="E7185">
        <v>20.87</v>
      </c>
      <c r="F7185">
        <v>26.02</v>
      </c>
      <c r="G7185">
        <v>17.37</v>
      </c>
      <c r="H7185">
        <v>2.86</v>
      </c>
      <c r="I7185">
        <v>0.039</v>
      </c>
      <c r="J7185">
        <v>23.78</v>
      </c>
      <c r="K7185">
        <v>30.83</v>
      </c>
      <c r="L7185">
        <v>19.34</v>
      </c>
      <c r="M7185">
        <v>0.75</v>
      </c>
      <c r="N7185">
        <v>0.244</v>
      </c>
      <c r="O7185">
        <v>21.41</v>
      </c>
      <c r="P7185">
        <v>26.15</v>
      </c>
      <c r="Q7185">
        <v>18.58</v>
      </c>
      <c r="R7185">
        <v>4.1</v>
      </c>
    </row>
    <row r="7186">
      <c r="A7186" s="9">
        <v>45717</v>
      </c>
      <c r="B7186" s="2" t="inlineStr">
        <is>
          <t xml:space="preserve">2025-03</t>
        </is>
      </c>
      <c r="C7186" s="2" t="inlineStr">
        <is>
          <t xml:space="preserve">2024/25</t>
        </is>
      </c>
      <c r="D7186">
        <v>0.665</v>
      </c>
      <c r="E7186">
        <v>21.01</v>
      </c>
      <c r="F7186">
        <v>26.49</v>
      </c>
      <c r="G7186">
        <v>16.9</v>
      </c>
      <c r="H7186">
        <v>2.9</v>
      </c>
      <c r="I7186">
        <v>0.136</v>
      </c>
      <c r="J7186">
        <v>24.0</v>
      </c>
      <c r="K7186">
        <v>31.99</v>
      </c>
      <c r="L7186">
        <v>17.84</v>
      </c>
      <c r="M7186">
        <v>1.2</v>
      </c>
      <c r="N7186">
        <v>3.382</v>
      </c>
      <c r="O7186">
        <v>21.61</v>
      </c>
      <c r="P7186">
        <v>27.1</v>
      </c>
      <c r="Q7186">
        <v>17.92</v>
      </c>
      <c r="R7186">
        <v>5.81</v>
      </c>
    </row>
    <row r="7187">
      <c r="A7187" s="9">
        <v>45718</v>
      </c>
      <c r="B7187" s="2" t="inlineStr">
        <is>
          <t xml:space="preserve">2025-03</t>
        </is>
      </c>
      <c r="C7187" s="2" t="inlineStr">
        <is>
          <t xml:space="preserve">2024/25</t>
        </is>
      </c>
      <c r="D7187">
        <v>0.0</v>
      </c>
      <c r="E7187">
        <v>21.61</v>
      </c>
      <c r="F7187">
        <v>27.16</v>
      </c>
      <c r="G7187">
        <v>17.59</v>
      </c>
      <c r="H7187">
        <v>0.0</v>
      </c>
      <c r="I7187">
        <v>0.0</v>
      </c>
      <c r="J7187">
        <v>24.02</v>
      </c>
      <c r="K7187">
        <v>31.58</v>
      </c>
      <c r="L7187">
        <v>18.12</v>
      </c>
      <c r="M7187">
        <v>0.0</v>
      </c>
      <c r="N7187">
        <v>0.0</v>
      </c>
      <c r="O7187">
        <v>21.5</v>
      </c>
      <c r="P7187">
        <v>26.77</v>
      </c>
      <c r="Q7187">
        <v>17.88</v>
      </c>
      <c r="R7187">
        <v>0.02</v>
      </c>
    </row>
    <row r="7188">
      <c r="A7188" s="9">
        <v>45719</v>
      </c>
      <c r="B7188" s="2" t="inlineStr">
        <is>
          <t xml:space="preserve">2025-03</t>
        </is>
      </c>
      <c r="C7188" s="2" t="inlineStr">
        <is>
          <t xml:space="preserve">2024/25</t>
        </is>
      </c>
      <c r="D7188">
        <v>0.0</v>
      </c>
      <c r="E7188">
        <v>21.04</v>
      </c>
      <c r="F7188">
        <v>26.99</v>
      </c>
      <c r="G7188">
        <v>16.82</v>
      </c>
      <c r="H7188">
        <v>0.0</v>
      </c>
      <c r="I7188">
        <v>0.0</v>
      </c>
      <c r="J7188">
        <v>24.2</v>
      </c>
      <c r="K7188">
        <v>32.96</v>
      </c>
      <c r="L7188">
        <v>18.01</v>
      </c>
      <c r="M7188">
        <v>0.31</v>
      </c>
      <c r="N7188">
        <v>0.0</v>
      </c>
      <c r="O7188">
        <v>21.54</v>
      </c>
      <c r="P7188">
        <v>27.31</v>
      </c>
      <c r="Q7188">
        <v>17.7</v>
      </c>
      <c r="R7188">
        <v>0.04</v>
      </c>
    </row>
    <row r="7189">
      <c r="A7189" s="9">
        <v>45720</v>
      </c>
      <c r="B7189" s="2" t="inlineStr">
        <is>
          <t xml:space="preserve">2025-03</t>
        </is>
      </c>
      <c r="C7189" s="2" t="inlineStr">
        <is>
          <t xml:space="preserve">2024/25</t>
        </is>
      </c>
      <c r="D7189">
        <v>0.0</v>
      </c>
      <c r="E7189">
        <v>21.7</v>
      </c>
      <c r="F7189">
        <v>28.65</v>
      </c>
      <c r="G7189">
        <v>16.21</v>
      </c>
      <c r="H7189">
        <v>0.0</v>
      </c>
      <c r="I7189">
        <v>2.212</v>
      </c>
      <c r="J7189">
        <v>24.91</v>
      </c>
      <c r="K7189">
        <v>33.63</v>
      </c>
      <c r="L7189">
        <v>18.88</v>
      </c>
      <c r="M7189">
        <v>0.8</v>
      </c>
      <c r="N7189">
        <v>0.084</v>
      </c>
      <c r="O7189">
        <v>23.41</v>
      </c>
      <c r="P7189">
        <v>29.8</v>
      </c>
      <c r="Q7189">
        <v>18.27</v>
      </c>
      <c r="R7189">
        <v>0.05</v>
      </c>
    </row>
    <row r="7190">
      <c r="A7190" s="9">
        <v>45721</v>
      </c>
      <c r="B7190" s="2" t="inlineStr">
        <is>
          <t xml:space="preserve">2025-03</t>
        </is>
      </c>
      <c r="C7190" s="2" t="inlineStr">
        <is>
          <t xml:space="preserve">2024/25</t>
        </is>
      </c>
      <c r="D7190">
        <v>0.0</v>
      </c>
      <c r="E7190">
        <v>22.56</v>
      </c>
      <c r="F7190">
        <v>29.94</v>
      </c>
      <c r="G7190">
        <v>16.59</v>
      </c>
      <c r="H7190">
        <v>0.08</v>
      </c>
      <c r="I7190">
        <v>0.0</v>
      </c>
      <c r="J7190">
        <v>25.87</v>
      </c>
      <c r="K7190">
        <v>34.68</v>
      </c>
      <c r="L7190">
        <v>18.88</v>
      </c>
      <c r="M7190">
        <v>0.0</v>
      </c>
      <c r="N7190">
        <v>0.0</v>
      </c>
      <c r="O7190">
        <v>23.41</v>
      </c>
      <c r="P7190">
        <v>30.53</v>
      </c>
      <c r="Q7190">
        <v>18.05</v>
      </c>
      <c r="R7190">
        <v>0.0</v>
      </c>
    </row>
    <row r="7191">
      <c r="A7191" s="9">
        <v>45722</v>
      </c>
      <c r="B7191" s="2" t="inlineStr">
        <is>
          <t xml:space="preserve">2025-03</t>
        </is>
      </c>
      <c r="C7191" s="2" t="inlineStr">
        <is>
          <t xml:space="preserve">2024/25</t>
        </is>
      </c>
      <c r="D7191">
        <v>0.126</v>
      </c>
      <c r="E7191">
        <v>21.86</v>
      </c>
      <c r="F7191">
        <v>27.55</v>
      </c>
      <c r="G7191">
        <v>17.81</v>
      </c>
      <c r="H7191">
        <v>0.12</v>
      </c>
      <c r="I7191">
        <v>0.0</v>
      </c>
      <c r="J7191">
        <v>24.59</v>
      </c>
      <c r="K7191">
        <v>31.74</v>
      </c>
      <c r="L7191">
        <v>18.73</v>
      </c>
      <c r="M7191">
        <v>0.0</v>
      </c>
      <c r="N7191">
        <v>0.0</v>
      </c>
      <c r="O7191">
        <v>22.22</v>
      </c>
      <c r="P7191">
        <v>27.21</v>
      </c>
      <c r="Q7191">
        <v>18.63</v>
      </c>
      <c r="R7191">
        <v>0.0</v>
      </c>
    </row>
    <row r="7192">
      <c r="A7192" s="9">
        <v>45723</v>
      </c>
      <c r="B7192" s="2" t="inlineStr">
        <is>
          <t xml:space="preserve">2025-03</t>
        </is>
      </c>
      <c r="C7192" s="2" t="inlineStr">
        <is>
          <t xml:space="preserve">2024/25</t>
        </is>
      </c>
      <c r="D7192">
        <v>0.0</v>
      </c>
      <c r="E7192">
        <v>21.39</v>
      </c>
      <c r="F7192">
        <v>28.09</v>
      </c>
      <c r="G7192">
        <v>16.17</v>
      </c>
      <c r="H7192">
        <v>0.0</v>
      </c>
      <c r="I7192">
        <v>0.0</v>
      </c>
      <c r="J7192">
        <v>24.98</v>
      </c>
      <c r="K7192">
        <v>33.51</v>
      </c>
      <c r="L7192">
        <v>18.13</v>
      </c>
      <c r="M7192">
        <v>0.0</v>
      </c>
      <c r="N7192">
        <v>0.0</v>
      </c>
      <c r="O7192">
        <v>22.53</v>
      </c>
      <c r="P7192">
        <v>28.67</v>
      </c>
      <c r="Q7192">
        <v>18.34</v>
      </c>
      <c r="R7192">
        <v>0.0</v>
      </c>
    </row>
    <row r="7193">
      <c r="A7193" s="9">
        <v>45724</v>
      </c>
      <c r="B7193" s="2" t="inlineStr">
        <is>
          <t xml:space="preserve">2025-03</t>
        </is>
      </c>
      <c r="C7193" s="2" t="inlineStr">
        <is>
          <t xml:space="preserve">2024/25</t>
        </is>
      </c>
      <c r="D7193">
        <v>0.0</v>
      </c>
      <c r="E7193">
        <v>22.07</v>
      </c>
      <c r="F7193">
        <v>29.58</v>
      </c>
      <c r="G7193">
        <v>15.8</v>
      </c>
      <c r="H7193">
        <v>0.0</v>
      </c>
      <c r="I7193">
        <v>0.0</v>
      </c>
      <c r="J7193">
        <v>25.26</v>
      </c>
      <c r="K7193">
        <v>34.08</v>
      </c>
      <c r="L7193">
        <v>18.2</v>
      </c>
      <c r="M7193">
        <v>0.0</v>
      </c>
      <c r="N7193">
        <v>0.0</v>
      </c>
      <c r="O7193">
        <v>23.52</v>
      </c>
      <c r="P7193">
        <v>30.55</v>
      </c>
      <c r="Q7193">
        <v>16.6</v>
      </c>
      <c r="R7193">
        <v>0.0</v>
      </c>
    </row>
    <row r="7194">
      <c r="A7194" s="9">
        <v>45725</v>
      </c>
      <c r="B7194" s="2" t="inlineStr">
        <is>
          <t xml:space="preserve">2025-03</t>
        </is>
      </c>
      <c r="C7194" s="2" t="inlineStr">
        <is>
          <t xml:space="preserve">2024/25</t>
        </is>
      </c>
      <c r="D7194">
        <v>0.0</v>
      </c>
      <c r="E7194">
        <v>22.94</v>
      </c>
      <c r="F7194">
        <v>30.31</v>
      </c>
      <c r="G7194">
        <v>16.3</v>
      </c>
      <c r="H7194">
        <v>0.0</v>
      </c>
      <c r="I7194">
        <v>0.0</v>
      </c>
      <c r="J7194">
        <v>25.54</v>
      </c>
      <c r="K7194">
        <v>33.87</v>
      </c>
      <c r="L7194">
        <v>18.62</v>
      </c>
      <c r="M7194">
        <v>0.0</v>
      </c>
      <c r="N7194">
        <v>0.0</v>
      </c>
      <c r="O7194">
        <v>23.95</v>
      </c>
      <c r="P7194">
        <v>31.17</v>
      </c>
      <c r="Q7194">
        <v>17.86</v>
      </c>
      <c r="R7194">
        <v>0.0</v>
      </c>
    </row>
    <row r="7195">
      <c r="A7195" s="9">
        <v>45726</v>
      </c>
      <c r="B7195" s="2" t="inlineStr">
        <is>
          <t xml:space="preserve">2025-03</t>
        </is>
      </c>
      <c r="C7195" s="2" t="inlineStr">
        <is>
          <t xml:space="preserve">2024/25</t>
        </is>
      </c>
      <c r="D7195">
        <v>0.0</v>
      </c>
      <c r="E7195">
        <v>21.7</v>
      </c>
      <c r="F7195">
        <v>27.8</v>
      </c>
      <c r="G7195">
        <v>16.94</v>
      </c>
      <c r="H7195">
        <v>0.08</v>
      </c>
      <c r="I7195">
        <v>0.0</v>
      </c>
      <c r="J7195">
        <v>24.71</v>
      </c>
      <c r="K7195">
        <v>31.64</v>
      </c>
      <c r="L7195">
        <v>19.34</v>
      </c>
      <c r="M7195">
        <v>0.02</v>
      </c>
      <c r="N7195">
        <v>0.0</v>
      </c>
      <c r="O7195">
        <v>22.79</v>
      </c>
      <c r="P7195">
        <v>28.07</v>
      </c>
      <c r="Q7195">
        <v>18.53</v>
      </c>
      <c r="R7195">
        <v>0.24</v>
      </c>
    </row>
    <row r="7196">
      <c r="A7196" s="9">
        <v>45727</v>
      </c>
      <c r="B7196" s="2" t="inlineStr">
        <is>
          <t xml:space="preserve">2025-03</t>
        </is>
      </c>
      <c r="C7196" s="2" t="inlineStr">
        <is>
          <t xml:space="preserve">2024/25</t>
        </is>
      </c>
      <c r="D7196">
        <v>0.0</v>
      </c>
      <c r="E7196">
        <v>21.57</v>
      </c>
      <c r="F7196">
        <v>28.12</v>
      </c>
      <c r="G7196">
        <v>16.9</v>
      </c>
      <c r="H7196">
        <v>1.87</v>
      </c>
      <c r="I7196">
        <v>0.0</v>
      </c>
      <c r="J7196">
        <v>23.53</v>
      </c>
      <c r="K7196">
        <v>30.97</v>
      </c>
      <c r="L7196">
        <v>17.41</v>
      </c>
      <c r="M7196">
        <v>0.12</v>
      </c>
      <c r="N7196">
        <v>0.0</v>
      </c>
      <c r="O7196">
        <v>20.49</v>
      </c>
      <c r="P7196">
        <v>25.59</v>
      </c>
      <c r="Q7196">
        <v>16.77</v>
      </c>
      <c r="R7196">
        <v>3.67</v>
      </c>
    </row>
    <row r="7197">
      <c r="A7197" s="9">
        <v>45728</v>
      </c>
      <c r="B7197" s="2" t="inlineStr">
        <is>
          <t xml:space="preserve">2025-03</t>
        </is>
      </c>
      <c r="C7197" s="2" t="inlineStr">
        <is>
          <t xml:space="preserve">2024/25</t>
        </is>
      </c>
      <c r="D7197">
        <v>0.0</v>
      </c>
      <c r="E7197">
        <v>22.27</v>
      </c>
      <c r="F7197">
        <v>28.98</v>
      </c>
      <c r="G7197">
        <v>16.64</v>
      </c>
      <c r="H7197">
        <v>0.01</v>
      </c>
      <c r="I7197">
        <v>0.0</v>
      </c>
      <c r="J7197">
        <v>25.1</v>
      </c>
      <c r="K7197">
        <v>34.23</v>
      </c>
      <c r="L7197">
        <v>17.51</v>
      </c>
      <c r="M7197">
        <v>1.65</v>
      </c>
      <c r="N7197">
        <v>0.0</v>
      </c>
      <c r="O7197">
        <v>22.25</v>
      </c>
      <c r="P7197">
        <v>28.87</v>
      </c>
      <c r="Q7197">
        <v>17.27</v>
      </c>
      <c r="R7197">
        <v>0.02</v>
      </c>
    </row>
    <row r="7198">
      <c r="A7198" s="9">
        <v>45729</v>
      </c>
      <c r="B7198" s="2" t="inlineStr">
        <is>
          <t xml:space="preserve">2025-03</t>
        </is>
      </c>
      <c r="C7198" s="2" t="inlineStr">
        <is>
          <t xml:space="preserve">2024/25</t>
        </is>
      </c>
      <c r="D7198">
        <v>0.0</v>
      </c>
      <c r="E7198">
        <v>23.81</v>
      </c>
      <c r="F7198">
        <v>31.59</v>
      </c>
      <c r="G7198">
        <v>17.52</v>
      </c>
      <c r="H7198">
        <v>0.04</v>
      </c>
      <c r="I7198">
        <v>3.833</v>
      </c>
      <c r="J7198">
        <v>25.99</v>
      </c>
      <c r="K7198">
        <v>34.11</v>
      </c>
      <c r="L7198">
        <v>20.1</v>
      </c>
      <c r="M7198">
        <v>3.75</v>
      </c>
      <c r="N7198">
        <v>0.0</v>
      </c>
      <c r="O7198">
        <v>24.62</v>
      </c>
      <c r="P7198">
        <v>31.42</v>
      </c>
      <c r="Q7198">
        <v>19.38</v>
      </c>
      <c r="R7198">
        <v>0.07</v>
      </c>
    </row>
    <row r="7199">
      <c r="A7199" s="9">
        <v>45730</v>
      </c>
      <c r="B7199" s="2" t="inlineStr">
        <is>
          <t xml:space="preserve">2025-03</t>
        </is>
      </c>
      <c r="C7199" s="2" t="inlineStr">
        <is>
          <t xml:space="preserve">2024/25</t>
        </is>
      </c>
      <c r="D7199">
        <v>0.342</v>
      </c>
      <c r="E7199">
        <v>24.1</v>
      </c>
      <c r="F7199">
        <v>32.04</v>
      </c>
      <c r="G7199">
        <v>17.02</v>
      </c>
      <c r="H7199">
        <v>0.07</v>
      </c>
      <c r="I7199">
        <v>0.0</v>
      </c>
      <c r="J7199">
        <v>26.29</v>
      </c>
      <c r="K7199">
        <v>34.08</v>
      </c>
      <c r="L7199">
        <v>21.27</v>
      </c>
      <c r="M7199">
        <v>0.0</v>
      </c>
      <c r="N7199">
        <v>0.0</v>
      </c>
      <c r="O7199">
        <v>25.6</v>
      </c>
      <c r="P7199">
        <v>31.99</v>
      </c>
      <c r="Q7199">
        <v>20.2</v>
      </c>
      <c r="R7199">
        <v>0.01</v>
      </c>
    </row>
    <row r="7200">
      <c r="A7200" s="9">
        <v>45731</v>
      </c>
      <c r="B7200" s="2" t="inlineStr">
        <is>
          <t xml:space="preserve">2025-03</t>
        </is>
      </c>
      <c r="C7200" s="2" t="inlineStr">
        <is>
          <t xml:space="preserve">2024/25</t>
        </is>
      </c>
      <c r="D7200">
        <v>0.0</v>
      </c>
      <c r="E7200">
        <v>24.51</v>
      </c>
      <c r="F7200">
        <v>32.11</v>
      </c>
      <c r="G7200">
        <v>18.59</v>
      </c>
      <c r="H7200">
        <v>0.0</v>
      </c>
      <c r="I7200">
        <v>0.0</v>
      </c>
      <c r="J7200">
        <v>25.48</v>
      </c>
      <c r="K7200">
        <v>33.93</v>
      </c>
      <c r="L7200">
        <v>19.05</v>
      </c>
      <c r="M7200">
        <v>0.0</v>
      </c>
      <c r="N7200">
        <v>0.0</v>
      </c>
      <c r="O7200">
        <v>25.07</v>
      </c>
      <c r="P7200">
        <v>32.83</v>
      </c>
      <c r="Q7200">
        <v>19.82</v>
      </c>
      <c r="R7200">
        <v>0.0</v>
      </c>
    </row>
    <row r="7201">
      <c r="A7201" s="9">
        <v>45732</v>
      </c>
      <c r="B7201" s="2" t="inlineStr">
        <is>
          <t xml:space="preserve">2025-03</t>
        </is>
      </c>
      <c r="C7201" s="2" t="inlineStr">
        <is>
          <t xml:space="preserve">2024/25</t>
        </is>
      </c>
      <c r="D7201">
        <v>0.0</v>
      </c>
      <c r="E7201">
        <v>24.31</v>
      </c>
      <c r="F7201">
        <v>32.77</v>
      </c>
      <c r="G7201">
        <v>16.65</v>
      </c>
      <c r="H7201">
        <v>0.01</v>
      </c>
      <c r="I7201">
        <v>0.0</v>
      </c>
      <c r="J7201">
        <v>25.67</v>
      </c>
      <c r="K7201">
        <v>35.21</v>
      </c>
      <c r="L7201">
        <v>17.46</v>
      </c>
      <c r="M7201">
        <v>0.09</v>
      </c>
      <c r="N7201">
        <v>0.0</v>
      </c>
      <c r="O7201">
        <v>24.29</v>
      </c>
      <c r="P7201">
        <v>33.2</v>
      </c>
      <c r="Q7201">
        <v>17.63</v>
      </c>
      <c r="R7201">
        <v>0.04</v>
      </c>
    </row>
    <row r="7202">
      <c r="A7202" s="9">
        <v>45733</v>
      </c>
      <c r="B7202" s="2" t="inlineStr">
        <is>
          <t xml:space="preserve">2025-03</t>
        </is>
      </c>
      <c r="C7202" s="2" t="inlineStr">
        <is>
          <t xml:space="preserve">2024/25</t>
        </is>
      </c>
      <c r="D7202">
        <v>0.0</v>
      </c>
      <c r="E7202">
        <v>21.71</v>
      </c>
      <c r="F7202">
        <v>27.87</v>
      </c>
      <c r="G7202">
        <v>17.27</v>
      </c>
      <c r="H7202">
        <v>2.08</v>
      </c>
      <c r="I7202">
        <v>0.045</v>
      </c>
      <c r="J7202">
        <v>23.4</v>
      </c>
      <c r="K7202">
        <v>29.47</v>
      </c>
      <c r="L7202">
        <v>19.66</v>
      </c>
      <c r="M7202">
        <v>4.18</v>
      </c>
      <c r="N7202">
        <v>0.501</v>
      </c>
      <c r="O7202">
        <v>22.05</v>
      </c>
      <c r="P7202">
        <v>26.85</v>
      </c>
      <c r="Q7202">
        <v>18.96</v>
      </c>
      <c r="R7202">
        <v>9.04</v>
      </c>
    </row>
    <row r="7203">
      <c r="A7203" s="9">
        <v>45734</v>
      </c>
      <c r="B7203" s="2" t="inlineStr">
        <is>
          <t xml:space="preserve">2025-03</t>
        </is>
      </c>
      <c r="C7203" s="2" t="inlineStr">
        <is>
          <t xml:space="preserve">2024/25</t>
        </is>
      </c>
      <c r="D7203">
        <v>0.35</v>
      </c>
      <c r="E7203">
        <v>21.39</v>
      </c>
      <c r="F7203">
        <v>28.09</v>
      </c>
      <c r="G7203">
        <v>16.57</v>
      </c>
      <c r="H7203">
        <v>6.27</v>
      </c>
      <c r="I7203">
        <v>0.141</v>
      </c>
      <c r="J7203">
        <v>22.81</v>
      </c>
      <c r="K7203">
        <v>29.31</v>
      </c>
      <c r="L7203">
        <v>18.81</v>
      </c>
      <c r="M7203">
        <v>4.86</v>
      </c>
      <c r="N7203">
        <v>1.635</v>
      </c>
      <c r="O7203">
        <v>21.11</v>
      </c>
      <c r="P7203">
        <v>25.57</v>
      </c>
      <c r="Q7203">
        <v>18.06</v>
      </c>
      <c r="R7203">
        <v>13.46</v>
      </c>
    </row>
    <row r="7204">
      <c r="A7204" s="9">
        <v>45735</v>
      </c>
      <c r="B7204" s="2" t="inlineStr">
        <is>
          <t xml:space="preserve">2025-03</t>
        </is>
      </c>
      <c r="C7204" s="2" t="inlineStr">
        <is>
          <t xml:space="preserve">2024/25</t>
        </is>
      </c>
      <c r="D7204">
        <v>0.787</v>
      </c>
      <c r="E7204">
        <v>22.22</v>
      </c>
      <c r="F7204">
        <v>29.39</v>
      </c>
      <c r="G7204">
        <v>16.84</v>
      </c>
      <c r="H7204">
        <v>0.72</v>
      </c>
      <c r="I7204">
        <v>0.093</v>
      </c>
      <c r="J7204">
        <v>24.33</v>
      </c>
      <c r="K7204">
        <v>32.51</v>
      </c>
      <c r="L7204">
        <v>17.65</v>
      </c>
      <c r="M7204">
        <v>0.71</v>
      </c>
      <c r="N7204">
        <v>0.379</v>
      </c>
      <c r="O7204">
        <v>21.86</v>
      </c>
      <c r="P7204">
        <v>28.38</v>
      </c>
      <c r="Q7204">
        <v>16.97</v>
      </c>
      <c r="R7204">
        <v>1.8</v>
      </c>
    </row>
    <row r="7205">
      <c r="A7205" s="9">
        <v>45736</v>
      </c>
      <c r="B7205" s="2" t="inlineStr">
        <is>
          <t xml:space="preserve">2025-03</t>
        </is>
      </c>
      <c r="C7205" s="2" t="inlineStr">
        <is>
          <t xml:space="preserve">2024/25</t>
        </is>
      </c>
      <c r="D7205">
        <v>0.0</v>
      </c>
      <c r="E7205">
        <v>21.95</v>
      </c>
      <c r="F7205">
        <v>28.67</v>
      </c>
      <c r="G7205">
        <v>16.96</v>
      </c>
      <c r="H7205">
        <v>0.91</v>
      </c>
      <c r="I7205">
        <v>0.0</v>
      </c>
      <c r="J7205">
        <v>24.08</v>
      </c>
      <c r="K7205">
        <v>30.88</v>
      </c>
      <c r="L7205">
        <v>19.62</v>
      </c>
      <c r="M7205">
        <v>0.31</v>
      </c>
      <c r="N7205">
        <v>0.185</v>
      </c>
      <c r="O7205">
        <v>21.72</v>
      </c>
      <c r="P7205">
        <v>26.6</v>
      </c>
      <c r="Q7205">
        <v>18.44</v>
      </c>
      <c r="R7205">
        <v>2.42</v>
      </c>
    </row>
    <row r="7206">
      <c r="A7206" s="9">
        <v>45737</v>
      </c>
      <c r="B7206" s="2" t="inlineStr">
        <is>
          <t xml:space="preserve">2025-03</t>
        </is>
      </c>
      <c r="C7206" s="2" t="inlineStr">
        <is>
          <t xml:space="preserve">2024/25</t>
        </is>
      </c>
      <c r="D7206">
        <v>0.0</v>
      </c>
      <c r="E7206">
        <v>21.44</v>
      </c>
      <c r="F7206">
        <v>28.22</v>
      </c>
      <c r="G7206">
        <v>16.93</v>
      </c>
      <c r="H7206">
        <v>0.08</v>
      </c>
      <c r="I7206">
        <v>0.0</v>
      </c>
      <c r="J7206">
        <v>21.94</v>
      </c>
      <c r="K7206">
        <v>28.84</v>
      </c>
      <c r="L7206">
        <v>17.19</v>
      </c>
      <c r="M7206">
        <v>0.04</v>
      </c>
      <c r="N7206">
        <v>0.164</v>
      </c>
      <c r="O7206">
        <v>20.34</v>
      </c>
      <c r="P7206">
        <v>25.29</v>
      </c>
      <c r="Q7206">
        <v>17.14</v>
      </c>
      <c r="R7206">
        <v>0.08</v>
      </c>
    </row>
    <row r="7207">
      <c r="A7207" s="9">
        <v>45738</v>
      </c>
      <c r="B7207" s="2" t="inlineStr">
        <is>
          <t xml:space="preserve">2025-03</t>
        </is>
      </c>
      <c r="C7207" s="2" t="inlineStr">
        <is>
          <t xml:space="preserve">2024/25</t>
        </is>
      </c>
      <c r="D7207">
        <v>0.0</v>
      </c>
      <c r="E7207">
        <v>21.11</v>
      </c>
      <c r="F7207">
        <v>29.08</v>
      </c>
      <c r="G7207">
        <v>15.77</v>
      </c>
      <c r="H7207">
        <v>0.25</v>
      </c>
      <c r="I7207">
        <v>0.0</v>
      </c>
      <c r="J7207">
        <v>22.23</v>
      </c>
      <c r="K7207">
        <v>31.21</v>
      </c>
      <c r="L7207">
        <v>15.56</v>
      </c>
      <c r="M7207">
        <v>0.0</v>
      </c>
      <c r="N7207">
        <v>0.0</v>
      </c>
      <c r="O7207">
        <v>20.25</v>
      </c>
      <c r="P7207">
        <v>26.44</v>
      </c>
      <c r="Q7207">
        <v>16.05</v>
      </c>
      <c r="R7207">
        <v>0.0</v>
      </c>
    </row>
    <row r="7208">
      <c r="A7208" s="9">
        <v>45739</v>
      </c>
      <c r="B7208" s="2" t="inlineStr">
        <is>
          <t xml:space="preserve">2025-03</t>
        </is>
      </c>
      <c r="C7208" s="2" t="inlineStr">
        <is>
          <t xml:space="preserve">2024/25</t>
        </is>
      </c>
      <c r="D7208">
        <v>0.0</v>
      </c>
      <c r="E7208">
        <v>21.22</v>
      </c>
      <c r="F7208">
        <v>28.69</v>
      </c>
      <c r="G7208">
        <v>14.95</v>
      </c>
      <c r="H7208">
        <v>8.44</v>
      </c>
      <c r="I7208">
        <v>0.0</v>
      </c>
      <c r="J7208">
        <v>24.5</v>
      </c>
      <c r="K7208">
        <v>33.67</v>
      </c>
      <c r="L7208">
        <v>16.07</v>
      </c>
      <c r="M7208">
        <v>0.45</v>
      </c>
      <c r="N7208">
        <v>0.0</v>
      </c>
      <c r="O7208">
        <v>21.92</v>
      </c>
      <c r="P7208">
        <v>28.84</v>
      </c>
      <c r="Q7208">
        <v>16.13</v>
      </c>
      <c r="R7208">
        <v>1.11</v>
      </c>
    </row>
    <row r="7209">
      <c r="A7209" s="9">
        <v>45740</v>
      </c>
      <c r="B7209" s="2" t="inlineStr">
        <is>
          <t xml:space="preserve">2025-03</t>
        </is>
      </c>
      <c r="C7209" s="2" t="inlineStr">
        <is>
          <t xml:space="preserve">2024/25</t>
        </is>
      </c>
      <c r="D7209">
        <v>0.0</v>
      </c>
      <c r="E7209">
        <v>22.01</v>
      </c>
      <c r="F7209">
        <v>29.79</v>
      </c>
      <c r="G7209">
        <v>15.37</v>
      </c>
      <c r="H7209">
        <v>7.26</v>
      </c>
      <c r="I7209">
        <v>0.0</v>
      </c>
      <c r="J7209">
        <v>26.08</v>
      </c>
      <c r="K7209">
        <v>33.8</v>
      </c>
      <c r="L7209">
        <v>20.23</v>
      </c>
      <c r="M7209">
        <v>0.02</v>
      </c>
      <c r="N7209">
        <v>0.0</v>
      </c>
      <c r="O7209">
        <v>23.28</v>
      </c>
      <c r="P7209">
        <v>29.35</v>
      </c>
      <c r="Q7209">
        <v>19.26</v>
      </c>
      <c r="R7209">
        <v>0.06</v>
      </c>
    </row>
    <row r="7210">
      <c r="A7210" s="9">
        <v>45741</v>
      </c>
      <c r="B7210" s="2" t="inlineStr">
        <is>
          <t xml:space="preserve">2025-03</t>
        </is>
      </c>
      <c r="C7210" s="2" t="inlineStr">
        <is>
          <t xml:space="preserve">2024/25</t>
        </is>
      </c>
      <c r="D7210">
        <v>0.0</v>
      </c>
      <c r="E7210">
        <v>21.34</v>
      </c>
      <c r="F7210">
        <v>26.34</v>
      </c>
      <c r="G7210">
        <v>17.31</v>
      </c>
      <c r="H7210">
        <v>89.12</v>
      </c>
      <c r="I7210">
        <v>0.0</v>
      </c>
      <c r="J7210">
        <v>25.14</v>
      </c>
      <c r="K7210">
        <v>32.92</v>
      </c>
      <c r="L7210">
        <v>19.86</v>
      </c>
      <c r="M7210">
        <v>0.1</v>
      </c>
      <c r="N7210">
        <v>0.0</v>
      </c>
      <c r="O7210">
        <v>22.82</v>
      </c>
      <c r="P7210">
        <v>28.28</v>
      </c>
      <c r="Q7210">
        <v>19.07</v>
      </c>
      <c r="R7210">
        <v>0.38</v>
      </c>
    </row>
    <row r="7211">
      <c r="A7211" s="9">
        <v>45742</v>
      </c>
      <c r="B7211" s="2" t="inlineStr">
        <is>
          <t xml:space="preserve">2025-03</t>
        </is>
      </c>
      <c r="C7211" s="2" t="inlineStr">
        <is>
          <t xml:space="preserve">2024/25</t>
        </is>
      </c>
      <c r="D7211">
        <v>0.0</v>
      </c>
      <c r="E7211">
        <v>20.78</v>
      </c>
      <c r="F7211">
        <v>25.47</v>
      </c>
      <c r="G7211">
        <v>17.3</v>
      </c>
      <c r="H7211">
        <v>26.5</v>
      </c>
      <c r="I7211">
        <v>0.0</v>
      </c>
      <c r="J7211">
        <v>23.63</v>
      </c>
      <c r="K7211">
        <v>31.22</v>
      </c>
      <c r="L7211">
        <v>17.91</v>
      </c>
      <c r="M7211">
        <v>0.3</v>
      </c>
      <c r="N7211">
        <v>0.0</v>
      </c>
      <c r="O7211">
        <v>22.02</v>
      </c>
      <c r="P7211">
        <v>27.27</v>
      </c>
      <c r="Q7211">
        <v>17.8</v>
      </c>
      <c r="R7211">
        <v>0.72</v>
      </c>
    </row>
    <row r="7212">
      <c r="A7212" s="9">
        <v>45743</v>
      </c>
      <c r="B7212" s="2" t="inlineStr">
        <is>
          <t xml:space="preserve">2025-03</t>
        </is>
      </c>
      <c r="C7212" s="2" t="inlineStr">
        <is>
          <t xml:space="preserve">2024/25</t>
        </is>
      </c>
      <c r="D7212">
        <v>0.047</v>
      </c>
      <c r="E7212">
        <v>20.74</v>
      </c>
      <c r="F7212">
        <v>25.49</v>
      </c>
      <c r="G7212">
        <v>16.6</v>
      </c>
      <c r="H7212">
        <v>0.73</v>
      </c>
      <c r="I7212">
        <v>0.0</v>
      </c>
      <c r="J7212">
        <v>24.37</v>
      </c>
      <c r="K7212">
        <v>31.82</v>
      </c>
      <c r="L7212">
        <v>18.78</v>
      </c>
      <c r="M7212">
        <v>0.01</v>
      </c>
      <c r="N7212">
        <v>0.0</v>
      </c>
      <c r="O7212">
        <v>22.16</v>
      </c>
      <c r="P7212">
        <v>27.55</v>
      </c>
      <c r="Q7212">
        <v>18.25</v>
      </c>
      <c r="R7212">
        <v>0.14</v>
      </c>
    </row>
    <row r="7213">
      <c r="A7213" s="9">
        <v>45744</v>
      </c>
      <c r="B7213" s="2" t="inlineStr">
        <is>
          <t xml:space="preserve">2025-03</t>
        </is>
      </c>
      <c r="C7213" s="2" t="inlineStr">
        <is>
          <t xml:space="preserve">2024/25</t>
        </is>
      </c>
      <c r="D7213">
        <v>0.0</v>
      </c>
      <c r="E7213">
        <v>21.1</v>
      </c>
      <c r="F7213">
        <v>26.94</v>
      </c>
      <c r="G7213">
        <v>16.39</v>
      </c>
      <c r="H7213">
        <v>0.18</v>
      </c>
      <c r="I7213">
        <v>0.0</v>
      </c>
      <c r="J7213">
        <v>25.07</v>
      </c>
      <c r="K7213">
        <v>31.08</v>
      </c>
      <c r="L7213">
        <v>20.25</v>
      </c>
      <c r="M7213">
        <v>0.17</v>
      </c>
      <c r="N7213">
        <v>0.0</v>
      </c>
      <c r="O7213">
        <v>23.3</v>
      </c>
      <c r="P7213">
        <v>29.27</v>
      </c>
      <c r="Q7213">
        <v>18.91</v>
      </c>
      <c r="R7213">
        <v>0.09</v>
      </c>
    </row>
    <row r="7214">
      <c r="A7214" s="9">
        <v>45745</v>
      </c>
      <c r="B7214" s="2" t="inlineStr">
        <is>
          <t xml:space="preserve">2025-03</t>
        </is>
      </c>
      <c r="C7214" s="2" t="inlineStr">
        <is>
          <t xml:space="preserve">2024/25</t>
        </is>
      </c>
      <c r="D7214">
        <v>0.0</v>
      </c>
      <c r="E7214">
        <v>22.18</v>
      </c>
      <c r="F7214">
        <v>28.07</v>
      </c>
      <c r="G7214">
        <v>16.68</v>
      </c>
      <c r="H7214">
        <v>0.0</v>
      </c>
      <c r="I7214">
        <v>0.0</v>
      </c>
      <c r="J7214">
        <v>26.06</v>
      </c>
      <c r="K7214">
        <v>32.94</v>
      </c>
      <c r="L7214">
        <v>20.77</v>
      </c>
      <c r="M7214">
        <v>0.36</v>
      </c>
      <c r="N7214">
        <v>0.0</v>
      </c>
      <c r="O7214">
        <v>24.33</v>
      </c>
      <c r="P7214">
        <v>30.18</v>
      </c>
      <c r="Q7214">
        <v>19.85</v>
      </c>
      <c r="R7214">
        <v>0.0</v>
      </c>
    </row>
    <row r="7215">
      <c r="A7215" s="9">
        <v>45746</v>
      </c>
      <c r="B7215" s="2" t="inlineStr">
        <is>
          <t xml:space="preserve">2025-03</t>
        </is>
      </c>
      <c r="C7215" s="2" t="inlineStr">
        <is>
          <t xml:space="preserve">2024/25</t>
        </is>
      </c>
      <c r="D7215">
        <v>0.0</v>
      </c>
      <c r="E7215">
        <v>23.33</v>
      </c>
      <c r="F7215">
        <v>29.13</v>
      </c>
      <c r="G7215">
        <v>18.68</v>
      </c>
      <c r="H7215">
        <v>0.27</v>
      </c>
      <c r="I7215">
        <v>0.0</v>
      </c>
      <c r="J7215">
        <v>25.12</v>
      </c>
      <c r="K7215">
        <v>30.33</v>
      </c>
      <c r="L7215">
        <v>21.36</v>
      </c>
      <c r="M7215">
        <v>0.18</v>
      </c>
      <c r="N7215">
        <v>0.0</v>
      </c>
      <c r="O7215">
        <v>25.09</v>
      </c>
      <c r="P7215">
        <v>30.92</v>
      </c>
      <c r="Q7215">
        <v>20.91</v>
      </c>
      <c r="R7215">
        <v>0.22</v>
      </c>
    </row>
    <row r="7216">
      <c r="A7216" s="9">
        <v>45747</v>
      </c>
      <c r="B7216" s="2" t="inlineStr">
        <is>
          <t xml:space="preserve">2025-03</t>
        </is>
      </c>
      <c r="C7216" s="2" t="inlineStr">
        <is>
          <t xml:space="preserve">2024/25</t>
        </is>
      </c>
      <c r="D7216">
        <v>1.576</v>
      </c>
      <c r="E7216">
        <v>23.27</v>
      </c>
      <c r="F7216">
        <v>29.14</v>
      </c>
      <c r="G7216">
        <v>18.66</v>
      </c>
      <c r="H7216">
        <v>1.16</v>
      </c>
      <c r="I7216">
        <v>1.627</v>
      </c>
      <c r="J7216">
        <v>26.02</v>
      </c>
      <c r="K7216">
        <v>34.28</v>
      </c>
      <c r="L7216">
        <v>19.09</v>
      </c>
      <c r="M7216">
        <v>1.17</v>
      </c>
      <c r="N7216">
        <v>0.562</v>
      </c>
      <c r="O7216">
        <v>25.3</v>
      </c>
      <c r="P7216">
        <v>31.46</v>
      </c>
      <c r="Q7216">
        <v>21.07</v>
      </c>
      <c r="R7216">
        <v>0.76</v>
      </c>
    </row>
    <row r="7217">
      <c r="A7217" s="9">
        <v>45748</v>
      </c>
      <c r="B7217" s="2" t="inlineStr">
        <is>
          <t xml:space="preserve">2025-04</t>
        </is>
      </c>
      <c r="C7217" s="2" t="inlineStr">
        <is>
          <t xml:space="preserve">2024/25</t>
        </is>
      </c>
      <c r="D7217">
        <v>0.395</v>
      </c>
      <c r="E7217">
        <v>22.08</v>
      </c>
      <c r="F7217">
        <v>28.3</v>
      </c>
      <c r="G7217">
        <v>18.18</v>
      </c>
      <c r="H7217">
        <v>0.17</v>
      </c>
      <c r="I7217">
        <v>0.0</v>
      </c>
      <c r="J7217">
        <v>26.31</v>
      </c>
      <c r="K7217">
        <v>33.99</v>
      </c>
      <c r="L7217">
        <v>21.04</v>
      </c>
      <c r="M7217">
        <v>0.02</v>
      </c>
      <c r="N7217">
        <v>0.0</v>
      </c>
      <c r="O7217">
        <v>24.91</v>
      </c>
      <c r="P7217">
        <v>30.99</v>
      </c>
      <c r="Q7217">
        <v>20.62</v>
      </c>
      <c r="R7217">
        <v>0.01</v>
      </c>
    </row>
    <row r="7218">
      <c r="A7218" s="9">
        <v>45749</v>
      </c>
      <c r="B7218" s="2" t="inlineStr">
        <is>
          <t xml:space="preserve">2025-04</t>
        </is>
      </c>
      <c r="C7218" s="2" t="inlineStr">
        <is>
          <t xml:space="preserve">2024/25</t>
        </is>
      </c>
      <c r="D7218">
        <v>0.13</v>
      </c>
      <c r="E7218">
        <v>22.34</v>
      </c>
      <c r="F7218">
        <v>29.26</v>
      </c>
      <c r="G7218">
        <v>16.73</v>
      </c>
      <c r="H7218">
        <v>0.04</v>
      </c>
      <c r="I7218">
        <v>0.0</v>
      </c>
      <c r="J7218">
        <v>27.18</v>
      </c>
      <c r="K7218">
        <v>35.39</v>
      </c>
      <c r="L7218">
        <v>21.65</v>
      </c>
      <c r="M7218">
        <v>0.0</v>
      </c>
      <c r="N7218">
        <v>0.0</v>
      </c>
      <c r="O7218">
        <v>25.56</v>
      </c>
      <c r="P7218">
        <v>33.01</v>
      </c>
      <c r="Q7218">
        <v>19.46</v>
      </c>
      <c r="R7218">
        <v>0.01</v>
      </c>
    </row>
    <row r="7219">
      <c r="A7219" s="9">
        <v>45750</v>
      </c>
      <c r="B7219" s="2" t="inlineStr">
        <is>
          <t xml:space="preserve">2025-04</t>
        </is>
      </c>
      <c r="C7219" s="2" t="inlineStr">
        <is>
          <t xml:space="preserve">2024/25</t>
        </is>
      </c>
      <c r="D7219">
        <v>0.0</v>
      </c>
      <c r="E7219">
        <v>22.68</v>
      </c>
      <c r="F7219">
        <v>29.46</v>
      </c>
      <c r="G7219">
        <v>17.31</v>
      </c>
      <c r="H7219">
        <v>0.61</v>
      </c>
      <c r="I7219">
        <v>0.0</v>
      </c>
      <c r="J7219">
        <v>26.44</v>
      </c>
      <c r="K7219">
        <v>33.81</v>
      </c>
      <c r="L7219">
        <v>20.17</v>
      </c>
      <c r="M7219">
        <v>0.05</v>
      </c>
      <c r="N7219">
        <v>0.0</v>
      </c>
      <c r="O7219">
        <v>25.27</v>
      </c>
      <c r="P7219">
        <v>32.04</v>
      </c>
      <c r="Q7219">
        <v>19.28</v>
      </c>
      <c r="R7219">
        <v>0.25</v>
      </c>
    </row>
    <row r="7220">
      <c r="A7220" s="9">
        <v>45751</v>
      </c>
      <c r="B7220" s="2" t="inlineStr">
        <is>
          <t xml:space="preserve">2025-04</t>
        </is>
      </c>
      <c r="C7220" s="2" t="inlineStr">
        <is>
          <t xml:space="preserve">2024/25</t>
        </is>
      </c>
      <c r="D7220">
        <v>3.794</v>
      </c>
      <c r="E7220">
        <v>22.38</v>
      </c>
      <c r="F7220">
        <v>29.15</v>
      </c>
      <c r="G7220">
        <v>17.31</v>
      </c>
      <c r="H7220">
        <v>1.03</v>
      </c>
      <c r="I7220">
        <v>0.123</v>
      </c>
      <c r="J7220">
        <v>27.52</v>
      </c>
      <c r="K7220">
        <v>35.7</v>
      </c>
      <c r="L7220">
        <v>20.65</v>
      </c>
      <c r="M7220">
        <v>0.06</v>
      </c>
      <c r="N7220">
        <v>0.047</v>
      </c>
      <c r="O7220">
        <v>25.52</v>
      </c>
      <c r="P7220">
        <v>32.82</v>
      </c>
      <c r="Q7220">
        <v>19.37</v>
      </c>
      <c r="R7220">
        <v>0.13</v>
      </c>
    </row>
    <row r="7221">
      <c r="A7221" s="9">
        <v>45752</v>
      </c>
      <c r="B7221" s="2" t="inlineStr">
        <is>
          <t xml:space="preserve">2025-04</t>
        </is>
      </c>
      <c r="C7221" s="2" t="inlineStr">
        <is>
          <t xml:space="preserve">2024/25</t>
        </is>
      </c>
      <c r="D7221">
        <v>0.081</v>
      </c>
      <c r="E7221">
        <v>22.46</v>
      </c>
      <c r="F7221">
        <v>28.98</v>
      </c>
      <c r="G7221">
        <v>16.83</v>
      </c>
      <c r="H7221">
        <v>2.64</v>
      </c>
      <c r="I7221">
        <v>0.0</v>
      </c>
      <c r="J7221">
        <v>27.25</v>
      </c>
      <c r="K7221">
        <v>35.23</v>
      </c>
      <c r="L7221">
        <v>20.38</v>
      </c>
      <c r="M7221">
        <v>0.15</v>
      </c>
      <c r="N7221">
        <v>0.072</v>
      </c>
      <c r="O7221">
        <v>25.62</v>
      </c>
      <c r="P7221">
        <v>32.92</v>
      </c>
      <c r="Q7221">
        <v>19.26</v>
      </c>
      <c r="R7221">
        <v>0.64</v>
      </c>
    </row>
    <row r="7222">
      <c r="A7222" s="9">
        <v>45753</v>
      </c>
      <c r="B7222" s="2" t="inlineStr">
        <is>
          <t xml:space="preserve">2025-04</t>
        </is>
      </c>
      <c r="C7222" s="2" t="inlineStr">
        <is>
          <t xml:space="preserve">2024/25</t>
        </is>
      </c>
      <c r="D7222">
        <v>16.974</v>
      </c>
      <c r="E7222">
        <v>22.61</v>
      </c>
      <c r="F7222">
        <v>29.25</v>
      </c>
      <c r="G7222">
        <v>16.9</v>
      </c>
      <c r="H7222">
        <v>6.42</v>
      </c>
      <c r="I7222">
        <v>3.579</v>
      </c>
      <c r="J7222">
        <v>25.89</v>
      </c>
      <c r="K7222">
        <v>33.91</v>
      </c>
      <c r="L7222">
        <v>20.43</v>
      </c>
      <c r="M7222">
        <v>7.71</v>
      </c>
      <c r="N7222">
        <v>12.43</v>
      </c>
      <c r="O7222">
        <v>24.77</v>
      </c>
      <c r="P7222">
        <v>31.66</v>
      </c>
      <c r="Q7222">
        <v>19.47</v>
      </c>
      <c r="R7222">
        <v>9.06</v>
      </c>
    </row>
    <row r="7223">
      <c r="A7223" s="9">
        <v>45754</v>
      </c>
      <c r="B7223" s="2" t="inlineStr">
        <is>
          <t xml:space="preserve">2025-04</t>
        </is>
      </c>
      <c r="C7223" s="2" t="inlineStr">
        <is>
          <t xml:space="preserve">2024/25</t>
        </is>
      </c>
      <c r="D7223">
        <v>1.229</v>
      </c>
      <c r="E7223">
        <v>23.44</v>
      </c>
      <c r="F7223">
        <v>29.85</v>
      </c>
      <c r="G7223">
        <v>17.64</v>
      </c>
      <c r="H7223">
        <v>2.16</v>
      </c>
      <c r="I7223">
        <v>0.779</v>
      </c>
      <c r="J7223">
        <v>26.32</v>
      </c>
      <c r="K7223">
        <v>33.62</v>
      </c>
      <c r="L7223">
        <v>20.67</v>
      </c>
      <c r="M7223">
        <v>1.39</v>
      </c>
      <c r="N7223">
        <v>0.272</v>
      </c>
      <c r="O7223">
        <v>25.12</v>
      </c>
      <c r="P7223">
        <v>31.53</v>
      </c>
      <c r="Q7223">
        <v>19.94</v>
      </c>
      <c r="R7223">
        <v>2.13</v>
      </c>
    </row>
    <row r="7224">
      <c r="A7224" s="9">
        <v>45755</v>
      </c>
      <c r="B7224" s="2" t="inlineStr">
        <is>
          <t xml:space="preserve">2025-04</t>
        </is>
      </c>
      <c r="C7224" s="2" t="inlineStr">
        <is>
          <t xml:space="preserve">2024/25</t>
        </is>
      </c>
      <c r="D7224">
        <v>9.408</v>
      </c>
      <c r="E7224">
        <v>21.88</v>
      </c>
      <c r="F7224">
        <v>27.05</v>
      </c>
      <c r="G7224">
        <v>18.53</v>
      </c>
      <c r="H7224">
        <v>13.24</v>
      </c>
      <c r="I7224">
        <v>2.854</v>
      </c>
      <c r="J7224">
        <v>22.65</v>
      </c>
      <c r="K7224">
        <v>27.12</v>
      </c>
      <c r="L7224">
        <v>19.56</v>
      </c>
      <c r="M7224">
        <v>3.75</v>
      </c>
      <c r="N7224">
        <v>3.023</v>
      </c>
      <c r="O7224">
        <v>21.55</v>
      </c>
      <c r="P7224">
        <v>25.02</v>
      </c>
      <c r="Q7224">
        <v>18.73</v>
      </c>
      <c r="R7224">
        <v>15.25</v>
      </c>
    </row>
    <row r="7225">
      <c r="A7225" s="9">
        <v>45756</v>
      </c>
      <c r="B7225" s="2" t="inlineStr">
        <is>
          <t xml:space="preserve">2025-04</t>
        </is>
      </c>
      <c r="C7225" s="2" t="inlineStr">
        <is>
          <t xml:space="preserve">2024/25</t>
        </is>
      </c>
      <c r="D7225">
        <v>0.412</v>
      </c>
      <c r="E7225">
        <v>19.83</v>
      </c>
      <c r="F7225">
        <v>23.92</v>
      </c>
      <c r="G7225">
        <v>16.01</v>
      </c>
      <c r="H7225">
        <v>1.71</v>
      </c>
      <c r="I7225">
        <v>0.034</v>
      </c>
      <c r="J7225">
        <v>21.52</v>
      </c>
      <c r="K7225">
        <v>28.3</v>
      </c>
      <c r="L7225">
        <v>16.23</v>
      </c>
      <c r="M7225">
        <v>0.12</v>
      </c>
      <c r="N7225">
        <v>0.428</v>
      </c>
      <c r="O7225">
        <v>19.29</v>
      </c>
      <c r="P7225">
        <v>24.36</v>
      </c>
      <c r="Q7225">
        <v>15.55</v>
      </c>
      <c r="R7225">
        <v>1.66</v>
      </c>
    </row>
    <row r="7226">
      <c r="A7226" s="9">
        <v>45757</v>
      </c>
      <c r="B7226" s="2" t="inlineStr">
        <is>
          <t xml:space="preserve">2025-04</t>
        </is>
      </c>
      <c r="C7226" s="2" t="inlineStr">
        <is>
          <t xml:space="preserve">2024/25</t>
        </is>
      </c>
      <c r="D7226">
        <v>0.0</v>
      </c>
      <c r="E7226">
        <v>19.34</v>
      </c>
      <c r="F7226">
        <v>25.7</v>
      </c>
      <c r="G7226">
        <v>14.15</v>
      </c>
      <c r="H7226">
        <v>0.03</v>
      </c>
      <c r="I7226">
        <v>0.0</v>
      </c>
      <c r="J7226">
        <v>21.94</v>
      </c>
      <c r="K7226">
        <v>29.83</v>
      </c>
      <c r="L7226">
        <v>16.24</v>
      </c>
      <c r="M7226">
        <v>0.0</v>
      </c>
      <c r="N7226">
        <v>0.0</v>
      </c>
      <c r="O7226">
        <v>19.83</v>
      </c>
      <c r="P7226">
        <v>26.19</v>
      </c>
      <c r="Q7226">
        <v>14.67</v>
      </c>
      <c r="R7226">
        <v>0.02</v>
      </c>
    </row>
    <row r="7227">
      <c r="A7227" s="9">
        <v>45758</v>
      </c>
      <c r="B7227" s="2" t="inlineStr">
        <is>
          <t xml:space="preserve">2025-04</t>
        </is>
      </c>
      <c r="C7227" s="2" t="inlineStr">
        <is>
          <t xml:space="preserve">2024/25</t>
        </is>
      </c>
      <c r="D7227">
        <v>0.0</v>
      </c>
      <c r="E7227">
        <v>18.93</v>
      </c>
      <c r="F7227">
        <v>24.87</v>
      </c>
      <c r="G7227">
        <v>14.76</v>
      </c>
      <c r="H7227">
        <v>0.0</v>
      </c>
      <c r="I7227">
        <v>0.0</v>
      </c>
      <c r="J7227">
        <v>21.49</v>
      </c>
      <c r="K7227">
        <v>29.39</v>
      </c>
      <c r="L7227">
        <v>16.11</v>
      </c>
      <c r="M7227">
        <v>0.0</v>
      </c>
      <c r="N7227">
        <v>0.0</v>
      </c>
      <c r="O7227">
        <v>19.73</v>
      </c>
      <c r="P7227">
        <v>25.92</v>
      </c>
      <c r="Q7227">
        <v>15.3</v>
      </c>
      <c r="R7227">
        <v>0.0</v>
      </c>
    </row>
    <row r="7228">
      <c r="A7228" s="9">
        <v>45759</v>
      </c>
      <c r="B7228" s="2" t="inlineStr">
        <is>
          <t xml:space="preserve">2025-04</t>
        </is>
      </c>
      <c r="C7228" s="2" t="inlineStr">
        <is>
          <t xml:space="preserve">2024/25</t>
        </is>
      </c>
      <c r="D7228">
        <v>0.0</v>
      </c>
      <c r="E7228">
        <v>18.44</v>
      </c>
      <c r="F7228">
        <v>24.83</v>
      </c>
      <c r="G7228">
        <v>12.78</v>
      </c>
      <c r="H7228">
        <v>0.0</v>
      </c>
      <c r="I7228">
        <v>0.0</v>
      </c>
      <c r="J7228">
        <v>21.13</v>
      </c>
      <c r="K7228">
        <v>28.65</v>
      </c>
      <c r="L7228">
        <v>15.05</v>
      </c>
      <c r="M7228">
        <v>0.0</v>
      </c>
      <c r="N7228">
        <v>0.0</v>
      </c>
      <c r="O7228">
        <v>19.19</v>
      </c>
      <c r="P7228">
        <v>25.82</v>
      </c>
      <c r="Q7228">
        <v>13.19</v>
      </c>
      <c r="R7228">
        <v>0.0</v>
      </c>
    </row>
    <row r="7229">
      <c r="A7229" s="9">
        <v>45760</v>
      </c>
      <c r="B7229" s="2" t="inlineStr">
        <is>
          <t xml:space="preserve">2025-04</t>
        </is>
      </c>
      <c r="C7229" s="2" t="inlineStr">
        <is>
          <t xml:space="preserve">2024/25</t>
        </is>
      </c>
      <c r="D7229">
        <v>0.0</v>
      </c>
      <c r="E7229">
        <v>18.74</v>
      </c>
      <c r="F7229">
        <v>25.46</v>
      </c>
      <c r="G7229">
        <v>13.37</v>
      </c>
      <c r="H7229">
        <v>0.0</v>
      </c>
      <c r="I7229">
        <v>0.0</v>
      </c>
      <c r="J7229">
        <v>21.29</v>
      </c>
      <c r="K7229">
        <v>29.75</v>
      </c>
      <c r="L7229">
        <v>14.03</v>
      </c>
      <c r="M7229">
        <v>0.0</v>
      </c>
      <c r="N7229">
        <v>0.0</v>
      </c>
      <c r="O7229">
        <v>19.43</v>
      </c>
      <c r="P7229">
        <v>26.28</v>
      </c>
      <c r="Q7229">
        <v>13.48</v>
      </c>
      <c r="R7229">
        <v>0.0</v>
      </c>
    </row>
    <row r="7230">
      <c r="A7230" s="9">
        <v>45761</v>
      </c>
      <c r="B7230" s="2" t="inlineStr">
        <is>
          <t xml:space="preserve">2025-04</t>
        </is>
      </c>
      <c r="C7230" s="2" t="inlineStr">
        <is>
          <t xml:space="preserve">2024/25</t>
        </is>
      </c>
      <c r="D7230">
        <v>0.0</v>
      </c>
      <c r="E7230">
        <v>20.8</v>
      </c>
      <c r="F7230">
        <v>27.83</v>
      </c>
      <c r="G7230">
        <v>14.36</v>
      </c>
      <c r="H7230">
        <v>0.01</v>
      </c>
      <c r="I7230">
        <v>0.0</v>
      </c>
      <c r="J7230">
        <v>23.7</v>
      </c>
      <c r="K7230">
        <v>32.62</v>
      </c>
      <c r="L7230">
        <v>16.19</v>
      </c>
      <c r="M7230">
        <v>0.0</v>
      </c>
      <c r="N7230">
        <v>0.0</v>
      </c>
      <c r="O7230">
        <v>21.57</v>
      </c>
      <c r="P7230">
        <v>28.65</v>
      </c>
      <c r="Q7230">
        <v>15.94</v>
      </c>
      <c r="R7230">
        <v>0.02</v>
      </c>
    </row>
    <row r="7231">
      <c r="A7231" s="9">
        <v>45762</v>
      </c>
      <c r="B7231" s="2" t="inlineStr">
        <is>
          <t xml:space="preserve">2025-04</t>
        </is>
      </c>
      <c r="C7231" s="2" t="inlineStr">
        <is>
          <t xml:space="preserve">2024/25</t>
        </is>
      </c>
      <c r="D7231">
        <v>0.0</v>
      </c>
      <c r="E7231">
        <v>22.08</v>
      </c>
      <c r="F7231">
        <v>28.45</v>
      </c>
      <c r="G7231">
        <v>17.03</v>
      </c>
      <c r="H7231">
        <v>1.05</v>
      </c>
      <c r="I7231">
        <v>0.0</v>
      </c>
      <c r="J7231">
        <v>24.15</v>
      </c>
      <c r="K7231">
        <v>32.55</v>
      </c>
      <c r="L7231">
        <v>18.11</v>
      </c>
      <c r="M7231">
        <v>0.24</v>
      </c>
      <c r="N7231">
        <v>0.0</v>
      </c>
      <c r="O7231">
        <v>22.26</v>
      </c>
      <c r="P7231">
        <v>28.86</v>
      </c>
      <c r="Q7231">
        <v>17.46</v>
      </c>
      <c r="R7231">
        <v>0.61</v>
      </c>
    </row>
    <row r="7232">
      <c r="A7232" s="9">
        <v>45763</v>
      </c>
      <c r="B7232" s="2" t="inlineStr">
        <is>
          <t xml:space="preserve">2025-04</t>
        </is>
      </c>
      <c r="C7232" s="2" t="inlineStr">
        <is>
          <t xml:space="preserve">2024/25</t>
        </is>
      </c>
      <c r="D7232">
        <v>0.0</v>
      </c>
      <c r="E7232">
        <v>21.84</v>
      </c>
      <c r="F7232">
        <v>27.7</v>
      </c>
      <c r="G7232">
        <v>17.5</v>
      </c>
      <c r="H7232">
        <v>2.71</v>
      </c>
      <c r="I7232">
        <v>2.115</v>
      </c>
      <c r="J7232">
        <v>23.48</v>
      </c>
      <c r="K7232">
        <v>30.97</v>
      </c>
      <c r="L7232">
        <v>18.76</v>
      </c>
      <c r="M7232">
        <v>2.57</v>
      </c>
      <c r="N7232">
        <v>1.399</v>
      </c>
      <c r="O7232">
        <v>22.46</v>
      </c>
      <c r="P7232">
        <v>28.36</v>
      </c>
      <c r="Q7232">
        <v>19.07</v>
      </c>
      <c r="R7232">
        <v>6.58</v>
      </c>
    </row>
    <row r="7233">
      <c r="A7233" s="9">
        <v>45764</v>
      </c>
      <c r="B7233" s="2" t="inlineStr">
        <is>
          <t xml:space="preserve">2025-04</t>
        </is>
      </c>
      <c r="C7233" s="2" t="inlineStr">
        <is>
          <t xml:space="preserve">2024/25</t>
        </is>
      </c>
      <c r="D7233">
        <v>0.65</v>
      </c>
      <c r="E7233">
        <v>22.38</v>
      </c>
      <c r="F7233">
        <v>28.54</v>
      </c>
      <c r="G7233">
        <v>17.58</v>
      </c>
      <c r="H7233">
        <v>0.67</v>
      </c>
      <c r="I7233">
        <v>0.136</v>
      </c>
      <c r="J7233">
        <v>24.51</v>
      </c>
      <c r="K7233">
        <v>32.35</v>
      </c>
      <c r="L7233">
        <v>18.73</v>
      </c>
      <c r="M7233">
        <v>0.37</v>
      </c>
      <c r="N7233">
        <v>1.95</v>
      </c>
      <c r="O7233">
        <v>22.49</v>
      </c>
      <c r="P7233">
        <v>28.32</v>
      </c>
      <c r="Q7233">
        <v>18.47</v>
      </c>
      <c r="R7233">
        <v>1.41</v>
      </c>
    </row>
    <row r="7234">
      <c r="A7234" s="9">
        <v>45765</v>
      </c>
      <c r="B7234" s="2" t="inlineStr">
        <is>
          <t xml:space="preserve">2025-04</t>
        </is>
      </c>
      <c r="C7234" s="2" t="inlineStr">
        <is>
          <t xml:space="preserve">2024/25</t>
        </is>
      </c>
      <c r="D7234">
        <v>0.0</v>
      </c>
      <c r="E7234">
        <v>21.96</v>
      </c>
      <c r="F7234">
        <v>28.39</v>
      </c>
      <c r="G7234">
        <v>17.53</v>
      </c>
      <c r="H7234">
        <v>0.0</v>
      </c>
      <c r="I7234">
        <v>0.0</v>
      </c>
      <c r="J7234">
        <v>24.71</v>
      </c>
      <c r="K7234">
        <v>32.42</v>
      </c>
      <c r="L7234">
        <v>19.06</v>
      </c>
      <c r="M7234">
        <v>0.0</v>
      </c>
      <c r="N7234">
        <v>0.0</v>
      </c>
      <c r="O7234">
        <v>22.53</v>
      </c>
      <c r="P7234">
        <v>28.7</v>
      </c>
      <c r="Q7234">
        <v>18.43</v>
      </c>
      <c r="R7234">
        <v>0.0</v>
      </c>
    </row>
    <row r="7235">
      <c r="A7235" s="9">
        <v>45766</v>
      </c>
      <c r="B7235" s="2" t="inlineStr">
        <is>
          <t xml:space="preserve">2025-04</t>
        </is>
      </c>
      <c r="C7235" s="2" t="inlineStr">
        <is>
          <t xml:space="preserve">2024/25</t>
        </is>
      </c>
      <c r="D7235">
        <v>0.0</v>
      </c>
      <c r="E7235">
        <v>22.52</v>
      </c>
      <c r="F7235">
        <v>29.54</v>
      </c>
      <c r="G7235">
        <v>16.32</v>
      </c>
      <c r="H7235">
        <v>1.12</v>
      </c>
      <c r="I7235">
        <v>0.0</v>
      </c>
      <c r="J7235">
        <v>25.59</v>
      </c>
      <c r="K7235">
        <v>33.97</v>
      </c>
      <c r="L7235">
        <v>18.99</v>
      </c>
      <c r="M7235">
        <v>0.03</v>
      </c>
      <c r="N7235">
        <v>0.0</v>
      </c>
      <c r="O7235">
        <v>23.48</v>
      </c>
      <c r="P7235">
        <v>30.33</v>
      </c>
      <c r="Q7235">
        <v>18.27</v>
      </c>
      <c r="R7235">
        <v>0.23</v>
      </c>
    </row>
    <row r="7236">
      <c r="A7236" s="9">
        <v>45767</v>
      </c>
      <c r="B7236" s="2" t="inlineStr">
        <is>
          <t xml:space="preserve">2025-04</t>
        </is>
      </c>
      <c r="C7236" s="2" t="inlineStr">
        <is>
          <t xml:space="preserve">2024/25</t>
        </is>
      </c>
      <c r="D7236">
        <v>8.2</v>
      </c>
      <c r="E7236">
        <v>22.9</v>
      </c>
      <c r="F7236">
        <v>29.58</v>
      </c>
      <c r="G7236">
        <v>17.58</v>
      </c>
      <c r="H7236">
        <v>3.09</v>
      </c>
      <c r="I7236">
        <v>0.0</v>
      </c>
      <c r="J7236">
        <v>26.5</v>
      </c>
      <c r="K7236">
        <v>34.39</v>
      </c>
      <c r="L7236">
        <v>20.48</v>
      </c>
      <c r="M7236">
        <v>2.11</v>
      </c>
      <c r="N7236">
        <v>0.145</v>
      </c>
      <c r="O7236">
        <v>24.84</v>
      </c>
      <c r="P7236">
        <v>31.5</v>
      </c>
      <c r="Q7236">
        <v>20.4</v>
      </c>
      <c r="R7236">
        <v>1.87</v>
      </c>
    </row>
    <row r="7237">
      <c r="A7237" s="9">
        <v>45768</v>
      </c>
      <c r="B7237" s="2" t="inlineStr">
        <is>
          <t xml:space="preserve">2025-04</t>
        </is>
      </c>
      <c r="C7237" s="2" t="inlineStr">
        <is>
          <t xml:space="preserve">2024/25</t>
        </is>
      </c>
      <c r="D7237">
        <v>5.17</v>
      </c>
      <c r="E7237">
        <v>22.99</v>
      </c>
      <c r="F7237">
        <v>29.72</v>
      </c>
      <c r="G7237">
        <v>17.45</v>
      </c>
      <c r="H7237">
        <v>2.59</v>
      </c>
      <c r="I7237">
        <v>7.826</v>
      </c>
      <c r="J7237">
        <v>25.96</v>
      </c>
      <c r="K7237">
        <v>33.2</v>
      </c>
      <c r="L7237">
        <v>21.34</v>
      </c>
      <c r="M7237">
        <v>3.77</v>
      </c>
      <c r="N7237">
        <v>1.716</v>
      </c>
      <c r="O7237">
        <v>24.87</v>
      </c>
      <c r="P7237">
        <v>31.42</v>
      </c>
      <c r="Q7237">
        <v>20.65</v>
      </c>
      <c r="R7237">
        <v>1.61</v>
      </c>
    </row>
    <row r="7238">
      <c r="A7238" s="9">
        <v>45769</v>
      </c>
      <c r="B7238" s="2" t="inlineStr">
        <is>
          <t xml:space="preserve">2025-04</t>
        </is>
      </c>
      <c r="C7238" s="2" t="inlineStr">
        <is>
          <t xml:space="preserve">2024/25</t>
        </is>
      </c>
      <c r="D7238">
        <v>0.0</v>
      </c>
      <c r="E7238">
        <v>23.06</v>
      </c>
      <c r="F7238">
        <v>29.82</v>
      </c>
      <c r="G7238">
        <v>17.59</v>
      </c>
      <c r="H7238">
        <v>0.23</v>
      </c>
      <c r="I7238">
        <v>2.087</v>
      </c>
      <c r="J7238">
        <v>25.72</v>
      </c>
      <c r="K7238">
        <v>33.53</v>
      </c>
      <c r="L7238">
        <v>20.0</v>
      </c>
      <c r="M7238">
        <v>3.88</v>
      </c>
      <c r="N7238">
        <v>0.1</v>
      </c>
      <c r="O7238">
        <v>24.24</v>
      </c>
      <c r="P7238">
        <v>30.71</v>
      </c>
      <c r="Q7238">
        <v>20.0</v>
      </c>
      <c r="R7238">
        <v>0.82</v>
      </c>
    </row>
    <row r="7239">
      <c r="A7239" s="9">
        <v>45770</v>
      </c>
      <c r="B7239" s="2" t="inlineStr">
        <is>
          <t xml:space="preserve">2025-04</t>
        </is>
      </c>
      <c r="C7239" s="2" t="inlineStr">
        <is>
          <t xml:space="preserve">2024/25</t>
        </is>
      </c>
      <c r="D7239">
        <v>0.178</v>
      </c>
      <c r="E7239">
        <v>22.75</v>
      </c>
      <c r="F7239">
        <v>28.87</v>
      </c>
      <c r="G7239">
        <v>17.57</v>
      </c>
      <c r="H7239">
        <v>0.14</v>
      </c>
      <c r="I7239">
        <v>8.652</v>
      </c>
      <c r="J7239">
        <v>25.03</v>
      </c>
      <c r="K7239">
        <v>32.41</v>
      </c>
      <c r="L7239">
        <v>18.79</v>
      </c>
      <c r="M7239">
        <v>2.68</v>
      </c>
      <c r="N7239">
        <v>0.564</v>
      </c>
      <c r="O7239">
        <v>23.72</v>
      </c>
      <c r="P7239">
        <v>30.28</v>
      </c>
      <c r="Q7239">
        <v>18.97</v>
      </c>
      <c r="R7239">
        <v>0.3</v>
      </c>
    </row>
    <row r="7240">
      <c r="A7240" s="9">
        <v>45771</v>
      </c>
      <c r="B7240" s="2" t="inlineStr">
        <is>
          <t xml:space="preserve">2025-04</t>
        </is>
      </c>
      <c r="C7240" s="2" t="inlineStr">
        <is>
          <t xml:space="preserve">2024/25</t>
        </is>
      </c>
      <c r="D7240">
        <v>0.0</v>
      </c>
      <c r="E7240">
        <v>22.78</v>
      </c>
      <c r="F7240">
        <v>29.9</v>
      </c>
      <c r="G7240">
        <v>17.27</v>
      </c>
      <c r="H7240">
        <v>0.01</v>
      </c>
      <c r="I7240">
        <v>0.0</v>
      </c>
      <c r="J7240">
        <v>25.28</v>
      </c>
      <c r="K7240">
        <v>33.54</v>
      </c>
      <c r="L7240">
        <v>17.94</v>
      </c>
      <c r="M7240">
        <v>0.1</v>
      </c>
      <c r="N7240">
        <v>0.0</v>
      </c>
      <c r="O7240">
        <v>23.56</v>
      </c>
      <c r="P7240">
        <v>30.29</v>
      </c>
      <c r="Q7240">
        <v>18.74</v>
      </c>
      <c r="R7240">
        <v>0.0</v>
      </c>
    </row>
    <row r="7241">
      <c r="A7241" s="9">
        <v>45772</v>
      </c>
      <c r="B7241" s="2" t="inlineStr">
        <is>
          <t xml:space="preserve">2025-04</t>
        </is>
      </c>
      <c r="C7241" s="2" t="inlineStr">
        <is>
          <t xml:space="preserve">2024/25</t>
        </is>
      </c>
      <c r="D7241">
        <v>0.0</v>
      </c>
      <c r="E7241">
        <v>22.84</v>
      </c>
      <c r="F7241">
        <v>29.79</v>
      </c>
      <c r="G7241">
        <v>17.59</v>
      </c>
      <c r="H7241">
        <v>0.0</v>
      </c>
      <c r="I7241">
        <v>0.317</v>
      </c>
      <c r="J7241">
        <v>25.48</v>
      </c>
      <c r="K7241">
        <v>33.77</v>
      </c>
      <c r="L7241">
        <v>18.65</v>
      </c>
      <c r="M7241">
        <v>0.33</v>
      </c>
      <c r="N7241">
        <v>0.0</v>
      </c>
      <c r="O7241">
        <v>23.8</v>
      </c>
      <c r="P7241">
        <v>30.79</v>
      </c>
      <c r="Q7241">
        <v>18.81</v>
      </c>
      <c r="R7241">
        <v>0.0</v>
      </c>
    </row>
    <row r="7242">
      <c r="A7242" s="9">
        <v>45773</v>
      </c>
      <c r="B7242" s="2" t="inlineStr">
        <is>
          <t xml:space="preserve">2025-04</t>
        </is>
      </c>
      <c r="C7242" s="2" t="inlineStr">
        <is>
          <t xml:space="preserve">2024/25</t>
        </is>
      </c>
      <c r="D7242">
        <v>0.0</v>
      </c>
      <c r="E7242">
        <v>22.26</v>
      </c>
      <c r="F7242">
        <v>29.37</v>
      </c>
      <c r="G7242">
        <v>17.15</v>
      </c>
      <c r="H7242">
        <v>0.0</v>
      </c>
      <c r="I7242">
        <v>0.0</v>
      </c>
      <c r="J7242">
        <v>24.91</v>
      </c>
      <c r="K7242">
        <v>32.45</v>
      </c>
      <c r="L7242">
        <v>19.78</v>
      </c>
      <c r="M7242">
        <v>0.0</v>
      </c>
      <c r="N7242">
        <v>0.0</v>
      </c>
      <c r="O7242">
        <v>23.27</v>
      </c>
      <c r="P7242">
        <v>29.88</v>
      </c>
      <c r="Q7242">
        <v>18.84</v>
      </c>
      <c r="R7242">
        <v>0.0</v>
      </c>
    </row>
    <row r="7243">
      <c r="A7243" s="9">
        <v>45774</v>
      </c>
      <c r="B7243" s="2" t="inlineStr">
        <is>
          <t xml:space="preserve">2025-04</t>
        </is>
      </c>
      <c r="C7243" s="2" t="inlineStr">
        <is>
          <t xml:space="preserve">2024/25</t>
        </is>
      </c>
      <c r="D7243">
        <v>0.0</v>
      </c>
      <c r="E7243">
        <v>22.26</v>
      </c>
      <c r="F7243">
        <v>29.8</v>
      </c>
      <c r="G7243">
        <v>16.35</v>
      </c>
      <c r="H7243">
        <v>0.0</v>
      </c>
      <c r="I7243">
        <v>0.0</v>
      </c>
      <c r="J7243">
        <v>24.75</v>
      </c>
      <c r="K7243">
        <v>33.09</v>
      </c>
      <c r="L7243">
        <v>17.42</v>
      </c>
      <c r="M7243">
        <v>0.0</v>
      </c>
      <c r="N7243">
        <v>0.0</v>
      </c>
      <c r="O7243">
        <v>23.03</v>
      </c>
      <c r="P7243">
        <v>29.94</v>
      </c>
      <c r="Q7243">
        <v>17.81</v>
      </c>
      <c r="R7243">
        <v>0.0</v>
      </c>
    </row>
    <row r="7244">
      <c r="A7244" s="9">
        <v>45775</v>
      </c>
      <c r="B7244" s="2" t="inlineStr">
        <is>
          <t xml:space="preserve">2025-04</t>
        </is>
      </c>
      <c r="C7244" s="2" t="inlineStr">
        <is>
          <t xml:space="preserve">2024/25</t>
        </is>
      </c>
      <c r="D7244">
        <v>0.0</v>
      </c>
      <c r="E7244">
        <v>23.01</v>
      </c>
      <c r="F7244">
        <v>30.3</v>
      </c>
      <c r="G7244">
        <v>17.59</v>
      </c>
      <c r="H7244">
        <v>0.24</v>
      </c>
      <c r="I7244">
        <v>0.0</v>
      </c>
      <c r="J7244">
        <v>25.16</v>
      </c>
      <c r="K7244">
        <v>32.99</v>
      </c>
      <c r="L7244">
        <v>18.78</v>
      </c>
      <c r="M7244">
        <v>0.0</v>
      </c>
      <c r="N7244">
        <v>0.0</v>
      </c>
      <c r="O7244">
        <v>23.57</v>
      </c>
      <c r="P7244">
        <v>30.08</v>
      </c>
      <c r="Q7244">
        <v>18.58</v>
      </c>
      <c r="R7244">
        <v>0.03</v>
      </c>
    </row>
    <row r="7245">
      <c r="A7245" s="9">
        <v>45776</v>
      </c>
      <c r="B7245" s="2" t="inlineStr">
        <is>
          <t xml:space="preserve">2025-04</t>
        </is>
      </c>
      <c r="C7245" s="2" t="inlineStr">
        <is>
          <t xml:space="preserve">2024/25</t>
        </is>
      </c>
      <c r="D7245">
        <v>2.177</v>
      </c>
      <c r="E7245">
        <v>23.0</v>
      </c>
      <c r="F7245">
        <v>30.09</v>
      </c>
      <c r="G7245">
        <v>17.62</v>
      </c>
      <c r="H7245">
        <v>0.78</v>
      </c>
      <c r="I7245">
        <v>0.0</v>
      </c>
      <c r="J7245">
        <v>25.43</v>
      </c>
      <c r="K7245">
        <v>32.85</v>
      </c>
      <c r="L7245">
        <v>19.8</v>
      </c>
      <c r="M7245">
        <v>0.03</v>
      </c>
      <c r="N7245">
        <v>0.024</v>
      </c>
      <c r="O7245">
        <v>23.6</v>
      </c>
      <c r="P7245">
        <v>30.2</v>
      </c>
      <c r="Q7245">
        <v>18.81</v>
      </c>
      <c r="R7245">
        <v>0.19</v>
      </c>
    </row>
    <row r="7246">
      <c r="A7246" s="9">
        <v>45777</v>
      </c>
      <c r="B7246" s="2" t="inlineStr">
        <is>
          <t xml:space="preserve">2025-04</t>
        </is>
      </c>
      <c r="C7246" s="2" t="inlineStr">
        <is>
          <t xml:space="preserve">2024/25</t>
        </is>
      </c>
      <c r="D7246">
        <v>0.361</v>
      </c>
      <c r="E7246">
        <v>23.55</v>
      </c>
      <c r="F7246">
        <v>30.92</v>
      </c>
      <c r="G7246">
        <v>17.68</v>
      </c>
      <c r="H7246">
        <v>0.33</v>
      </c>
      <c r="I7246">
        <v>0.0</v>
      </c>
      <c r="J7246">
        <v>26.18</v>
      </c>
      <c r="K7246">
        <v>34.1</v>
      </c>
      <c r="L7246">
        <v>19.31</v>
      </c>
      <c r="M7246">
        <v>0.0</v>
      </c>
      <c r="N7246">
        <v>0.0</v>
      </c>
      <c r="O7246">
        <v>24.34</v>
      </c>
      <c r="P7246">
        <v>31.21</v>
      </c>
      <c r="Q7246">
        <v>18.72</v>
      </c>
      <c r="R7246">
        <v>0.01</v>
      </c>
    </row>
    <row r="7247">
      <c r="A7247" s="9">
        <v>45778</v>
      </c>
      <c r="B7247" s="2" t="inlineStr">
        <is>
          <t xml:space="preserve">2025-05</t>
        </is>
      </c>
      <c r="C7247" s="2" t="inlineStr">
        <is>
          <t xml:space="preserve">2024/25</t>
        </is>
      </c>
      <c r="D7247">
        <v>0.0</v>
      </c>
      <c r="E7247">
        <v>24.0</v>
      </c>
      <c r="F7247">
        <v>31.11</v>
      </c>
      <c r="G7247">
        <v>17.7</v>
      </c>
      <c r="H7247">
        <v>0.72</v>
      </c>
      <c r="I7247">
        <v>0.0</v>
      </c>
      <c r="J7247">
        <v>26.03</v>
      </c>
      <c r="K7247">
        <v>32.0</v>
      </c>
      <c r="L7247">
        <v>20.49</v>
      </c>
      <c r="M7247">
        <v>0.4</v>
      </c>
      <c r="N7247">
        <v>0.0</v>
      </c>
      <c r="O7247">
        <v>25.36</v>
      </c>
      <c r="P7247">
        <v>32.63</v>
      </c>
      <c r="Q7247">
        <v>19.95</v>
      </c>
      <c r="R7247">
        <v>0.36</v>
      </c>
    </row>
    <row r="7248">
      <c r="A7248" s="9">
        <v>45779</v>
      </c>
      <c r="B7248" s="2" t="inlineStr">
        <is>
          <t xml:space="preserve">2025-05</t>
        </is>
      </c>
      <c r="C7248" s="2" t="inlineStr">
        <is>
          <t xml:space="preserve">2024/25</t>
        </is>
      </c>
      <c r="D7248">
        <v>2.566</v>
      </c>
      <c r="E7248">
        <v>23.18</v>
      </c>
      <c r="F7248">
        <v>28.89</v>
      </c>
      <c r="G7248">
        <v>19.68</v>
      </c>
      <c r="H7248">
        <v>3.11</v>
      </c>
      <c r="I7248">
        <v>1.81</v>
      </c>
      <c r="J7248">
        <v>24.58</v>
      </c>
      <c r="K7248">
        <v>28.34</v>
      </c>
      <c r="L7248">
        <v>21.71</v>
      </c>
      <c r="M7248">
        <v>1.19</v>
      </c>
      <c r="N7248">
        <v>0.405</v>
      </c>
      <c r="O7248">
        <v>25.14</v>
      </c>
      <c r="P7248">
        <v>30.7</v>
      </c>
      <c r="Q7248">
        <v>21.17</v>
      </c>
      <c r="R7248">
        <v>0.52</v>
      </c>
    </row>
    <row r="7249">
      <c r="A7249" s="9">
        <v>45780</v>
      </c>
      <c r="B7249" s="2" t="inlineStr">
        <is>
          <t xml:space="preserve">2025-05</t>
        </is>
      </c>
      <c r="C7249" s="2" t="inlineStr">
        <is>
          <t xml:space="preserve">2024/25</t>
        </is>
      </c>
      <c r="D7249">
        <v>2.532</v>
      </c>
      <c r="E7249">
        <v>24.49</v>
      </c>
      <c r="F7249">
        <v>30.31</v>
      </c>
      <c r="G7249">
        <v>20.1</v>
      </c>
      <c r="H7249">
        <v>6.37</v>
      </c>
      <c r="I7249">
        <v>0.0</v>
      </c>
      <c r="J7249">
        <v>27.07</v>
      </c>
      <c r="K7249">
        <v>36.34</v>
      </c>
      <c r="L7249">
        <v>19.54</v>
      </c>
      <c r="M7249">
        <v>0.88</v>
      </c>
      <c r="N7249">
        <v>0.0</v>
      </c>
      <c r="O7249">
        <v>27.12</v>
      </c>
      <c r="P7249">
        <v>34.86</v>
      </c>
      <c r="Q7249">
        <v>20.46</v>
      </c>
      <c r="R7249">
        <v>1.43</v>
      </c>
    </row>
    <row r="7250">
      <c r="A7250" s="9">
        <v>45781</v>
      </c>
      <c r="B7250" s="2" t="inlineStr">
        <is>
          <t xml:space="preserve">2025-05</t>
        </is>
      </c>
      <c r="C7250" s="2" t="inlineStr">
        <is>
          <t xml:space="preserve">2024/25</t>
        </is>
      </c>
      <c r="D7250">
        <v>8.776</v>
      </c>
      <c r="E7250">
        <v>25.03</v>
      </c>
      <c r="F7250">
        <v>32.19</v>
      </c>
      <c r="G7250">
        <v>18.95</v>
      </c>
      <c r="H7250">
        <v>7.71</v>
      </c>
      <c r="I7250">
        <v>1.734</v>
      </c>
      <c r="J7250">
        <v>27.09</v>
      </c>
      <c r="K7250">
        <v>35.13</v>
      </c>
      <c r="L7250">
        <v>20.51</v>
      </c>
      <c r="M7250">
        <v>3.14</v>
      </c>
      <c r="N7250">
        <v>7.598</v>
      </c>
      <c r="O7250">
        <v>26.59</v>
      </c>
      <c r="P7250">
        <v>34.46</v>
      </c>
      <c r="Q7250">
        <v>20.48</v>
      </c>
      <c r="R7250">
        <v>3.49</v>
      </c>
    </row>
    <row r="7251">
      <c r="A7251" s="9">
        <v>45782</v>
      </c>
      <c r="B7251" s="2" t="inlineStr">
        <is>
          <t xml:space="preserve">2025-05</t>
        </is>
      </c>
      <c r="C7251" s="2" t="inlineStr">
        <is>
          <t xml:space="preserve">2024/25</t>
        </is>
      </c>
      <c r="D7251">
        <v>2.055</v>
      </c>
      <c r="E7251">
        <v>24.45</v>
      </c>
      <c r="F7251">
        <v>29.71</v>
      </c>
      <c r="G7251">
        <v>20.61</v>
      </c>
      <c r="H7251">
        <v>1.85</v>
      </c>
      <c r="I7251">
        <v>0.0</v>
      </c>
      <c r="J7251">
        <v>27.44</v>
      </c>
      <c r="K7251">
        <v>34.59</v>
      </c>
      <c r="L7251">
        <v>21.55</v>
      </c>
      <c r="M7251">
        <v>0.05</v>
      </c>
      <c r="N7251">
        <v>0.0</v>
      </c>
      <c r="O7251">
        <v>26.68</v>
      </c>
      <c r="P7251">
        <v>33.8</v>
      </c>
      <c r="Q7251">
        <v>20.9</v>
      </c>
      <c r="R7251">
        <v>0.03</v>
      </c>
    </row>
    <row r="7252">
      <c r="A7252" s="9">
        <v>45783</v>
      </c>
      <c r="B7252" s="2" t="inlineStr">
        <is>
          <t xml:space="preserve">2025-05</t>
        </is>
      </c>
      <c r="C7252" s="2" t="inlineStr">
        <is>
          <t xml:space="preserve">2024/25</t>
        </is>
      </c>
      <c r="D7252">
        <v>0.0</v>
      </c>
      <c r="E7252">
        <v>24.79</v>
      </c>
      <c r="F7252">
        <v>32.48</v>
      </c>
      <c r="G7252">
        <v>18.48</v>
      </c>
      <c r="H7252">
        <v>0.0</v>
      </c>
      <c r="I7252">
        <v>0.0</v>
      </c>
      <c r="J7252">
        <v>27.23</v>
      </c>
      <c r="K7252">
        <v>34.18</v>
      </c>
      <c r="L7252">
        <v>21.98</v>
      </c>
      <c r="M7252">
        <v>0.26</v>
      </c>
      <c r="N7252">
        <v>0.0</v>
      </c>
      <c r="O7252">
        <v>27.14</v>
      </c>
      <c r="P7252">
        <v>34.28</v>
      </c>
      <c r="Q7252">
        <v>21.48</v>
      </c>
      <c r="R7252">
        <v>0.0</v>
      </c>
    </row>
    <row r="7253">
      <c r="A7253" s="9">
        <v>45784</v>
      </c>
      <c r="B7253" s="2" t="inlineStr">
        <is>
          <t xml:space="preserve">2025-05</t>
        </is>
      </c>
      <c r="C7253" s="2" t="inlineStr">
        <is>
          <t xml:space="preserve">2024/25</t>
        </is>
      </c>
      <c r="D7253">
        <v>0.0</v>
      </c>
      <c r="E7253">
        <v>24.83</v>
      </c>
      <c r="F7253">
        <v>31.96</v>
      </c>
      <c r="G7253">
        <v>18.46</v>
      </c>
      <c r="H7253">
        <v>0.03</v>
      </c>
      <c r="I7253">
        <v>0.459</v>
      </c>
      <c r="J7253">
        <v>27.71</v>
      </c>
      <c r="K7253">
        <v>35.19</v>
      </c>
      <c r="L7253">
        <v>22.03</v>
      </c>
      <c r="M7253">
        <v>0.37</v>
      </c>
      <c r="N7253">
        <v>0.0</v>
      </c>
      <c r="O7253">
        <v>27.58</v>
      </c>
      <c r="P7253">
        <v>35.57</v>
      </c>
      <c r="Q7253">
        <v>20.88</v>
      </c>
      <c r="R7253">
        <v>0.0</v>
      </c>
    </row>
    <row r="7254">
      <c r="A7254" s="9">
        <v>45785</v>
      </c>
      <c r="B7254" s="2" t="inlineStr">
        <is>
          <t xml:space="preserve">2025-05</t>
        </is>
      </c>
      <c r="C7254" s="2" t="inlineStr">
        <is>
          <t xml:space="preserve">2024/25</t>
        </is>
      </c>
      <c r="D7254">
        <v>0.038</v>
      </c>
      <c r="E7254">
        <v>25.29</v>
      </c>
      <c r="F7254">
        <v>31.38</v>
      </c>
      <c r="G7254">
        <v>20.14</v>
      </c>
      <c r="H7254">
        <v>1.23</v>
      </c>
      <c r="I7254">
        <v>0.0</v>
      </c>
      <c r="J7254">
        <v>26.55</v>
      </c>
      <c r="K7254">
        <v>32.36</v>
      </c>
      <c r="L7254">
        <v>22.29</v>
      </c>
      <c r="M7254">
        <v>0.03</v>
      </c>
      <c r="N7254">
        <v>0.0</v>
      </c>
      <c r="O7254">
        <v>25.75</v>
      </c>
      <c r="P7254">
        <v>29.82</v>
      </c>
      <c r="Q7254">
        <v>22.99</v>
      </c>
      <c r="R7254">
        <v>0.22</v>
      </c>
    </row>
    <row r="7255">
      <c r="A7255" s="9">
        <v>45786</v>
      </c>
      <c r="B7255" s="2" t="inlineStr">
        <is>
          <t xml:space="preserve">2025-05</t>
        </is>
      </c>
      <c r="C7255" s="2" t="inlineStr">
        <is>
          <t xml:space="preserve">2024/25</t>
        </is>
      </c>
      <c r="D7255">
        <v>4.236</v>
      </c>
      <c r="E7255">
        <v>24.92</v>
      </c>
      <c r="F7255">
        <v>30.91</v>
      </c>
      <c r="G7255">
        <v>20.58</v>
      </c>
      <c r="H7255">
        <v>3.61</v>
      </c>
      <c r="I7255">
        <v>0.0</v>
      </c>
      <c r="J7255">
        <v>25.96</v>
      </c>
      <c r="K7255">
        <v>32.22</v>
      </c>
      <c r="L7255">
        <v>22.57</v>
      </c>
      <c r="M7255">
        <v>1.22</v>
      </c>
      <c r="N7255">
        <v>0.101</v>
      </c>
      <c r="O7255">
        <v>26.09</v>
      </c>
      <c r="P7255">
        <v>33.4</v>
      </c>
      <c r="Q7255">
        <v>21.63</v>
      </c>
      <c r="R7255">
        <v>2.0</v>
      </c>
    </row>
    <row r="7256">
      <c r="A7256" s="9">
        <v>45787</v>
      </c>
      <c r="B7256" s="2" t="inlineStr">
        <is>
          <t xml:space="preserve">2025-05</t>
        </is>
      </c>
      <c r="C7256" s="2" t="inlineStr">
        <is>
          <t xml:space="preserve">2024/25</t>
        </is>
      </c>
      <c r="D7256">
        <v>15.733</v>
      </c>
      <c r="E7256">
        <v>24.75</v>
      </c>
      <c r="F7256">
        <v>30.52</v>
      </c>
      <c r="G7256">
        <v>20.09</v>
      </c>
      <c r="H7256">
        <v>5.55</v>
      </c>
      <c r="I7256">
        <v>0.424</v>
      </c>
      <c r="J7256">
        <v>26.06</v>
      </c>
      <c r="K7256">
        <v>31.97</v>
      </c>
      <c r="L7256">
        <v>21.89</v>
      </c>
      <c r="M7256">
        <v>14.07</v>
      </c>
      <c r="N7256">
        <v>2.428</v>
      </c>
      <c r="O7256">
        <v>25.4</v>
      </c>
      <c r="P7256">
        <v>30.99</v>
      </c>
      <c r="Q7256">
        <v>22.2</v>
      </c>
      <c r="R7256">
        <v>6.65</v>
      </c>
    </row>
    <row r="7257">
      <c r="A7257" s="9">
        <v>45788</v>
      </c>
      <c r="B7257" s="2" t="inlineStr">
        <is>
          <t xml:space="preserve">2025-05</t>
        </is>
      </c>
      <c r="C7257" s="2" t="inlineStr">
        <is>
          <t xml:space="preserve">2024/25</t>
        </is>
      </c>
      <c r="D7257">
        <v>3.945</v>
      </c>
      <c r="E7257">
        <v>22.97</v>
      </c>
      <c r="F7257">
        <v>27.35</v>
      </c>
      <c r="G7257">
        <v>20.07</v>
      </c>
      <c r="H7257">
        <v>5.13</v>
      </c>
      <c r="I7257">
        <v>48.128</v>
      </c>
      <c r="J7257">
        <v>22.83</v>
      </c>
      <c r="K7257">
        <v>25.3</v>
      </c>
      <c r="L7257">
        <v>21.02</v>
      </c>
      <c r="M7257">
        <v>17.89</v>
      </c>
      <c r="N7257">
        <v>20.072</v>
      </c>
      <c r="O7257">
        <v>22.56</v>
      </c>
      <c r="P7257">
        <v>25.02</v>
      </c>
      <c r="Q7257">
        <v>20.63</v>
      </c>
      <c r="R7257">
        <v>9.9</v>
      </c>
    </row>
    <row r="7258">
      <c r="A7258" s="9">
        <v>45789</v>
      </c>
      <c r="B7258" s="2" t="inlineStr">
        <is>
          <t xml:space="preserve">2025-05</t>
        </is>
      </c>
      <c r="C7258" s="2" t="inlineStr">
        <is>
          <t xml:space="preserve">2024/25</t>
        </is>
      </c>
      <c r="D7258">
        <v>0.0</v>
      </c>
      <c r="E7258">
        <v>22.46</v>
      </c>
      <c r="F7258">
        <v>27.78</v>
      </c>
      <c r="G7258">
        <v>19.09</v>
      </c>
      <c r="H7258">
        <v>2.89</v>
      </c>
      <c r="I7258">
        <v>0.0</v>
      </c>
      <c r="J7258">
        <v>23.81</v>
      </c>
      <c r="K7258">
        <v>28.5</v>
      </c>
      <c r="L7258">
        <v>20.59</v>
      </c>
      <c r="M7258">
        <v>0.02</v>
      </c>
      <c r="N7258">
        <v>0.0</v>
      </c>
      <c r="O7258">
        <v>22.75</v>
      </c>
      <c r="P7258">
        <v>26.76</v>
      </c>
      <c r="Q7258">
        <v>19.93</v>
      </c>
      <c r="R7258">
        <v>0.71</v>
      </c>
    </row>
    <row r="7259">
      <c r="A7259" s="9">
        <v>45790</v>
      </c>
      <c r="B7259" s="2" t="inlineStr">
        <is>
          <t xml:space="preserve">2025-05</t>
        </is>
      </c>
      <c r="C7259" s="2" t="inlineStr">
        <is>
          <t xml:space="preserve">2024/25</t>
        </is>
      </c>
      <c r="D7259">
        <v>0.439</v>
      </c>
      <c r="E7259">
        <v>23.75</v>
      </c>
      <c r="F7259">
        <v>29.27</v>
      </c>
      <c r="G7259">
        <v>19.24</v>
      </c>
      <c r="H7259">
        <v>5.76</v>
      </c>
      <c r="I7259">
        <v>0.0</v>
      </c>
      <c r="J7259">
        <v>25.69</v>
      </c>
      <c r="K7259">
        <v>33.19</v>
      </c>
      <c r="L7259">
        <v>19.93</v>
      </c>
      <c r="M7259">
        <v>3.19</v>
      </c>
      <c r="N7259">
        <v>0.0</v>
      </c>
      <c r="O7259">
        <v>24.25</v>
      </c>
      <c r="P7259">
        <v>30.48</v>
      </c>
      <c r="Q7259">
        <v>19.72</v>
      </c>
      <c r="R7259">
        <v>3.36</v>
      </c>
    </row>
    <row r="7260">
      <c r="A7260" s="9">
        <v>45791</v>
      </c>
      <c r="B7260" s="2" t="inlineStr">
        <is>
          <t xml:space="preserve">2025-05</t>
        </is>
      </c>
      <c r="C7260" s="2" t="inlineStr">
        <is>
          <t xml:space="preserve">2024/25</t>
        </is>
      </c>
      <c r="D7260">
        <v>6.041</v>
      </c>
      <c r="E7260">
        <v>24.08</v>
      </c>
      <c r="F7260">
        <v>31.1</v>
      </c>
      <c r="G7260">
        <v>19.7</v>
      </c>
      <c r="H7260">
        <v>0.49</v>
      </c>
      <c r="I7260">
        <v>8.655</v>
      </c>
      <c r="J7260">
        <v>25.31</v>
      </c>
      <c r="K7260">
        <v>29.94</v>
      </c>
      <c r="L7260">
        <v>22.03</v>
      </c>
      <c r="M7260">
        <v>3.05</v>
      </c>
      <c r="N7260">
        <v>2.316</v>
      </c>
      <c r="O7260">
        <v>25.99</v>
      </c>
      <c r="P7260">
        <v>32.46</v>
      </c>
      <c r="Q7260">
        <v>21.5</v>
      </c>
      <c r="R7260">
        <v>0.88</v>
      </c>
    </row>
    <row r="7261">
      <c r="A7261" s="9">
        <v>45792</v>
      </c>
      <c r="B7261" s="2" t="inlineStr">
        <is>
          <t xml:space="preserve">2025-05</t>
        </is>
      </c>
      <c r="C7261" s="2" t="inlineStr">
        <is>
          <t xml:space="preserve">2024/25</t>
        </is>
      </c>
      <c r="D7261">
        <v>0.0</v>
      </c>
      <c r="E7261">
        <v>24.69</v>
      </c>
      <c r="F7261">
        <v>32.23</v>
      </c>
      <c r="G7261">
        <v>18.43</v>
      </c>
      <c r="H7261">
        <v>0.1</v>
      </c>
      <c r="I7261">
        <v>0.0</v>
      </c>
      <c r="J7261">
        <v>26.83</v>
      </c>
      <c r="K7261">
        <v>34.79</v>
      </c>
      <c r="L7261">
        <v>20.59</v>
      </c>
      <c r="M7261">
        <v>0.76</v>
      </c>
      <c r="N7261">
        <v>0.0</v>
      </c>
      <c r="O7261">
        <v>26.62</v>
      </c>
      <c r="P7261">
        <v>34.2</v>
      </c>
      <c r="Q7261">
        <v>20.08</v>
      </c>
      <c r="R7261">
        <v>0.19</v>
      </c>
    </row>
    <row r="7262">
      <c r="A7262" s="9">
        <v>45793</v>
      </c>
      <c r="B7262" s="2" t="inlineStr">
        <is>
          <t xml:space="preserve">2025-05</t>
        </is>
      </c>
      <c r="C7262" s="2" t="inlineStr">
        <is>
          <t xml:space="preserve">2024/25</t>
        </is>
      </c>
      <c r="D7262">
        <v>1.187</v>
      </c>
      <c r="E7262">
        <v>25.2</v>
      </c>
      <c r="F7262">
        <v>32.93</v>
      </c>
      <c r="G7262">
        <v>19.24</v>
      </c>
      <c r="H7262">
        <v>0.41</v>
      </c>
      <c r="I7262">
        <v>2.23</v>
      </c>
      <c r="J7262">
        <v>27.0</v>
      </c>
      <c r="K7262">
        <v>34.43</v>
      </c>
      <c r="L7262">
        <v>21.36</v>
      </c>
      <c r="M7262">
        <v>0.66</v>
      </c>
      <c r="N7262">
        <v>0.164</v>
      </c>
      <c r="O7262">
        <v>26.88</v>
      </c>
      <c r="P7262">
        <v>34.1</v>
      </c>
      <c r="Q7262">
        <v>21.23</v>
      </c>
      <c r="R7262">
        <v>0.11</v>
      </c>
    </row>
    <row r="7263">
      <c r="A7263" s="9">
        <v>45794</v>
      </c>
      <c r="B7263" s="2" t="inlineStr">
        <is>
          <t xml:space="preserve">2025-05</t>
        </is>
      </c>
      <c r="C7263" s="2" t="inlineStr">
        <is>
          <t xml:space="preserve">2024/25</t>
        </is>
      </c>
      <c r="D7263">
        <v>0.0</v>
      </c>
      <c r="E7263">
        <v>25.2</v>
      </c>
      <c r="F7263">
        <v>32.48</v>
      </c>
      <c r="G7263">
        <v>18.78</v>
      </c>
      <c r="H7263">
        <v>0.31</v>
      </c>
      <c r="I7263">
        <v>0.0</v>
      </c>
      <c r="J7263">
        <v>27.33</v>
      </c>
      <c r="K7263">
        <v>34.46</v>
      </c>
      <c r="L7263">
        <v>21.53</v>
      </c>
      <c r="M7263">
        <v>0.12</v>
      </c>
      <c r="N7263">
        <v>0.0</v>
      </c>
      <c r="O7263">
        <v>27.14</v>
      </c>
      <c r="P7263">
        <v>34.13</v>
      </c>
      <c r="Q7263">
        <v>21.42</v>
      </c>
      <c r="R7263">
        <v>0.01</v>
      </c>
    </row>
    <row r="7264">
      <c r="A7264" s="9">
        <v>45795</v>
      </c>
      <c r="B7264" s="2" t="inlineStr">
        <is>
          <t xml:space="preserve">2025-05</t>
        </is>
      </c>
      <c r="C7264" s="2" t="inlineStr">
        <is>
          <t xml:space="preserve">2024/25</t>
        </is>
      </c>
      <c r="D7264">
        <v>0.021</v>
      </c>
      <c r="E7264">
        <v>25.49</v>
      </c>
      <c r="F7264">
        <v>33.08</v>
      </c>
      <c r="G7264">
        <v>19.2</v>
      </c>
      <c r="H7264">
        <v>1.67</v>
      </c>
      <c r="I7264">
        <v>0.795</v>
      </c>
      <c r="J7264">
        <v>26.05</v>
      </c>
      <c r="K7264">
        <v>31.09</v>
      </c>
      <c r="L7264">
        <v>22.46</v>
      </c>
      <c r="M7264">
        <v>1.68</v>
      </c>
      <c r="N7264">
        <v>0.0</v>
      </c>
      <c r="O7264">
        <v>27.0</v>
      </c>
      <c r="P7264">
        <v>33.88</v>
      </c>
      <c r="Q7264">
        <v>22.26</v>
      </c>
      <c r="R7264">
        <v>0.88</v>
      </c>
    </row>
    <row r="7265">
      <c r="A7265" s="9">
        <v>45796</v>
      </c>
      <c r="B7265" s="2" t="inlineStr">
        <is>
          <t xml:space="preserve">2025-05</t>
        </is>
      </c>
      <c r="C7265" s="2" t="inlineStr">
        <is>
          <t xml:space="preserve">2024/25</t>
        </is>
      </c>
      <c r="D7265">
        <v>4.35</v>
      </c>
      <c r="E7265">
        <v>25.45</v>
      </c>
      <c r="F7265">
        <v>33.46</v>
      </c>
      <c r="G7265">
        <v>19.0</v>
      </c>
      <c r="H7265">
        <v>2.35</v>
      </c>
      <c r="I7265">
        <v>1.482</v>
      </c>
      <c r="J7265">
        <v>26.95</v>
      </c>
      <c r="K7265">
        <v>34.16</v>
      </c>
      <c r="L7265">
        <v>21.57</v>
      </c>
      <c r="M7265">
        <v>0.52</v>
      </c>
      <c r="N7265">
        <v>1.749</v>
      </c>
      <c r="O7265">
        <v>28.19</v>
      </c>
      <c r="P7265">
        <v>35.85</v>
      </c>
      <c r="Q7265">
        <v>21.71</v>
      </c>
      <c r="R7265">
        <v>0.44</v>
      </c>
    </row>
    <row r="7266">
      <c r="A7266" s="9">
        <v>45797</v>
      </c>
      <c r="B7266" s="2" t="inlineStr">
        <is>
          <t xml:space="preserve">2025-05</t>
        </is>
      </c>
      <c r="C7266" s="2" t="inlineStr">
        <is>
          <t xml:space="preserve">2024/25</t>
        </is>
      </c>
      <c r="D7266">
        <v>0.521</v>
      </c>
      <c r="E7266">
        <v>26.23</v>
      </c>
      <c r="F7266">
        <v>34.25</v>
      </c>
      <c r="G7266">
        <v>19.71</v>
      </c>
      <c r="H7266">
        <v>0.82</v>
      </c>
      <c r="I7266">
        <v>0.0</v>
      </c>
      <c r="J7266">
        <v>27.54</v>
      </c>
      <c r="K7266">
        <v>35.27</v>
      </c>
      <c r="L7266">
        <v>21.67</v>
      </c>
      <c r="M7266">
        <v>0.07</v>
      </c>
      <c r="N7266">
        <v>0.0</v>
      </c>
      <c r="O7266">
        <v>28.86</v>
      </c>
      <c r="P7266">
        <v>36.14</v>
      </c>
      <c r="Q7266">
        <v>22.1</v>
      </c>
      <c r="R7266">
        <v>0.01</v>
      </c>
    </row>
    <row r="7267">
      <c r="A7267" s="9">
        <v>45798</v>
      </c>
      <c r="B7267" s="2" t="inlineStr">
        <is>
          <t xml:space="preserve">2025-05</t>
        </is>
      </c>
      <c r="C7267" s="2" t="inlineStr">
        <is>
          <t xml:space="preserve">2024/25</t>
        </is>
      </c>
      <c r="D7267">
        <v>0.0</v>
      </c>
      <c r="E7267">
        <v>26.16</v>
      </c>
      <c r="F7267">
        <v>34.16</v>
      </c>
      <c r="G7267">
        <v>19.77</v>
      </c>
      <c r="H7267">
        <v>0.0</v>
      </c>
      <c r="I7267">
        <v>0.0</v>
      </c>
      <c r="J7267">
        <v>27.92</v>
      </c>
      <c r="K7267">
        <v>35.39</v>
      </c>
      <c r="L7267">
        <v>21.94</v>
      </c>
      <c r="M7267">
        <v>0.0</v>
      </c>
      <c r="N7267">
        <v>0.0</v>
      </c>
      <c r="O7267">
        <v>28.07</v>
      </c>
      <c r="P7267">
        <v>34.6</v>
      </c>
      <c r="Q7267">
        <v>22.96</v>
      </c>
      <c r="R7267">
        <v>0.0</v>
      </c>
    </row>
    <row r="7268">
      <c r="A7268" s="9">
        <v>45799</v>
      </c>
      <c r="B7268" s="2" t="inlineStr">
        <is>
          <t xml:space="preserve">2025-05</t>
        </is>
      </c>
      <c r="C7268" s="2" t="inlineStr">
        <is>
          <t xml:space="preserve">2024/25</t>
        </is>
      </c>
      <c r="D7268">
        <v>0.0</v>
      </c>
      <c r="E7268">
        <v>26.01</v>
      </c>
      <c r="F7268">
        <v>33.57</v>
      </c>
      <c r="G7268">
        <v>19.52</v>
      </c>
      <c r="H7268">
        <v>0.53</v>
      </c>
      <c r="I7268">
        <v>0.0</v>
      </c>
      <c r="J7268">
        <v>27.95</v>
      </c>
      <c r="K7268">
        <v>34.68</v>
      </c>
      <c r="L7268">
        <v>22.87</v>
      </c>
      <c r="M7268">
        <v>1.36</v>
      </c>
      <c r="N7268">
        <v>0.0</v>
      </c>
      <c r="O7268">
        <v>27.08</v>
      </c>
      <c r="P7268">
        <v>33.9</v>
      </c>
      <c r="Q7268">
        <v>22.12</v>
      </c>
      <c r="R7268">
        <v>0.2</v>
      </c>
    </row>
    <row r="7269">
      <c r="A7269" s="9">
        <v>45800</v>
      </c>
      <c r="B7269" s="2" t="inlineStr">
        <is>
          <t xml:space="preserve">2025-05</t>
        </is>
      </c>
      <c r="C7269" s="2" t="inlineStr">
        <is>
          <t xml:space="preserve">2024/25</t>
        </is>
      </c>
      <c r="D7269">
        <v>0.023</v>
      </c>
      <c r="E7269">
        <v>24.69</v>
      </c>
      <c r="F7269">
        <v>30.77</v>
      </c>
      <c r="G7269">
        <v>20.31</v>
      </c>
      <c r="H7269">
        <v>0.67</v>
      </c>
      <c r="I7269">
        <v>10.932</v>
      </c>
      <c r="J7269">
        <v>25.79</v>
      </c>
      <c r="K7269">
        <v>31.61</v>
      </c>
      <c r="L7269">
        <v>22.08</v>
      </c>
      <c r="M7269">
        <v>6.27</v>
      </c>
      <c r="N7269">
        <v>0.467</v>
      </c>
      <c r="O7269">
        <v>26.21</v>
      </c>
      <c r="P7269">
        <v>32.98</v>
      </c>
      <c r="Q7269">
        <v>22.23</v>
      </c>
      <c r="R7269">
        <v>0.86</v>
      </c>
    </row>
    <row r="7270">
      <c r="A7270" s="9">
        <v>45801</v>
      </c>
      <c r="B7270" s="2" t="inlineStr">
        <is>
          <t xml:space="preserve">2025-05</t>
        </is>
      </c>
      <c r="C7270" s="2" t="inlineStr">
        <is>
          <t xml:space="preserve">2024/25</t>
        </is>
      </c>
      <c r="D7270">
        <v>1.145</v>
      </c>
      <c r="E7270">
        <v>24.61</v>
      </c>
      <c r="F7270">
        <v>32.16</v>
      </c>
      <c r="G7270">
        <v>18.51</v>
      </c>
      <c r="H7270">
        <v>1.28</v>
      </c>
      <c r="I7270">
        <v>4.215</v>
      </c>
      <c r="J7270">
        <v>27.02</v>
      </c>
      <c r="K7270">
        <v>34.24</v>
      </c>
      <c r="L7270">
        <v>21.34</v>
      </c>
      <c r="M7270">
        <v>1.1</v>
      </c>
      <c r="N7270">
        <v>1.359</v>
      </c>
      <c r="O7270">
        <v>26.87</v>
      </c>
      <c r="P7270">
        <v>34.44</v>
      </c>
      <c r="Q7270">
        <v>21.74</v>
      </c>
      <c r="R7270">
        <v>0.31</v>
      </c>
    </row>
    <row r="7271">
      <c r="A7271" s="9">
        <v>45802</v>
      </c>
      <c r="B7271" s="2" t="inlineStr">
        <is>
          <t xml:space="preserve">2025-05</t>
        </is>
      </c>
      <c r="C7271" s="2" t="inlineStr">
        <is>
          <t xml:space="preserve">2024/25</t>
        </is>
      </c>
      <c r="D7271">
        <v>0.0</v>
      </c>
      <c r="E7271">
        <v>24.96</v>
      </c>
      <c r="F7271">
        <v>32.15</v>
      </c>
      <c r="G7271">
        <v>19.36</v>
      </c>
      <c r="H7271">
        <v>0.28</v>
      </c>
      <c r="I7271">
        <v>0.0</v>
      </c>
      <c r="J7271">
        <v>26.91</v>
      </c>
      <c r="K7271">
        <v>32.44</v>
      </c>
      <c r="L7271">
        <v>22.39</v>
      </c>
      <c r="M7271">
        <v>0.0</v>
      </c>
      <c r="N7271">
        <v>0.0</v>
      </c>
      <c r="O7271">
        <v>26.27</v>
      </c>
      <c r="P7271">
        <v>32.52</v>
      </c>
      <c r="Q7271">
        <v>22.14</v>
      </c>
      <c r="R7271">
        <v>0.08</v>
      </c>
    </row>
    <row r="7272">
      <c r="A7272" s="9">
        <v>45803</v>
      </c>
      <c r="B7272" s="2" t="inlineStr">
        <is>
          <t xml:space="preserve">2025-05</t>
        </is>
      </c>
      <c r="C7272" s="2" t="inlineStr">
        <is>
          <t xml:space="preserve">2024/25</t>
        </is>
      </c>
      <c r="D7272">
        <v>0.977</v>
      </c>
      <c r="E7272">
        <v>25.03</v>
      </c>
      <c r="F7272">
        <v>32.99</v>
      </c>
      <c r="G7272">
        <v>18.45</v>
      </c>
      <c r="H7272">
        <v>0.48</v>
      </c>
      <c r="I7272">
        <v>0.0</v>
      </c>
      <c r="J7272">
        <v>28.02</v>
      </c>
      <c r="K7272">
        <v>36.46</v>
      </c>
      <c r="L7272">
        <v>21.81</v>
      </c>
      <c r="M7272">
        <v>0.38</v>
      </c>
      <c r="N7272">
        <v>0.0</v>
      </c>
      <c r="O7272">
        <v>27.31</v>
      </c>
      <c r="P7272">
        <v>34.97</v>
      </c>
      <c r="Q7272">
        <v>21.01</v>
      </c>
      <c r="R7272">
        <v>0.77</v>
      </c>
    </row>
    <row r="7273">
      <c r="A7273" s="9">
        <v>45804</v>
      </c>
      <c r="B7273" s="2" t="inlineStr">
        <is>
          <t xml:space="preserve">2025-05</t>
        </is>
      </c>
      <c r="C7273" s="2" t="inlineStr">
        <is>
          <t xml:space="preserve">2024/25</t>
        </is>
      </c>
      <c r="D7273">
        <v>13.874</v>
      </c>
      <c r="E7273">
        <v>25.04</v>
      </c>
      <c r="F7273">
        <v>33.25</v>
      </c>
      <c r="G7273">
        <v>18.11</v>
      </c>
      <c r="H7273">
        <v>7.53</v>
      </c>
      <c r="I7273">
        <v>0.936</v>
      </c>
      <c r="J7273">
        <v>27.61</v>
      </c>
      <c r="K7273">
        <v>35.2</v>
      </c>
      <c r="L7273">
        <v>21.79</v>
      </c>
      <c r="M7273">
        <v>2.99</v>
      </c>
      <c r="N7273">
        <v>2.948</v>
      </c>
      <c r="O7273">
        <v>26.93</v>
      </c>
      <c r="P7273">
        <v>34.46</v>
      </c>
      <c r="Q7273">
        <v>22.17</v>
      </c>
      <c r="R7273">
        <v>4.84</v>
      </c>
    </row>
    <row r="7274">
      <c r="A7274" s="9">
        <v>45805</v>
      </c>
      <c r="B7274" s="2" t="inlineStr">
        <is>
          <t xml:space="preserve">2025-05</t>
        </is>
      </c>
      <c r="C7274" s="2" t="inlineStr">
        <is>
          <t xml:space="preserve">2024/25</t>
        </is>
      </c>
      <c r="D7274">
        <v>1.529</v>
      </c>
      <c r="E7274">
        <v>25.54</v>
      </c>
      <c r="F7274">
        <v>32.89</v>
      </c>
      <c r="G7274">
        <v>20.07</v>
      </c>
      <c r="H7274">
        <v>2.14</v>
      </c>
      <c r="I7274">
        <v>0.177</v>
      </c>
      <c r="J7274">
        <v>26.8</v>
      </c>
      <c r="K7274">
        <v>32.51</v>
      </c>
      <c r="L7274">
        <v>22.03</v>
      </c>
      <c r="M7274">
        <v>3.81</v>
      </c>
      <c r="N7274">
        <v>0.555</v>
      </c>
      <c r="O7274">
        <v>26.33</v>
      </c>
      <c r="P7274">
        <v>32.89</v>
      </c>
      <c r="Q7274">
        <v>21.74</v>
      </c>
      <c r="R7274">
        <v>2.03</v>
      </c>
    </row>
    <row r="7275">
      <c r="A7275" s="9">
        <v>45806</v>
      </c>
      <c r="B7275" s="2" t="inlineStr">
        <is>
          <t xml:space="preserve">2025-05</t>
        </is>
      </c>
      <c r="C7275" s="2" t="inlineStr">
        <is>
          <t xml:space="preserve">2024/25</t>
        </is>
      </c>
      <c r="D7275">
        <v>5.045</v>
      </c>
      <c r="E7275">
        <v>25.07</v>
      </c>
      <c r="F7275">
        <v>32.37</v>
      </c>
      <c r="G7275">
        <v>19.41</v>
      </c>
      <c r="H7275">
        <v>2.67</v>
      </c>
      <c r="I7275">
        <v>12.43</v>
      </c>
      <c r="J7275">
        <v>27.35</v>
      </c>
      <c r="K7275">
        <v>34.05</v>
      </c>
      <c r="L7275">
        <v>22.44</v>
      </c>
      <c r="M7275">
        <v>3.65</v>
      </c>
      <c r="N7275">
        <v>1.184</v>
      </c>
      <c r="O7275">
        <v>27.06</v>
      </c>
      <c r="P7275">
        <v>34.76</v>
      </c>
      <c r="Q7275">
        <v>21.69</v>
      </c>
      <c r="R7275">
        <v>0.86</v>
      </c>
    </row>
    <row r="7276">
      <c r="A7276" s="9">
        <v>45807</v>
      </c>
      <c r="B7276" s="2" t="inlineStr">
        <is>
          <t xml:space="preserve">2025-05</t>
        </is>
      </c>
      <c r="C7276" s="2" t="inlineStr">
        <is>
          <t xml:space="preserve">2024/25</t>
        </is>
      </c>
      <c r="D7276">
        <v>4.897</v>
      </c>
      <c r="E7276">
        <v>25.52</v>
      </c>
      <c r="F7276">
        <v>33.14</v>
      </c>
      <c r="G7276">
        <v>19.5</v>
      </c>
      <c r="H7276">
        <v>0.91</v>
      </c>
      <c r="I7276">
        <v>0.0</v>
      </c>
      <c r="J7276">
        <v>27.55</v>
      </c>
      <c r="K7276">
        <v>33.92</v>
      </c>
      <c r="L7276">
        <v>22.02</v>
      </c>
      <c r="M7276">
        <v>0.18</v>
      </c>
      <c r="N7276">
        <v>0.052</v>
      </c>
      <c r="O7276">
        <v>26.79</v>
      </c>
      <c r="P7276">
        <v>33.65</v>
      </c>
      <c r="Q7276">
        <v>21.47</v>
      </c>
      <c r="R7276">
        <v>0.48</v>
      </c>
    </row>
    <row r="7277">
      <c r="A7277" s="9">
        <v>45808</v>
      </c>
      <c r="B7277" s="2" t="inlineStr">
        <is>
          <t xml:space="preserve">2025-05</t>
        </is>
      </c>
      <c r="C7277" s="2" t="inlineStr">
        <is>
          <t xml:space="preserve">2024/25</t>
        </is>
      </c>
      <c r="D7277">
        <v>0.176</v>
      </c>
      <c r="E7277">
        <v>25.12</v>
      </c>
      <c r="F7277">
        <v>32.14</v>
      </c>
      <c r="G7277">
        <v>19.21</v>
      </c>
      <c r="H7277">
        <v>6.46</v>
      </c>
      <c r="I7277">
        <v>0.468</v>
      </c>
      <c r="J7277">
        <v>27.77</v>
      </c>
      <c r="K7277">
        <v>35.99</v>
      </c>
      <c r="L7277">
        <v>21.2</v>
      </c>
      <c r="M7277">
        <v>8.59</v>
      </c>
      <c r="N7277">
        <v>0.0</v>
      </c>
      <c r="O7277">
        <v>26.46</v>
      </c>
      <c r="P7277">
        <v>34.68</v>
      </c>
      <c r="Q7277">
        <v>20.91</v>
      </c>
      <c r="R7277">
        <v>5.58</v>
      </c>
    </row>
    <row r="7278">
      <c r="A7278" s="9">
        <v>45809</v>
      </c>
      <c r="B7278" s="2" t="inlineStr">
        <is>
          <t xml:space="preserve">2025-06</t>
        </is>
      </c>
      <c r="C7278" s="2" t="inlineStr">
        <is>
          <t xml:space="preserve">2024/25</t>
        </is>
      </c>
      <c r="D7278">
        <v>13.717</v>
      </c>
      <c r="E7278">
        <v>24.37</v>
      </c>
      <c r="F7278">
        <v>29.63</v>
      </c>
      <c r="G7278">
        <v>20.74</v>
      </c>
      <c r="H7278">
        <v>20.21</v>
      </c>
      <c r="I7278">
        <v>27.964</v>
      </c>
      <c r="J7278">
        <v>24.41</v>
      </c>
      <c r="K7278">
        <v>29.25</v>
      </c>
      <c r="L7278">
        <v>21.74</v>
      </c>
      <c r="M7278">
        <v>23.9</v>
      </c>
      <c r="N7278">
        <v>23.717</v>
      </c>
      <c r="O7278">
        <v>24.92</v>
      </c>
      <c r="P7278">
        <v>30.31</v>
      </c>
      <c r="Q7278">
        <v>21.98</v>
      </c>
      <c r="R7278">
        <v>10.68</v>
      </c>
    </row>
    <row r="7279">
      <c r="A7279" s="9">
        <v>45810</v>
      </c>
      <c r="B7279" s="2" t="inlineStr">
        <is>
          <t xml:space="preserve">2025-06</t>
        </is>
      </c>
      <c r="C7279" s="2" t="inlineStr">
        <is>
          <t xml:space="preserve">2024/25</t>
        </is>
      </c>
      <c r="D7279">
        <v>22.132</v>
      </c>
      <c r="E7279">
        <v>23.66</v>
      </c>
      <c r="F7279">
        <v>27.19</v>
      </c>
      <c r="G7279">
        <v>21.1</v>
      </c>
      <c r="H7279">
        <v>16.12</v>
      </c>
      <c r="I7279">
        <v>61.218</v>
      </c>
      <c r="J7279">
        <v>24.69</v>
      </c>
      <c r="K7279">
        <v>29.0</v>
      </c>
      <c r="L7279">
        <v>20.69</v>
      </c>
      <c r="M7279">
        <v>27.04</v>
      </c>
      <c r="N7279">
        <v>4.892</v>
      </c>
      <c r="O7279">
        <v>25.42</v>
      </c>
      <c r="P7279">
        <v>30.44</v>
      </c>
      <c r="Q7279">
        <v>21.58</v>
      </c>
      <c r="R7279">
        <v>10.48</v>
      </c>
    </row>
    <row r="7280">
      <c r="A7280" s="9">
        <v>45811</v>
      </c>
      <c r="B7280" s="2" t="inlineStr">
        <is>
          <t xml:space="preserve">2025-06</t>
        </is>
      </c>
      <c r="C7280" s="2" t="inlineStr">
        <is>
          <t xml:space="preserve">2024/25</t>
        </is>
      </c>
      <c r="D7280">
        <v>15.304</v>
      </c>
      <c r="E7280">
        <v>23.7</v>
      </c>
      <c r="F7280">
        <v>27.77</v>
      </c>
      <c r="G7280">
        <v>20.15</v>
      </c>
      <c r="H7280">
        <v>11.24</v>
      </c>
      <c r="I7280">
        <v>3.705</v>
      </c>
      <c r="J7280">
        <v>24.61</v>
      </c>
      <c r="K7280">
        <v>28.33</v>
      </c>
      <c r="L7280">
        <v>21.23</v>
      </c>
      <c r="M7280">
        <v>15.03</v>
      </c>
      <c r="N7280">
        <v>3.876</v>
      </c>
      <c r="O7280">
        <v>25.56</v>
      </c>
      <c r="P7280">
        <v>30.66</v>
      </c>
      <c r="Q7280">
        <v>21.84</v>
      </c>
      <c r="R7280">
        <v>20.41</v>
      </c>
    </row>
    <row r="7281">
      <c r="A7281" s="9">
        <v>45812</v>
      </c>
      <c r="B7281" s="2" t="inlineStr">
        <is>
          <t xml:space="preserve">2025-06</t>
        </is>
      </c>
      <c r="C7281" s="2" t="inlineStr">
        <is>
          <t xml:space="preserve">2024/25</t>
        </is>
      </c>
      <c r="D7281">
        <v>2.785</v>
      </c>
      <c r="E7281">
        <v>22.7</v>
      </c>
      <c r="F7281">
        <v>25.9</v>
      </c>
      <c r="G7281">
        <v>20.2</v>
      </c>
      <c r="H7281">
        <v>19.99</v>
      </c>
      <c r="I7281">
        <v>1.841</v>
      </c>
      <c r="J7281">
        <v>23.85</v>
      </c>
      <c r="K7281">
        <v>26.91</v>
      </c>
      <c r="L7281">
        <v>21.7</v>
      </c>
      <c r="M7281">
        <v>32.44</v>
      </c>
      <c r="N7281">
        <v>0.864</v>
      </c>
      <c r="O7281">
        <v>24.35</v>
      </c>
      <c r="P7281">
        <v>28.4</v>
      </c>
      <c r="Q7281">
        <v>22.01</v>
      </c>
      <c r="R7281">
        <v>20.63</v>
      </c>
    </row>
    <row r="7282">
      <c r="A7282" s="9">
        <v>45813</v>
      </c>
      <c r="B7282" s="2" t="inlineStr">
        <is>
          <t xml:space="preserve">2025-06</t>
        </is>
      </c>
      <c r="C7282" s="2" t="inlineStr">
        <is>
          <t xml:space="preserve">2024/25</t>
        </is>
      </c>
      <c r="D7282">
        <v>22.952</v>
      </c>
      <c r="E7282">
        <v>22.26</v>
      </c>
      <c r="F7282">
        <v>26.4</v>
      </c>
      <c r="G7282">
        <v>19.41</v>
      </c>
      <c r="H7282">
        <v>3.32</v>
      </c>
      <c r="I7282">
        <v>6.699</v>
      </c>
      <c r="J7282">
        <v>23.28</v>
      </c>
      <c r="K7282">
        <v>26.73</v>
      </c>
      <c r="L7282">
        <v>20.78</v>
      </c>
      <c r="M7282">
        <v>2.71</v>
      </c>
      <c r="N7282">
        <v>0.705</v>
      </c>
      <c r="O7282">
        <v>23.68</v>
      </c>
      <c r="P7282">
        <v>27.86</v>
      </c>
      <c r="Q7282">
        <v>20.53</v>
      </c>
      <c r="R7282">
        <v>1.13</v>
      </c>
    </row>
    <row r="7283">
      <c r="A7283" s="9">
        <v>45814</v>
      </c>
      <c r="B7283" s="2" t="inlineStr">
        <is>
          <t xml:space="preserve">2025-06</t>
        </is>
      </c>
      <c r="C7283" s="2" t="inlineStr">
        <is>
          <t xml:space="preserve">2024/25</t>
        </is>
      </c>
      <c r="D7283">
        <v>2.137</v>
      </c>
      <c r="E7283">
        <v>22.6</v>
      </c>
      <c r="F7283">
        <v>26.79</v>
      </c>
      <c r="G7283">
        <v>18.52</v>
      </c>
      <c r="H7283">
        <v>3.51</v>
      </c>
      <c r="I7283">
        <v>0.375</v>
      </c>
      <c r="J7283">
        <v>23.78</v>
      </c>
      <c r="K7283">
        <v>28.16</v>
      </c>
      <c r="L7283">
        <v>20.84</v>
      </c>
      <c r="M7283">
        <v>0.29</v>
      </c>
      <c r="N7283">
        <v>0.0</v>
      </c>
      <c r="O7283">
        <v>23.86</v>
      </c>
      <c r="P7283">
        <v>27.56</v>
      </c>
      <c r="Q7283">
        <v>21.32</v>
      </c>
      <c r="R7283">
        <v>0.46</v>
      </c>
    </row>
    <row r="7284">
      <c r="A7284" s="9">
        <v>45815</v>
      </c>
      <c r="B7284" s="2" t="inlineStr">
        <is>
          <t xml:space="preserve">2025-06</t>
        </is>
      </c>
      <c r="C7284" s="2" t="inlineStr">
        <is>
          <t xml:space="preserve">2024/25</t>
        </is>
      </c>
      <c r="D7284">
        <v>7.497</v>
      </c>
      <c r="E7284">
        <v>23.03</v>
      </c>
      <c r="F7284">
        <v>28.37</v>
      </c>
      <c r="G7284">
        <v>18.77</v>
      </c>
      <c r="H7284">
        <v>2.57</v>
      </c>
      <c r="I7284">
        <v>0.0</v>
      </c>
      <c r="J7284">
        <v>24.36</v>
      </c>
      <c r="K7284">
        <v>29.39</v>
      </c>
      <c r="L7284">
        <v>20.69</v>
      </c>
      <c r="M7284">
        <v>1.69</v>
      </c>
      <c r="N7284">
        <v>0.615</v>
      </c>
      <c r="O7284">
        <v>24.96</v>
      </c>
      <c r="P7284">
        <v>30.62</v>
      </c>
      <c r="Q7284">
        <v>21.74</v>
      </c>
      <c r="R7284">
        <v>4.54</v>
      </c>
    </row>
    <row r="7285">
      <c r="A7285" s="9">
        <v>45816</v>
      </c>
      <c r="B7285" s="2" t="inlineStr">
        <is>
          <t xml:space="preserve">2025-06</t>
        </is>
      </c>
      <c r="C7285" s="2" t="inlineStr">
        <is>
          <t xml:space="preserve">2024/25</t>
        </is>
      </c>
      <c r="D7285">
        <v>0.991</v>
      </c>
      <c r="E7285">
        <v>23.21</v>
      </c>
      <c r="F7285">
        <v>29.42</v>
      </c>
      <c r="G7285">
        <v>18.14</v>
      </c>
      <c r="H7285">
        <v>2.36</v>
      </c>
      <c r="I7285">
        <v>0.0</v>
      </c>
      <c r="J7285">
        <v>24.68</v>
      </c>
      <c r="K7285">
        <v>30.25</v>
      </c>
      <c r="L7285">
        <v>20.31</v>
      </c>
      <c r="M7285">
        <v>7.96</v>
      </c>
      <c r="N7285">
        <v>4.903</v>
      </c>
      <c r="O7285">
        <v>24.93</v>
      </c>
      <c r="P7285">
        <v>31.09</v>
      </c>
      <c r="Q7285">
        <v>21.35</v>
      </c>
      <c r="R7285">
        <v>5.74</v>
      </c>
    </row>
    <row r="7286">
      <c r="A7286" s="9">
        <v>45817</v>
      </c>
      <c r="B7286" s="2" t="inlineStr">
        <is>
          <t xml:space="preserve">2025-06</t>
        </is>
      </c>
      <c r="C7286" s="2" t="inlineStr">
        <is>
          <t xml:space="preserve">2024/25</t>
        </is>
      </c>
      <c r="D7286">
        <v>9.783</v>
      </c>
      <c r="E7286">
        <v>22.05</v>
      </c>
      <c r="F7286">
        <v>27.77</v>
      </c>
      <c r="G7286">
        <v>18.11</v>
      </c>
      <c r="H7286">
        <v>11.81</v>
      </c>
      <c r="I7286">
        <v>37.149</v>
      </c>
      <c r="J7286">
        <v>23.32</v>
      </c>
      <c r="K7286">
        <v>26.51</v>
      </c>
      <c r="L7286">
        <v>21.09</v>
      </c>
      <c r="M7286">
        <v>16.05</v>
      </c>
      <c r="N7286">
        <v>7.955</v>
      </c>
      <c r="O7286">
        <v>23.94</v>
      </c>
      <c r="P7286">
        <v>28.48</v>
      </c>
      <c r="Q7286">
        <v>21.75</v>
      </c>
      <c r="R7286">
        <v>12.06</v>
      </c>
    </row>
    <row r="7287">
      <c r="A7287" s="9">
        <v>45818</v>
      </c>
      <c r="B7287" s="2" t="inlineStr">
        <is>
          <t xml:space="preserve">2025-06</t>
        </is>
      </c>
      <c r="C7287" s="2" t="inlineStr">
        <is>
          <t xml:space="preserve">2024/25</t>
        </is>
      </c>
      <c r="D7287">
        <v>4.528</v>
      </c>
      <c r="E7287">
        <v>22.75</v>
      </c>
      <c r="F7287">
        <v>28.98</v>
      </c>
      <c r="G7287">
        <v>17.48</v>
      </c>
      <c r="H7287">
        <v>0.66</v>
      </c>
      <c r="I7287">
        <v>0.132</v>
      </c>
      <c r="J7287">
        <v>23.82</v>
      </c>
      <c r="K7287">
        <v>28.77</v>
      </c>
      <c r="L7287">
        <v>20.53</v>
      </c>
      <c r="M7287">
        <v>1.08</v>
      </c>
      <c r="N7287">
        <v>1.756</v>
      </c>
      <c r="O7287">
        <v>24.19</v>
      </c>
      <c r="P7287">
        <v>29.96</v>
      </c>
      <c r="Q7287">
        <v>19.89</v>
      </c>
      <c r="R7287">
        <v>1.8</v>
      </c>
    </row>
    <row r="7288">
      <c r="A7288" s="9">
        <v>45819</v>
      </c>
      <c r="B7288" s="2" t="inlineStr">
        <is>
          <t xml:space="preserve">2025-06</t>
        </is>
      </c>
      <c r="C7288" s="2" t="inlineStr">
        <is>
          <t xml:space="preserve">2024/25</t>
        </is>
      </c>
      <c r="D7288">
        <v>8.843</v>
      </c>
      <c r="E7288">
        <v>22.29</v>
      </c>
      <c r="F7288">
        <v>27.28</v>
      </c>
      <c r="G7288">
        <v>17.63</v>
      </c>
      <c r="H7288">
        <v>7.7</v>
      </c>
      <c r="I7288">
        <v>1.062</v>
      </c>
      <c r="J7288">
        <v>23.74</v>
      </c>
      <c r="K7288">
        <v>28.81</v>
      </c>
      <c r="L7288">
        <v>20.5</v>
      </c>
      <c r="M7288">
        <v>2.19</v>
      </c>
      <c r="N7288">
        <v>0.385</v>
      </c>
      <c r="O7288">
        <v>23.51</v>
      </c>
      <c r="P7288">
        <v>28.2</v>
      </c>
      <c r="Q7288">
        <v>20.09</v>
      </c>
      <c r="R7288">
        <v>3.2</v>
      </c>
    </row>
    <row r="7289">
      <c r="A7289" s="9">
        <v>45820</v>
      </c>
      <c r="B7289" s="2" t="inlineStr">
        <is>
          <t xml:space="preserve">2025-06</t>
        </is>
      </c>
      <c r="C7289" s="2" t="inlineStr">
        <is>
          <t xml:space="preserve">2024/25</t>
        </is>
      </c>
      <c r="D7289">
        <v>8.497</v>
      </c>
      <c r="E7289">
        <v>22.57</v>
      </c>
      <c r="F7289">
        <v>27.32</v>
      </c>
      <c r="G7289">
        <v>19.48</v>
      </c>
      <c r="H7289">
        <v>3.76</v>
      </c>
      <c r="I7289">
        <v>0.945</v>
      </c>
      <c r="J7289">
        <v>23.69</v>
      </c>
      <c r="K7289">
        <v>28.8</v>
      </c>
      <c r="L7289">
        <v>19.68</v>
      </c>
      <c r="M7289">
        <v>2.41</v>
      </c>
      <c r="N7289">
        <v>1.174</v>
      </c>
      <c r="O7289">
        <v>23.69</v>
      </c>
      <c r="P7289">
        <v>29.3</v>
      </c>
      <c r="Q7289">
        <v>19.77</v>
      </c>
      <c r="R7289">
        <v>3.92</v>
      </c>
    </row>
    <row r="7290">
      <c r="A7290" s="9">
        <v>45821</v>
      </c>
      <c r="B7290" s="2" t="inlineStr">
        <is>
          <t xml:space="preserve">2025-06</t>
        </is>
      </c>
      <c r="C7290" s="2" t="inlineStr">
        <is>
          <t xml:space="preserve">2024/25</t>
        </is>
      </c>
      <c r="D7290">
        <v>17.533</v>
      </c>
      <c r="E7290">
        <v>22.48</v>
      </c>
      <c r="F7290">
        <v>28.67</v>
      </c>
      <c r="G7290">
        <v>17.4</v>
      </c>
      <c r="H7290">
        <v>10.6</v>
      </c>
      <c r="I7290">
        <v>7.841</v>
      </c>
      <c r="J7290">
        <v>23.42</v>
      </c>
      <c r="K7290">
        <v>27.47</v>
      </c>
      <c r="L7290">
        <v>21.41</v>
      </c>
      <c r="M7290">
        <v>9.13</v>
      </c>
      <c r="N7290">
        <v>0.861</v>
      </c>
      <c r="O7290">
        <v>24.18</v>
      </c>
      <c r="P7290">
        <v>29.88</v>
      </c>
      <c r="Q7290">
        <v>21.26</v>
      </c>
      <c r="R7290">
        <v>4.04</v>
      </c>
    </row>
    <row r="7291">
      <c r="A7291" s="9">
        <v>45822</v>
      </c>
      <c r="B7291" s="2" t="inlineStr">
        <is>
          <t xml:space="preserve">2025-06</t>
        </is>
      </c>
      <c r="C7291" s="2" t="inlineStr">
        <is>
          <t xml:space="preserve">2024/25</t>
        </is>
      </c>
      <c r="D7291">
        <v>13.471</v>
      </c>
      <c r="E7291">
        <v>21.76</v>
      </c>
      <c r="F7291">
        <v>27.44</v>
      </c>
      <c r="G7291">
        <v>17.31</v>
      </c>
      <c r="H7291">
        <v>9.33</v>
      </c>
      <c r="I7291">
        <v>23.388</v>
      </c>
      <c r="J7291">
        <v>23.5</v>
      </c>
      <c r="K7291">
        <v>28.89</v>
      </c>
      <c r="L7291">
        <v>20.3</v>
      </c>
      <c r="M7291">
        <v>24.24</v>
      </c>
      <c r="N7291">
        <v>23.26</v>
      </c>
      <c r="O7291">
        <v>23.81</v>
      </c>
      <c r="P7291">
        <v>29.34</v>
      </c>
      <c r="Q7291">
        <v>21.12</v>
      </c>
      <c r="R7291">
        <v>15.63</v>
      </c>
    </row>
    <row r="7292">
      <c r="A7292" s="9">
        <v>45823</v>
      </c>
      <c r="B7292" s="2" t="inlineStr">
        <is>
          <t xml:space="preserve">2025-06</t>
        </is>
      </c>
      <c r="C7292" s="2" t="inlineStr">
        <is>
          <t xml:space="preserve">2024/25</t>
        </is>
      </c>
      <c r="D7292">
        <v>14.124</v>
      </c>
      <c r="E7292">
        <v>21.28</v>
      </c>
      <c r="F7292">
        <v>26.01</v>
      </c>
      <c r="G7292">
        <v>17.35</v>
      </c>
      <c r="H7292">
        <v>15.14</v>
      </c>
      <c r="I7292">
        <v>9.165</v>
      </c>
      <c r="J7292">
        <v>22.83</v>
      </c>
      <c r="K7292">
        <v>26.72</v>
      </c>
      <c r="L7292">
        <v>19.56</v>
      </c>
      <c r="M7292">
        <v>11.42</v>
      </c>
      <c r="N7292">
        <v>17.298</v>
      </c>
      <c r="O7292">
        <v>23.27</v>
      </c>
      <c r="P7292">
        <v>28.04</v>
      </c>
      <c r="Q7292">
        <v>20.05</v>
      </c>
      <c r="R7292">
        <v>17.56</v>
      </c>
    </row>
    <row r="7293">
      <c r="A7293" s="9">
        <v>45824</v>
      </c>
      <c r="B7293" s="2" t="inlineStr">
        <is>
          <t xml:space="preserve">2025-06</t>
        </is>
      </c>
      <c r="C7293" s="2" t="inlineStr">
        <is>
          <t xml:space="preserve">2024/25</t>
        </is>
      </c>
      <c r="D7293">
        <v>24.706</v>
      </c>
      <c r="E7293">
        <v>21.7</v>
      </c>
      <c r="F7293">
        <v>25.97</v>
      </c>
      <c r="G7293">
        <v>17.93</v>
      </c>
      <c r="H7293">
        <v>24.33</v>
      </c>
      <c r="I7293">
        <v>14.447</v>
      </c>
      <c r="J7293">
        <v>22.84</v>
      </c>
      <c r="K7293">
        <v>26.04</v>
      </c>
      <c r="L7293">
        <v>20.17</v>
      </c>
      <c r="M7293">
        <v>13.85</v>
      </c>
      <c r="N7293">
        <v>3.564</v>
      </c>
      <c r="O7293">
        <v>22.97</v>
      </c>
      <c r="P7293">
        <v>26.72</v>
      </c>
      <c r="Q7293">
        <v>20.13</v>
      </c>
      <c r="R7293">
        <v>9.94</v>
      </c>
    </row>
    <row r="7294">
      <c r="A7294" s="9">
        <v>45825</v>
      </c>
      <c r="B7294" s="2" t="inlineStr">
        <is>
          <t xml:space="preserve">2025-06</t>
        </is>
      </c>
      <c r="C7294" s="2" t="inlineStr">
        <is>
          <t xml:space="preserve">2024/25</t>
        </is>
      </c>
      <c r="D7294">
        <v>21.637</v>
      </c>
      <c r="E7294">
        <v>22.33</v>
      </c>
      <c r="F7294">
        <v>26.84</v>
      </c>
      <c r="G7294">
        <v>19.48</v>
      </c>
      <c r="H7294">
        <v>11.57</v>
      </c>
      <c r="I7294">
        <v>24.021</v>
      </c>
      <c r="J7294">
        <v>22.64</v>
      </c>
      <c r="K7294">
        <v>26.4</v>
      </c>
      <c r="L7294">
        <v>19.35</v>
      </c>
      <c r="M7294">
        <v>13.45</v>
      </c>
      <c r="N7294">
        <v>10.28</v>
      </c>
      <c r="O7294">
        <v>23.64</v>
      </c>
      <c r="P7294">
        <v>28.28</v>
      </c>
      <c r="Q7294">
        <v>19.94</v>
      </c>
      <c r="R7294">
        <v>8.16</v>
      </c>
    </row>
    <row r="7295">
      <c r="A7295" s="9">
        <v>45826</v>
      </c>
      <c r="B7295" s="2" t="inlineStr">
        <is>
          <t xml:space="preserve">2025-06</t>
        </is>
      </c>
      <c r="C7295" s="2" t="inlineStr">
        <is>
          <t xml:space="preserve">2024/25</t>
        </is>
      </c>
      <c r="D7295">
        <v>15.445</v>
      </c>
      <c r="E7295">
        <v>21.95</v>
      </c>
      <c r="F7295">
        <v>25.86</v>
      </c>
      <c r="G7295">
        <v>18.96</v>
      </c>
      <c r="H7295">
        <v>17.35</v>
      </c>
      <c r="I7295">
        <v>7.683</v>
      </c>
      <c r="J7295">
        <v>23.04</v>
      </c>
      <c r="K7295">
        <v>27.13</v>
      </c>
      <c r="L7295">
        <v>19.83</v>
      </c>
      <c r="M7295">
        <v>6.23</v>
      </c>
      <c r="N7295">
        <v>3.664</v>
      </c>
      <c r="O7295">
        <v>23.26</v>
      </c>
      <c r="P7295">
        <v>26.33</v>
      </c>
      <c r="Q7295">
        <v>21.15</v>
      </c>
      <c r="R7295">
        <v>11.8</v>
      </c>
    </row>
    <row r="7296">
      <c r="A7296" s="9">
        <v>45827</v>
      </c>
      <c r="B7296" s="2" t="inlineStr">
        <is>
          <t xml:space="preserve">2025-06</t>
        </is>
      </c>
      <c r="C7296" s="2" t="inlineStr">
        <is>
          <t xml:space="preserve">2024/25</t>
        </is>
      </c>
      <c r="D7296">
        <v>11.066</v>
      </c>
      <c r="E7296">
        <v>21.74</v>
      </c>
      <c r="F7296">
        <v>25.76</v>
      </c>
      <c r="G7296">
        <v>18.6</v>
      </c>
      <c r="H7296">
        <v>4.88</v>
      </c>
      <c r="I7296">
        <v>3.871</v>
      </c>
      <c r="J7296">
        <v>23.26</v>
      </c>
      <c r="K7296">
        <v>27.07</v>
      </c>
      <c r="L7296">
        <v>20.36</v>
      </c>
      <c r="M7296">
        <v>1.24</v>
      </c>
      <c r="N7296">
        <v>0.97</v>
      </c>
      <c r="O7296">
        <v>22.79</v>
      </c>
      <c r="P7296">
        <v>26.06</v>
      </c>
      <c r="Q7296">
        <v>20.61</v>
      </c>
      <c r="R7296">
        <v>2.8</v>
      </c>
    </row>
    <row r="7297">
      <c r="A7297" s="9">
        <v>45828</v>
      </c>
      <c r="B7297" s="2" t="inlineStr">
        <is>
          <t xml:space="preserve">2025-06</t>
        </is>
      </c>
      <c r="C7297" s="2" t="inlineStr">
        <is>
          <t xml:space="preserve">2024/25</t>
        </is>
      </c>
      <c r="D7297">
        <v>5.12</v>
      </c>
      <c r="E7297">
        <v>21.81</v>
      </c>
      <c r="F7297">
        <v>26.55</v>
      </c>
      <c r="G7297">
        <v>18.87</v>
      </c>
      <c r="H7297">
        <v>3.25</v>
      </c>
      <c r="I7297">
        <v>1.655</v>
      </c>
      <c r="J7297">
        <v>23.13</v>
      </c>
      <c r="K7297">
        <v>27.85</v>
      </c>
      <c r="L7297">
        <v>20.12</v>
      </c>
      <c r="M7297">
        <v>5.22</v>
      </c>
      <c r="N7297">
        <v>0.611</v>
      </c>
      <c r="O7297">
        <v>22.86</v>
      </c>
      <c r="P7297">
        <v>26.67</v>
      </c>
      <c r="Q7297">
        <v>20.55</v>
      </c>
      <c r="R7297">
        <v>2.94</v>
      </c>
    </row>
    <row r="7298">
      <c r="A7298" s="9">
        <v>45829</v>
      </c>
      <c r="B7298" s="2" t="inlineStr">
        <is>
          <t xml:space="preserve">2025-06</t>
        </is>
      </c>
      <c r="C7298" s="2" t="inlineStr">
        <is>
          <t xml:space="preserve">2024/25</t>
        </is>
      </c>
      <c r="D7298">
        <v>4.753</v>
      </c>
      <c r="E7298">
        <v>21.65</v>
      </c>
      <c r="F7298">
        <v>26.89</v>
      </c>
      <c r="G7298">
        <v>18.04</v>
      </c>
      <c r="H7298">
        <v>3.34</v>
      </c>
      <c r="I7298">
        <v>11.601</v>
      </c>
      <c r="J7298">
        <v>23.44</v>
      </c>
      <c r="K7298">
        <v>28.53</v>
      </c>
      <c r="L7298">
        <v>19.44</v>
      </c>
      <c r="M7298">
        <v>6.73</v>
      </c>
      <c r="N7298">
        <v>4.592</v>
      </c>
      <c r="O7298">
        <v>23.07</v>
      </c>
      <c r="P7298">
        <v>28.1</v>
      </c>
      <c r="Q7298">
        <v>19.52</v>
      </c>
      <c r="R7298">
        <v>2.35</v>
      </c>
    </row>
    <row r="7299">
      <c r="A7299" s="9">
        <v>45830</v>
      </c>
      <c r="B7299" s="2" t="inlineStr">
        <is>
          <t xml:space="preserve">2025-06</t>
        </is>
      </c>
      <c r="C7299" s="2" t="inlineStr">
        <is>
          <t xml:space="preserve">2024/25</t>
        </is>
      </c>
      <c r="D7299">
        <v>2.176</v>
      </c>
      <c r="E7299">
        <v>21.53</v>
      </c>
      <c r="F7299">
        <v>26.98</v>
      </c>
      <c r="G7299">
        <v>16.61</v>
      </c>
      <c r="H7299">
        <v>5.45</v>
      </c>
      <c r="I7299">
        <v>2.986</v>
      </c>
      <c r="J7299">
        <v>23.74</v>
      </c>
      <c r="K7299">
        <v>29.04</v>
      </c>
      <c r="L7299">
        <v>18.9</v>
      </c>
      <c r="M7299">
        <v>7.82</v>
      </c>
      <c r="N7299">
        <v>1.313</v>
      </c>
      <c r="O7299">
        <v>23.84</v>
      </c>
      <c r="P7299">
        <v>29.26</v>
      </c>
      <c r="Q7299">
        <v>19.8</v>
      </c>
      <c r="R7299">
        <v>2.46</v>
      </c>
    </row>
    <row r="7300">
      <c r="A7300" s="9">
        <v>45831</v>
      </c>
      <c r="B7300" s="2" t="inlineStr">
        <is>
          <t xml:space="preserve">2025-06</t>
        </is>
      </c>
      <c r="C7300" s="2" t="inlineStr">
        <is>
          <t xml:space="preserve">2024/25</t>
        </is>
      </c>
      <c r="D7300">
        <v>10.878</v>
      </c>
      <c r="E7300">
        <v>21.6</v>
      </c>
      <c r="F7300">
        <v>26.39</v>
      </c>
      <c r="G7300">
        <v>17.67</v>
      </c>
      <c r="H7300">
        <v>3.18</v>
      </c>
      <c r="I7300">
        <v>20.798</v>
      </c>
      <c r="J7300">
        <v>22.63</v>
      </c>
      <c r="K7300">
        <v>27.12</v>
      </c>
      <c r="L7300">
        <v>19.11</v>
      </c>
      <c r="M7300">
        <v>5.76</v>
      </c>
      <c r="N7300">
        <v>2.826</v>
      </c>
      <c r="O7300">
        <v>23.04</v>
      </c>
      <c r="P7300">
        <v>27.9</v>
      </c>
      <c r="Q7300">
        <v>19.72</v>
      </c>
      <c r="R7300">
        <v>3.13</v>
      </c>
    </row>
    <row r="7301">
      <c r="A7301" s="9">
        <v>45832</v>
      </c>
      <c r="B7301" s="2" t="inlineStr">
        <is>
          <t xml:space="preserve">2025-06</t>
        </is>
      </c>
      <c r="C7301" s="2" t="inlineStr">
        <is>
          <t xml:space="preserve">2024/25</t>
        </is>
      </c>
      <c r="D7301">
        <v>0.0</v>
      </c>
      <c r="E7301">
        <v>21.63</v>
      </c>
      <c r="F7301">
        <v>26.95</v>
      </c>
      <c r="G7301">
        <v>17.55</v>
      </c>
      <c r="H7301">
        <v>0.18</v>
      </c>
      <c r="I7301">
        <v>0.0</v>
      </c>
      <c r="J7301">
        <v>22.89</v>
      </c>
      <c r="K7301">
        <v>28.19</v>
      </c>
      <c r="L7301">
        <v>18.8</v>
      </c>
      <c r="M7301">
        <v>0.31</v>
      </c>
      <c r="N7301">
        <v>0.084</v>
      </c>
      <c r="O7301">
        <v>23.4</v>
      </c>
      <c r="P7301">
        <v>28.76</v>
      </c>
      <c r="Q7301">
        <v>19.69</v>
      </c>
      <c r="R7301">
        <v>0.71</v>
      </c>
    </row>
    <row r="7302">
      <c r="A7302" s="9">
        <v>45833</v>
      </c>
      <c r="B7302" s="2" t="inlineStr">
        <is>
          <t xml:space="preserve">2025-06</t>
        </is>
      </c>
      <c r="C7302" s="2" t="inlineStr">
        <is>
          <t xml:space="preserve">2024/25</t>
        </is>
      </c>
      <c r="D7302">
        <v>0.528</v>
      </c>
      <c r="E7302">
        <v>21.4</v>
      </c>
      <c r="F7302">
        <v>25.71</v>
      </c>
      <c r="G7302">
        <v>17.62</v>
      </c>
      <c r="H7302">
        <v>7.9</v>
      </c>
      <c r="I7302">
        <v>2.153</v>
      </c>
      <c r="J7302">
        <v>22.19</v>
      </c>
      <c r="K7302">
        <v>26.1</v>
      </c>
      <c r="L7302">
        <v>18.88</v>
      </c>
      <c r="M7302">
        <v>4.82</v>
      </c>
      <c r="N7302">
        <v>3.48</v>
      </c>
      <c r="O7302">
        <v>23.03</v>
      </c>
      <c r="P7302">
        <v>28.04</v>
      </c>
      <c r="Q7302">
        <v>19.83</v>
      </c>
      <c r="R7302">
        <v>5.75</v>
      </c>
    </row>
    <row r="7303">
      <c r="A7303" s="9">
        <v>45834</v>
      </c>
      <c r="B7303" s="2" t="inlineStr">
        <is>
          <t xml:space="preserve">2025-06</t>
        </is>
      </c>
      <c r="C7303" s="2" t="inlineStr">
        <is>
          <t xml:space="preserve">2024/25</t>
        </is>
      </c>
      <c r="D7303">
        <v>24.62</v>
      </c>
      <c r="E7303">
        <v>21.72</v>
      </c>
      <c r="F7303">
        <v>24.89</v>
      </c>
      <c r="G7303">
        <v>19.79</v>
      </c>
      <c r="H7303">
        <v>15.48</v>
      </c>
      <c r="I7303">
        <v>18.297</v>
      </c>
      <c r="J7303">
        <v>22.21</v>
      </c>
      <c r="K7303">
        <v>25.5</v>
      </c>
      <c r="L7303">
        <v>20.35</v>
      </c>
      <c r="M7303">
        <v>23.99</v>
      </c>
      <c r="N7303">
        <v>3.477</v>
      </c>
      <c r="O7303">
        <v>22.1</v>
      </c>
      <c r="P7303">
        <v>24.35</v>
      </c>
      <c r="Q7303">
        <v>20.57</v>
      </c>
      <c r="R7303">
        <v>11.49</v>
      </c>
    </row>
    <row r="7304">
      <c r="A7304" s="9">
        <v>45835</v>
      </c>
      <c r="B7304" s="2" t="inlineStr">
        <is>
          <t xml:space="preserve">2025-06</t>
        </is>
      </c>
      <c r="C7304" s="2" t="inlineStr">
        <is>
          <t xml:space="preserve">2024/25</t>
        </is>
      </c>
      <c r="D7304">
        <v>11.126</v>
      </c>
      <c r="E7304">
        <v>22.67</v>
      </c>
      <c r="F7304">
        <v>27.04</v>
      </c>
      <c r="G7304">
        <v>19.38</v>
      </c>
      <c r="H7304">
        <v>18.26</v>
      </c>
      <c r="I7304">
        <v>38.166</v>
      </c>
      <c r="J7304">
        <v>23.21</v>
      </c>
      <c r="K7304">
        <v>27.7</v>
      </c>
      <c r="L7304">
        <v>19.42</v>
      </c>
      <c r="M7304">
        <v>17.98</v>
      </c>
      <c r="N7304">
        <v>4.546</v>
      </c>
      <c r="O7304">
        <v>23.62</v>
      </c>
      <c r="P7304">
        <v>28.09</v>
      </c>
      <c r="Q7304">
        <v>19.92</v>
      </c>
      <c r="R7304">
        <v>20.18</v>
      </c>
    </row>
    <row r="7305">
      <c r="A7305" s="9">
        <v>45836</v>
      </c>
      <c r="B7305" s="2" t="inlineStr">
        <is>
          <t xml:space="preserve">2025-06</t>
        </is>
      </c>
      <c r="C7305" s="2" t="inlineStr">
        <is>
          <t xml:space="preserve">2024/25</t>
        </is>
      </c>
      <c r="D7305">
        <v>20.322</v>
      </c>
      <c r="E7305">
        <v>22.1</v>
      </c>
      <c r="F7305">
        <v>26.31</v>
      </c>
      <c r="G7305">
        <v>18.92</v>
      </c>
      <c r="H7305">
        <v>7.86</v>
      </c>
      <c r="I7305">
        <v>23.725</v>
      </c>
      <c r="J7305">
        <v>22.82</v>
      </c>
      <c r="K7305">
        <v>25.95</v>
      </c>
      <c r="L7305">
        <v>20.36</v>
      </c>
      <c r="M7305">
        <v>19.8</v>
      </c>
      <c r="N7305">
        <v>33.304</v>
      </c>
      <c r="O7305">
        <v>23.24</v>
      </c>
      <c r="P7305">
        <v>26.14</v>
      </c>
      <c r="Q7305">
        <v>21.21</v>
      </c>
      <c r="R7305">
        <v>16.69</v>
      </c>
    </row>
    <row r="7306">
      <c r="A7306" s="9">
        <v>45837</v>
      </c>
      <c r="B7306" s="2" t="inlineStr">
        <is>
          <t xml:space="preserve">2025-06</t>
        </is>
      </c>
      <c r="C7306" s="2" t="inlineStr">
        <is>
          <t xml:space="preserve">2024/25</t>
        </is>
      </c>
      <c r="D7306">
        <v>3.321</v>
      </c>
      <c r="E7306">
        <v>21.66</v>
      </c>
      <c r="F7306">
        <v>26.5</v>
      </c>
      <c r="G7306">
        <v>17.36</v>
      </c>
      <c r="H7306">
        <v>1.01</v>
      </c>
      <c r="I7306">
        <v>1.968</v>
      </c>
      <c r="J7306">
        <v>24.27</v>
      </c>
      <c r="K7306">
        <v>29.12</v>
      </c>
      <c r="L7306">
        <v>20.46</v>
      </c>
      <c r="M7306">
        <v>0.75</v>
      </c>
      <c r="N7306">
        <v>1.024</v>
      </c>
      <c r="O7306">
        <v>23.62</v>
      </c>
      <c r="P7306">
        <v>28.43</v>
      </c>
      <c r="Q7306">
        <v>19.67</v>
      </c>
      <c r="R7306">
        <v>0.57</v>
      </c>
    </row>
    <row r="7307">
      <c r="A7307" s="9">
        <v>45838</v>
      </c>
      <c r="B7307" s="2" t="inlineStr">
        <is>
          <t xml:space="preserve">2025-06</t>
        </is>
      </c>
      <c r="C7307" s="2" t="inlineStr">
        <is>
          <t xml:space="preserve">2024/25</t>
        </is>
      </c>
      <c r="D7307">
        <v>0.066</v>
      </c>
      <c r="E7307">
        <v>21.66</v>
      </c>
      <c r="F7307">
        <v>26.14</v>
      </c>
      <c r="G7307">
        <v>17.93</v>
      </c>
      <c r="H7307">
        <v>6.08</v>
      </c>
      <c r="I7307">
        <v>3.102</v>
      </c>
      <c r="J7307">
        <v>23.64</v>
      </c>
      <c r="K7307">
        <v>28.04</v>
      </c>
      <c r="L7307">
        <v>20.37</v>
      </c>
      <c r="M7307">
        <v>1.3</v>
      </c>
      <c r="N7307">
        <v>0.123</v>
      </c>
      <c r="O7307">
        <v>23.34</v>
      </c>
      <c r="P7307">
        <v>27.59</v>
      </c>
      <c r="Q7307">
        <v>20.82</v>
      </c>
      <c r="R7307">
        <v>0.51</v>
      </c>
    </row>
    <row r="7308">
      <c r="A7308" s="9">
        <v>45839</v>
      </c>
      <c r="B7308" s="2" t="inlineStr">
        <is>
          <t xml:space="preserve">2025-07</t>
        </is>
      </c>
      <c r="C7308" s="2" t="inlineStr">
        <is>
          <t xml:space="preserve">2025/26</t>
        </is>
      </c>
      <c r="D7308">
        <v>10.916</v>
      </c>
      <c r="E7308">
        <v>21.79</v>
      </c>
      <c r="F7308">
        <v>25.76</v>
      </c>
      <c r="G7308">
        <v>18.54</v>
      </c>
      <c r="H7308">
        <v>15.34</v>
      </c>
      <c r="I7308">
        <v>0.291</v>
      </c>
      <c r="J7308">
        <v>22.86</v>
      </c>
      <c r="K7308">
        <v>26.5</v>
      </c>
      <c r="L7308">
        <v>19.84</v>
      </c>
      <c r="M7308">
        <v>7.89</v>
      </c>
      <c r="N7308">
        <v>0.0</v>
      </c>
      <c r="O7308">
        <v>23.3</v>
      </c>
      <c r="P7308">
        <v>26.81</v>
      </c>
      <c r="Q7308">
        <v>20.79</v>
      </c>
      <c r="R7308">
        <v>3.32</v>
      </c>
    </row>
    <row r="7309">
      <c r="A7309" s="9">
        <v>45840</v>
      </c>
      <c r="B7309" s="2" t="inlineStr">
        <is>
          <t xml:space="preserve">2025-07</t>
        </is>
      </c>
      <c r="C7309" s="2" t="inlineStr">
        <is>
          <t xml:space="preserve">2025/26</t>
        </is>
      </c>
      <c r="D7309">
        <v>2.575</v>
      </c>
      <c r="E7309">
        <v>21.51</v>
      </c>
      <c r="F7309">
        <v>26.79</v>
      </c>
      <c r="G7309">
        <v>17.45</v>
      </c>
      <c r="H7309">
        <v>0.44</v>
      </c>
      <c r="I7309">
        <v>13.861</v>
      </c>
      <c r="J7309">
        <v>23.19</v>
      </c>
      <c r="K7309">
        <v>28.25</v>
      </c>
      <c r="L7309">
        <v>19.79</v>
      </c>
      <c r="M7309">
        <v>1.18</v>
      </c>
      <c r="N7309">
        <v>1.14</v>
      </c>
      <c r="O7309">
        <v>23.35</v>
      </c>
      <c r="P7309">
        <v>28.23</v>
      </c>
      <c r="Q7309">
        <v>20.39</v>
      </c>
      <c r="R7309">
        <v>1.57</v>
      </c>
    </row>
    <row r="7310">
      <c r="A7310" s="9">
        <v>45841</v>
      </c>
      <c r="B7310" s="2" t="inlineStr">
        <is>
          <t xml:space="preserve">2025-07</t>
        </is>
      </c>
      <c r="C7310" s="2" t="inlineStr">
        <is>
          <t xml:space="preserve">2025/26</t>
        </is>
      </c>
      <c r="D7310">
        <v>0.0</v>
      </c>
      <c r="E7310">
        <v>21.85</v>
      </c>
      <c r="F7310">
        <v>27.31</v>
      </c>
      <c r="G7310">
        <v>16.86</v>
      </c>
      <c r="H7310">
        <v>0.0</v>
      </c>
      <c r="I7310">
        <v>0.0</v>
      </c>
      <c r="J7310">
        <v>23.71</v>
      </c>
      <c r="K7310">
        <v>28.84</v>
      </c>
      <c r="L7310">
        <v>18.88</v>
      </c>
      <c r="M7310">
        <v>0.14</v>
      </c>
      <c r="N7310">
        <v>0.0</v>
      </c>
      <c r="O7310">
        <v>23.92</v>
      </c>
      <c r="P7310">
        <v>29.27</v>
      </c>
      <c r="Q7310">
        <v>20.0</v>
      </c>
      <c r="R7310">
        <v>0.03</v>
      </c>
    </row>
    <row r="7311">
      <c r="A7311" s="9">
        <v>45842</v>
      </c>
      <c r="B7311" s="2" t="inlineStr">
        <is>
          <t xml:space="preserve">2025-07</t>
        </is>
      </c>
      <c r="C7311" s="2" t="inlineStr">
        <is>
          <t xml:space="preserve">2025/26</t>
        </is>
      </c>
      <c r="D7311">
        <v>0.0</v>
      </c>
      <c r="E7311">
        <v>21.89</v>
      </c>
      <c r="F7311">
        <v>27.41</v>
      </c>
      <c r="G7311">
        <v>17.07</v>
      </c>
      <c r="H7311">
        <v>0.46</v>
      </c>
      <c r="I7311">
        <v>0.315</v>
      </c>
      <c r="J7311">
        <v>23.27</v>
      </c>
      <c r="K7311">
        <v>27.97</v>
      </c>
      <c r="L7311">
        <v>19.0</v>
      </c>
      <c r="M7311">
        <v>0.43</v>
      </c>
      <c r="N7311">
        <v>0.0</v>
      </c>
      <c r="O7311">
        <v>23.41</v>
      </c>
      <c r="P7311">
        <v>28.69</v>
      </c>
      <c r="Q7311">
        <v>19.39</v>
      </c>
      <c r="R7311">
        <v>0.35</v>
      </c>
    </row>
    <row r="7312">
      <c r="A7312" s="9">
        <v>45843</v>
      </c>
      <c r="B7312" s="2" t="inlineStr">
        <is>
          <t xml:space="preserve">2025-07</t>
        </is>
      </c>
      <c r="C7312" s="2" t="inlineStr">
        <is>
          <t xml:space="preserve">2025/26</t>
        </is>
      </c>
      <c r="D7312">
        <v>5.549</v>
      </c>
      <c r="E7312">
        <v>22.15</v>
      </c>
      <c r="F7312">
        <v>26.31</v>
      </c>
      <c r="G7312">
        <v>18.66</v>
      </c>
      <c r="H7312">
        <v>16.12</v>
      </c>
      <c r="I7312">
        <v>1.442</v>
      </c>
      <c r="J7312">
        <v>22.52</v>
      </c>
      <c r="K7312">
        <v>26.99</v>
      </c>
      <c r="L7312">
        <v>18.3</v>
      </c>
      <c r="M7312">
        <v>5.82</v>
      </c>
      <c r="N7312">
        <v>6.396</v>
      </c>
      <c r="O7312">
        <v>23.1</v>
      </c>
      <c r="P7312">
        <v>27.85</v>
      </c>
      <c r="Q7312">
        <v>19.41</v>
      </c>
      <c r="R7312">
        <v>8.77</v>
      </c>
    </row>
    <row r="7313">
      <c r="A7313" s="9">
        <v>45844</v>
      </c>
      <c r="B7313" s="2" t="inlineStr">
        <is>
          <t xml:space="preserve">2025-07</t>
        </is>
      </c>
      <c r="C7313" s="2" t="inlineStr">
        <is>
          <t xml:space="preserve">2025/26</t>
        </is>
      </c>
      <c r="D7313">
        <v>56.752</v>
      </c>
      <c r="E7313">
        <v>22.16</v>
      </c>
      <c r="F7313">
        <v>27.1</v>
      </c>
      <c r="G7313">
        <v>18.54</v>
      </c>
      <c r="H7313">
        <v>18.82</v>
      </c>
      <c r="I7313">
        <v>4.185</v>
      </c>
      <c r="J7313">
        <v>24.04</v>
      </c>
      <c r="K7313">
        <v>28.41</v>
      </c>
      <c r="L7313">
        <v>20.89</v>
      </c>
      <c r="M7313">
        <v>7.12</v>
      </c>
      <c r="N7313">
        <v>11.069</v>
      </c>
      <c r="O7313">
        <v>23.94</v>
      </c>
      <c r="P7313">
        <v>28.43</v>
      </c>
      <c r="Q7313">
        <v>21.35</v>
      </c>
      <c r="R7313">
        <v>8.54</v>
      </c>
    </row>
    <row r="7314">
      <c r="A7314" s="9">
        <v>45845</v>
      </c>
      <c r="B7314" s="2" t="inlineStr">
        <is>
          <t xml:space="preserve">2025-07</t>
        </is>
      </c>
      <c r="C7314" s="2" t="inlineStr">
        <is>
          <t xml:space="preserve">2025/26</t>
        </is>
      </c>
      <c r="D7314">
        <v>1.219</v>
      </c>
      <c r="E7314">
        <v>21.0</v>
      </c>
      <c r="F7314">
        <v>25.77</v>
      </c>
      <c r="G7314">
        <v>16.9</v>
      </c>
      <c r="H7314">
        <v>2.45</v>
      </c>
      <c r="I7314">
        <v>25.859</v>
      </c>
      <c r="J7314">
        <v>23.08</v>
      </c>
      <c r="K7314">
        <v>27.09</v>
      </c>
      <c r="L7314">
        <v>20.47</v>
      </c>
      <c r="M7314">
        <v>12.97</v>
      </c>
      <c r="N7314">
        <v>1.718</v>
      </c>
      <c r="O7314">
        <v>23.58</v>
      </c>
      <c r="P7314">
        <v>28.66</v>
      </c>
      <c r="Q7314">
        <v>20.46</v>
      </c>
      <c r="R7314">
        <v>4.35</v>
      </c>
    </row>
    <row r="7315">
      <c r="A7315" s="9">
        <v>45846</v>
      </c>
      <c r="B7315" s="2" t="inlineStr">
        <is>
          <t xml:space="preserve">2025-07</t>
        </is>
      </c>
      <c r="C7315" s="2" t="inlineStr">
        <is>
          <t xml:space="preserve">2025/26</t>
        </is>
      </c>
      <c r="D7315">
        <v>0.989</v>
      </c>
      <c r="E7315">
        <v>21.07</v>
      </c>
      <c r="F7315">
        <v>26.61</v>
      </c>
      <c r="G7315">
        <v>16.3</v>
      </c>
      <c r="H7315">
        <v>0.6</v>
      </c>
      <c r="I7315">
        <v>2.658</v>
      </c>
      <c r="J7315">
        <v>22.71</v>
      </c>
      <c r="K7315">
        <v>27.84</v>
      </c>
      <c r="L7315">
        <v>19.22</v>
      </c>
      <c r="M7315">
        <v>0.14</v>
      </c>
      <c r="N7315">
        <v>0.208</v>
      </c>
      <c r="O7315">
        <v>22.74</v>
      </c>
      <c r="P7315">
        <v>26.98</v>
      </c>
      <c r="Q7315">
        <v>19.54</v>
      </c>
      <c r="R7315">
        <v>0.97</v>
      </c>
    </row>
    <row r="7316">
      <c r="A7316" s="9">
        <v>45847</v>
      </c>
      <c r="B7316" s="2" t="inlineStr">
        <is>
          <t xml:space="preserve">2025-07</t>
        </is>
      </c>
      <c r="C7316" s="2" t="inlineStr">
        <is>
          <t xml:space="preserve">2025/26</t>
        </is>
      </c>
      <c r="D7316">
        <v>0.094</v>
      </c>
      <c r="E7316">
        <v>21.88</v>
      </c>
      <c r="F7316">
        <v>26.73</v>
      </c>
      <c r="G7316">
        <v>18.11</v>
      </c>
      <c r="H7316">
        <v>0.34</v>
      </c>
      <c r="I7316">
        <v>0.0</v>
      </c>
      <c r="J7316">
        <v>22.72</v>
      </c>
      <c r="K7316">
        <v>27.72</v>
      </c>
      <c r="L7316">
        <v>18.6</v>
      </c>
      <c r="M7316">
        <v>0.03</v>
      </c>
      <c r="N7316">
        <v>0.0</v>
      </c>
      <c r="O7316">
        <v>22.94</v>
      </c>
      <c r="P7316">
        <v>27.28</v>
      </c>
      <c r="Q7316">
        <v>19.67</v>
      </c>
      <c r="R7316">
        <v>0.36</v>
      </c>
    </row>
    <row r="7317">
      <c r="A7317" s="9">
        <v>45848</v>
      </c>
      <c r="B7317" s="2" t="inlineStr">
        <is>
          <t xml:space="preserve">2025-07</t>
        </is>
      </c>
      <c r="C7317" s="2" t="inlineStr">
        <is>
          <t xml:space="preserve">2025/26</t>
        </is>
      </c>
      <c r="D7317">
        <v>0.031</v>
      </c>
      <c r="E7317">
        <v>21.89</v>
      </c>
      <c r="F7317">
        <v>26.36</v>
      </c>
      <c r="G7317">
        <v>18.19</v>
      </c>
      <c r="H7317">
        <v>2.22</v>
      </c>
      <c r="I7317">
        <v>0.0</v>
      </c>
      <c r="J7317">
        <v>22.8</v>
      </c>
      <c r="K7317">
        <v>27.11</v>
      </c>
      <c r="L7317">
        <v>19.11</v>
      </c>
      <c r="M7317">
        <v>4.85</v>
      </c>
      <c r="N7317">
        <v>0.0</v>
      </c>
      <c r="O7317">
        <v>23.3</v>
      </c>
      <c r="P7317">
        <v>27.67</v>
      </c>
      <c r="Q7317">
        <v>20.28</v>
      </c>
      <c r="R7317">
        <v>1.61</v>
      </c>
    </row>
    <row r="7318">
      <c r="A7318" s="9">
        <v>45849</v>
      </c>
      <c r="B7318" s="2" t="inlineStr">
        <is>
          <t xml:space="preserve">2025-07</t>
        </is>
      </c>
      <c r="C7318" s="2" t="inlineStr">
        <is>
          <t xml:space="preserve">2025/26</t>
        </is>
      </c>
      <c r="D7318">
        <v>1.488</v>
      </c>
      <c r="E7318">
        <v>21.86</v>
      </c>
      <c r="F7318">
        <v>27.08</v>
      </c>
      <c r="G7318">
        <v>18.05</v>
      </c>
      <c r="H7318">
        <v>1.22</v>
      </c>
      <c r="I7318">
        <v>16.893</v>
      </c>
      <c r="J7318">
        <v>23.12</v>
      </c>
      <c r="K7318">
        <v>27.68</v>
      </c>
      <c r="L7318">
        <v>19.52</v>
      </c>
      <c r="M7318">
        <v>6.72</v>
      </c>
      <c r="N7318">
        <v>1.142</v>
      </c>
      <c r="O7318">
        <v>23.55</v>
      </c>
      <c r="P7318">
        <v>28.57</v>
      </c>
      <c r="Q7318">
        <v>20.5</v>
      </c>
      <c r="R7318">
        <v>1.47</v>
      </c>
    </row>
    <row r="7319">
      <c r="A7319" s="9">
        <v>45850</v>
      </c>
      <c r="B7319" s="2" t="inlineStr">
        <is>
          <t xml:space="preserve">2025-07</t>
        </is>
      </c>
      <c r="C7319" s="2" t="inlineStr">
        <is>
          <t xml:space="preserve">2025/26</t>
        </is>
      </c>
      <c r="D7319">
        <v>0.0</v>
      </c>
      <c r="E7319">
        <v>22.02</v>
      </c>
      <c r="F7319">
        <v>27.29</v>
      </c>
      <c r="G7319">
        <v>17.42</v>
      </c>
      <c r="H7319">
        <v>0.73</v>
      </c>
      <c r="I7319">
        <v>3.948</v>
      </c>
      <c r="J7319">
        <v>23.4</v>
      </c>
      <c r="K7319">
        <v>28.56</v>
      </c>
      <c r="L7319">
        <v>18.69</v>
      </c>
      <c r="M7319">
        <v>1.72</v>
      </c>
      <c r="N7319">
        <v>1.644</v>
      </c>
      <c r="O7319">
        <v>24.14</v>
      </c>
      <c r="P7319">
        <v>29.94</v>
      </c>
      <c r="Q7319">
        <v>19.94</v>
      </c>
      <c r="R7319">
        <v>1.34</v>
      </c>
    </row>
    <row r="7320">
      <c r="A7320" s="9">
        <v>45851</v>
      </c>
      <c r="B7320" s="2" t="inlineStr">
        <is>
          <t xml:space="preserve">2025-07</t>
        </is>
      </c>
      <c r="C7320" s="2" t="inlineStr">
        <is>
          <t xml:space="preserve">2025/26</t>
        </is>
      </c>
      <c r="D7320">
        <v>0.814</v>
      </c>
      <c r="E7320">
        <v>21.89</v>
      </c>
      <c r="F7320">
        <v>26.06</v>
      </c>
      <c r="G7320">
        <v>18.3</v>
      </c>
      <c r="H7320">
        <v>7.33</v>
      </c>
      <c r="I7320">
        <v>3.929</v>
      </c>
      <c r="J7320">
        <v>23.45</v>
      </c>
      <c r="K7320">
        <v>27.48</v>
      </c>
      <c r="L7320">
        <v>19.76</v>
      </c>
      <c r="M7320">
        <v>10.01</v>
      </c>
      <c r="N7320">
        <v>3.231</v>
      </c>
      <c r="O7320">
        <v>23.31</v>
      </c>
      <c r="P7320">
        <v>26.86</v>
      </c>
      <c r="Q7320">
        <v>20.92</v>
      </c>
      <c r="R7320">
        <v>8.29</v>
      </c>
    </row>
    <row r="7321">
      <c r="A7321" s="9">
        <v>45852</v>
      </c>
      <c r="B7321" s="2" t="inlineStr">
        <is>
          <t xml:space="preserve">2025-07</t>
        </is>
      </c>
      <c r="C7321" s="2" t="inlineStr">
        <is>
          <t xml:space="preserve">2025/26</t>
        </is>
      </c>
      <c r="D7321">
        <v>9.736</v>
      </c>
      <c r="E7321">
        <v>21.92</v>
      </c>
      <c r="F7321">
        <v>27.09</v>
      </c>
      <c r="G7321">
        <v>18.04</v>
      </c>
      <c r="H7321">
        <v>1.11</v>
      </c>
      <c r="I7321">
        <v>11.952</v>
      </c>
      <c r="J7321">
        <v>23.87</v>
      </c>
      <c r="K7321">
        <v>29.1</v>
      </c>
      <c r="L7321">
        <v>20.38</v>
      </c>
      <c r="M7321">
        <v>1.61</v>
      </c>
      <c r="N7321">
        <v>1.713</v>
      </c>
      <c r="O7321">
        <v>24.13</v>
      </c>
      <c r="P7321">
        <v>29.48</v>
      </c>
      <c r="Q7321">
        <v>21.01</v>
      </c>
      <c r="R7321">
        <v>1.24</v>
      </c>
    </row>
    <row r="7322">
      <c r="A7322" s="9">
        <v>45853</v>
      </c>
      <c r="B7322" s="2" t="inlineStr">
        <is>
          <t xml:space="preserve">2025-07</t>
        </is>
      </c>
      <c r="C7322" s="2" t="inlineStr">
        <is>
          <t xml:space="preserve">2025/26</t>
        </is>
      </c>
      <c r="D7322">
        <v>0.0</v>
      </c>
      <c r="E7322">
        <v>21.87</v>
      </c>
      <c r="F7322">
        <v>27.68</v>
      </c>
      <c r="G7322">
        <v>17.02</v>
      </c>
      <c r="H7322">
        <v>0.0</v>
      </c>
      <c r="I7322">
        <v>0.0</v>
      </c>
      <c r="J7322">
        <v>23.36</v>
      </c>
      <c r="K7322">
        <v>28.79</v>
      </c>
      <c r="L7322">
        <v>18.87</v>
      </c>
      <c r="M7322">
        <v>0.0</v>
      </c>
      <c r="N7322">
        <v>0.0</v>
      </c>
      <c r="O7322">
        <v>23.76</v>
      </c>
      <c r="P7322">
        <v>29.29</v>
      </c>
      <c r="Q7322">
        <v>20.19</v>
      </c>
      <c r="R7322">
        <v>0.0</v>
      </c>
    </row>
    <row r="7323">
      <c r="A7323" s="9">
        <v>45854</v>
      </c>
      <c r="B7323" s="2" t="inlineStr">
        <is>
          <t xml:space="preserve">2025-07</t>
        </is>
      </c>
      <c r="C7323" s="2" t="inlineStr">
        <is>
          <t xml:space="preserve">2025/26</t>
        </is>
      </c>
      <c r="D7323">
        <v>0.0</v>
      </c>
      <c r="E7323">
        <v>22.31</v>
      </c>
      <c r="F7323">
        <v>27.74</v>
      </c>
      <c r="G7323">
        <v>17.56</v>
      </c>
      <c r="H7323">
        <v>0.03</v>
      </c>
      <c r="I7323">
        <v>0.0</v>
      </c>
      <c r="J7323">
        <v>23.04</v>
      </c>
      <c r="K7323">
        <v>28.7</v>
      </c>
      <c r="L7323">
        <v>18.22</v>
      </c>
      <c r="M7323">
        <v>0.0</v>
      </c>
      <c r="N7323">
        <v>0.0</v>
      </c>
      <c r="O7323">
        <v>23.79</v>
      </c>
      <c r="P7323">
        <v>29.32</v>
      </c>
      <c r="Q7323">
        <v>19.65</v>
      </c>
      <c r="R7323">
        <v>0.02</v>
      </c>
    </row>
    <row r="7324">
      <c r="A7324" s="9">
        <v>45855</v>
      </c>
      <c r="B7324" s="2" t="inlineStr">
        <is>
          <t xml:space="preserve">2025-07</t>
        </is>
      </c>
      <c r="C7324" s="2" t="inlineStr">
        <is>
          <t xml:space="preserve">2025/26</t>
        </is>
      </c>
      <c r="D7324">
        <v>0.0</v>
      </c>
      <c r="E7324">
        <v>22.51</v>
      </c>
      <c r="F7324">
        <v>27.94</v>
      </c>
      <c r="G7324">
        <v>18.02</v>
      </c>
      <c r="H7324">
        <v>0.16</v>
      </c>
      <c r="I7324">
        <v>0.0</v>
      </c>
      <c r="J7324">
        <v>23.38</v>
      </c>
      <c r="K7324">
        <v>28.91</v>
      </c>
      <c r="L7324">
        <v>18.84</v>
      </c>
      <c r="M7324">
        <v>0.01</v>
      </c>
      <c r="N7324">
        <v>0.0</v>
      </c>
      <c r="O7324">
        <v>24.29</v>
      </c>
      <c r="P7324">
        <v>30.0</v>
      </c>
      <c r="Q7324">
        <v>20.14</v>
      </c>
      <c r="R7324">
        <v>0.06</v>
      </c>
    </row>
    <row r="7325">
      <c r="A7325" s="9">
        <v>45856</v>
      </c>
      <c r="B7325" s="2" t="inlineStr">
        <is>
          <t xml:space="preserve">2025-07</t>
        </is>
      </c>
      <c r="C7325" s="2" t="inlineStr">
        <is>
          <t xml:space="preserve">2025/26</t>
        </is>
      </c>
      <c r="D7325">
        <v>0.0</v>
      </c>
      <c r="E7325">
        <v>22.49</v>
      </c>
      <c r="F7325">
        <v>27.29</v>
      </c>
      <c r="G7325">
        <v>18.38</v>
      </c>
      <c r="H7325">
        <v>2.47</v>
      </c>
      <c r="I7325">
        <v>0.0</v>
      </c>
      <c r="J7325">
        <v>23.38</v>
      </c>
      <c r="K7325">
        <v>28.09</v>
      </c>
      <c r="L7325">
        <v>19.66</v>
      </c>
      <c r="M7325">
        <v>4.34</v>
      </c>
      <c r="N7325">
        <v>0.0</v>
      </c>
      <c r="O7325">
        <v>24.08</v>
      </c>
      <c r="P7325">
        <v>28.64</v>
      </c>
      <c r="Q7325">
        <v>20.78</v>
      </c>
      <c r="R7325">
        <v>3.47</v>
      </c>
    </row>
    <row r="7326">
      <c r="A7326" s="9">
        <v>45857</v>
      </c>
      <c r="B7326" s="2" t="inlineStr">
        <is>
          <t xml:space="preserve">2025-07</t>
        </is>
      </c>
      <c r="C7326" s="2" t="inlineStr">
        <is>
          <t xml:space="preserve">2025/26</t>
        </is>
      </c>
      <c r="D7326">
        <v>4.057</v>
      </c>
      <c r="E7326">
        <v>21.95</v>
      </c>
      <c r="F7326">
        <v>26.87</v>
      </c>
      <c r="G7326">
        <v>18.3</v>
      </c>
      <c r="H7326">
        <v>1.45</v>
      </c>
      <c r="I7326">
        <v>9.575</v>
      </c>
      <c r="J7326">
        <v>23.39</v>
      </c>
      <c r="K7326">
        <v>27.66</v>
      </c>
      <c r="L7326">
        <v>20.39</v>
      </c>
      <c r="M7326">
        <v>4.82</v>
      </c>
      <c r="N7326">
        <v>10.055</v>
      </c>
      <c r="O7326">
        <v>24.34</v>
      </c>
      <c r="P7326">
        <v>29.52</v>
      </c>
      <c r="Q7326">
        <v>21.28</v>
      </c>
      <c r="R7326">
        <v>2.95</v>
      </c>
    </row>
    <row r="7327">
      <c r="A7327" s="9">
        <v>45858</v>
      </c>
      <c r="B7327" s="2" t="inlineStr">
        <is>
          <t xml:space="preserve">2025-07</t>
        </is>
      </c>
      <c r="C7327" s="2" t="inlineStr">
        <is>
          <t xml:space="preserve">2025/26</t>
        </is>
      </c>
      <c r="D7327">
        <v>0.0</v>
      </c>
      <c r="E7327">
        <v>22.68</v>
      </c>
      <c r="F7327">
        <v>27.83</v>
      </c>
      <c r="G7327">
        <v>18.02</v>
      </c>
      <c r="H7327">
        <v>1.14</v>
      </c>
      <c r="I7327">
        <v>0.0</v>
      </c>
      <c r="J7327">
        <v>23.42</v>
      </c>
      <c r="K7327">
        <v>28.38</v>
      </c>
      <c r="L7327">
        <v>19.77</v>
      </c>
      <c r="M7327">
        <v>0.39</v>
      </c>
      <c r="N7327">
        <v>0.0</v>
      </c>
      <c r="O7327">
        <v>24.3</v>
      </c>
      <c r="P7327">
        <v>29.38</v>
      </c>
      <c r="Q7327">
        <v>20.37</v>
      </c>
      <c r="R7327">
        <v>0.96</v>
      </c>
    </row>
    <row r="7328">
      <c r="A7328" s="9">
        <v>45859</v>
      </c>
      <c r="B7328" s="2" t="inlineStr">
        <is>
          <t xml:space="preserve">2025-07</t>
        </is>
      </c>
      <c r="C7328" s="2" t="inlineStr">
        <is>
          <t xml:space="preserve">2025/26</t>
        </is>
      </c>
      <c r="D7328">
        <v>2.806</v>
      </c>
      <c r="E7328">
        <v>22.59</v>
      </c>
      <c r="F7328">
        <v>27.44</v>
      </c>
      <c r="G7328">
        <v>19.07</v>
      </c>
      <c r="H7328">
        <v>1.2</v>
      </c>
      <c r="I7328">
        <v>0.328</v>
      </c>
      <c r="J7328">
        <v>23.19</v>
      </c>
      <c r="K7328">
        <v>28.16</v>
      </c>
      <c r="L7328">
        <v>19.35</v>
      </c>
      <c r="M7328">
        <v>0.87</v>
      </c>
      <c r="N7328">
        <v>1.046</v>
      </c>
      <c r="O7328">
        <v>23.63</v>
      </c>
      <c r="P7328">
        <v>28.86</v>
      </c>
      <c r="Q7328">
        <v>20.27</v>
      </c>
      <c r="R7328">
        <v>2.05</v>
      </c>
    </row>
    <row r="7329">
      <c r="A7329" s="9">
        <v>45860</v>
      </c>
      <c r="B7329" s="2" t="inlineStr">
        <is>
          <t xml:space="preserve">2025-07</t>
        </is>
      </c>
      <c r="C7329" s="2" t="inlineStr">
        <is>
          <t xml:space="preserve">2025/26</t>
        </is>
      </c>
      <c r="D7329">
        <v>0.0</v>
      </c>
      <c r="E7329">
        <v>22.66</v>
      </c>
      <c r="F7329">
        <v>28.66</v>
      </c>
      <c r="G7329">
        <v>17.78</v>
      </c>
      <c r="H7329">
        <v>1.09</v>
      </c>
      <c r="I7329">
        <v>0.349</v>
      </c>
      <c r="J7329">
        <v>23.63</v>
      </c>
      <c r="K7329">
        <v>29.34</v>
      </c>
      <c r="L7329">
        <v>18.85</v>
      </c>
      <c r="M7329">
        <v>4.02</v>
      </c>
      <c r="N7329">
        <v>0.0</v>
      </c>
      <c r="O7329">
        <v>24.18</v>
      </c>
      <c r="P7329">
        <v>30.11</v>
      </c>
      <c r="Q7329">
        <v>20.01</v>
      </c>
      <c r="R7329">
        <v>1.3</v>
      </c>
    </row>
    <row r="7330">
      <c r="A7330" s="9">
        <v>45861</v>
      </c>
      <c r="B7330" s="2" t="inlineStr">
        <is>
          <t xml:space="preserve">2025-07</t>
        </is>
      </c>
      <c r="C7330" s="2" t="inlineStr">
        <is>
          <t xml:space="preserve">2025/26</t>
        </is>
      </c>
      <c r="D7330">
        <v>1.327</v>
      </c>
      <c r="E7330">
        <v>22.75</v>
      </c>
      <c r="F7330">
        <v>28.66</v>
      </c>
      <c r="G7330">
        <v>18.2</v>
      </c>
      <c r="H7330">
        <v>1.31</v>
      </c>
      <c r="I7330">
        <v>11.184</v>
      </c>
      <c r="J7330">
        <v>23.34</v>
      </c>
      <c r="K7330">
        <v>28.09</v>
      </c>
      <c r="L7330">
        <v>19.68</v>
      </c>
      <c r="M7330">
        <v>6.42</v>
      </c>
      <c r="N7330">
        <v>1.157</v>
      </c>
      <c r="O7330">
        <v>24.36</v>
      </c>
      <c r="P7330">
        <v>30.28</v>
      </c>
      <c r="Q7330">
        <v>21.01</v>
      </c>
      <c r="R7330">
        <v>1.87</v>
      </c>
    </row>
    <row r="7331">
      <c r="A7331" s="9">
        <v>45862</v>
      </c>
      <c r="B7331" s="2" t="inlineStr">
        <is>
          <t xml:space="preserve">2025-07</t>
        </is>
      </c>
      <c r="C7331" s="2" t="inlineStr">
        <is>
          <t xml:space="preserve">2025/26</t>
        </is>
      </c>
      <c r="D7331">
        <v>0.15</v>
      </c>
      <c r="E7331">
        <v>22.67</v>
      </c>
      <c r="F7331">
        <v>27.51</v>
      </c>
      <c r="G7331">
        <v>18.9</v>
      </c>
      <c r="H7331">
        <v>2.36</v>
      </c>
      <c r="I7331">
        <v>5.423</v>
      </c>
      <c r="J7331">
        <v>23.04</v>
      </c>
      <c r="K7331">
        <v>27.23</v>
      </c>
      <c r="L7331">
        <v>19.89</v>
      </c>
      <c r="M7331">
        <v>2.62</v>
      </c>
      <c r="N7331">
        <v>0.291</v>
      </c>
      <c r="O7331">
        <v>24.24</v>
      </c>
      <c r="P7331">
        <v>29.34</v>
      </c>
      <c r="Q7331">
        <v>21.26</v>
      </c>
      <c r="R7331">
        <v>1.0</v>
      </c>
    </row>
    <row r="7332">
      <c r="A7332" s="9">
        <v>45863</v>
      </c>
      <c r="B7332" s="2" t="inlineStr">
        <is>
          <t xml:space="preserve">2025-07</t>
        </is>
      </c>
      <c r="C7332" s="2" t="inlineStr">
        <is>
          <t xml:space="preserve">2025/26</t>
        </is>
      </c>
      <c r="D7332">
        <v>3.34</v>
      </c>
      <c r="E7332">
        <v>21.98</v>
      </c>
      <c r="F7332">
        <v>26.3</v>
      </c>
      <c r="G7332">
        <v>19.1</v>
      </c>
      <c r="H7332">
        <v>6.49</v>
      </c>
      <c r="I7332">
        <v>17.57</v>
      </c>
      <c r="J7332">
        <v>22.5</v>
      </c>
      <c r="K7332">
        <v>26.4</v>
      </c>
      <c r="L7332">
        <v>19.8</v>
      </c>
      <c r="M7332">
        <v>18.95</v>
      </c>
      <c r="N7332">
        <v>0.883</v>
      </c>
      <c r="O7332">
        <v>23.04</v>
      </c>
      <c r="P7332">
        <v>27.25</v>
      </c>
      <c r="Q7332">
        <v>20.79</v>
      </c>
      <c r="R7332">
        <v>5.24</v>
      </c>
    </row>
    <row r="7333">
      <c r="A7333" s="9">
        <v>45864</v>
      </c>
      <c r="B7333" s="2" t="inlineStr">
        <is>
          <t xml:space="preserve">2025-07</t>
        </is>
      </c>
      <c r="C7333" s="2" t="inlineStr">
        <is>
          <t xml:space="preserve">2025/26</t>
        </is>
      </c>
      <c r="D7333">
        <v>3.508</v>
      </c>
      <c r="E7333">
        <v>21.78</v>
      </c>
      <c r="F7333">
        <v>26.36</v>
      </c>
      <c r="G7333">
        <v>18.52</v>
      </c>
      <c r="H7333">
        <v>4.91</v>
      </c>
      <c r="I7333">
        <v>29.004</v>
      </c>
      <c r="J7333">
        <v>22.41</v>
      </c>
      <c r="K7333">
        <v>26.61</v>
      </c>
      <c r="L7333">
        <v>19.39</v>
      </c>
      <c r="M7333">
        <v>16.83</v>
      </c>
      <c r="N7333">
        <v>12.507</v>
      </c>
      <c r="O7333">
        <v>22.99</v>
      </c>
      <c r="P7333">
        <v>28.07</v>
      </c>
      <c r="Q7333">
        <v>20.23</v>
      </c>
      <c r="R7333">
        <v>7.06</v>
      </c>
    </row>
    <row r="7334">
      <c r="A7334" s="9">
        <v>45865</v>
      </c>
      <c r="B7334" s="2" t="inlineStr">
        <is>
          <t xml:space="preserve">2025-07</t>
        </is>
      </c>
      <c r="C7334" s="2" t="inlineStr">
        <is>
          <t xml:space="preserve">2025/26</t>
        </is>
      </c>
      <c r="D7334">
        <v>1.909</v>
      </c>
      <c r="E7334">
        <v>21.82</v>
      </c>
      <c r="F7334">
        <v>26.53</v>
      </c>
      <c r="G7334">
        <v>17.9</v>
      </c>
      <c r="H7334">
        <v>2.66</v>
      </c>
      <c r="I7334">
        <v>5.708</v>
      </c>
      <c r="J7334">
        <v>22.87</v>
      </c>
      <c r="K7334">
        <v>27.61</v>
      </c>
      <c r="L7334">
        <v>19.51</v>
      </c>
      <c r="M7334">
        <v>2.33</v>
      </c>
      <c r="N7334">
        <v>5.413</v>
      </c>
      <c r="O7334">
        <v>23.42</v>
      </c>
      <c r="P7334">
        <v>28.29</v>
      </c>
      <c r="Q7334">
        <v>20.19</v>
      </c>
      <c r="R7334">
        <v>3.78</v>
      </c>
    </row>
    <row r="7335">
      <c r="A7335" s="9">
        <v>45866</v>
      </c>
      <c r="B7335" s="2" t="inlineStr">
        <is>
          <t xml:space="preserve">2025-07</t>
        </is>
      </c>
      <c r="C7335" s="2" t="inlineStr">
        <is>
          <t xml:space="preserve">2025/26</t>
        </is>
      </c>
      <c r="D7335">
        <v>1.671</v>
      </c>
      <c r="E7335">
        <v>22.02</v>
      </c>
      <c r="F7335">
        <v>26.88</v>
      </c>
      <c r="G7335">
        <v>18.64</v>
      </c>
      <c r="H7335">
        <v>5.8</v>
      </c>
      <c r="I7335">
        <v>1.896</v>
      </c>
      <c r="J7335">
        <v>22.97</v>
      </c>
      <c r="K7335">
        <v>27.28</v>
      </c>
      <c r="L7335">
        <v>19.99</v>
      </c>
      <c r="M7335">
        <v>3.22</v>
      </c>
      <c r="N7335">
        <v>0.82</v>
      </c>
      <c r="O7335">
        <v>23.48</v>
      </c>
      <c r="P7335">
        <v>28.3</v>
      </c>
      <c r="Q7335">
        <v>20.42</v>
      </c>
      <c r="R7335">
        <v>5.86</v>
      </c>
    </row>
    <row r="7336">
      <c r="A7336" s="9">
        <v>45867</v>
      </c>
      <c r="B7336" s="2" t="inlineStr">
        <is>
          <t xml:space="preserve">2025-07</t>
        </is>
      </c>
      <c r="C7336" s="2" t="inlineStr">
        <is>
          <t xml:space="preserve">2025/26</t>
        </is>
      </c>
      <c r="D7336">
        <v>9.602</v>
      </c>
      <c r="E7336">
        <v>21.67</v>
      </c>
      <c r="F7336">
        <v>26.91</v>
      </c>
      <c r="G7336">
        <v>18.32</v>
      </c>
      <c r="H7336">
        <v>4.33</v>
      </c>
      <c r="I7336">
        <v>7.064</v>
      </c>
      <c r="J7336">
        <v>22.48</v>
      </c>
      <c r="K7336">
        <v>27.07</v>
      </c>
      <c r="L7336">
        <v>19.43</v>
      </c>
      <c r="M7336">
        <v>11.1</v>
      </c>
      <c r="N7336">
        <v>2.833</v>
      </c>
      <c r="O7336">
        <v>22.84</v>
      </c>
      <c r="P7336">
        <v>27.35</v>
      </c>
      <c r="Q7336">
        <v>20.19</v>
      </c>
      <c r="R7336">
        <v>5.05</v>
      </c>
    </row>
    <row r="7337">
      <c r="A7337" s="9">
        <v>45868</v>
      </c>
      <c r="B7337" s="2" t="inlineStr">
        <is>
          <t xml:space="preserve">2025-07</t>
        </is>
      </c>
      <c r="C7337" s="2" t="inlineStr">
        <is>
          <t xml:space="preserve">2025/26</t>
        </is>
      </c>
      <c r="D7337">
        <v>2.417</v>
      </c>
      <c r="E7337">
        <v>21.96</v>
      </c>
      <c r="F7337">
        <v>27.48</v>
      </c>
      <c r="G7337">
        <v>16.9</v>
      </c>
      <c r="H7337">
        <v>3.31</v>
      </c>
      <c r="I7337">
        <v>15.447</v>
      </c>
      <c r="J7337">
        <v>22.89</v>
      </c>
      <c r="K7337">
        <v>28.06</v>
      </c>
      <c r="L7337">
        <v>18.27</v>
      </c>
      <c r="M7337">
        <v>5.71</v>
      </c>
      <c r="N7337">
        <v>0.994</v>
      </c>
      <c r="O7337">
        <v>23.71</v>
      </c>
      <c r="P7337">
        <v>29.48</v>
      </c>
      <c r="Q7337">
        <v>19.42</v>
      </c>
      <c r="R7337">
        <v>3.6</v>
      </c>
    </row>
    <row r="7338">
      <c r="A7338" s="9">
        <v>45869</v>
      </c>
      <c r="B7338" s="2" t="inlineStr">
        <is>
          <t xml:space="preserve">2025-07</t>
        </is>
      </c>
      <c r="C7338" s="2" t="inlineStr">
        <is>
          <t xml:space="preserve">2025/26</t>
        </is>
      </c>
      <c r="D7338">
        <v>1.615</v>
      </c>
      <c r="E7338">
        <v>22.61</v>
      </c>
      <c r="F7338">
        <v>28.38</v>
      </c>
      <c r="G7338">
        <v>18.93</v>
      </c>
      <c r="H7338">
        <v>1.64</v>
      </c>
      <c r="I7338">
        <v>10.476</v>
      </c>
      <c r="J7338">
        <v>23.14</v>
      </c>
      <c r="K7338">
        <v>27.65</v>
      </c>
      <c r="L7338">
        <v>19.86</v>
      </c>
      <c r="M7338">
        <v>4.43</v>
      </c>
      <c r="N7338">
        <v>1.036</v>
      </c>
      <c r="O7338">
        <v>23.71</v>
      </c>
      <c r="P7338">
        <v>28.58</v>
      </c>
      <c r="Q7338">
        <v>20.84</v>
      </c>
      <c r="R7338">
        <v>3.05</v>
      </c>
    </row>
    <row r="7339">
      <c r="A7339" s="9">
        <v>45870</v>
      </c>
      <c r="B7339" s="2" t="inlineStr">
        <is>
          <t xml:space="preserve">2025-08</t>
        </is>
      </c>
      <c r="C7339" s="2" t="inlineStr">
        <is>
          <t xml:space="preserve">2025/26</t>
        </is>
      </c>
      <c r="D7339">
        <v>2.748</v>
      </c>
      <c r="E7339">
        <v>22.26</v>
      </c>
      <c r="F7339">
        <v>27.64</v>
      </c>
      <c r="G7339">
        <v>17.73</v>
      </c>
      <c r="H7339">
        <v>1.85</v>
      </c>
      <c r="I7339">
        <v>0.0</v>
      </c>
      <c r="J7339">
        <v>23.05</v>
      </c>
      <c r="K7339">
        <v>27.72</v>
      </c>
      <c r="L7339">
        <v>19.36</v>
      </c>
      <c r="M7339">
        <v>0.02</v>
      </c>
      <c r="N7339">
        <v>0.027</v>
      </c>
      <c r="O7339">
        <v>23.63</v>
      </c>
      <c r="P7339">
        <v>27.62</v>
      </c>
      <c r="Q7339">
        <v>20.52</v>
      </c>
      <c r="R7339">
        <v>0.34</v>
      </c>
    </row>
    <row r="7340">
      <c r="A7340" s="9">
        <v>45871</v>
      </c>
      <c r="B7340" s="2" t="inlineStr">
        <is>
          <t xml:space="preserve">2025-08</t>
        </is>
      </c>
      <c r="C7340" s="2" t="inlineStr">
        <is>
          <t xml:space="preserve">2025/26</t>
        </is>
      </c>
      <c r="D7340">
        <v>0.382</v>
      </c>
      <c r="E7340">
        <v>22.89</v>
      </c>
      <c r="F7340">
        <v>28.91</v>
      </c>
      <c r="G7340">
        <v>18.42</v>
      </c>
      <c r="H7340">
        <v>2.32</v>
      </c>
      <c r="I7340">
        <v>0.0</v>
      </c>
      <c r="J7340">
        <v>23.1</v>
      </c>
      <c r="K7340">
        <v>27.68</v>
      </c>
      <c r="L7340">
        <v>19.67</v>
      </c>
      <c r="M7340">
        <v>0.91</v>
      </c>
      <c r="N7340">
        <v>0.0</v>
      </c>
      <c r="O7340">
        <v>24.16</v>
      </c>
      <c r="P7340">
        <v>29.24</v>
      </c>
      <c r="Q7340">
        <v>20.51</v>
      </c>
      <c r="R7340">
        <v>2.51</v>
      </c>
    </row>
    <row r="7341">
      <c r="A7341" s="9">
        <v>45872</v>
      </c>
      <c r="B7341" s="2" t="inlineStr">
        <is>
          <t xml:space="preserve">2025-08</t>
        </is>
      </c>
      <c r="C7341" s="2" t="inlineStr">
        <is>
          <t xml:space="preserve">2025/26</t>
        </is>
      </c>
      <c r="D7341">
        <v>0.919</v>
      </c>
      <c r="E7341">
        <v>22.78</v>
      </c>
      <c r="F7341">
        <v>28.27</v>
      </c>
      <c r="G7341">
        <v>19.15</v>
      </c>
      <c r="H7341">
        <v>2.42</v>
      </c>
      <c r="I7341">
        <v>0.468</v>
      </c>
      <c r="J7341">
        <v>22.57</v>
      </c>
      <c r="K7341">
        <v>26.71</v>
      </c>
      <c r="L7341">
        <v>19.12</v>
      </c>
      <c r="M7341">
        <v>2.15</v>
      </c>
      <c r="N7341">
        <v>4.694</v>
      </c>
      <c r="O7341">
        <v>22.85</v>
      </c>
      <c r="P7341">
        <v>27.05</v>
      </c>
      <c r="Q7341">
        <v>20.22</v>
      </c>
      <c r="R7341">
        <v>6.25</v>
      </c>
    </row>
    <row r="7342">
      <c r="A7342" s="9">
        <v>45873</v>
      </c>
      <c r="B7342" s="2" t="inlineStr">
        <is>
          <t xml:space="preserve">2025-08</t>
        </is>
      </c>
      <c r="C7342" s="2" t="inlineStr">
        <is>
          <t xml:space="preserve">2025/26</t>
        </is>
      </c>
      <c r="D7342">
        <v>0.368</v>
      </c>
      <c r="E7342">
        <v>22.74</v>
      </c>
      <c r="F7342">
        <v>27.95</v>
      </c>
      <c r="G7342">
        <v>19.01</v>
      </c>
      <c r="H7342">
        <v>7.64</v>
      </c>
      <c r="I7342">
        <v>1.946</v>
      </c>
      <c r="J7342">
        <v>23.14</v>
      </c>
      <c r="K7342">
        <v>28.12</v>
      </c>
      <c r="L7342">
        <v>19.0</v>
      </c>
      <c r="M7342">
        <v>2.66</v>
      </c>
      <c r="N7342">
        <v>0.238</v>
      </c>
      <c r="O7342">
        <v>23.74</v>
      </c>
      <c r="P7342">
        <v>29.07</v>
      </c>
      <c r="Q7342">
        <v>20.03</v>
      </c>
      <c r="R7342">
        <v>5.63</v>
      </c>
    </row>
    <row r="7343">
      <c r="A7343" s="9">
        <v>45874</v>
      </c>
      <c r="B7343" s="2" t="inlineStr">
        <is>
          <t xml:space="preserve">2025-08</t>
        </is>
      </c>
      <c r="C7343" s="2" t="inlineStr">
        <is>
          <t xml:space="preserve">2025/26</t>
        </is>
      </c>
      <c r="D7343">
        <v>16.847</v>
      </c>
      <c r="E7343">
        <v>21.35</v>
      </c>
      <c r="F7343">
        <v>25.34</v>
      </c>
      <c r="G7343">
        <v>18.52</v>
      </c>
      <c r="H7343">
        <v>5.11</v>
      </c>
      <c r="I7343">
        <v>0.477</v>
      </c>
      <c r="J7343">
        <v>22.94</v>
      </c>
      <c r="K7343">
        <v>27.18</v>
      </c>
      <c r="L7343">
        <v>19.45</v>
      </c>
      <c r="M7343">
        <v>0.45</v>
      </c>
      <c r="N7343">
        <v>1.569</v>
      </c>
      <c r="O7343">
        <v>23.42</v>
      </c>
      <c r="P7343">
        <v>27.48</v>
      </c>
      <c r="Q7343">
        <v>20.65</v>
      </c>
      <c r="R7343">
        <v>1.56</v>
      </c>
    </row>
    <row r="7344">
      <c r="A7344" s="9">
        <v>45875</v>
      </c>
      <c r="B7344" s="2" t="inlineStr">
        <is>
          <t xml:space="preserve">2025-08</t>
        </is>
      </c>
      <c r="C7344" s="2" t="inlineStr">
        <is>
          <t xml:space="preserve">2025/26</t>
        </is>
      </c>
      <c r="D7344">
        <v>0.226</v>
      </c>
      <c r="E7344">
        <v>21.56</v>
      </c>
      <c r="F7344">
        <v>26.86</v>
      </c>
      <c r="G7344">
        <v>17.38</v>
      </c>
      <c r="H7344">
        <v>0.73</v>
      </c>
      <c r="I7344">
        <v>0.596</v>
      </c>
      <c r="J7344">
        <v>23.36</v>
      </c>
      <c r="K7344">
        <v>28.76</v>
      </c>
      <c r="L7344">
        <v>18.39</v>
      </c>
      <c r="M7344">
        <v>3.43</v>
      </c>
      <c r="N7344">
        <v>0.123</v>
      </c>
      <c r="O7344">
        <v>23.63</v>
      </c>
      <c r="P7344">
        <v>28.49</v>
      </c>
      <c r="Q7344">
        <v>20.11</v>
      </c>
      <c r="R7344">
        <v>1.44</v>
      </c>
    </row>
    <row r="7345">
      <c r="A7345" s="9">
        <v>45876</v>
      </c>
      <c r="B7345" s="2" t="inlineStr">
        <is>
          <t xml:space="preserve">2025-08</t>
        </is>
      </c>
      <c r="C7345" s="2" t="inlineStr">
        <is>
          <t xml:space="preserve">2025/26</t>
        </is>
      </c>
      <c r="D7345">
        <v>0.0</v>
      </c>
      <c r="E7345">
        <v>22.89</v>
      </c>
      <c r="F7345">
        <v>29.21</v>
      </c>
      <c r="G7345">
        <v>17.62</v>
      </c>
      <c r="H7345">
        <v>0.38</v>
      </c>
      <c r="I7345">
        <v>6.295</v>
      </c>
      <c r="J7345">
        <v>23.38</v>
      </c>
      <c r="K7345">
        <v>28.6</v>
      </c>
      <c r="L7345">
        <v>19.64</v>
      </c>
      <c r="M7345">
        <v>4.56</v>
      </c>
      <c r="N7345">
        <v>0.361</v>
      </c>
      <c r="O7345">
        <v>23.98</v>
      </c>
      <c r="P7345">
        <v>29.41</v>
      </c>
      <c r="Q7345">
        <v>20.62</v>
      </c>
      <c r="R7345">
        <v>0.98</v>
      </c>
    </row>
    <row r="7346">
      <c r="A7346" s="9">
        <v>45877</v>
      </c>
      <c r="B7346" s="2" t="inlineStr">
        <is>
          <t xml:space="preserve">2025-08</t>
        </is>
      </c>
      <c r="C7346" s="2" t="inlineStr">
        <is>
          <t xml:space="preserve">2025/26</t>
        </is>
      </c>
      <c r="D7346">
        <v>0.0</v>
      </c>
      <c r="E7346">
        <v>22.96</v>
      </c>
      <c r="F7346">
        <v>28.74</v>
      </c>
      <c r="G7346">
        <v>18.64</v>
      </c>
      <c r="H7346">
        <v>0.35</v>
      </c>
      <c r="I7346">
        <v>7.536</v>
      </c>
      <c r="J7346">
        <v>23.51</v>
      </c>
      <c r="K7346">
        <v>29.59</v>
      </c>
      <c r="L7346">
        <v>17.59</v>
      </c>
      <c r="M7346">
        <v>1.77</v>
      </c>
      <c r="N7346">
        <v>0.511</v>
      </c>
      <c r="O7346">
        <v>24.09</v>
      </c>
      <c r="P7346">
        <v>30.65</v>
      </c>
      <c r="Q7346">
        <v>19.2</v>
      </c>
      <c r="R7346">
        <v>0.29</v>
      </c>
    </row>
    <row r="7347">
      <c r="A7347" s="9">
        <v>45878</v>
      </c>
      <c r="B7347" s="2" t="inlineStr">
        <is>
          <t xml:space="preserve">2025-08</t>
        </is>
      </c>
      <c r="C7347" s="2" t="inlineStr">
        <is>
          <t xml:space="preserve">2025/26</t>
        </is>
      </c>
      <c r="D7347">
        <v>0.483</v>
      </c>
      <c r="E7347">
        <v>23.6</v>
      </c>
      <c r="F7347">
        <v>29.44</v>
      </c>
      <c r="G7347">
        <v>19.16</v>
      </c>
      <c r="H7347">
        <v>0.63</v>
      </c>
      <c r="I7347">
        <v>0.0</v>
      </c>
      <c r="J7347">
        <v>24.23</v>
      </c>
      <c r="K7347">
        <v>29.37</v>
      </c>
      <c r="L7347">
        <v>19.44</v>
      </c>
      <c r="M7347">
        <v>5.29</v>
      </c>
      <c r="N7347">
        <v>0.0</v>
      </c>
      <c r="O7347">
        <v>24.65</v>
      </c>
      <c r="P7347">
        <v>31.03</v>
      </c>
      <c r="Q7347">
        <v>20.13</v>
      </c>
      <c r="R7347">
        <v>1.03</v>
      </c>
    </row>
    <row r="7348">
      <c r="A7348" s="9">
        <v>45879</v>
      </c>
      <c r="B7348" s="2" t="inlineStr">
        <is>
          <t xml:space="preserve">2025-08</t>
        </is>
      </c>
      <c r="C7348" s="2" t="inlineStr">
        <is>
          <t xml:space="preserve">2025/26</t>
        </is>
      </c>
      <c r="D7348">
        <v>0.683</v>
      </c>
      <c r="E7348">
        <v>23.15</v>
      </c>
      <c r="F7348">
        <v>28.89</v>
      </c>
      <c r="G7348">
        <v>18.73</v>
      </c>
      <c r="H7348">
        <v>2.56</v>
      </c>
      <c r="I7348">
        <v>17.997</v>
      </c>
      <c r="J7348">
        <v>23.67</v>
      </c>
      <c r="K7348">
        <v>28.1</v>
      </c>
      <c r="L7348">
        <v>19.77</v>
      </c>
      <c r="M7348">
        <v>10.73</v>
      </c>
      <c r="N7348">
        <v>7.522</v>
      </c>
      <c r="O7348">
        <v>24.59</v>
      </c>
      <c r="P7348">
        <v>30.3</v>
      </c>
      <c r="Q7348">
        <v>20.94</v>
      </c>
      <c r="R7348">
        <v>4.08</v>
      </c>
    </row>
    <row r="7349">
      <c r="A7349" s="9">
        <v>45880</v>
      </c>
      <c r="B7349" s="2" t="inlineStr">
        <is>
          <t xml:space="preserve">2025-08</t>
        </is>
      </c>
      <c r="C7349" s="2" t="inlineStr">
        <is>
          <t xml:space="preserve">2025/26</t>
        </is>
      </c>
      <c r="D7349">
        <v>3.283</v>
      </c>
      <c r="E7349">
        <v>22.94</v>
      </c>
      <c r="F7349">
        <v>29.45</v>
      </c>
      <c r="G7349">
        <v>17.98</v>
      </c>
      <c r="H7349">
        <v>1.4</v>
      </c>
      <c r="I7349">
        <v>5.424</v>
      </c>
      <c r="J7349">
        <v>24.25</v>
      </c>
      <c r="K7349">
        <v>29.27</v>
      </c>
      <c r="L7349">
        <v>20.36</v>
      </c>
      <c r="M7349">
        <v>1.53</v>
      </c>
      <c r="N7349">
        <v>0.925</v>
      </c>
      <c r="O7349">
        <v>25.07</v>
      </c>
      <c r="P7349">
        <v>31.95</v>
      </c>
      <c r="Q7349">
        <v>21.04</v>
      </c>
      <c r="R7349">
        <v>2.24</v>
      </c>
    </row>
    <row r="7350">
      <c r="A7350" s="9">
        <v>45881</v>
      </c>
      <c r="B7350" s="2" t="inlineStr">
        <is>
          <t xml:space="preserve">2025-08</t>
        </is>
      </c>
      <c r="C7350" s="2" t="inlineStr">
        <is>
          <t xml:space="preserve">2025/26</t>
        </is>
      </c>
      <c r="D7350">
        <v>4.878</v>
      </c>
      <c r="E7350">
        <v>21.7</v>
      </c>
      <c r="F7350">
        <v>27.93</v>
      </c>
      <c r="G7350">
        <v>17.51</v>
      </c>
      <c r="H7350">
        <v>4.92</v>
      </c>
      <c r="I7350">
        <v>0.0</v>
      </c>
      <c r="J7350">
        <v>23.55</v>
      </c>
      <c r="K7350">
        <v>28.92</v>
      </c>
      <c r="L7350">
        <v>19.77</v>
      </c>
      <c r="M7350">
        <v>0.55</v>
      </c>
      <c r="N7350">
        <v>0.077</v>
      </c>
      <c r="O7350">
        <v>24.07</v>
      </c>
      <c r="P7350">
        <v>30.81</v>
      </c>
      <c r="Q7350">
        <v>20.14</v>
      </c>
      <c r="R7350">
        <v>1.83</v>
      </c>
    </row>
    <row r="7351">
      <c r="A7351" s="9">
        <v>45882</v>
      </c>
      <c r="B7351" s="2" t="inlineStr">
        <is>
          <t xml:space="preserve">2025-08</t>
        </is>
      </c>
      <c r="C7351" s="2" t="inlineStr">
        <is>
          <t xml:space="preserve">2025/26</t>
        </is>
      </c>
      <c r="D7351">
        <v>14.153</v>
      </c>
      <c r="E7351">
        <v>22.51</v>
      </c>
      <c r="F7351">
        <v>28.29</v>
      </c>
      <c r="G7351">
        <v>18.02</v>
      </c>
      <c r="H7351">
        <v>6.16</v>
      </c>
      <c r="I7351">
        <v>0.478</v>
      </c>
      <c r="J7351">
        <v>23.6</v>
      </c>
      <c r="K7351">
        <v>28.62</v>
      </c>
      <c r="L7351">
        <v>18.07</v>
      </c>
      <c r="M7351">
        <v>3.19</v>
      </c>
      <c r="N7351">
        <v>1.527</v>
      </c>
      <c r="O7351">
        <v>24.39</v>
      </c>
      <c r="P7351">
        <v>30.56</v>
      </c>
      <c r="Q7351">
        <v>19.42</v>
      </c>
      <c r="R7351">
        <v>3.34</v>
      </c>
    </row>
    <row r="7352">
      <c r="A7352" s="9">
        <v>45883</v>
      </c>
      <c r="B7352" s="2" t="inlineStr">
        <is>
          <t xml:space="preserve">2025-08</t>
        </is>
      </c>
      <c r="C7352" s="2" t="inlineStr">
        <is>
          <t xml:space="preserve">2025/26</t>
        </is>
      </c>
      <c r="D7352">
        <v>6.926</v>
      </c>
      <c r="E7352">
        <v>22.87</v>
      </c>
      <c r="F7352">
        <v>29.1</v>
      </c>
      <c r="G7352">
        <v>18.12</v>
      </c>
      <c r="H7352">
        <v>1.16</v>
      </c>
      <c r="I7352">
        <v>3.584</v>
      </c>
      <c r="J7352">
        <v>24.5</v>
      </c>
      <c r="K7352">
        <v>29.8</v>
      </c>
      <c r="L7352">
        <v>19.27</v>
      </c>
      <c r="M7352">
        <v>0.79</v>
      </c>
      <c r="N7352">
        <v>0.574</v>
      </c>
      <c r="O7352">
        <v>24.73</v>
      </c>
      <c r="P7352">
        <v>31.09</v>
      </c>
      <c r="Q7352">
        <v>19.78</v>
      </c>
      <c r="R7352">
        <v>0.67</v>
      </c>
    </row>
    <row r="7353">
      <c r="A7353" s="9">
        <v>45884</v>
      </c>
      <c r="B7353" s="2" t="inlineStr">
        <is>
          <t xml:space="preserve">2025-08</t>
        </is>
      </c>
      <c r="C7353" s="2" t="inlineStr">
        <is>
          <t xml:space="preserve">2025/26</t>
        </is>
      </c>
      <c r="D7353">
        <v>0.0</v>
      </c>
      <c r="E7353">
        <v>22.68</v>
      </c>
      <c r="F7353">
        <v>28.16</v>
      </c>
      <c r="G7353">
        <v>17.78</v>
      </c>
      <c r="H7353">
        <v>1.89</v>
      </c>
      <c r="I7353">
        <v>1.179</v>
      </c>
      <c r="J7353">
        <v>23.96</v>
      </c>
      <c r="K7353">
        <v>29.03</v>
      </c>
      <c r="L7353">
        <v>19.04</v>
      </c>
      <c r="M7353">
        <v>8.71</v>
      </c>
      <c r="N7353">
        <v>0.1</v>
      </c>
      <c r="O7353">
        <v>24.79</v>
      </c>
      <c r="P7353">
        <v>31.33</v>
      </c>
      <c r="Q7353">
        <v>20.44</v>
      </c>
      <c r="R7353">
        <v>3.78</v>
      </c>
    </row>
    <row r="7354">
      <c r="A7354" s="9">
        <v>45885</v>
      </c>
      <c r="B7354" s="2" t="inlineStr">
        <is>
          <t xml:space="preserve">2025-08</t>
        </is>
      </c>
      <c r="C7354" s="2" t="inlineStr">
        <is>
          <t xml:space="preserve">2025/26</t>
        </is>
      </c>
      <c r="D7354">
        <v>6.053</v>
      </c>
      <c r="E7354">
        <v>23.21</v>
      </c>
      <c r="F7354">
        <v>29.3</v>
      </c>
      <c r="G7354">
        <v>18.64</v>
      </c>
      <c r="H7354">
        <v>2.19</v>
      </c>
      <c r="I7354">
        <v>25.274</v>
      </c>
      <c r="J7354">
        <v>23.66</v>
      </c>
      <c r="K7354">
        <v>28.57</v>
      </c>
      <c r="L7354">
        <v>19.18</v>
      </c>
      <c r="M7354">
        <v>11.41</v>
      </c>
      <c r="N7354">
        <v>11.871</v>
      </c>
      <c r="O7354">
        <v>24.59</v>
      </c>
      <c r="P7354">
        <v>31.03</v>
      </c>
      <c r="Q7354">
        <v>20.43</v>
      </c>
      <c r="R7354">
        <v>3.33</v>
      </c>
    </row>
    <row r="7355">
      <c r="A7355" s="9">
        <v>45886</v>
      </c>
      <c r="B7355" s="2" t="inlineStr">
        <is>
          <t xml:space="preserve">2025-08</t>
        </is>
      </c>
      <c r="C7355" s="2" t="inlineStr">
        <is>
          <t xml:space="preserve">2025/26</t>
        </is>
      </c>
      <c r="D7355">
        <v>0.045</v>
      </c>
      <c r="E7355">
        <v>23.48</v>
      </c>
      <c r="F7355">
        <v>29.67</v>
      </c>
      <c r="G7355">
        <v>18.85</v>
      </c>
      <c r="H7355">
        <v>1.61</v>
      </c>
      <c r="I7355">
        <v>0.0</v>
      </c>
      <c r="J7355">
        <v>23.91</v>
      </c>
      <c r="K7355">
        <v>28.93</v>
      </c>
      <c r="L7355">
        <v>19.16</v>
      </c>
      <c r="M7355">
        <v>0.39</v>
      </c>
      <c r="N7355">
        <v>0.088</v>
      </c>
      <c r="O7355">
        <v>24.42</v>
      </c>
      <c r="P7355">
        <v>30.48</v>
      </c>
      <c r="Q7355">
        <v>19.91</v>
      </c>
      <c r="R7355">
        <v>0.37</v>
      </c>
    </row>
    <row r="7356">
      <c r="A7356" s="9">
        <v>45887</v>
      </c>
      <c r="B7356" s="2" t="inlineStr">
        <is>
          <t xml:space="preserve">2025-08</t>
        </is>
      </c>
      <c r="C7356" s="2" t="inlineStr">
        <is>
          <t xml:space="preserve">2025/26</t>
        </is>
      </c>
      <c r="D7356">
        <v>3.353</v>
      </c>
      <c r="E7356">
        <v>23.42</v>
      </c>
      <c r="F7356">
        <v>29.73</v>
      </c>
      <c r="G7356">
        <v>18.65</v>
      </c>
      <c r="H7356">
        <v>3.08</v>
      </c>
      <c r="I7356">
        <v>0.0</v>
      </c>
      <c r="J7356">
        <v>23.98</v>
      </c>
      <c r="K7356">
        <v>29.68</v>
      </c>
      <c r="L7356">
        <v>19.43</v>
      </c>
      <c r="M7356">
        <v>1.79</v>
      </c>
      <c r="N7356">
        <v>0.041</v>
      </c>
      <c r="O7356">
        <v>24.63</v>
      </c>
      <c r="P7356">
        <v>31.28</v>
      </c>
      <c r="Q7356">
        <v>20.0</v>
      </c>
      <c r="R7356">
        <v>0.86</v>
      </c>
    </row>
    <row r="7357">
      <c r="A7357" s="9">
        <v>45888</v>
      </c>
      <c r="B7357" s="2" t="inlineStr">
        <is>
          <t xml:space="preserve">2025-08</t>
        </is>
      </c>
      <c r="C7357" s="2" t="inlineStr">
        <is>
          <t xml:space="preserve">2025/26</t>
        </is>
      </c>
      <c r="D7357">
        <v>0.711</v>
      </c>
      <c r="E7357">
        <v>23.84</v>
      </c>
      <c r="F7357">
        <v>30.41</v>
      </c>
      <c r="G7357">
        <v>18.84</v>
      </c>
      <c r="H7357">
        <v>5.4</v>
      </c>
      <c r="I7357">
        <v>1.15</v>
      </c>
      <c r="J7357">
        <v>23.74</v>
      </c>
      <c r="K7357">
        <v>29.19</v>
      </c>
      <c r="L7357">
        <v>18.7</v>
      </c>
      <c r="M7357">
        <v>0.76</v>
      </c>
      <c r="N7357">
        <v>0.068</v>
      </c>
      <c r="O7357">
        <v>24.84</v>
      </c>
      <c r="P7357">
        <v>31.65</v>
      </c>
      <c r="Q7357">
        <v>19.58</v>
      </c>
      <c r="R7357">
        <v>0.96</v>
      </c>
    </row>
    <row r="7358">
      <c r="A7358" s="9">
        <v>45889</v>
      </c>
      <c r="B7358" s="2" t="inlineStr">
        <is>
          <t xml:space="preserve">2025-08</t>
        </is>
      </c>
      <c r="C7358" s="2" t="inlineStr">
        <is>
          <t xml:space="preserve">2025/26</t>
        </is>
      </c>
      <c r="D7358">
        <v>5.858</v>
      </c>
      <c r="E7358">
        <v>23.23</v>
      </c>
      <c r="F7358">
        <v>27.82</v>
      </c>
      <c r="G7358">
        <v>20.33</v>
      </c>
      <c r="H7358">
        <v>15.11</v>
      </c>
      <c r="I7358">
        <v>0.408</v>
      </c>
      <c r="J7358">
        <v>24.46</v>
      </c>
      <c r="K7358">
        <v>29.63</v>
      </c>
      <c r="L7358">
        <v>20.55</v>
      </c>
      <c r="M7358">
        <v>5.1</v>
      </c>
      <c r="N7358">
        <v>0.525</v>
      </c>
      <c r="O7358">
        <v>23.95</v>
      </c>
      <c r="P7358">
        <v>29.1</v>
      </c>
      <c r="Q7358">
        <v>19.81</v>
      </c>
      <c r="R7358">
        <v>3.78</v>
      </c>
    </row>
    <row r="7359">
      <c r="A7359" s="9">
        <v>45890</v>
      </c>
      <c r="B7359" s="2" t="inlineStr">
        <is>
          <t xml:space="preserve">2025-08</t>
        </is>
      </c>
      <c r="C7359" s="2" t="inlineStr">
        <is>
          <t xml:space="preserve">2025/26</t>
        </is>
      </c>
      <c r="D7359">
        <v>34.071</v>
      </c>
      <c r="E7359">
        <v>23.27</v>
      </c>
      <c r="F7359">
        <v>28.19</v>
      </c>
      <c r="G7359">
        <v>19.68</v>
      </c>
      <c r="H7359">
        <v>16.44</v>
      </c>
      <c r="I7359">
        <v>36.319</v>
      </c>
      <c r="J7359">
        <v>23.15</v>
      </c>
      <c r="K7359">
        <v>26.59</v>
      </c>
      <c r="L7359">
        <v>21.13</v>
      </c>
      <c r="M7359">
        <v>21.7</v>
      </c>
      <c r="N7359">
        <v>2.392</v>
      </c>
      <c r="O7359">
        <v>24.17</v>
      </c>
      <c r="P7359">
        <v>28.33</v>
      </c>
      <c r="Q7359">
        <v>21.7</v>
      </c>
      <c r="R7359">
        <v>9.14</v>
      </c>
    </row>
    <row r="7360">
      <c r="A7360" s="9">
        <v>45891</v>
      </c>
      <c r="B7360" s="2" t="inlineStr">
        <is>
          <t xml:space="preserve">2025-08</t>
        </is>
      </c>
      <c r="C7360" s="2" t="inlineStr">
        <is>
          <t xml:space="preserve">2025/26</t>
        </is>
      </c>
      <c r="D7360">
        <v>6.818</v>
      </c>
      <c r="E7360">
        <v>22.19</v>
      </c>
      <c r="F7360">
        <v>26.51</v>
      </c>
      <c r="G7360">
        <v>17.6</v>
      </c>
      <c r="H7360">
        <v>3.23</v>
      </c>
      <c r="I7360">
        <v>0.0</v>
      </c>
      <c r="J7360">
        <v>24.57</v>
      </c>
      <c r="K7360">
        <v>30.14</v>
      </c>
      <c r="L7360">
        <v>19.72</v>
      </c>
      <c r="M7360">
        <v>1.62</v>
      </c>
      <c r="N7360">
        <v>0.178</v>
      </c>
      <c r="O7360">
        <v>25.57</v>
      </c>
      <c r="P7360">
        <v>32.35</v>
      </c>
      <c r="Q7360">
        <v>20.66</v>
      </c>
      <c r="R7360">
        <v>1.57</v>
      </c>
    </row>
    <row r="7361">
      <c r="A7361" s="9">
        <v>45892</v>
      </c>
      <c r="B7361" s="2" t="inlineStr">
        <is>
          <t xml:space="preserve">2025-08</t>
        </is>
      </c>
      <c r="C7361" s="2" t="inlineStr">
        <is>
          <t xml:space="preserve">2025/26</t>
        </is>
      </c>
      <c r="D7361">
        <v>8.966</v>
      </c>
      <c r="E7361">
        <v>22.98</v>
      </c>
      <c r="F7361">
        <v>29.24</v>
      </c>
      <c r="G7361">
        <v>17.98</v>
      </c>
      <c r="H7361">
        <v>3.39</v>
      </c>
      <c r="I7361">
        <v>2.578</v>
      </c>
      <c r="J7361">
        <v>24.47</v>
      </c>
      <c r="K7361">
        <v>29.09</v>
      </c>
      <c r="L7361">
        <v>20.43</v>
      </c>
      <c r="M7361">
        <v>1.54</v>
      </c>
      <c r="N7361">
        <v>2.255</v>
      </c>
      <c r="O7361">
        <v>25.32</v>
      </c>
      <c r="P7361">
        <v>31.97</v>
      </c>
      <c r="Q7361">
        <v>21.12</v>
      </c>
      <c r="R7361">
        <v>0.98</v>
      </c>
    </row>
    <row r="7362">
      <c r="A7362" s="9">
        <v>45893</v>
      </c>
      <c r="B7362" s="2" t="inlineStr">
        <is>
          <t xml:space="preserve">2025-08</t>
        </is>
      </c>
      <c r="C7362" s="2" t="inlineStr">
        <is>
          <t xml:space="preserve">2025/26</t>
        </is>
      </c>
      <c r="D7362">
        <v>3.588</v>
      </c>
      <c r="E7362">
        <v>22.47</v>
      </c>
      <c r="F7362">
        <v>27.44</v>
      </c>
      <c r="G7362">
        <v>18.5</v>
      </c>
      <c r="H7362">
        <v>10.05</v>
      </c>
      <c r="I7362">
        <v>2.105</v>
      </c>
      <c r="J7362">
        <v>24.31</v>
      </c>
      <c r="K7362">
        <v>29.11</v>
      </c>
      <c r="L7362">
        <v>20.06</v>
      </c>
      <c r="M7362">
        <v>4.18</v>
      </c>
      <c r="N7362">
        <v>1.49</v>
      </c>
      <c r="O7362">
        <v>25.12</v>
      </c>
      <c r="P7362">
        <v>31.47</v>
      </c>
      <c r="Q7362">
        <v>21.39</v>
      </c>
      <c r="R7362">
        <v>3.92</v>
      </c>
    </row>
    <row r="7363">
      <c r="A7363" s="9">
        <v>45894</v>
      </c>
      <c r="B7363" s="2" t="inlineStr">
        <is>
          <t xml:space="preserve">2025-08</t>
        </is>
      </c>
      <c r="C7363" s="2" t="inlineStr">
        <is>
          <t xml:space="preserve">2025/26</t>
        </is>
      </c>
      <c r="D7363">
        <v>19.37</v>
      </c>
      <c r="E7363">
        <v>22.34</v>
      </c>
      <c r="F7363">
        <v>27.45</v>
      </c>
      <c r="G7363">
        <v>17.94</v>
      </c>
      <c r="H7363">
        <v>3.3</v>
      </c>
      <c r="I7363">
        <v>4.504</v>
      </c>
      <c r="J7363">
        <v>23.79</v>
      </c>
      <c r="K7363">
        <v>29.03</v>
      </c>
      <c r="L7363">
        <v>20.19</v>
      </c>
      <c r="M7363">
        <v>1.63</v>
      </c>
      <c r="N7363">
        <v>1.215</v>
      </c>
      <c r="O7363">
        <v>24.82</v>
      </c>
      <c r="P7363">
        <v>31.17</v>
      </c>
      <c r="Q7363">
        <v>21.16</v>
      </c>
      <c r="R7363">
        <v>1.82</v>
      </c>
    </row>
    <row r="7364">
      <c r="A7364" s="9">
        <v>45895</v>
      </c>
      <c r="B7364" s="2" t="inlineStr">
        <is>
          <t xml:space="preserve">2025-08</t>
        </is>
      </c>
      <c r="C7364" s="2" t="inlineStr">
        <is>
          <t xml:space="preserve">2025/26</t>
        </is>
      </c>
      <c r="D7364">
        <v>2.185</v>
      </c>
      <c r="E7364">
        <v>22.78</v>
      </c>
      <c r="F7364">
        <v>28.88</v>
      </c>
      <c r="G7364">
        <v>18.27</v>
      </c>
      <c r="H7364">
        <v>1.96</v>
      </c>
      <c r="I7364">
        <v>0.0</v>
      </c>
      <c r="J7364">
        <v>24.33</v>
      </c>
      <c r="K7364">
        <v>30.46</v>
      </c>
      <c r="L7364">
        <v>20.01</v>
      </c>
      <c r="M7364">
        <v>1.66</v>
      </c>
      <c r="N7364">
        <v>0.1</v>
      </c>
      <c r="O7364">
        <v>24.96</v>
      </c>
      <c r="P7364">
        <v>31.46</v>
      </c>
      <c r="Q7364">
        <v>21.07</v>
      </c>
      <c r="R7364">
        <v>2.84</v>
      </c>
    </row>
    <row r="7365">
      <c r="A7365" s="9">
        <v>45896</v>
      </c>
      <c r="B7365" s="2" t="inlineStr">
        <is>
          <t xml:space="preserve">2025-08</t>
        </is>
      </c>
      <c r="C7365" s="2" t="inlineStr">
        <is>
          <t xml:space="preserve">2025/26</t>
        </is>
      </c>
      <c r="D7365">
        <v>3.839</v>
      </c>
      <c r="E7365">
        <v>22.04</v>
      </c>
      <c r="F7365">
        <v>26.7</v>
      </c>
      <c r="G7365">
        <v>18.69</v>
      </c>
      <c r="H7365">
        <v>6.11</v>
      </c>
      <c r="I7365">
        <v>4.844</v>
      </c>
      <c r="J7365">
        <v>22.94</v>
      </c>
      <c r="K7365">
        <v>27.2</v>
      </c>
      <c r="L7365">
        <v>20.04</v>
      </c>
      <c r="M7365">
        <v>5.27</v>
      </c>
      <c r="N7365">
        <v>2.488</v>
      </c>
      <c r="O7365">
        <v>23.2</v>
      </c>
      <c r="P7365">
        <v>26.9</v>
      </c>
      <c r="Q7365">
        <v>20.78</v>
      </c>
      <c r="R7365">
        <v>5.75</v>
      </c>
    </row>
    <row r="7366">
      <c r="A7366" s="9">
        <v>45897</v>
      </c>
      <c r="B7366" s="2" t="inlineStr">
        <is>
          <t xml:space="preserve">2025-08</t>
        </is>
      </c>
      <c r="C7366" s="2" t="inlineStr">
        <is>
          <t xml:space="preserve">2025/26</t>
        </is>
      </c>
      <c r="D7366">
        <v>2.339</v>
      </c>
      <c r="E7366">
        <v>21.84</v>
      </c>
      <c r="F7366">
        <v>26.71</v>
      </c>
      <c r="G7366">
        <v>18.02</v>
      </c>
      <c r="H7366">
        <v>7.67</v>
      </c>
      <c r="I7366">
        <v>13.392</v>
      </c>
      <c r="J7366">
        <v>23.12</v>
      </c>
      <c r="K7366">
        <v>28.49</v>
      </c>
      <c r="L7366">
        <v>19.61</v>
      </c>
      <c r="M7366">
        <v>7.84</v>
      </c>
      <c r="N7366">
        <v>0.987</v>
      </c>
      <c r="O7366">
        <v>23.33</v>
      </c>
      <c r="P7366">
        <v>28.59</v>
      </c>
      <c r="Q7366">
        <v>20.6</v>
      </c>
      <c r="R7366">
        <v>6.3</v>
      </c>
    </row>
    <row r="7367">
      <c r="A7367" s="9">
        <v>45898</v>
      </c>
      <c r="B7367" s="2" t="inlineStr">
        <is>
          <t xml:space="preserve">2025-08</t>
        </is>
      </c>
      <c r="C7367" s="2" t="inlineStr">
        <is>
          <t xml:space="preserve">2025/26</t>
        </is>
      </c>
      <c r="D7367">
        <v>27.731</v>
      </c>
      <c r="E7367">
        <v>22.03</v>
      </c>
      <c r="F7367">
        <v>27.97</v>
      </c>
      <c r="G7367">
        <v>17.07</v>
      </c>
      <c r="H7367">
        <v>9.78</v>
      </c>
      <c r="I7367">
        <v>13.882</v>
      </c>
      <c r="J7367">
        <v>23.77</v>
      </c>
      <c r="K7367">
        <v>29.13</v>
      </c>
      <c r="L7367">
        <v>19.81</v>
      </c>
      <c r="M7367">
        <v>8.62</v>
      </c>
      <c r="N7367">
        <v>1.543</v>
      </c>
      <c r="O7367">
        <v>24.0</v>
      </c>
      <c r="P7367">
        <v>29.64</v>
      </c>
      <c r="Q7367">
        <v>20.43</v>
      </c>
      <c r="R7367">
        <v>5.43</v>
      </c>
    </row>
    <row r="7368">
      <c r="A7368" s="9">
        <v>45899</v>
      </c>
      <c r="B7368" s="2" t="inlineStr">
        <is>
          <t xml:space="preserve">2025-08</t>
        </is>
      </c>
      <c r="C7368" s="2" t="inlineStr">
        <is>
          <t xml:space="preserve">2025/26</t>
        </is>
      </c>
      <c r="D7368">
        <v>6.61</v>
      </c>
      <c r="E7368">
        <v>22.92</v>
      </c>
      <c r="F7368">
        <v>28.66</v>
      </c>
      <c r="G7368">
        <v>18.02</v>
      </c>
      <c r="H7368">
        <v>4.06</v>
      </c>
      <c r="I7368">
        <v>6.708</v>
      </c>
      <c r="J7368">
        <v>23.49</v>
      </c>
      <c r="K7368">
        <v>27.32</v>
      </c>
      <c r="L7368">
        <v>20.0</v>
      </c>
      <c r="M7368">
        <v>4.5</v>
      </c>
      <c r="N7368">
        <v>5.069</v>
      </c>
      <c r="O7368">
        <v>24.35</v>
      </c>
      <c r="P7368">
        <v>29.82</v>
      </c>
      <c r="Q7368">
        <v>20.85</v>
      </c>
      <c r="R7368">
        <v>2.55</v>
      </c>
    </row>
    <row r="7369">
      <c r="A7369" s="9">
        <v>45900</v>
      </c>
      <c r="B7369" s="2" t="inlineStr">
        <is>
          <t xml:space="preserve">2025-08</t>
        </is>
      </c>
      <c r="C7369" s="2" t="inlineStr">
        <is>
          <t xml:space="preserve">2025/26</t>
        </is>
      </c>
      <c r="D7369">
        <v>6.965</v>
      </c>
      <c r="E7369">
        <v>23.48</v>
      </c>
      <c r="F7369">
        <v>29.71</v>
      </c>
      <c r="G7369">
        <v>18.39</v>
      </c>
      <c r="H7369">
        <v>1.53</v>
      </c>
      <c r="I7369">
        <v>1.015</v>
      </c>
      <c r="J7369">
        <v>24.42</v>
      </c>
      <c r="K7369">
        <v>30.1</v>
      </c>
      <c r="L7369">
        <v>19.6</v>
      </c>
      <c r="M7369">
        <v>1.19</v>
      </c>
      <c r="N7369">
        <v>1.5</v>
      </c>
      <c r="O7369">
        <v>25.66</v>
      </c>
      <c r="P7369">
        <v>32.42</v>
      </c>
      <c r="Q7369">
        <v>21.13</v>
      </c>
      <c r="R7369">
        <v>0.94</v>
      </c>
    </row>
    <row r="7370">
      <c r="A7370" s="9">
        <v>45901</v>
      </c>
      <c r="B7370" s="2" t="inlineStr">
        <is>
          <t xml:space="preserve">2025-09</t>
        </is>
      </c>
      <c r="C7370" s="2" t="inlineStr">
        <is>
          <t xml:space="preserve">2025/26</t>
        </is>
      </c>
      <c r="D7370">
        <v>1.889</v>
      </c>
      <c r="E7370">
        <v>23.48</v>
      </c>
      <c r="F7370">
        <v>29.73</v>
      </c>
      <c r="G7370">
        <v>18.21</v>
      </c>
      <c r="H7370">
        <v>0.77</v>
      </c>
      <c r="I7370">
        <v>0.924</v>
      </c>
      <c r="J7370">
        <v>24.65</v>
      </c>
      <c r="K7370">
        <v>29.67</v>
      </c>
      <c r="L7370">
        <v>20.42</v>
      </c>
      <c r="M7370">
        <v>0.62</v>
      </c>
      <c r="N7370">
        <v>0.342</v>
      </c>
      <c r="O7370">
        <v>25.51</v>
      </c>
      <c r="P7370">
        <v>32.01</v>
      </c>
      <c r="Q7370">
        <v>21.39</v>
      </c>
      <c r="R7370">
        <v>0.63</v>
      </c>
    </row>
    <row r="7371">
      <c r="A7371" s="9">
        <v>45902</v>
      </c>
      <c r="B7371" s="2" t="inlineStr">
        <is>
          <t xml:space="preserve">2025-09</t>
        </is>
      </c>
      <c r="C7371" s="2" t="inlineStr">
        <is>
          <t xml:space="preserve">2025/26</t>
        </is>
      </c>
      <c r="D7371">
        <v>7.376</v>
      </c>
      <c r="E7371">
        <v>23.12</v>
      </c>
      <c r="F7371">
        <v>29.58</v>
      </c>
      <c r="G7371">
        <v>18.26</v>
      </c>
      <c r="H7371">
        <v>3.71</v>
      </c>
      <c r="I7371">
        <v>0.482</v>
      </c>
      <c r="J7371">
        <v>24.48</v>
      </c>
      <c r="K7371">
        <v>29.29</v>
      </c>
      <c r="L7371">
        <v>20.26</v>
      </c>
      <c r="M7371">
        <v>0.44</v>
      </c>
      <c r="N7371">
        <v>0.337</v>
      </c>
      <c r="O7371">
        <v>25.47</v>
      </c>
      <c r="P7371">
        <v>32.64</v>
      </c>
      <c r="Q7371">
        <v>21.11</v>
      </c>
      <c r="R7371">
        <v>2.26</v>
      </c>
    </row>
    <row r="7372">
      <c r="A7372" s="9">
        <v>45903</v>
      </c>
      <c r="B7372" s="2" t="inlineStr">
        <is>
          <t xml:space="preserve">2025-09</t>
        </is>
      </c>
      <c r="C7372" s="2" t="inlineStr">
        <is>
          <t xml:space="preserve">2025/26</t>
        </is>
      </c>
      <c r="D7372">
        <v>0.666</v>
      </c>
      <c r="E7372">
        <v>23.68</v>
      </c>
      <c r="F7372">
        <v>30.14</v>
      </c>
      <c r="G7372">
        <v>17.78</v>
      </c>
      <c r="H7372">
        <v>0.33</v>
      </c>
      <c r="I7372">
        <v>0.0</v>
      </c>
      <c r="J7372">
        <v>24.68</v>
      </c>
      <c r="K7372">
        <v>29.77</v>
      </c>
      <c r="L7372">
        <v>20.88</v>
      </c>
      <c r="M7372">
        <v>0.08</v>
      </c>
      <c r="N7372">
        <v>0.0</v>
      </c>
      <c r="O7372">
        <v>25.25</v>
      </c>
      <c r="P7372">
        <v>31.24</v>
      </c>
      <c r="Q7372">
        <v>21.95</v>
      </c>
      <c r="R7372">
        <v>1.07</v>
      </c>
    </row>
    <row r="7373">
      <c r="A7373" s="9">
        <v>45904</v>
      </c>
      <c r="B7373" s="2" t="inlineStr">
        <is>
          <t xml:space="preserve">2025-09</t>
        </is>
      </c>
      <c r="C7373" s="2" t="inlineStr">
        <is>
          <t xml:space="preserve">2025/26</t>
        </is>
      </c>
      <c r="D7373">
        <v>0.347</v>
      </c>
      <c r="E7373">
        <v>24.31</v>
      </c>
      <c r="F7373">
        <v>30.84</v>
      </c>
      <c r="G7373">
        <v>19.11</v>
      </c>
      <c r="H7373">
        <v>3.02</v>
      </c>
      <c r="I7373">
        <v>0.0</v>
      </c>
      <c r="J7373">
        <v>24.56</v>
      </c>
      <c r="K7373">
        <v>29.87</v>
      </c>
      <c r="L7373">
        <v>20.23</v>
      </c>
      <c r="M7373">
        <v>0.2</v>
      </c>
      <c r="N7373">
        <v>0.022</v>
      </c>
      <c r="O7373">
        <v>25.95</v>
      </c>
      <c r="P7373">
        <v>33.09</v>
      </c>
      <c r="Q7373">
        <v>21.18</v>
      </c>
      <c r="R7373">
        <v>0.68</v>
      </c>
    </row>
    <row r="7374">
      <c r="A7374" s="9">
        <v>45905</v>
      </c>
      <c r="B7374" s="2" t="inlineStr">
        <is>
          <t xml:space="preserve">2025-09</t>
        </is>
      </c>
      <c r="C7374" s="2" t="inlineStr">
        <is>
          <t xml:space="preserve">2025/26</t>
        </is>
      </c>
      <c r="D7374">
        <v>11.679</v>
      </c>
      <c r="E7374">
        <v>23.35</v>
      </c>
      <c r="F7374">
        <v>29.5</v>
      </c>
      <c r="G7374">
        <v>18.49</v>
      </c>
      <c r="H7374">
        <v>6.42</v>
      </c>
      <c r="I7374">
        <v>0.0</v>
      </c>
      <c r="J7374">
        <v>25.06</v>
      </c>
      <c r="K7374">
        <v>31.08</v>
      </c>
      <c r="L7374">
        <v>20.58</v>
      </c>
      <c r="M7374">
        <v>2.36</v>
      </c>
      <c r="N7374">
        <v>0.15</v>
      </c>
      <c r="O7374">
        <v>26.1</v>
      </c>
      <c r="P7374">
        <v>33.51</v>
      </c>
      <c r="Q7374">
        <v>20.66</v>
      </c>
      <c r="R7374">
        <v>3.4</v>
      </c>
    </row>
    <row r="7375">
      <c r="A7375" s="9">
        <v>45906</v>
      </c>
      <c r="B7375" s="2" t="inlineStr">
        <is>
          <t xml:space="preserve">2025-09</t>
        </is>
      </c>
      <c r="C7375" s="2" t="inlineStr">
        <is>
          <t xml:space="preserve">2025/26</t>
        </is>
      </c>
      <c r="D7375">
        <v>11.54</v>
      </c>
      <c r="E7375">
        <v>23.21</v>
      </c>
      <c r="F7375">
        <v>29.64</v>
      </c>
      <c r="G7375">
        <v>17.85</v>
      </c>
      <c r="H7375">
        <v>5.02</v>
      </c>
      <c r="I7375">
        <v>1.831</v>
      </c>
      <c r="J7375">
        <v>25.39</v>
      </c>
      <c r="K7375">
        <v>31.34</v>
      </c>
      <c r="L7375">
        <v>21.17</v>
      </c>
      <c r="M7375">
        <v>2.06</v>
      </c>
      <c r="N7375">
        <v>5.775</v>
      </c>
      <c r="O7375">
        <v>25.68</v>
      </c>
      <c r="P7375">
        <v>32.75</v>
      </c>
      <c r="Q7375">
        <v>21.74</v>
      </c>
      <c r="R7375">
        <v>2.77</v>
      </c>
    </row>
    <row r="7376">
      <c r="A7376" s="9">
        <v>45907</v>
      </c>
      <c r="B7376" s="2" t="inlineStr">
        <is>
          <t xml:space="preserve">2025-09</t>
        </is>
      </c>
      <c r="C7376" s="2" t="inlineStr">
        <is>
          <t xml:space="preserve">2025/26</t>
        </is>
      </c>
      <c r="D7376">
        <v>3.187</v>
      </c>
      <c r="E7376">
        <v>22.48</v>
      </c>
      <c r="F7376">
        <v>28.23</v>
      </c>
      <c r="G7376">
        <v>18.21</v>
      </c>
      <c r="H7376">
        <v>4.27</v>
      </c>
      <c r="I7376">
        <v>1.059</v>
      </c>
      <c r="J7376">
        <v>24.07</v>
      </c>
      <c r="K7376">
        <v>29.56</v>
      </c>
      <c r="L7376">
        <v>19.92</v>
      </c>
      <c r="M7376">
        <v>4.27</v>
      </c>
      <c r="N7376">
        <v>4.031</v>
      </c>
      <c r="O7376">
        <v>24.76</v>
      </c>
      <c r="P7376">
        <v>31.4</v>
      </c>
      <c r="Q7376">
        <v>21.17</v>
      </c>
      <c r="R7376">
        <v>2.92</v>
      </c>
    </row>
    <row r="7377">
      <c r="A7377" s="9">
        <v>45908</v>
      </c>
      <c r="B7377" s="2" t="inlineStr">
        <is>
          <t xml:space="preserve">2025-09</t>
        </is>
      </c>
      <c r="C7377" s="2" t="inlineStr">
        <is>
          <t xml:space="preserve">2025/26</t>
        </is>
      </c>
      <c r="D7377">
        <v>5.253</v>
      </c>
      <c r="E7377">
        <v>22.39</v>
      </c>
      <c r="F7377">
        <v>28.49</v>
      </c>
      <c r="G7377">
        <v>17.63</v>
      </c>
      <c r="H7377">
        <v>17.86</v>
      </c>
      <c r="I7377">
        <v>12.049</v>
      </c>
      <c r="J7377">
        <v>23.21</v>
      </c>
      <c r="K7377">
        <v>28.01</v>
      </c>
      <c r="L7377">
        <v>19.36</v>
      </c>
      <c r="M7377">
        <v>5.26</v>
      </c>
      <c r="N7377">
        <v>0.807</v>
      </c>
      <c r="O7377">
        <v>24.14</v>
      </c>
      <c r="P7377">
        <v>30.06</v>
      </c>
      <c r="Q7377">
        <v>20.59</v>
      </c>
      <c r="R7377">
        <v>4.77</v>
      </c>
    </row>
    <row r="7378">
      <c r="A7378" s="9">
        <v>45909</v>
      </c>
      <c r="B7378" s="2" t="inlineStr">
        <is>
          <t xml:space="preserve">2025-09</t>
        </is>
      </c>
      <c r="C7378" s="2" t="inlineStr">
        <is>
          <t xml:space="preserve">2025/26</t>
        </is>
      </c>
      <c r="D7378">
        <v>21.223</v>
      </c>
      <c r="E7378">
        <v>21.81</v>
      </c>
      <c r="F7378">
        <v>26.2</v>
      </c>
      <c r="G7378">
        <v>17.8</v>
      </c>
      <c r="H7378">
        <v>1.97</v>
      </c>
      <c r="I7378">
        <v>4.687</v>
      </c>
      <c r="J7378">
        <v>23.77</v>
      </c>
      <c r="K7378">
        <v>28.58</v>
      </c>
      <c r="L7378">
        <v>20.06</v>
      </c>
      <c r="M7378">
        <v>4.41</v>
      </c>
      <c r="N7378">
        <v>2.562</v>
      </c>
      <c r="O7378">
        <v>24.07</v>
      </c>
      <c r="P7378">
        <v>28.9</v>
      </c>
      <c r="Q7378">
        <v>20.36</v>
      </c>
      <c r="R7378">
        <v>3.44</v>
      </c>
    </row>
    <row r="7379">
      <c r="A7379" s="9">
        <v>45910</v>
      </c>
      <c r="B7379" s="2" t="inlineStr">
        <is>
          <t xml:space="preserve">2025-09</t>
        </is>
      </c>
      <c r="C7379" s="2" t="inlineStr">
        <is>
          <t xml:space="preserve">2025/26</t>
        </is>
      </c>
      <c r="D7379">
        <v>0.938</v>
      </c>
      <c r="E7379">
        <v>22.18</v>
      </c>
      <c r="F7379">
        <v>26.81</v>
      </c>
      <c r="G7379">
        <v>18.18</v>
      </c>
      <c r="H7379">
        <v>5.02</v>
      </c>
      <c r="I7379">
        <v>4.701</v>
      </c>
      <c r="J7379">
        <v>23.71</v>
      </c>
      <c r="K7379">
        <v>28.82</v>
      </c>
      <c r="L7379">
        <v>19.3</v>
      </c>
      <c r="M7379">
        <v>4.29</v>
      </c>
      <c r="N7379">
        <v>0.401</v>
      </c>
      <c r="O7379">
        <v>23.81</v>
      </c>
      <c r="P7379">
        <v>29.15</v>
      </c>
      <c r="Q7379">
        <v>20.7</v>
      </c>
      <c r="R7379">
        <v>3.75</v>
      </c>
    </row>
    <row r="7380">
      <c r="A7380" s="9">
        <v>45911</v>
      </c>
      <c r="B7380" s="2" t="inlineStr">
        <is>
          <t xml:space="preserve">2025-09</t>
        </is>
      </c>
      <c r="C7380" s="2" t="inlineStr">
        <is>
          <t xml:space="preserve">2025/26</t>
        </is>
      </c>
      <c r="D7380">
        <v>16.16</v>
      </c>
      <c r="E7380">
        <v>22.06</v>
      </c>
      <c r="F7380">
        <v>26.42</v>
      </c>
      <c r="G7380">
        <v>19.54</v>
      </c>
      <c r="H7380">
        <v>7.39</v>
      </c>
      <c r="I7380">
        <v>8.053</v>
      </c>
      <c r="J7380">
        <v>23.1</v>
      </c>
      <c r="K7380">
        <v>28.26</v>
      </c>
      <c r="L7380">
        <v>19.65</v>
      </c>
      <c r="M7380">
        <v>4.12</v>
      </c>
      <c r="N7380">
        <v>2.381</v>
      </c>
      <c r="O7380">
        <v>23.02</v>
      </c>
      <c r="P7380">
        <v>27.46</v>
      </c>
      <c r="Q7380">
        <v>20.73</v>
      </c>
      <c r="R7380">
        <v>4.5</v>
      </c>
    </row>
    <row r="7381">
      <c r="A7381" s="9">
        <v>45912</v>
      </c>
      <c r="B7381" s="2" t="inlineStr">
        <is>
          <t xml:space="preserve">2025-09</t>
        </is>
      </c>
      <c r="C7381" s="2" t="inlineStr">
        <is>
          <t xml:space="preserve">2025/26</t>
        </is>
      </c>
      <c r="D7381">
        <v>1.474</v>
      </c>
      <c r="E7381">
        <v>22.48</v>
      </c>
      <c r="F7381">
        <v>27.83</v>
      </c>
      <c r="G7381">
        <v>18.8</v>
      </c>
      <c r="H7381">
        <v>3.71</v>
      </c>
      <c r="I7381">
        <v>0.0</v>
      </c>
      <c r="J7381">
        <v>23.18</v>
      </c>
      <c r="K7381">
        <v>28.62</v>
      </c>
      <c r="L7381">
        <v>18.89</v>
      </c>
      <c r="M7381">
        <v>1.64</v>
      </c>
      <c r="N7381">
        <v>0.076</v>
      </c>
      <c r="O7381">
        <v>22.89</v>
      </c>
      <c r="P7381">
        <v>27.32</v>
      </c>
      <c r="Q7381">
        <v>19.88</v>
      </c>
      <c r="R7381">
        <v>2.86</v>
      </c>
    </row>
    <row r="7382">
      <c r="A7382" s="9">
        <v>45913</v>
      </c>
      <c r="B7382" s="2" t="inlineStr">
        <is>
          <t xml:space="preserve">2025-09</t>
        </is>
      </c>
      <c r="C7382" s="2" t="inlineStr">
        <is>
          <t xml:space="preserve">2025/26</t>
        </is>
      </c>
      <c r="D7382">
        <v>16.176</v>
      </c>
      <c r="E7382">
        <v>22.05</v>
      </c>
      <c r="F7382">
        <v>26.27</v>
      </c>
      <c r="G7382">
        <v>18.77</v>
      </c>
      <c r="H7382">
        <v>12.61</v>
      </c>
      <c r="I7382">
        <v>9.956</v>
      </c>
      <c r="J7382">
        <v>23.22</v>
      </c>
      <c r="K7382">
        <v>27.72</v>
      </c>
      <c r="L7382">
        <v>19.9</v>
      </c>
      <c r="M7382">
        <v>6.27</v>
      </c>
      <c r="N7382">
        <v>5.236</v>
      </c>
      <c r="O7382">
        <v>23.69</v>
      </c>
      <c r="P7382">
        <v>28.84</v>
      </c>
      <c r="Q7382">
        <v>20.75</v>
      </c>
      <c r="R7382">
        <v>4.68</v>
      </c>
    </row>
    <row r="7383">
      <c r="A7383" s="9">
        <v>45914</v>
      </c>
      <c r="B7383" s="2" t="inlineStr">
        <is>
          <t xml:space="preserve">2025-09</t>
        </is>
      </c>
      <c r="C7383" s="2" t="inlineStr">
        <is>
          <t xml:space="preserve">2025/26</t>
        </is>
      </c>
      <c r="D7383">
        <v>26.104</v>
      </c>
      <c r="E7383">
        <v>21.17</v>
      </c>
      <c r="F7383">
        <v>25.17</v>
      </c>
      <c r="G7383">
        <v>17.81</v>
      </c>
      <c r="H7383">
        <v>20.08</v>
      </c>
      <c r="I7383">
        <v>1.503</v>
      </c>
      <c r="J7383">
        <v>22.35</v>
      </c>
      <c r="K7383">
        <v>26.5</v>
      </c>
      <c r="L7383">
        <v>19.63</v>
      </c>
      <c r="M7383">
        <v>7.5</v>
      </c>
      <c r="N7383">
        <v>6.865</v>
      </c>
      <c r="O7383">
        <v>22.57</v>
      </c>
      <c r="P7383">
        <v>26.9</v>
      </c>
      <c r="Q7383">
        <v>20.36</v>
      </c>
      <c r="R7383">
        <v>12.55</v>
      </c>
    </row>
    <row r="7384">
      <c r="A7384" s="9">
        <v>45915</v>
      </c>
      <c r="B7384" s="2" t="inlineStr">
        <is>
          <t xml:space="preserve">2025-09</t>
        </is>
      </c>
      <c r="C7384" s="2" t="inlineStr">
        <is>
          <t xml:space="preserve">2025/26</t>
        </is>
      </c>
      <c r="D7384">
        <v>26.956</v>
      </c>
      <c r="E7384">
        <v>21.6</v>
      </c>
      <c r="F7384">
        <v>26.51</v>
      </c>
      <c r="G7384">
        <v>18.65</v>
      </c>
      <c r="H7384">
        <v>14.84</v>
      </c>
      <c r="I7384">
        <v>16.364</v>
      </c>
      <c r="J7384">
        <v>22.62</v>
      </c>
      <c r="K7384">
        <v>26.75</v>
      </c>
      <c r="L7384">
        <v>18.87</v>
      </c>
      <c r="M7384">
        <v>11.95</v>
      </c>
      <c r="N7384">
        <v>4.566</v>
      </c>
      <c r="O7384">
        <v>22.73</v>
      </c>
      <c r="P7384">
        <v>27.1</v>
      </c>
      <c r="Q7384">
        <v>19.96</v>
      </c>
      <c r="R7384">
        <v>18.63</v>
      </c>
    </row>
    <row r="7385">
      <c r="A7385" s="9">
        <v>45916</v>
      </c>
      <c r="B7385" s="2" t="inlineStr">
        <is>
          <t xml:space="preserve">2025-09</t>
        </is>
      </c>
      <c r="C7385" s="2" t="inlineStr">
        <is>
          <t xml:space="preserve">2025/26</t>
        </is>
      </c>
      <c r="D7385">
        <v>12.291</v>
      </c>
      <c r="E7385">
        <v>21.71</v>
      </c>
      <c r="F7385">
        <v>27.64</v>
      </c>
      <c r="G7385">
        <v>16.42</v>
      </c>
      <c r="H7385">
        <v>12.64</v>
      </c>
      <c r="I7385">
        <v>0.539</v>
      </c>
      <c r="J7385">
        <v>23.64</v>
      </c>
      <c r="K7385">
        <v>28.63</v>
      </c>
      <c r="L7385">
        <v>19.29</v>
      </c>
      <c r="M7385">
        <v>2.8</v>
      </c>
      <c r="N7385">
        <v>2.131</v>
      </c>
      <c r="O7385">
        <v>23.86</v>
      </c>
      <c r="P7385">
        <v>29.83</v>
      </c>
      <c r="Q7385">
        <v>19.55</v>
      </c>
      <c r="R7385">
        <v>6.83</v>
      </c>
    </row>
    <row r="7386">
      <c r="A7386" s="9">
        <v>45917</v>
      </c>
      <c r="B7386" s="2" t="inlineStr">
        <is>
          <t xml:space="preserve">2025-09</t>
        </is>
      </c>
      <c r="C7386" s="2" t="inlineStr">
        <is>
          <t xml:space="preserve">2025/26</t>
        </is>
      </c>
      <c r="D7386">
        <v>17.452</v>
      </c>
      <c r="E7386">
        <v>21.55</v>
      </c>
      <c r="F7386">
        <v>27.44</v>
      </c>
      <c r="G7386">
        <v>16.14</v>
      </c>
      <c r="H7386">
        <v>23.46</v>
      </c>
      <c r="I7386">
        <v>1.561</v>
      </c>
      <c r="J7386">
        <v>23.22</v>
      </c>
      <c r="K7386">
        <v>28.5</v>
      </c>
      <c r="L7386">
        <v>20.17</v>
      </c>
      <c r="M7386">
        <v>2.44</v>
      </c>
      <c r="N7386">
        <v>2.185</v>
      </c>
      <c r="O7386">
        <v>23.86</v>
      </c>
      <c r="P7386">
        <v>29.64</v>
      </c>
      <c r="Q7386">
        <v>20.14</v>
      </c>
      <c r="R7386">
        <v>6.3</v>
      </c>
    </row>
    <row r="7387">
      <c r="A7387" s="9">
        <v>45918</v>
      </c>
      <c r="B7387" s="2" t="inlineStr">
        <is>
          <t xml:space="preserve">2025-09</t>
        </is>
      </c>
      <c r="C7387" s="2" t="inlineStr">
        <is>
          <t xml:space="preserve">2025/26</t>
        </is>
      </c>
      <c r="D7387">
        <v>23.147</v>
      </c>
      <c r="E7387">
        <v>22.03</v>
      </c>
      <c r="F7387">
        <v>26.06</v>
      </c>
      <c r="G7387">
        <v>19.08</v>
      </c>
      <c r="H7387">
        <v>11.79</v>
      </c>
      <c r="I7387">
        <v>3.847</v>
      </c>
      <c r="J7387">
        <v>22.62</v>
      </c>
      <c r="K7387">
        <v>26.5</v>
      </c>
      <c r="L7387">
        <v>20.5</v>
      </c>
      <c r="M7387">
        <v>5.59</v>
      </c>
      <c r="N7387">
        <v>3.156</v>
      </c>
      <c r="O7387">
        <v>23.13</v>
      </c>
      <c r="P7387">
        <v>26.78</v>
      </c>
      <c r="Q7387">
        <v>21.4</v>
      </c>
      <c r="R7387">
        <v>7.29</v>
      </c>
    </row>
    <row r="7388">
      <c r="A7388" s="9">
        <v>45919</v>
      </c>
      <c r="B7388" s="2" t="inlineStr">
        <is>
          <t xml:space="preserve">2025-09</t>
        </is>
      </c>
      <c r="C7388" s="2" t="inlineStr">
        <is>
          <t xml:space="preserve">2025/26</t>
        </is>
      </c>
      <c r="D7388">
        <v>15.635</v>
      </c>
      <c r="E7388">
        <v>22.54</v>
      </c>
      <c r="F7388">
        <v>26.47</v>
      </c>
      <c r="G7388">
        <v>19.48</v>
      </c>
      <c r="H7388">
        <v>6.42</v>
      </c>
      <c r="I7388">
        <v>5.3</v>
      </c>
      <c r="J7388">
        <v>22.19</v>
      </c>
      <c r="K7388">
        <v>25.9</v>
      </c>
      <c r="L7388">
        <v>19.62</v>
      </c>
      <c r="M7388">
        <v>4.79</v>
      </c>
      <c r="N7388">
        <v>0.932</v>
      </c>
      <c r="O7388">
        <v>23.08</v>
      </c>
      <c r="P7388">
        <v>26.96</v>
      </c>
      <c r="Q7388">
        <v>20.31</v>
      </c>
      <c r="R7388">
        <v>5.92</v>
      </c>
    </row>
    <row r="7389">
      <c r="A7389" s="9">
        <v>45920</v>
      </c>
      <c r="B7389" s="2" t="inlineStr">
        <is>
          <t xml:space="preserve">2025-09</t>
        </is>
      </c>
      <c r="C7389" s="2" t="inlineStr">
        <is>
          <t xml:space="preserve">2025/26</t>
        </is>
      </c>
      <c r="D7389">
        <v>0.064</v>
      </c>
      <c r="E7389">
        <v>21.65</v>
      </c>
      <c r="F7389">
        <v>25.13</v>
      </c>
      <c r="G7389">
        <v>19.38</v>
      </c>
      <c r="H7389">
        <v>5.94</v>
      </c>
      <c r="I7389">
        <v>0.099</v>
      </c>
      <c r="J7389">
        <v>22.45</v>
      </c>
      <c r="K7389">
        <v>26.73</v>
      </c>
      <c r="L7389">
        <v>19.32</v>
      </c>
      <c r="M7389">
        <v>1.58</v>
      </c>
      <c r="N7389">
        <v>0.846</v>
      </c>
      <c r="O7389">
        <v>23.04</v>
      </c>
      <c r="P7389">
        <v>26.8</v>
      </c>
      <c r="Q7389">
        <v>19.89</v>
      </c>
      <c r="R7389">
        <v>4.91</v>
      </c>
    </row>
    <row r="7390">
      <c r="A7390" s="9">
        <v>45921</v>
      </c>
      <c r="B7390" s="2" t="inlineStr">
        <is>
          <t xml:space="preserve">2025-09</t>
        </is>
      </c>
      <c r="C7390" s="2" t="inlineStr">
        <is>
          <t xml:space="preserve">2025/26</t>
        </is>
      </c>
      <c r="D7390">
        <v>8.435</v>
      </c>
      <c r="E7390">
        <v>22.16</v>
      </c>
      <c r="F7390">
        <v>25.86</v>
      </c>
      <c r="G7390">
        <v>19.5</v>
      </c>
      <c r="H7390">
        <v>13.21</v>
      </c>
      <c r="I7390">
        <v>2.743</v>
      </c>
      <c r="J7390">
        <v>23.22</v>
      </c>
      <c r="K7390">
        <v>27.68</v>
      </c>
      <c r="L7390">
        <v>19.7</v>
      </c>
      <c r="M7390">
        <v>7.6</v>
      </c>
      <c r="N7390">
        <v>13.969</v>
      </c>
      <c r="O7390">
        <v>22.72</v>
      </c>
      <c r="P7390">
        <v>26.22</v>
      </c>
      <c r="Q7390">
        <v>19.9</v>
      </c>
      <c r="R7390">
        <v>11.82</v>
      </c>
    </row>
    <row r="7391">
      <c r="A7391" s="9">
        <v>45922</v>
      </c>
      <c r="B7391" s="2" t="inlineStr">
        <is>
          <t xml:space="preserve">2025-09</t>
        </is>
      </c>
      <c r="C7391" s="2" t="inlineStr">
        <is>
          <t xml:space="preserve">2025/26</t>
        </is>
      </c>
      <c r="D7391">
        <v>15.818</v>
      </c>
      <c r="E7391">
        <v>22.33</v>
      </c>
      <c r="F7391">
        <v>26.48</v>
      </c>
      <c r="G7391">
        <v>18.87</v>
      </c>
      <c r="H7391">
        <v>13.28</v>
      </c>
      <c r="I7391">
        <v>3.83</v>
      </c>
      <c r="J7391">
        <v>23.44</v>
      </c>
      <c r="K7391">
        <v>28.14</v>
      </c>
      <c r="L7391">
        <v>20.33</v>
      </c>
      <c r="M7391">
        <v>3.25</v>
      </c>
      <c r="N7391">
        <v>2.02</v>
      </c>
      <c r="O7391">
        <v>23.35</v>
      </c>
      <c r="P7391">
        <v>27.07</v>
      </c>
      <c r="Q7391">
        <v>20.77</v>
      </c>
      <c r="R7391">
        <v>4.49</v>
      </c>
    </row>
    <row r="7392">
      <c r="A7392" s="9">
        <v>45923</v>
      </c>
      <c r="B7392" s="2" t="inlineStr">
        <is>
          <t xml:space="preserve">2025-09</t>
        </is>
      </c>
      <c r="C7392" s="2" t="inlineStr">
        <is>
          <t xml:space="preserve">2025/26</t>
        </is>
      </c>
      <c r="D7392">
        <v>42.376</v>
      </c>
      <c r="E7392">
        <v>22.06</v>
      </c>
      <c r="F7392">
        <v>26.05</v>
      </c>
      <c r="G7392">
        <v>19.63</v>
      </c>
      <c r="H7392">
        <v>12.93</v>
      </c>
      <c r="I7392">
        <v>0.0</v>
      </c>
      <c r="J7392">
        <v>23.45</v>
      </c>
      <c r="K7392">
        <v>27.21</v>
      </c>
      <c r="L7392">
        <v>20.55</v>
      </c>
      <c r="M7392">
        <v>0.55</v>
      </c>
      <c r="N7392">
        <v>0.73</v>
      </c>
      <c r="O7392">
        <v>23.54</v>
      </c>
      <c r="P7392">
        <v>27.11</v>
      </c>
      <c r="Q7392">
        <v>21.42</v>
      </c>
      <c r="R7392">
        <v>3.29</v>
      </c>
    </row>
    <row r="7393">
      <c r="A7393" s="9">
        <v>45924</v>
      </c>
      <c r="B7393" s="2" t="inlineStr">
        <is>
          <t xml:space="preserve">2025-09</t>
        </is>
      </c>
      <c r="C7393" s="2" t="inlineStr">
        <is>
          <t xml:space="preserve">2025/26</t>
        </is>
      </c>
      <c r="D7393">
        <v>4.392</v>
      </c>
      <c r="E7393">
        <v>22.46</v>
      </c>
      <c r="F7393">
        <v>27.56</v>
      </c>
      <c r="G7393">
        <v>18.57</v>
      </c>
      <c r="H7393">
        <v>1.48</v>
      </c>
      <c r="I7393">
        <v>0.0</v>
      </c>
      <c r="J7393">
        <v>23.92</v>
      </c>
      <c r="K7393">
        <v>28.63</v>
      </c>
      <c r="L7393">
        <v>20.66</v>
      </c>
      <c r="M7393">
        <v>0.04</v>
      </c>
      <c r="N7393">
        <v>0.046</v>
      </c>
      <c r="O7393">
        <v>23.97</v>
      </c>
      <c r="P7393">
        <v>28.69</v>
      </c>
      <c r="Q7393">
        <v>21.18</v>
      </c>
      <c r="R7393">
        <v>0.29</v>
      </c>
    </row>
    <row r="7394">
      <c r="A7394" s="9">
        <v>45925</v>
      </c>
      <c r="B7394" s="2" t="inlineStr">
        <is>
          <t xml:space="preserve">2025-09</t>
        </is>
      </c>
      <c r="C7394" s="2" t="inlineStr">
        <is>
          <t xml:space="preserve">2025/26</t>
        </is>
      </c>
      <c r="D7394">
        <v>0.0</v>
      </c>
      <c r="E7394">
        <v>22.96</v>
      </c>
      <c r="F7394">
        <v>27.57</v>
      </c>
      <c r="G7394">
        <v>18.82</v>
      </c>
      <c r="H7394">
        <v>1.6</v>
      </c>
      <c r="I7394">
        <v>0.0</v>
      </c>
      <c r="J7394">
        <v>24.24</v>
      </c>
      <c r="K7394">
        <v>29.18</v>
      </c>
      <c r="L7394">
        <v>20.25</v>
      </c>
      <c r="M7394">
        <v>0.05</v>
      </c>
      <c r="N7394">
        <v>0.0</v>
      </c>
      <c r="O7394">
        <v>24.41</v>
      </c>
      <c r="P7394">
        <v>29.55</v>
      </c>
      <c r="Q7394">
        <v>21.42</v>
      </c>
      <c r="R7394">
        <v>0.48</v>
      </c>
    </row>
    <row r="7395">
      <c r="A7395" s="9">
        <v>45926</v>
      </c>
      <c r="B7395" s="2" t="inlineStr">
        <is>
          <t xml:space="preserve">2025-09</t>
        </is>
      </c>
      <c r="C7395" s="2" t="inlineStr">
        <is>
          <t xml:space="preserve">2025/26</t>
        </is>
      </c>
      <c r="D7395">
        <v>17.394</v>
      </c>
      <c r="E7395">
        <v>22.85</v>
      </c>
      <c r="F7395">
        <v>26.74</v>
      </c>
      <c r="G7395">
        <v>20.15</v>
      </c>
      <c r="H7395">
        <v>7.91</v>
      </c>
      <c r="I7395">
        <v>0.602</v>
      </c>
      <c r="J7395">
        <v>23.59</v>
      </c>
      <c r="K7395">
        <v>27.52</v>
      </c>
      <c r="L7395">
        <v>20.96</v>
      </c>
      <c r="M7395">
        <v>3.16</v>
      </c>
      <c r="N7395">
        <v>0.179</v>
      </c>
      <c r="O7395">
        <v>24.32</v>
      </c>
      <c r="P7395">
        <v>28.88</v>
      </c>
      <c r="Q7395">
        <v>21.62</v>
      </c>
      <c r="R7395">
        <v>3.66</v>
      </c>
    </row>
    <row r="7396">
      <c r="A7396" s="9">
        <v>45927</v>
      </c>
      <c r="B7396" s="2" t="inlineStr">
        <is>
          <t xml:space="preserve">2025-09</t>
        </is>
      </c>
      <c r="C7396" s="2" t="inlineStr">
        <is>
          <t xml:space="preserve">2025/26</t>
        </is>
      </c>
      <c r="D7396">
        <v>3.244</v>
      </c>
      <c r="E7396">
        <v>22.42</v>
      </c>
      <c r="F7396">
        <v>26.18</v>
      </c>
      <c r="G7396">
        <v>19.65</v>
      </c>
      <c r="H7396">
        <v>0.97</v>
      </c>
      <c r="I7396">
        <v>5.671</v>
      </c>
      <c r="J7396">
        <v>23.5</v>
      </c>
      <c r="K7396">
        <v>27.46</v>
      </c>
      <c r="L7396">
        <v>20.48</v>
      </c>
      <c r="M7396">
        <v>3.17</v>
      </c>
      <c r="N7396">
        <v>6.793</v>
      </c>
      <c r="O7396">
        <v>23.76</v>
      </c>
      <c r="P7396">
        <v>28.0</v>
      </c>
      <c r="Q7396">
        <v>21.19</v>
      </c>
      <c r="R7396">
        <v>2.34</v>
      </c>
    </row>
    <row r="7397">
      <c r="A7397" s="9">
        <v>45928</v>
      </c>
      <c r="B7397" s="2" t="inlineStr">
        <is>
          <t xml:space="preserve">2025-09</t>
        </is>
      </c>
      <c r="C7397" s="2" t="inlineStr">
        <is>
          <t xml:space="preserve">2025/26</t>
        </is>
      </c>
      <c r="D7397">
        <v>0.485</v>
      </c>
      <c r="E7397">
        <v>22.83</v>
      </c>
      <c r="F7397">
        <v>27.23</v>
      </c>
      <c r="G7397">
        <v>19.7</v>
      </c>
      <c r="H7397">
        <v>5.1</v>
      </c>
      <c r="I7397">
        <v>0.0</v>
      </c>
      <c r="J7397">
        <v>23.75</v>
      </c>
      <c r="K7397">
        <v>28.4</v>
      </c>
      <c r="L7397">
        <v>20.09</v>
      </c>
      <c r="M7397">
        <v>2.33</v>
      </c>
      <c r="N7397">
        <v>0.309</v>
      </c>
      <c r="O7397">
        <v>24.19</v>
      </c>
      <c r="P7397">
        <v>29.41</v>
      </c>
      <c r="Q7397">
        <v>20.9</v>
      </c>
      <c r="R7397">
        <v>1.24</v>
      </c>
    </row>
    <row r="7398">
      <c r="A7398" s="9">
        <v>45929</v>
      </c>
      <c r="B7398" s="2" t="inlineStr">
        <is>
          <t xml:space="preserve">2025-09</t>
        </is>
      </c>
      <c r="C7398" s="2" t="inlineStr">
        <is>
          <t xml:space="preserve">2025/26</t>
        </is>
      </c>
      <c r="D7398">
        <v>12.279</v>
      </c>
      <c r="E7398">
        <v>22.68</v>
      </c>
      <c r="F7398">
        <v>26.51</v>
      </c>
      <c r="G7398">
        <v>20.05</v>
      </c>
      <c r="H7398">
        <v>6.3</v>
      </c>
      <c r="I7398">
        <v>8.582</v>
      </c>
      <c r="J7398">
        <v>23.58</v>
      </c>
      <c r="K7398">
        <v>27.64</v>
      </c>
      <c r="L7398">
        <v>20.84</v>
      </c>
      <c r="M7398">
        <v>8.28</v>
      </c>
      <c r="N7398">
        <v>0.795</v>
      </c>
      <c r="O7398">
        <v>23.58</v>
      </c>
      <c r="P7398">
        <v>27.48</v>
      </c>
      <c r="Q7398">
        <v>21.12</v>
      </c>
      <c r="R7398">
        <v>3.68</v>
      </c>
    </row>
    <row r="7399">
      <c r="A7399" s="9">
        <v>45930</v>
      </c>
      <c r="B7399" s="2" t="inlineStr">
        <is>
          <t xml:space="preserve">2025-09</t>
        </is>
      </c>
      <c r="C7399" s="2" t="inlineStr">
        <is>
          <t xml:space="preserve">2025/26</t>
        </is>
      </c>
      <c r="D7399">
        <v>20.886</v>
      </c>
      <c r="E7399">
        <v>22.12</v>
      </c>
      <c r="F7399">
        <v>25.78</v>
      </c>
      <c r="G7399">
        <v>19.37</v>
      </c>
      <c r="H7399">
        <v>19.65</v>
      </c>
      <c r="I7399">
        <v>12.431</v>
      </c>
      <c r="J7399">
        <v>22.6</v>
      </c>
      <c r="K7399">
        <v>26.45</v>
      </c>
      <c r="L7399">
        <v>20.14</v>
      </c>
      <c r="M7399">
        <v>9.03</v>
      </c>
      <c r="N7399">
        <v>3.689</v>
      </c>
      <c r="O7399">
        <v>23.69</v>
      </c>
      <c r="P7399">
        <v>27.91</v>
      </c>
      <c r="Q7399">
        <v>21.43</v>
      </c>
      <c r="R7399">
        <v>10.91</v>
      </c>
    </row>
    <row r="7400">
      <c r="A7400" s="9">
        <v>45931</v>
      </c>
      <c r="B7400" s="2" t="inlineStr">
        <is>
          <t xml:space="preserve">2025-10</t>
        </is>
      </c>
      <c r="C7400" s="2" t="inlineStr">
        <is>
          <t xml:space="preserve">2025/26</t>
        </is>
      </c>
      <c r="D7400">
        <v>33.444</v>
      </c>
      <c r="E7400">
        <v>22.73</v>
      </c>
      <c r="F7400">
        <v>27.49</v>
      </c>
      <c r="G7400">
        <v>19.48</v>
      </c>
      <c r="H7400">
        <v>15.78</v>
      </c>
      <c r="I7400">
        <v>5.082</v>
      </c>
      <c r="J7400">
        <v>23.43</v>
      </c>
      <c r="K7400">
        <v>27.42</v>
      </c>
      <c r="L7400">
        <v>20.91</v>
      </c>
      <c r="M7400">
        <v>4.6</v>
      </c>
      <c r="N7400">
        <v>3.428</v>
      </c>
      <c r="O7400">
        <v>23.66</v>
      </c>
      <c r="P7400">
        <v>27.69</v>
      </c>
      <c r="Q7400">
        <v>21.28</v>
      </c>
      <c r="R7400">
        <v>11.52</v>
      </c>
    </row>
    <row r="7401">
      <c r="A7401" s="9">
        <v>45932</v>
      </c>
      <c r="B7401" s="2" t="inlineStr">
        <is>
          <t xml:space="preserve">2025-10</t>
        </is>
      </c>
      <c r="C7401" s="2" t="inlineStr">
        <is>
          <t xml:space="preserve">2025/26</t>
        </is>
      </c>
      <c r="D7401">
        <v>8.17</v>
      </c>
      <c r="E7401">
        <v>22.12</v>
      </c>
      <c r="F7401">
        <v>26.85</v>
      </c>
      <c r="G7401">
        <v>18.88</v>
      </c>
      <c r="H7401">
        <v>6.91</v>
      </c>
      <c r="I7401">
        <v>8.454</v>
      </c>
      <c r="J7401">
        <v>23.55</v>
      </c>
      <c r="K7401">
        <v>27.51</v>
      </c>
      <c r="L7401">
        <v>20.92</v>
      </c>
      <c r="M7401">
        <v>3.51</v>
      </c>
      <c r="N7401">
        <v>1.204</v>
      </c>
      <c r="O7401">
        <v>23.37</v>
      </c>
      <c r="P7401">
        <v>26.94</v>
      </c>
      <c r="Q7401">
        <v>21.33</v>
      </c>
      <c r="R7401">
        <v>3.78</v>
      </c>
    </row>
    <row r="7402">
      <c r="A7402" s="9">
        <v>45933</v>
      </c>
      <c r="B7402" s="2" t="inlineStr">
        <is>
          <t xml:space="preserve">2025-10</t>
        </is>
      </c>
      <c r="C7402" s="2" t="inlineStr">
        <is>
          <t xml:space="preserve">2025/26</t>
        </is>
      </c>
      <c r="D7402">
        <v>12.827</v>
      </c>
      <c r="E7402">
        <v>21.28</v>
      </c>
      <c r="F7402">
        <v>26.19</v>
      </c>
      <c r="G7402">
        <v>17.62</v>
      </c>
      <c r="H7402">
        <v>6.99</v>
      </c>
      <c r="I7402">
        <v>0.185</v>
      </c>
      <c r="J7402">
        <v>23.39</v>
      </c>
      <c r="K7402">
        <v>28.03</v>
      </c>
      <c r="L7402">
        <v>20.14</v>
      </c>
      <c r="M7402">
        <v>9.68</v>
      </c>
      <c r="N7402">
        <v>0.575</v>
      </c>
      <c r="O7402">
        <v>22.86</v>
      </c>
      <c r="P7402">
        <v>26.71</v>
      </c>
      <c r="Q7402">
        <v>20.49</v>
      </c>
      <c r="R7402">
        <v>6.13</v>
      </c>
    </row>
    <row r="7403">
      <c r="A7403" s="9">
        <v>45934</v>
      </c>
      <c r="B7403" s="2" t="inlineStr">
        <is>
          <t xml:space="preserve">2025-10</t>
        </is>
      </c>
      <c r="C7403" s="2" t="inlineStr">
        <is>
          <t xml:space="preserve">2025/26</t>
        </is>
      </c>
      <c r="D7403">
        <v>0.837</v>
      </c>
      <c r="E7403">
        <v>21.71</v>
      </c>
      <c r="F7403">
        <v>26.42</v>
      </c>
      <c r="G7403">
        <v>17.57</v>
      </c>
      <c r="H7403">
        <v>3.52</v>
      </c>
      <c r="I7403">
        <v>21.964</v>
      </c>
      <c r="J7403">
        <v>22.71</v>
      </c>
      <c r="K7403">
        <v>27.84</v>
      </c>
      <c r="L7403">
        <v>18.38</v>
      </c>
      <c r="M7403">
        <v>7.87</v>
      </c>
      <c r="N7403">
        <v>9.727</v>
      </c>
      <c r="O7403">
        <v>23.04</v>
      </c>
      <c r="P7403">
        <v>28.37</v>
      </c>
      <c r="Q7403">
        <v>19.04</v>
      </c>
      <c r="R7403">
        <v>2.15</v>
      </c>
    </row>
    <row r="7404">
      <c r="A7404" s="9">
        <v>45935</v>
      </c>
      <c r="B7404" s="2" t="inlineStr">
        <is>
          <t xml:space="preserve">2025-10</t>
        </is>
      </c>
      <c r="C7404" s="2" t="inlineStr">
        <is>
          <t xml:space="preserve">2025/26</t>
        </is>
      </c>
      <c r="D7404">
        <v>6.086</v>
      </c>
      <c r="E7404">
        <v>21.6</v>
      </c>
      <c r="F7404">
        <v>25.42</v>
      </c>
      <c r="G7404">
        <v>19.27</v>
      </c>
      <c r="H7404">
        <v>9.76</v>
      </c>
      <c r="I7404">
        <v>3.562</v>
      </c>
      <c r="J7404">
        <v>22.6</v>
      </c>
      <c r="K7404">
        <v>27.35</v>
      </c>
      <c r="L7404">
        <v>19.23</v>
      </c>
      <c r="M7404">
        <v>5.52</v>
      </c>
      <c r="N7404">
        <v>2.398</v>
      </c>
      <c r="O7404">
        <v>22.95</v>
      </c>
      <c r="P7404">
        <v>27.48</v>
      </c>
      <c r="Q7404">
        <v>19.27</v>
      </c>
      <c r="R7404">
        <v>5.44</v>
      </c>
    </row>
    <row r="7405">
      <c r="A7405" s="9">
        <v>45936</v>
      </c>
      <c r="B7405" s="2" t="inlineStr">
        <is>
          <t xml:space="preserve">2025-10</t>
        </is>
      </c>
      <c r="C7405" s="2" t="inlineStr">
        <is>
          <t xml:space="preserve">2025/26</t>
        </is>
      </c>
      <c r="D7405">
        <v>10.944</v>
      </c>
      <c r="E7405">
        <v>21.61</v>
      </c>
      <c r="F7405">
        <v>26.03</v>
      </c>
      <c r="G7405">
        <v>18.7</v>
      </c>
      <c r="H7405">
        <v>10.74</v>
      </c>
      <c r="I7405">
        <v>5.903</v>
      </c>
      <c r="J7405">
        <v>21.84</v>
      </c>
      <c r="K7405">
        <v>25.81</v>
      </c>
      <c r="L7405">
        <v>19.18</v>
      </c>
      <c r="M7405">
        <v>10.72</v>
      </c>
      <c r="N7405">
        <v>1.532</v>
      </c>
      <c r="O7405">
        <v>22.51</v>
      </c>
      <c r="P7405">
        <v>27.45</v>
      </c>
      <c r="Q7405">
        <v>19.56</v>
      </c>
      <c r="R7405">
        <v>7.76</v>
      </c>
    </row>
    <row r="7406">
      <c r="A7406" s="9">
        <v>45937</v>
      </c>
      <c r="B7406" s="2" t="inlineStr">
        <is>
          <t xml:space="preserve">2025-10</t>
        </is>
      </c>
      <c r="C7406" s="2" t="inlineStr">
        <is>
          <t xml:space="preserve">2025/26</t>
        </is>
      </c>
      <c r="D7406">
        <v>2.668</v>
      </c>
      <c r="E7406">
        <v>21.86</v>
      </c>
      <c r="F7406">
        <v>26.3</v>
      </c>
      <c r="G7406">
        <v>17.85</v>
      </c>
      <c r="H7406">
        <v>3.3</v>
      </c>
      <c r="I7406">
        <v>21.64</v>
      </c>
      <c r="J7406">
        <v>22.2</v>
      </c>
      <c r="K7406">
        <v>25.75</v>
      </c>
      <c r="L7406">
        <v>19.49</v>
      </c>
      <c r="M7406">
        <v>7.16</v>
      </c>
      <c r="N7406">
        <v>1.198</v>
      </c>
      <c r="O7406">
        <v>23.08</v>
      </c>
      <c r="P7406">
        <v>27.62</v>
      </c>
      <c r="Q7406">
        <v>19.4</v>
      </c>
      <c r="R7406">
        <v>1.08</v>
      </c>
    </row>
    <row r="7407">
      <c r="A7407" s="9">
        <v>45938</v>
      </c>
      <c r="B7407" s="2" t="inlineStr">
        <is>
          <t xml:space="preserve">2025-10</t>
        </is>
      </c>
      <c r="C7407" s="2" t="inlineStr">
        <is>
          <t xml:space="preserve">2025/26</t>
        </is>
      </c>
      <c r="D7407">
        <v>0.13</v>
      </c>
      <c r="E7407">
        <v>22.16</v>
      </c>
      <c r="F7407">
        <v>25.7</v>
      </c>
      <c r="G7407">
        <v>19.96</v>
      </c>
      <c r="H7407">
        <v>1.2</v>
      </c>
      <c r="I7407">
        <v>0.0</v>
      </c>
      <c r="J7407">
        <v>22.58</v>
      </c>
      <c r="K7407">
        <v>26.71</v>
      </c>
      <c r="L7407">
        <v>19.54</v>
      </c>
      <c r="M7407">
        <v>1.83</v>
      </c>
      <c r="N7407">
        <v>0.0</v>
      </c>
      <c r="O7407">
        <v>22.5</v>
      </c>
      <c r="P7407">
        <v>25.56</v>
      </c>
      <c r="Q7407">
        <v>20.05</v>
      </c>
      <c r="R7407">
        <v>1.8</v>
      </c>
    </row>
    <row r="7408">
      <c r="A7408" s="9">
        <v>45939</v>
      </c>
      <c r="B7408" s="2" t="inlineStr">
        <is>
          <t xml:space="preserve">2025-10</t>
        </is>
      </c>
      <c r="C7408" s="2" t="inlineStr">
        <is>
          <t xml:space="preserve">2025/26</t>
        </is>
      </c>
      <c r="D7408">
        <v>13.86</v>
      </c>
      <c r="E7408">
        <v>22.35</v>
      </c>
      <c r="F7408">
        <v>26.9</v>
      </c>
      <c r="G7408">
        <v>19.16</v>
      </c>
      <c r="H7408">
        <v>21.09</v>
      </c>
      <c r="I7408">
        <v>14.183</v>
      </c>
      <c r="J7408">
        <v>23.59</v>
      </c>
      <c r="K7408">
        <v>29.51</v>
      </c>
      <c r="L7408">
        <v>18.8</v>
      </c>
      <c r="M7408">
        <v>3.11</v>
      </c>
      <c r="N7408">
        <v>1.638</v>
      </c>
      <c r="O7408">
        <v>23.27</v>
      </c>
      <c r="P7408">
        <v>28.5</v>
      </c>
      <c r="Q7408">
        <v>19.8</v>
      </c>
      <c r="R7408">
        <v>5.84</v>
      </c>
    </row>
    <row r="7409">
      <c r="A7409" s="9">
        <v>45940</v>
      </c>
      <c r="B7409" s="2" t="inlineStr">
        <is>
          <t xml:space="preserve">2025-10</t>
        </is>
      </c>
      <c r="C7409" s="2" t="inlineStr">
        <is>
          <t xml:space="preserve">2025/26</t>
        </is>
      </c>
      <c r="D7409">
        <v>8.727</v>
      </c>
      <c r="E7409">
        <v>22.0</v>
      </c>
      <c r="F7409">
        <v>26.7</v>
      </c>
      <c r="G7409">
        <v>18.54</v>
      </c>
      <c r="H7409">
        <v>12.81</v>
      </c>
      <c r="I7409">
        <v>6.927</v>
      </c>
      <c r="J7409">
        <v>23.03</v>
      </c>
      <c r="K7409">
        <v>28.18</v>
      </c>
      <c r="L7409">
        <v>18.69</v>
      </c>
      <c r="M7409">
        <v>6.07</v>
      </c>
      <c r="N7409">
        <v>0.417</v>
      </c>
      <c r="O7409">
        <v>22.87</v>
      </c>
      <c r="P7409">
        <v>27.81</v>
      </c>
      <c r="Q7409">
        <v>19.51</v>
      </c>
      <c r="R7409">
        <v>4.06</v>
      </c>
    </row>
    <row r="7410">
      <c r="A7410" s="9">
        <v>45941</v>
      </c>
      <c r="B7410" s="2" t="inlineStr">
        <is>
          <t xml:space="preserve">2025-10</t>
        </is>
      </c>
      <c r="C7410" s="2" t="inlineStr">
        <is>
          <t xml:space="preserve">2025/26</t>
        </is>
      </c>
      <c r="D7410">
        <v>12.964</v>
      </c>
      <c r="E7410">
        <v>21.47</v>
      </c>
      <c r="F7410">
        <v>25.18</v>
      </c>
      <c r="G7410">
        <v>18.35</v>
      </c>
      <c r="H7410">
        <v>17.87</v>
      </c>
      <c r="I7410">
        <v>3.897</v>
      </c>
      <c r="J7410">
        <v>22.94</v>
      </c>
      <c r="K7410">
        <v>27.9</v>
      </c>
      <c r="L7410">
        <v>19.44</v>
      </c>
      <c r="M7410">
        <v>8.81</v>
      </c>
      <c r="N7410">
        <v>17.153</v>
      </c>
      <c r="O7410">
        <v>23.28</v>
      </c>
      <c r="P7410">
        <v>28.7</v>
      </c>
      <c r="Q7410">
        <v>19.16</v>
      </c>
      <c r="R7410">
        <v>13.94</v>
      </c>
    </row>
    <row r="7411">
      <c r="A7411" s="9">
        <v>45942</v>
      </c>
      <c r="B7411" s="2" t="inlineStr">
        <is>
          <t xml:space="preserve">2025-10</t>
        </is>
      </c>
      <c r="C7411" s="2" t="inlineStr">
        <is>
          <t xml:space="preserve">2025/26</t>
        </is>
      </c>
      <c r="D7411">
        <v>17.173</v>
      </c>
      <c r="E7411">
        <v>21.39</v>
      </c>
      <c r="F7411">
        <v>25.53</v>
      </c>
      <c r="G7411">
        <v>18.46</v>
      </c>
      <c r="H7411">
        <v>17.18</v>
      </c>
      <c r="I7411">
        <v>3.48</v>
      </c>
      <c r="J7411">
        <v>22.32</v>
      </c>
      <c r="K7411">
        <v>26.54</v>
      </c>
      <c r="L7411">
        <v>19.34</v>
      </c>
      <c r="M7411">
        <v>5.54</v>
      </c>
      <c r="N7411">
        <v>15.582</v>
      </c>
      <c r="O7411">
        <v>22.4</v>
      </c>
      <c r="P7411">
        <v>26.67</v>
      </c>
      <c r="Q7411">
        <v>19.68</v>
      </c>
      <c r="R7411">
        <v>7.15</v>
      </c>
    </row>
    <row r="7412">
      <c r="A7412" s="9">
        <v>45943</v>
      </c>
      <c r="B7412" s="2" t="inlineStr">
        <is>
          <t xml:space="preserve">2025-10</t>
        </is>
      </c>
      <c r="C7412" s="2" t="inlineStr">
        <is>
          <t xml:space="preserve">2025/26</t>
        </is>
      </c>
      <c r="D7412">
        <v>17.916</v>
      </c>
      <c r="E7412">
        <v>20.83</v>
      </c>
      <c r="F7412">
        <v>24.23</v>
      </c>
      <c r="G7412">
        <v>18.92</v>
      </c>
      <c r="H7412">
        <v>12.53</v>
      </c>
      <c r="I7412">
        <v>2.547</v>
      </c>
      <c r="J7412">
        <v>22.44</v>
      </c>
      <c r="K7412">
        <v>26.98</v>
      </c>
      <c r="L7412">
        <v>19.52</v>
      </c>
      <c r="M7412">
        <v>2.12</v>
      </c>
      <c r="N7412">
        <v>0.569</v>
      </c>
      <c r="O7412">
        <v>22.26</v>
      </c>
      <c r="P7412">
        <v>26.62</v>
      </c>
      <c r="Q7412">
        <v>19.44</v>
      </c>
      <c r="R7412">
        <v>1.73</v>
      </c>
    </row>
    <row r="7413">
      <c r="A7413" s="9">
        <v>45944</v>
      </c>
      <c r="B7413" s="2" t="inlineStr">
        <is>
          <t xml:space="preserve">2025-10</t>
        </is>
      </c>
      <c r="C7413" s="2" t="inlineStr">
        <is>
          <t xml:space="preserve">2025/26</t>
        </is>
      </c>
      <c r="D7413">
        <v>13.563</v>
      </c>
      <c r="E7413">
        <v>20.56</v>
      </c>
      <c r="F7413">
        <v>23.23</v>
      </c>
      <c r="G7413">
        <v>18.57</v>
      </c>
      <c r="H7413">
        <v>13.79</v>
      </c>
      <c r="I7413">
        <v>5.597</v>
      </c>
      <c r="J7413">
        <v>21.23</v>
      </c>
      <c r="K7413">
        <v>24.69</v>
      </c>
      <c r="L7413">
        <v>19.43</v>
      </c>
      <c r="M7413">
        <v>4.6</v>
      </c>
      <c r="N7413">
        <v>0.835</v>
      </c>
      <c r="O7413">
        <v>22.0</v>
      </c>
      <c r="P7413">
        <v>26.73</v>
      </c>
      <c r="Q7413">
        <v>19.69</v>
      </c>
      <c r="R7413">
        <v>3.09</v>
      </c>
    </row>
    <row r="7414">
      <c r="A7414" s="9">
        <v>45945</v>
      </c>
      <c r="B7414" s="2" t="inlineStr">
        <is>
          <t xml:space="preserve">2025-10</t>
        </is>
      </c>
      <c r="C7414" s="2" t="inlineStr">
        <is>
          <t xml:space="preserve">2025/26</t>
        </is>
      </c>
      <c r="D7414">
        <v>6.044</v>
      </c>
      <c r="E7414">
        <v>21.38</v>
      </c>
      <c r="F7414">
        <v>25.39</v>
      </c>
      <c r="G7414">
        <v>18.41</v>
      </c>
      <c r="H7414">
        <v>5.26</v>
      </c>
      <c r="I7414">
        <v>2.956</v>
      </c>
      <c r="J7414">
        <v>21.88</v>
      </c>
      <c r="K7414">
        <v>26.64</v>
      </c>
      <c r="L7414">
        <v>17.78</v>
      </c>
      <c r="M7414">
        <v>0.37</v>
      </c>
      <c r="N7414">
        <v>0.216</v>
      </c>
      <c r="O7414">
        <v>22.09</v>
      </c>
      <c r="P7414">
        <v>26.92</v>
      </c>
      <c r="Q7414">
        <v>19.03</v>
      </c>
      <c r="R7414">
        <v>0.49</v>
      </c>
    </row>
    <row r="7415">
      <c r="A7415" s="9">
        <v>45946</v>
      </c>
      <c r="B7415" s="2" t="inlineStr">
        <is>
          <t xml:space="preserve">2025-10</t>
        </is>
      </c>
      <c r="C7415" s="2" t="inlineStr">
        <is>
          <t xml:space="preserve">2025/26</t>
        </is>
      </c>
      <c r="D7415">
        <v>3.328</v>
      </c>
      <c r="E7415">
        <v>21.96</v>
      </c>
      <c r="F7415">
        <v>26.4</v>
      </c>
      <c r="G7415">
        <v>18.73</v>
      </c>
      <c r="H7415">
        <v>5.59</v>
      </c>
      <c r="I7415">
        <v>1.023</v>
      </c>
      <c r="J7415">
        <v>22.42</v>
      </c>
      <c r="K7415">
        <v>27.19</v>
      </c>
      <c r="L7415">
        <v>18.73</v>
      </c>
      <c r="M7415">
        <v>12.95</v>
      </c>
      <c r="N7415">
        <v>0.273</v>
      </c>
      <c r="O7415">
        <v>22.85</v>
      </c>
      <c r="P7415">
        <v>28.04</v>
      </c>
      <c r="Q7415">
        <v>19.05</v>
      </c>
      <c r="R7415">
        <v>3.73</v>
      </c>
    </row>
    <row r="7416">
      <c r="A7416" s="9">
        <v>45947</v>
      </c>
      <c r="B7416" s="2" t="inlineStr">
        <is>
          <t xml:space="preserve">2025-10</t>
        </is>
      </c>
      <c r="C7416" s="2" t="inlineStr">
        <is>
          <t xml:space="preserve">2025/26</t>
        </is>
      </c>
      <c r="D7416">
        <v>6.274</v>
      </c>
      <c r="E7416">
        <v>22.32</v>
      </c>
      <c r="F7416">
        <v>26.66</v>
      </c>
      <c r="G7416">
        <v>19.67</v>
      </c>
      <c r="H7416">
        <v>5.74</v>
      </c>
      <c r="I7416">
        <v>25.674</v>
      </c>
      <c r="J7416">
        <v>22.56</v>
      </c>
      <c r="K7416">
        <v>26.54</v>
      </c>
      <c r="L7416">
        <v>19.95</v>
      </c>
      <c r="M7416">
        <v>10.16</v>
      </c>
      <c r="N7416">
        <v>2.577</v>
      </c>
      <c r="O7416">
        <v>23.38</v>
      </c>
      <c r="P7416">
        <v>28.02</v>
      </c>
      <c r="Q7416">
        <v>20.4</v>
      </c>
      <c r="R7416">
        <v>6.21</v>
      </c>
    </row>
    <row r="7417">
      <c r="A7417" s="9">
        <v>45948</v>
      </c>
      <c r="B7417" s="2" t="inlineStr">
        <is>
          <t xml:space="preserve">2025-10</t>
        </is>
      </c>
      <c r="C7417" s="2" t="inlineStr">
        <is>
          <t xml:space="preserve">2025/26</t>
        </is>
      </c>
      <c r="D7417">
        <v>13.511</v>
      </c>
      <c r="E7417">
        <v>22.09</v>
      </c>
      <c r="F7417">
        <v>26.34</v>
      </c>
      <c r="G7417">
        <v>18.56</v>
      </c>
      <c r="H7417">
        <v>14.09</v>
      </c>
      <c r="I7417">
        <v>12.053</v>
      </c>
      <c r="J7417">
        <v>22.9</v>
      </c>
      <c r="K7417">
        <v>26.85</v>
      </c>
      <c r="L7417">
        <v>19.65</v>
      </c>
      <c r="M7417">
        <v>9.75</v>
      </c>
      <c r="N7417">
        <v>20.148</v>
      </c>
      <c r="O7417">
        <v>23.01</v>
      </c>
      <c r="P7417">
        <v>27.0</v>
      </c>
      <c r="Q7417">
        <v>20.07</v>
      </c>
      <c r="R7417">
        <v>8.13</v>
      </c>
    </row>
    <row r="7418">
      <c r="A7418" s="9">
        <v>45949</v>
      </c>
      <c r="B7418" s="2" t="inlineStr">
        <is>
          <t xml:space="preserve">2025-10</t>
        </is>
      </c>
      <c r="C7418" s="2" t="inlineStr">
        <is>
          <t xml:space="preserve">2025/26</t>
        </is>
      </c>
      <c r="D7418">
        <v>7.688</v>
      </c>
      <c r="E7418">
        <v>21.87</v>
      </c>
      <c r="F7418">
        <v>25.84</v>
      </c>
      <c r="G7418">
        <v>18.71</v>
      </c>
      <c r="H7418">
        <v>8.44</v>
      </c>
      <c r="I7418">
        <v>1.762</v>
      </c>
      <c r="J7418">
        <v>21.95</v>
      </c>
      <c r="K7418">
        <v>24.0</v>
      </c>
      <c r="L7418">
        <v>20.37</v>
      </c>
      <c r="M7418">
        <v>9.39</v>
      </c>
      <c r="N7418">
        <v>3.007</v>
      </c>
      <c r="O7418">
        <v>23.09</v>
      </c>
      <c r="P7418">
        <v>26.18</v>
      </c>
      <c r="Q7418">
        <v>21.28</v>
      </c>
      <c r="R7418">
        <v>4.12</v>
      </c>
    </row>
    <row r="7419">
      <c r="A7419" s="9">
        <v>45950</v>
      </c>
      <c r="B7419" s="2" t="inlineStr">
        <is>
          <t xml:space="preserve">2025-10</t>
        </is>
      </c>
      <c r="C7419" s="2" t="inlineStr">
        <is>
          <t xml:space="preserve">2025/26</t>
        </is>
      </c>
      <c r="D7419">
        <v>1.142</v>
      </c>
      <c r="E7419">
        <v>21.14</v>
      </c>
      <c r="F7419">
        <v>25.35</v>
      </c>
      <c r="G7419">
        <v>18.1</v>
      </c>
      <c r="H7419">
        <v>3.8</v>
      </c>
      <c r="I7419">
        <v>17.218</v>
      </c>
      <c r="J7419">
        <v>21.98</v>
      </c>
      <c r="K7419">
        <v>25.65</v>
      </c>
      <c r="L7419">
        <v>19.3</v>
      </c>
      <c r="M7419">
        <v>2.99</v>
      </c>
      <c r="N7419">
        <v>0.76</v>
      </c>
      <c r="O7419">
        <v>22.19</v>
      </c>
      <c r="P7419">
        <v>25.4</v>
      </c>
      <c r="Q7419">
        <v>20.08</v>
      </c>
      <c r="R7419">
        <v>2.19</v>
      </c>
    </row>
    <row r="7420">
      <c r="A7420" s="9">
        <v>45951</v>
      </c>
      <c r="B7420" s="2" t="inlineStr">
        <is>
          <t xml:space="preserve">2025-10</t>
        </is>
      </c>
      <c r="C7420" s="2" t="inlineStr">
        <is>
          <t xml:space="preserve">2025/26</t>
        </is>
      </c>
      <c r="D7420">
        <v>4.352</v>
      </c>
      <c r="E7420">
        <v>20.64</v>
      </c>
      <c r="F7420">
        <v>25.69</v>
      </c>
      <c r="G7420">
        <v>16.74</v>
      </c>
      <c r="H7420">
        <v>0.91</v>
      </c>
      <c r="I7420">
        <v>3.112</v>
      </c>
      <c r="J7420">
        <v>22.23</v>
      </c>
      <c r="K7420">
        <v>27.1</v>
      </c>
      <c r="L7420">
        <v>18.6</v>
      </c>
      <c r="M7420">
        <v>3.78</v>
      </c>
      <c r="N7420">
        <v>1.729</v>
      </c>
      <c r="O7420">
        <v>22.58</v>
      </c>
      <c r="P7420">
        <v>27.52</v>
      </c>
      <c r="Q7420">
        <v>19.56</v>
      </c>
      <c r="R7420">
        <v>1.93</v>
      </c>
    </row>
    <row r="7421">
      <c r="A7421" s="9">
        <v>45952</v>
      </c>
      <c r="B7421" s="2" t="inlineStr">
        <is>
          <t xml:space="preserve">2025-10</t>
        </is>
      </c>
      <c r="C7421" s="2" t="inlineStr">
        <is>
          <t xml:space="preserve">2025/26</t>
        </is>
      </c>
      <c r="D7421">
        <v>0.0</v>
      </c>
      <c r="E7421">
        <v>20.56</v>
      </c>
      <c r="F7421">
        <v>25.58</v>
      </c>
      <c r="G7421">
        <v>16.81</v>
      </c>
      <c r="H7421">
        <v>3.21</v>
      </c>
      <c r="I7421">
        <v>5.949</v>
      </c>
      <c r="J7421">
        <v>21.74</v>
      </c>
      <c r="K7421">
        <v>26.39</v>
      </c>
      <c r="L7421">
        <v>18.54</v>
      </c>
      <c r="M7421">
        <v>2.43</v>
      </c>
      <c r="N7421">
        <v>0.379</v>
      </c>
      <c r="O7421">
        <v>22.0</v>
      </c>
      <c r="P7421">
        <v>26.22</v>
      </c>
      <c r="Q7421">
        <v>19.47</v>
      </c>
      <c r="R7421">
        <v>3.16</v>
      </c>
    </row>
    <row r="7422">
      <c r="A7422" s="9">
        <v>45953</v>
      </c>
      <c r="B7422" s="2" t="inlineStr">
        <is>
          <t xml:space="preserve">2025-10</t>
        </is>
      </c>
      <c r="C7422" s="2" t="inlineStr">
        <is>
          <t xml:space="preserve">2025/26</t>
        </is>
      </c>
      <c r="D7422">
        <v>1.584</v>
      </c>
      <c r="E7422">
        <v>20.79</v>
      </c>
      <c r="F7422">
        <v>25.59</v>
      </c>
      <c r="G7422">
        <v>17.41</v>
      </c>
      <c r="H7422">
        <v>2.24</v>
      </c>
      <c r="I7422">
        <v>0.261</v>
      </c>
      <c r="J7422">
        <v>21.42</v>
      </c>
      <c r="K7422">
        <v>26.58</v>
      </c>
      <c r="L7422">
        <v>17.8</v>
      </c>
      <c r="M7422">
        <v>0.61</v>
      </c>
      <c r="N7422">
        <v>1.047</v>
      </c>
      <c r="O7422">
        <v>21.69</v>
      </c>
      <c r="P7422">
        <v>26.8</v>
      </c>
      <c r="Q7422">
        <v>18.58</v>
      </c>
      <c r="R7422">
        <v>2.46</v>
      </c>
    </row>
    <row r="7423">
      <c r="A7423" s="9">
        <v>45954</v>
      </c>
      <c r="B7423" s="2" t="inlineStr">
        <is>
          <t xml:space="preserve">2025-10</t>
        </is>
      </c>
      <c r="C7423" s="2" t="inlineStr">
        <is>
          <t xml:space="preserve">2025/26</t>
        </is>
      </c>
      <c r="D7423">
        <v>1.665</v>
      </c>
      <c r="E7423">
        <v>20.95</v>
      </c>
      <c r="F7423">
        <v>25.13</v>
      </c>
      <c r="G7423">
        <v>18.32</v>
      </c>
      <c r="H7423">
        <v>4.68</v>
      </c>
      <c r="I7423">
        <v>1.423</v>
      </c>
      <c r="J7423">
        <v>21.34</v>
      </c>
      <c r="K7423">
        <v>26.27</v>
      </c>
      <c r="L7423">
        <v>18.04</v>
      </c>
      <c r="M7423">
        <v>1.71</v>
      </c>
      <c r="N7423">
        <v>0.906</v>
      </c>
      <c r="O7423">
        <v>21.85</v>
      </c>
      <c r="P7423">
        <v>26.18</v>
      </c>
      <c r="Q7423">
        <v>18.97</v>
      </c>
      <c r="R7423">
        <v>4.54</v>
      </c>
    </row>
    <row r="7424">
      <c r="A7424" s="9">
        <v>45955</v>
      </c>
      <c r="B7424" s="2" t="inlineStr">
        <is>
          <t xml:space="preserve">2025-10</t>
        </is>
      </c>
      <c r="C7424" s="2" t="inlineStr">
        <is>
          <t xml:space="preserve">2025/26</t>
        </is>
      </c>
      <c r="D7424">
        <v>0.104</v>
      </c>
      <c r="E7424">
        <v>20.73</v>
      </c>
      <c r="F7424">
        <v>25.63</v>
      </c>
      <c r="G7424">
        <v>17.38</v>
      </c>
      <c r="H7424">
        <v>2.42</v>
      </c>
      <c r="I7424">
        <v>0.0</v>
      </c>
      <c r="J7424">
        <v>21.64</v>
      </c>
      <c r="K7424">
        <v>27.17</v>
      </c>
      <c r="L7424">
        <v>17.68</v>
      </c>
      <c r="M7424">
        <v>1.01</v>
      </c>
      <c r="N7424">
        <v>1.875</v>
      </c>
      <c r="O7424">
        <v>21.62</v>
      </c>
      <c r="P7424">
        <v>26.78</v>
      </c>
      <c r="Q7424">
        <v>18.25</v>
      </c>
      <c r="R7424">
        <v>4.72</v>
      </c>
    </row>
    <row r="7425">
      <c r="A7425" s="9">
        <v>45956</v>
      </c>
      <c r="B7425" s="2" t="inlineStr">
        <is>
          <t xml:space="preserve">2025-10</t>
        </is>
      </c>
      <c r="C7425" s="2" t="inlineStr">
        <is>
          <t xml:space="preserve">2025/26</t>
        </is>
      </c>
      <c r="D7425">
        <v>0.0</v>
      </c>
      <c r="E7425">
        <v>21.33</v>
      </c>
      <c r="F7425">
        <v>26.13</v>
      </c>
      <c r="G7425">
        <v>17.68</v>
      </c>
      <c r="H7425">
        <v>0.27</v>
      </c>
      <c r="I7425">
        <v>0.0</v>
      </c>
      <c r="J7425">
        <v>22.18</v>
      </c>
      <c r="K7425">
        <v>28.32</v>
      </c>
      <c r="L7425">
        <v>16.87</v>
      </c>
      <c r="M7425">
        <v>0.2</v>
      </c>
      <c r="N7425">
        <v>0.0</v>
      </c>
      <c r="O7425">
        <v>22.52</v>
      </c>
      <c r="P7425">
        <v>28.18</v>
      </c>
      <c r="Q7425">
        <v>18.44</v>
      </c>
      <c r="R7425">
        <v>0.27</v>
      </c>
    </row>
    <row r="7426">
      <c r="A7426" s="9">
        <v>45957</v>
      </c>
      <c r="B7426" s="2" t="inlineStr">
        <is>
          <t xml:space="preserve">2025-10</t>
        </is>
      </c>
      <c r="C7426" s="2" t="inlineStr">
        <is>
          <t xml:space="preserve">2025/26</t>
        </is>
      </c>
      <c r="D7426">
        <v>0.0</v>
      </c>
      <c r="E7426">
        <v>21.03</v>
      </c>
      <c r="F7426">
        <v>25.81</v>
      </c>
      <c r="G7426">
        <v>17.63</v>
      </c>
      <c r="H7426">
        <v>1.78</v>
      </c>
      <c r="I7426">
        <v>0.442</v>
      </c>
      <c r="J7426">
        <v>22.36</v>
      </c>
      <c r="K7426">
        <v>27.82</v>
      </c>
      <c r="L7426">
        <v>18.59</v>
      </c>
      <c r="M7426">
        <v>0.47</v>
      </c>
      <c r="N7426">
        <v>0.0</v>
      </c>
      <c r="O7426">
        <v>22.45</v>
      </c>
      <c r="P7426">
        <v>27.49</v>
      </c>
      <c r="Q7426">
        <v>19.02</v>
      </c>
      <c r="R7426">
        <v>1.02</v>
      </c>
    </row>
    <row r="7427">
      <c r="A7427" s="9">
        <v>45958</v>
      </c>
      <c r="B7427" s="2" t="inlineStr">
        <is>
          <t xml:space="preserve">2025-10</t>
        </is>
      </c>
      <c r="C7427" s="2" t="inlineStr">
        <is>
          <t xml:space="preserve">2025/26</t>
        </is>
      </c>
      <c r="D7427">
        <v>0.201</v>
      </c>
      <c r="E7427">
        <v>21.32</v>
      </c>
      <c r="F7427">
        <v>25.78</v>
      </c>
      <c r="G7427">
        <v>18.17</v>
      </c>
      <c r="H7427">
        <v>1.91</v>
      </c>
      <c r="I7427">
        <v>0.0</v>
      </c>
      <c r="J7427">
        <v>22.46</v>
      </c>
      <c r="K7427">
        <v>26.72</v>
      </c>
      <c r="L7427">
        <v>19.15</v>
      </c>
      <c r="M7427">
        <v>0.31</v>
      </c>
      <c r="N7427">
        <v>0.611</v>
      </c>
      <c r="O7427">
        <v>22.62</v>
      </c>
      <c r="P7427">
        <v>27.44</v>
      </c>
      <c r="Q7427">
        <v>19.77</v>
      </c>
      <c r="R7427">
        <v>2.34</v>
      </c>
    </row>
    <row r="7428">
      <c r="A7428" s="9">
        <v>45959</v>
      </c>
      <c r="B7428" s="2" t="inlineStr">
        <is>
          <t xml:space="preserve">2025-10</t>
        </is>
      </c>
      <c r="C7428" s="2" t="inlineStr">
        <is>
          <t xml:space="preserve">2025/26</t>
        </is>
      </c>
      <c r="D7428">
        <v>0.0</v>
      </c>
      <c r="E7428">
        <v>20.84</v>
      </c>
      <c r="F7428">
        <v>25.17</v>
      </c>
      <c r="G7428">
        <v>18.24</v>
      </c>
      <c r="H7428">
        <v>1.06</v>
      </c>
      <c r="I7428">
        <v>0.0</v>
      </c>
      <c r="J7428">
        <v>22.39</v>
      </c>
      <c r="K7428">
        <v>27.18</v>
      </c>
      <c r="L7428">
        <v>18.9</v>
      </c>
      <c r="M7428">
        <v>0.21</v>
      </c>
      <c r="N7428">
        <v>0.0</v>
      </c>
      <c r="O7428">
        <v>22.37</v>
      </c>
      <c r="P7428">
        <v>26.85</v>
      </c>
      <c r="Q7428">
        <v>19.26</v>
      </c>
      <c r="R7428">
        <v>1.57</v>
      </c>
    </row>
    <row r="7429">
      <c r="A7429" s="9">
        <v>45960</v>
      </c>
      <c r="B7429" s="2" t="inlineStr">
        <is>
          <t xml:space="preserve">2025-10</t>
        </is>
      </c>
      <c r="C7429" s="2" t="inlineStr">
        <is>
          <t xml:space="preserve">2025/26</t>
        </is>
      </c>
      <c r="D7429">
        <v>0.072</v>
      </c>
      <c r="E7429">
        <v>19.29</v>
      </c>
      <c r="F7429">
        <v>22.9</v>
      </c>
      <c r="G7429">
        <v>16.4</v>
      </c>
      <c r="H7429">
        <v>4.6</v>
      </c>
      <c r="I7429">
        <v>0.065</v>
      </c>
      <c r="J7429">
        <v>20.16</v>
      </c>
      <c r="K7429">
        <v>24.11</v>
      </c>
      <c r="L7429">
        <v>17.31</v>
      </c>
      <c r="M7429">
        <v>0.64</v>
      </c>
      <c r="N7429">
        <v>0.876</v>
      </c>
      <c r="O7429">
        <v>20.41</v>
      </c>
      <c r="P7429">
        <v>23.76</v>
      </c>
      <c r="Q7429">
        <v>17.53</v>
      </c>
      <c r="R7429">
        <v>8.01</v>
      </c>
    </row>
    <row r="7430">
      <c r="A7430" s="9">
        <v>45961</v>
      </c>
      <c r="B7430" s="2" t="inlineStr">
        <is>
          <t xml:space="preserve">2025-10</t>
        </is>
      </c>
      <c r="C7430" s="2" t="inlineStr">
        <is>
          <t xml:space="preserve">2025/26</t>
        </is>
      </c>
      <c r="D7430">
        <v>0.02</v>
      </c>
      <c r="E7430">
        <v>19.55</v>
      </c>
      <c r="F7430">
        <v>24.55</v>
      </c>
      <c r="G7430">
        <v>16.4</v>
      </c>
      <c r="H7430">
        <v>1.21</v>
      </c>
      <c r="I7430">
        <v>0.0</v>
      </c>
      <c r="J7430">
        <v>20.47</v>
      </c>
      <c r="K7430">
        <v>26.09</v>
      </c>
      <c r="L7430">
        <v>17.09</v>
      </c>
      <c r="M7430">
        <v>0.22</v>
      </c>
      <c r="N7430">
        <v>0.107</v>
      </c>
      <c r="O7430">
        <v>19.89</v>
      </c>
      <c r="P7430">
        <v>24.65</v>
      </c>
      <c r="Q7430">
        <v>17.28</v>
      </c>
      <c r="R7430">
        <v>2.2</v>
      </c>
    </row>
    <row r="7431">
      <c r="A7431" s="9">
        <v>45962</v>
      </c>
      <c r="B7431" s="2" t="inlineStr">
        <is>
          <t xml:space="preserve">2025-11</t>
        </is>
      </c>
      <c r="C7431" s="2" t="inlineStr">
        <is>
          <t xml:space="preserve">2025/26</t>
        </is>
      </c>
      <c r="D7431">
        <v>0.0</v>
      </c>
      <c r="E7431">
        <v>19.6</v>
      </c>
      <c r="F7431">
        <v>24.58</v>
      </c>
      <c r="G7431">
        <v>15.81</v>
      </c>
      <c r="H7431">
        <v>0.01</v>
      </c>
      <c r="I7431">
        <v>0.0</v>
      </c>
      <c r="J7431">
        <v>20.42</v>
      </c>
      <c r="K7431">
        <v>26.13</v>
      </c>
      <c r="L7431">
        <v>16.08</v>
      </c>
      <c r="M7431">
        <v>0.01</v>
      </c>
      <c r="N7431">
        <v>0.0</v>
      </c>
      <c r="O7431">
        <v>19.9</v>
      </c>
      <c r="P7431">
        <v>25.03</v>
      </c>
      <c r="Q7431">
        <v>15.98</v>
      </c>
      <c r="R7431">
        <v>0.03</v>
      </c>
    </row>
    <row r="7432">
      <c r="A7432" s="9">
        <v>45963</v>
      </c>
      <c r="B7432" s="2" t="inlineStr">
        <is>
          <t xml:space="preserve">2025-11</t>
        </is>
      </c>
      <c r="C7432" s="2" t="inlineStr">
        <is>
          <t xml:space="preserve">2025/26</t>
        </is>
      </c>
      <c r="D7432">
        <v>0.0</v>
      </c>
      <c r="E7432">
        <v>20.34</v>
      </c>
      <c r="F7432">
        <v>25.18</v>
      </c>
      <c r="G7432">
        <v>16.71</v>
      </c>
      <c r="H7432">
        <v>2.55</v>
      </c>
      <c r="I7432">
        <v>0.0</v>
      </c>
      <c r="J7432">
        <v>21.64</v>
      </c>
      <c r="K7432">
        <v>27.51</v>
      </c>
      <c r="L7432">
        <v>16.8</v>
      </c>
      <c r="M7432">
        <v>1.27</v>
      </c>
      <c r="N7432">
        <v>0.025</v>
      </c>
      <c r="O7432">
        <v>21.41</v>
      </c>
      <c r="P7432">
        <v>26.91</v>
      </c>
      <c r="Q7432">
        <v>17.13</v>
      </c>
      <c r="R7432">
        <v>3.33</v>
      </c>
    </row>
    <row r="7433">
      <c r="A7433" s="9">
        <v>45964</v>
      </c>
      <c r="B7433" s="2" t="inlineStr">
        <is>
          <t xml:space="preserve">2025-11</t>
        </is>
      </c>
      <c r="C7433" s="2" t="inlineStr">
        <is>
          <t xml:space="preserve">2025/26</t>
        </is>
      </c>
      <c r="D7433">
        <v>0.78</v>
      </c>
      <c r="E7433">
        <v>19.68</v>
      </c>
      <c r="F7433">
        <v>23.34</v>
      </c>
      <c r="G7433">
        <v>17.15</v>
      </c>
      <c r="H7433">
        <v>3.66</v>
      </c>
      <c r="I7433">
        <v>2.322</v>
      </c>
      <c r="J7433">
        <v>20.65</v>
      </c>
      <c r="K7433">
        <v>23.87</v>
      </c>
      <c r="L7433">
        <v>17.83</v>
      </c>
      <c r="M7433">
        <v>1.95</v>
      </c>
      <c r="N7433">
        <v>2.529</v>
      </c>
      <c r="O7433">
        <v>20.38</v>
      </c>
      <c r="P7433">
        <v>22.66</v>
      </c>
      <c r="Q7433">
        <v>17.8</v>
      </c>
      <c r="R7433">
        <v>9.78</v>
      </c>
    </row>
    <row r="7434">
      <c r="A7434" s="9">
        <v>45965</v>
      </c>
      <c r="B7434" s="2" t="inlineStr">
        <is>
          <t xml:space="preserve">2025-11</t>
        </is>
      </c>
      <c r="C7434" s="2" t="inlineStr">
        <is>
          <t xml:space="preserve">2025/26</t>
        </is>
      </c>
      <c r="D7434">
        <v>0.074</v>
      </c>
      <c r="E7434">
        <v>20.16</v>
      </c>
      <c r="F7434">
        <v>22.89</v>
      </c>
      <c r="G7434">
        <v>18.13</v>
      </c>
      <c r="H7434">
        <v>2.39</v>
      </c>
      <c r="I7434">
        <v>0.0</v>
      </c>
      <c r="J7434">
        <v>20.19</v>
      </c>
      <c r="K7434">
        <v>24.53</v>
      </c>
      <c r="L7434">
        <v>17.18</v>
      </c>
      <c r="M7434">
        <v>0.03</v>
      </c>
      <c r="N7434">
        <v>0.0</v>
      </c>
      <c r="O7434">
        <v>19.61</v>
      </c>
      <c r="P7434">
        <v>23.35</v>
      </c>
      <c r="Q7434">
        <v>16.99</v>
      </c>
      <c r="R7434">
        <v>0.93</v>
      </c>
    </row>
    <row r="7435">
      <c r="A7435" s="9">
        <v>45966</v>
      </c>
      <c r="B7435" s="2" t="inlineStr">
        <is>
          <t xml:space="preserve">2025-11</t>
        </is>
      </c>
      <c r="C7435" s="2" t="inlineStr">
        <is>
          <t xml:space="preserve">2025/26</t>
        </is>
      </c>
      <c r="D7435">
        <v>0.0</v>
      </c>
      <c r="E7435">
        <v>20.68</v>
      </c>
      <c r="F7435">
        <v>25.37</v>
      </c>
      <c r="G7435">
        <v>17.41</v>
      </c>
      <c r="H7435">
        <v>0.11</v>
      </c>
      <c r="I7435">
        <v>0.0</v>
      </c>
      <c r="J7435">
        <v>21.84</v>
      </c>
      <c r="K7435">
        <v>27.59</v>
      </c>
      <c r="L7435">
        <v>17.7</v>
      </c>
      <c r="M7435">
        <v>0.0</v>
      </c>
      <c r="N7435">
        <v>0.0</v>
      </c>
      <c r="O7435">
        <v>21.84</v>
      </c>
      <c r="P7435">
        <v>27.14</v>
      </c>
      <c r="Q7435">
        <v>18.24</v>
      </c>
      <c r="R7435">
        <v>0.01</v>
      </c>
    </row>
    <row r="7436">
      <c r="A7436" s="9">
        <v>45967</v>
      </c>
      <c r="B7436" s="2" t="inlineStr">
        <is>
          <t xml:space="preserve">2025-11</t>
        </is>
      </c>
      <c r="C7436" s="2" t="inlineStr">
        <is>
          <t xml:space="preserve">2025/26</t>
        </is>
      </c>
      <c r="D7436">
        <v>0.035</v>
      </c>
      <c r="E7436">
        <v>20.85</v>
      </c>
      <c r="F7436">
        <v>25.84</v>
      </c>
      <c r="G7436">
        <v>17.42</v>
      </c>
      <c r="H7436">
        <v>0.18</v>
      </c>
      <c r="I7436">
        <v>0.0</v>
      </c>
      <c r="J7436">
        <v>22.14</v>
      </c>
      <c r="K7436">
        <v>27.91</v>
      </c>
      <c r="L7436">
        <v>17.68</v>
      </c>
      <c r="M7436">
        <v>0.01</v>
      </c>
      <c r="N7436">
        <v>0.0</v>
      </c>
      <c r="O7436">
        <v>22.01</v>
      </c>
      <c r="P7436">
        <v>27.36</v>
      </c>
      <c r="Q7436">
        <v>18.17</v>
      </c>
      <c r="R7436">
        <v>0.02</v>
      </c>
    </row>
    <row r="7437">
      <c r="A7437" s="9">
        <v>45968</v>
      </c>
      <c r="B7437" s="2" t="inlineStr">
        <is>
          <t xml:space="preserve">2025-11</t>
        </is>
      </c>
      <c r="C7437" s="2" t="inlineStr">
        <is>
          <t xml:space="preserve">2025/26</t>
        </is>
      </c>
      <c r="D7437">
        <v>0.275</v>
      </c>
      <c r="E7437">
        <v>21.33</v>
      </c>
      <c r="F7437">
        <v>26.55</v>
      </c>
      <c r="G7437">
        <v>17.67</v>
      </c>
      <c r="H7437">
        <v>0.28</v>
      </c>
      <c r="I7437">
        <v>0.0</v>
      </c>
      <c r="J7437">
        <v>22.97</v>
      </c>
      <c r="K7437">
        <v>28.99</v>
      </c>
      <c r="L7437">
        <v>17.88</v>
      </c>
      <c r="M7437">
        <v>0.0</v>
      </c>
      <c r="N7437">
        <v>0.0</v>
      </c>
      <c r="O7437">
        <v>22.89</v>
      </c>
      <c r="P7437">
        <v>28.56</v>
      </c>
      <c r="Q7437">
        <v>18.82</v>
      </c>
      <c r="R7437">
        <v>0.0</v>
      </c>
    </row>
    <row r="7438">
      <c r="A7438" s="9">
        <v>45969</v>
      </c>
      <c r="B7438" s="2" t="inlineStr">
        <is>
          <t xml:space="preserve">2025-11</t>
        </is>
      </c>
      <c r="C7438" s="2" t="inlineStr">
        <is>
          <t xml:space="preserve">2025/26</t>
        </is>
      </c>
      <c r="D7438">
        <v>0.0</v>
      </c>
      <c r="E7438">
        <v>21.26</v>
      </c>
      <c r="F7438">
        <v>26.71</v>
      </c>
      <c r="G7438">
        <v>16.68</v>
      </c>
      <c r="H7438">
        <v>0.02</v>
      </c>
      <c r="I7438">
        <v>0.0</v>
      </c>
      <c r="J7438">
        <v>23.58</v>
      </c>
      <c r="K7438">
        <v>29.56</v>
      </c>
      <c r="L7438">
        <v>18.76</v>
      </c>
      <c r="M7438">
        <v>0.0</v>
      </c>
      <c r="N7438">
        <v>0.0</v>
      </c>
      <c r="O7438">
        <v>23.07</v>
      </c>
      <c r="P7438">
        <v>28.6</v>
      </c>
      <c r="Q7438">
        <v>19.54</v>
      </c>
      <c r="R7438">
        <v>0.0</v>
      </c>
    </row>
    <row r="7439">
      <c r="A7439" s="9">
        <v>45970</v>
      </c>
      <c r="B7439" s="2" t="inlineStr">
        <is>
          <t xml:space="preserve">2025-11</t>
        </is>
      </c>
      <c r="C7439" s="2" t="inlineStr">
        <is>
          <t xml:space="preserve">2025/26</t>
        </is>
      </c>
      <c r="D7439">
        <v>0.205</v>
      </c>
      <c r="E7439">
        <v>21.83</v>
      </c>
      <c r="F7439">
        <v>26.05</v>
      </c>
      <c r="G7439">
        <v>18.84</v>
      </c>
      <c r="H7439">
        <v>4.9</v>
      </c>
      <c r="I7439">
        <v>0.0</v>
      </c>
      <c r="J7439">
        <v>22.99</v>
      </c>
      <c r="K7439">
        <v>28.71</v>
      </c>
      <c r="L7439">
        <v>18.03</v>
      </c>
      <c r="M7439">
        <v>4.27</v>
      </c>
      <c r="N7439">
        <v>0.0</v>
      </c>
      <c r="O7439">
        <v>23.34</v>
      </c>
      <c r="P7439">
        <v>28.72</v>
      </c>
      <c r="Q7439">
        <v>19.52</v>
      </c>
      <c r="R7439">
        <v>4.12</v>
      </c>
    </row>
    <row r="7440">
      <c r="A7440" s="9">
        <v>45971</v>
      </c>
      <c r="B7440" s="2" t="inlineStr">
        <is>
          <t xml:space="preserve">2025-11</t>
        </is>
      </c>
      <c r="C7440" s="2" t="inlineStr">
        <is>
          <t xml:space="preserve">2025/26</t>
        </is>
      </c>
      <c r="D7440">
        <v>7.337</v>
      </c>
      <c r="E7440">
        <v>20.79</v>
      </c>
      <c r="F7440">
        <v>24.92</v>
      </c>
      <c r="G7440">
        <v>18.25</v>
      </c>
      <c r="H7440">
        <v>7.18</v>
      </c>
      <c r="I7440">
        <v>5.308</v>
      </c>
      <c r="J7440">
        <v>21.2</v>
      </c>
      <c r="K7440">
        <v>24.54</v>
      </c>
      <c r="L7440">
        <v>18.0</v>
      </c>
      <c r="M7440">
        <v>2.94</v>
      </c>
      <c r="N7440">
        <v>3.325</v>
      </c>
      <c r="O7440">
        <v>21.07</v>
      </c>
      <c r="P7440">
        <v>23.65</v>
      </c>
      <c r="Q7440">
        <v>18.63</v>
      </c>
      <c r="R7440">
        <v>11.16</v>
      </c>
    </row>
    <row r="7441">
      <c r="A7441" s="9">
        <v>45972</v>
      </c>
      <c r="B7441" s="2" t="inlineStr">
        <is>
          <t xml:space="preserve">2025-11</t>
        </is>
      </c>
      <c r="C7441" s="2" t="inlineStr">
        <is>
          <t xml:space="preserve">2025/26</t>
        </is>
      </c>
      <c r="D7441">
        <v>0.955</v>
      </c>
      <c r="E7441">
        <v>19.96</v>
      </c>
      <c r="F7441">
        <v>23.02</v>
      </c>
      <c r="G7441">
        <v>18.43</v>
      </c>
      <c r="H7441">
        <v>10.72</v>
      </c>
      <c r="I7441">
        <v>0.581</v>
      </c>
      <c r="J7441">
        <v>18.62</v>
      </c>
      <c r="K7441">
        <v>21.67</v>
      </c>
      <c r="L7441">
        <v>15.36</v>
      </c>
      <c r="M7441">
        <v>3.63</v>
      </c>
      <c r="N7441">
        <v>2.854</v>
      </c>
      <c r="O7441">
        <v>17.89</v>
      </c>
      <c r="P7441">
        <v>19.31</v>
      </c>
      <c r="Q7441">
        <v>15.7</v>
      </c>
      <c r="R7441">
        <v>22.54</v>
      </c>
    </row>
    <row r="7442">
      <c r="A7442" s="9">
        <v>45973</v>
      </c>
      <c r="B7442" s="2" t="inlineStr">
        <is>
          <t xml:space="preserve">2025-11</t>
        </is>
      </c>
      <c r="C7442" s="2" t="inlineStr">
        <is>
          <t xml:space="preserve">2025/26</t>
        </is>
      </c>
      <c r="D7442">
        <v>1.773</v>
      </c>
      <c r="E7442">
        <v>20.17</v>
      </c>
      <c r="F7442">
        <v>23.71</v>
      </c>
      <c r="G7442">
        <v>17.53</v>
      </c>
      <c r="H7442">
        <v>12.07</v>
      </c>
      <c r="I7442">
        <v>1.195</v>
      </c>
      <c r="J7442">
        <v>17.54</v>
      </c>
      <c r="K7442">
        <v>21.75</v>
      </c>
      <c r="L7442">
        <v>14.78</v>
      </c>
      <c r="M7442">
        <v>1.79</v>
      </c>
      <c r="N7442">
        <v>3.272</v>
      </c>
      <c r="O7442">
        <v>17.18</v>
      </c>
      <c r="P7442">
        <v>19.39</v>
      </c>
      <c r="Q7442">
        <v>15.01</v>
      </c>
      <c r="R7442">
        <v>8.24</v>
      </c>
    </row>
    <row r="7443">
      <c r="A7443" s="9">
        <v>45974</v>
      </c>
      <c r="B7443" s="2" t="inlineStr">
        <is>
          <t xml:space="preserve">2025-11</t>
        </is>
      </c>
      <c r="C7443" s="2" t="inlineStr">
        <is>
          <t xml:space="preserve">2025/26</t>
        </is>
      </c>
      <c r="D7443">
        <v>0.629</v>
      </c>
      <c r="E7443">
        <v>19.37</v>
      </c>
      <c r="F7443">
        <v>23.43</v>
      </c>
      <c r="G7443">
        <v>16.57</v>
      </c>
      <c r="H7443">
        <v>0.68</v>
      </c>
      <c r="I7443">
        <v>0.092</v>
      </c>
      <c r="J7443">
        <v>19.09</v>
      </c>
      <c r="K7443">
        <v>23.58</v>
      </c>
      <c r="L7443">
        <v>16.19</v>
      </c>
      <c r="M7443">
        <v>0.3</v>
      </c>
      <c r="N7443">
        <v>0.461</v>
      </c>
      <c r="O7443">
        <v>19.19</v>
      </c>
      <c r="P7443">
        <v>22.4</v>
      </c>
      <c r="Q7443">
        <v>16.56</v>
      </c>
      <c r="R7443">
        <v>0.76</v>
      </c>
    </row>
    <row r="7444">
      <c r="A7444" s="9">
        <v>45975</v>
      </c>
      <c r="B7444" s="2" t="inlineStr">
        <is>
          <t xml:space="preserve">2025-11</t>
        </is>
      </c>
      <c r="C7444" s="2" t="inlineStr">
        <is>
          <t xml:space="preserve">2025/26</t>
        </is>
      </c>
      <c r="D7444">
        <v>0.129</v>
      </c>
      <c r="E7444">
        <v>19.66</v>
      </c>
      <c r="F7444">
        <v>23.54</v>
      </c>
      <c r="G7444">
        <v>16.91</v>
      </c>
      <c r="H7444">
        <v>0.32</v>
      </c>
      <c r="I7444">
        <v>0.102</v>
      </c>
      <c r="J7444">
        <v>20.83</v>
      </c>
      <c r="K7444">
        <v>26.16</v>
      </c>
      <c r="L7444">
        <v>17.16</v>
      </c>
      <c r="M7444">
        <v>0.29</v>
      </c>
      <c r="N7444">
        <v>0.482</v>
      </c>
      <c r="O7444">
        <v>20.68</v>
      </c>
      <c r="P7444">
        <v>25.36</v>
      </c>
      <c r="Q7444">
        <v>17.63</v>
      </c>
      <c r="R7444">
        <v>0.41</v>
      </c>
    </row>
    <row r="7445">
      <c r="A7445" s="9">
        <v>45976</v>
      </c>
      <c r="B7445" s="2" t="inlineStr">
        <is>
          <t xml:space="preserve">2025-11</t>
        </is>
      </c>
      <c r="C7445" s="2" t="inlineStr">
        <is>
          <t xml:space="preserve">2025/26</t>
        </is>
      </c>
      <c r="D7445">
        <v>0.06</v>
      </c>
      <c r="E7445">
        <v>20.19</v>
      </c>
      <c r="F7445">
        <v>25.46</v>
      </c>
      <c r="G7445">
        <v>16.85</v>
      </c>
      <c r="H7445">
        <v>0.15</v>
      </c>
      <c r="I7445">
        <v>0.0</v>
      </c>
      <c r="J7445">
        <v>20.97</v>
      </c>
      <c r="K7445">
        <v>26.74</v>
      </c>
      <c r="L7445">
        <v>16.34</v>
      </c>
      <c r="M7445">
        <v>0.25</v>
      </c>
      <c r="N7445">
        <v>0.213</v>
      </c>
      <c r="O7445">
        <v>20.56</v>
      </c>
      <c r="P7445">
        <v>25.71</v>
      </c>
      <c r="Q7445">
        <v>17.58</v>
      </c>
      <c r="R7445">
        <v>0.09</v>
      </c>
    </row>
    <row r="7446">
      <c r="A7446" s="9">
        <v>45977</v>
      </c>
      <c r="B7446" s="2" t="inlineStr">
        <is>
          <t xml:space="preserve">2025-11</t>
        </is>
      </c>
      <c r="C7446" s="2" t="inlineStr">
        <is>
          <t xml:space="preserve">2025/26</t>
        </is>
      </c>
      <c r="D7446">
        <v>0.389</v>
      </c>
      <c r="E7446">
        <v>20.77</v>
      </c>
      <c r="F7446">
        <v>25.94</v>
      </c>
      <c r="G7446">
        <v>16.94</v>
      </c>
      <c r="H7446">
        <v>0.31</v>
      </c>
      <c r="I7446">
        <v>0.0</v>
      </c>
      <c r="J7446">
        <v>22.19</v>
      </c>
      <c r="K7446">
        <v>28.94</v>
      </c>
      <c r="L7446">
        <v>16.5</v>
      </c>
      <c r="M7446">
        <v>0.09</v>
      </c>
      <c r="N7446">
        <v>0.0</v>
      </c>
      <c r="O7446">
        <v>21.82</v>
      </c>
      <c r="P7446">
        <v>27.27</v>
      </c>
      <c r="Q7446">
        <v>18.09</v>
      </c>
      <c r="R7446">
        <v>0.06</v>
      </c>
    </row>
    <row r="7447">
      <c r="A7447" s="9">
        <v>45978</v>
      </c>
      <c r="B7447" s="2" t="inlineStr">
        <is>
          <t xml:space="preserve">2025-11</t>
        </is>
      </c>
      <c r="C7447" s="2" t="inlineStr">
        <is>
          <t xml:space="preserve">2025/26</t>
        </is>
      </c>
      <c r="D7447">
        <v>0.0</v>
      </c>
      <c r="E7447">
        <v>21.19</v>
      </c>
      <c r="F7447">
        <v>26.12</v>
      </c>
      <c r="G7447">
        <v>16.92</v>
      </c>
      <c r="H7447">
        <v>1.13</v>
      </c>
      <c r="I7447">
        <v>0.174</v>
      </c>
      <c r="J7447">
        <v>22.89</v>
      </c>
      <c r="K7447">
        <v>27.78</v>
      </c>
      <c r="L7447">
        <v>19.07</v>
      </c>
      <c r="M7447">
        <v>4.92</v>
      </c>
      <c r="N7447">
        <v>0.0</v>
      </c>
      <c r="O7447">
        <v>22.41</v>
      </c>
      <c r="P7447">
        <v>27.75</v>
      </c>
      <c r="Q7447">
        <v>18.35</v>
      </c>
      <c r="R7447">
        <v>0.77</v>
      </c>
    </row>
    <row r="7448">
      <c r="A7448" s="9">
        <v>45979</v>
      </c>
      <c r="B7448" s="2" t="inlineStr">
        <is>
          <t xml:space="preserve">2025-11</t>
        </is>
      </c>
      <c r="C7448" s="2" t="inlineStr">
        <is>
          <t xml:space="preserve">2025/26</t>
        </is>
      </c>
      <c r="D7448">
        <v>0.037</v>
      </c>
      <c r="E7448">
        <v>20.83</v>
      </c>
      <c r="F7448">
        <v>25.62</v>
      </c>
      <c r="G7448">
        <v>17.59</v>
      </c>
      <c r="H7448">
        <v>0.51</v>
      </c>
      <c r="I7448">
        <v>21.698</v>
      </c>
      <c r="J7448">
        <v>22.48</v>
      </c>
      <c r="K7448">
        <v>27.48</v>
      </c>
      <c r="L7448">
        <v>19.26</v>
      </c>
      <c r="M7448">
        <v>6.88</v>
      </c>
      <c r="N7448">
        <v>1.084</v>
      </c>
      <c r="O7448">
        <v>22.15</v>
      </c>
      <c r="P7448">
        <v>26.76</v>
      </c>
      <c r="Q7448">
        <v>19.43</v>
      </c>
      <c r="R7448">
        <v>1.22</v>
      </c>
    </row>
    <row r="7449">
      <c r="A7449" s="9">
        <v>45980</v>
      </c>
      <c r="B7449" s="2" t="inlineStr">
        <is>
          <t xml:space="preserve">2025-11</t>
        </is>
      </c>
      <c r="C7449" s="2" t="inlineStr">
        <is>
          <t xml:space="preserve">2025/26</t>
        </is>
      </c>
      <c r="D7449">
        <v>0.0</v>
      </c>
      <c r="E7449">
        <v>20.11</v>
      </c>
      <c r="F7449">
        <v>25.35</v>
      </c>
      <c r="G7449">
        <v>16.47</v>
      </c>
      <c r="H7449">
        <v>0.14</v>
      </c>
      <c r="I7449">
        <v>0.0</v>
      </c>
      <c r="J7449">
        <v>22.01</v>
      </c>
      <c r="K7449">
        <v>27.48</v>
      </c>
      <c r="L7449">
        <v>18.11</v>
      </c>
      <c r="M7449">
        <v>0.15</v>
      </c>
      <c r="N7449">
        <v>0.0</v>
      </c>
      <c r="O7449">
        <v>22.01</v>
      </c>
      <c r="P7449">
        <v>27.1</v>
      </c>
      <c r="Q7449">
        <v>18.75</v>
      </c>
      <c r="R7449">
        <v>0.49</v>
      </c>
    </row>
    <row r="7450">
      <c r="A7450" s="9">
        <v>45981</v>
      </c>
      <c r="B7450" s="2" t="inlineStr">
        <is>
          <t xml:space="preserve">2025-11</t>
        </is>
      </c>
      <c r="C7450" s="2" t="inlineStr">
        <is>
          <t xml:space="preserve">2025/26</t>
        </is>
      </c>
      <c r="D7450">
        <v>0.0</v>
      </c>
      <c r="E7450">
        <v>19.34</v>
      </c>
      <c r="F7450">
        <v>24.79</v>
      </c>
      <c r="G7450">
        <v>15.03</v>
      </c>
      <c r="H7450">
        <v>0.0</v>
      </c>
      <c r="I7450">
        <v>0.0</v>
      </c>
      <c r="J7450">
        <v>21.53</v>
      </c>
      <c r="K7450">
        <v>27.68</v>
      </c>
      <c r="L7450">
        <v>16.86</v>
      </c>
      <c r="M7450">
        <v>0.07</v>
      </c>
      <c r="N7450">
        <v>0.0</v>
      </c>
      <c r="O7450">
        <v>21.26</v>
      </c>
      <c r="P7450">
        <v>26.39</v>
      </c>
      <c r="Q7450">
        <v>17.88</v>
      </c>
      <c r="R7450">
        <v>0.02</v>
      </c>
    </row>
    <row r="7451">
      <c r="A7451" s="9">
        <v>45982</v>
      </c>
      <c r="B7451" s="2" t="inlineStr">
        <is>
          <t xml:space="preserve">2025-11</t>
        </is>
      </c>
      <c r="C7451" s="2" t="inlineStr">
        <is>
          <t xml:space="preserve">2025/26</t>
        </is>
      </c>
      <c r="D7451">
        <v>0.0</v>
      </c>
      <c r="E7451">
        <v>19.6</v>
      </c>
      <c r="F7451">
        <v>25.07</v>
      </c>
      <c r="G7451">
        <v>15.04</v>
      </c>
      <c r="H7451">
        <v>0.02</v>
      </c>
      <c r="I7451">
        <v>0.0</v>
      </c>
      <c r="J7451">
        <v>21.48</v>
      </c>
      <c r="K7451">
        <v>28.1</v>
      </c>
      <c r="L7451">
        <v>16.9</v>
      </c>
      <c r="M7451">
        <v>0.0</v>
      </c>
      <c r="N7451">
        <v>0.0</v>
      </c>
      <c r="O7451">
        <v>21.47</v>
      </c>
      <c r="P7451">
        <v>26.81</v>
      </c>
      <c r="Q7451">
        <v>17.74</v>
      </c>
      <c r="R7451">
        <v>0.04</v>
      </c>
    </row>
    <row r="7452">
      <c r="A7452" s="9">
        <v>45983</v>
      </c>
      <c r="B7452" s="2" t="inlineStr">
        <is>
          <t xml:space="preserve">2025-11</t>
        </is>
      </c>
      <c r="C7452" s="2" t="inlineStr">
        <is>
          <t xml:space="preserve">2025/26</t>
        </is>
      </c>
      <c r="D7452">
        <v>0.0</v>
      </c>
      <c r="E7452">
        <v>20.38</v>
      </c>
      <c r="F7452">
        <v>25.15</v>
      </c>
      <c r="G7452">
        <v>16.77</v>
      </c>
      <c r="H7452">
        <v>0.34</v>
      </c>
      <c r="I7452">
        <v>0.0</v>
      </c>
      <c r="J7452">
        <v>21.9</v>
      </c>
      <c r="K7452">
        <v>28.15</v>
      </c>
      <c r="L7452">
        <v>17.67</v>
      </c>
      <c r="M7452">
        <v>0.37</v>
      </c>
      <c r="N7452">
        <v>0.0</v>
      </c>
      <c r="O7452">
        <v>21.67</v>
      </c>
      <c r="P7452">
        <v>26.77</v>
      </c>
      <c r="Q7452">
        <v>18.43</v>
      </c>
      <c r="R7452">
        <v>1.03</v>
      </c>
    </row>
    <row r="7453">
      <c r="A7453" s="9">
        <v>45984</v>
      </c>
      <c r="B7453" s="2" t="inlineStr">
        <is>
          <t xml:space="preserve">2025-11</t>
        </is>
      </c>
      <c r="C7453" s="2" t="inlineStr">
        <is>
          <t xml:space="preserve">2025/26</t>
        </is>
      </c>
      <c r="D7453">
        <v>0.422</v>
      </c>
      <c r="E7453">
        <v>20.79</v>
      </c>
      <c r="F7453">
        <v>24.96</v>
      </c>
      <c r="G7453">
        <v>17.57</v>
      </c>
      <c r="H7453">
        <v>5.47</v>
      </c>
      <c r="I7453">
        <v>0.0</v>
      </c>
      <c r="J7453">
        <v>20.92</v>
      </c>
      <c r="K7453">
        <v>25.92</v>
      </c>
      <c r="L7453">
        <v>17.52</v>
      </c>
      <c r="M7453">
        <v>1.82</v>
      </c>
      <c r="N7453">
        <v>3.602</v>
      </c>
      <c r="O7453">
        <v>20.48</v>
      </c>
      <c r="P7453">
        <v>23.93</v>
      </c>
      <c r="Q7453">
        <v>18.51</v>
      </c>
      <c r="R7453">
        <v>8.38</v>
      </c>
    </row>
    <row r="7454">
      <c r="A7454" s="9">
        <v>45985</v>
      </c>
      <c r="B7454" s="2" t="inlineStr">
        <is>
          <t xml:space="preserve">2025-11</t>
        </is>
      </c>
      <c r="C7454" s="2" t="inlineStr">
        <is>
          <t xml:space="preserve">2025/26</t>
        </is>
      </c>
      <c r="D7454">
        <v>0.46</v>
      </c>
      <c r="E7454">
        <v>20.73</v>
      </c>
      <c r="F7454">
        <v>25.26</v>
      </c>
      <c r="G7454">
        <v>17.64</v>
      </c>
      <c r="H7454">
        <v>0.72</v>
      </c>
      <c r="I7454">
        <v>0.0</v>
      </c>
      <c r="J7454">
        <v>22.42</v>
      </c>
      <c r="K7454">
        <v>28.94</v>
      </c>
      <c r="L7454">
        <v>17.56</v>
      </c>
      <c r="M7454">
        <v>0.03</v>
      </c>
      <c r="N7454">
        <v>0.0</v>
      </c>
      <c r="O7454">
        <v>22.03</v>
      </c>
      <c r="P7454">
        <v>27.21</v>
      </c>
      <c r="Q7454">
        <v>18.92</v>
      </c>
      <c r="R7454">
        <v>0.48</v>
      </c>
    </row>
    <row r="7455">
      <c r="A7455" s="9">
        <v>45986</v>
      </c>
      <c r="B7455" s="2" t="inlineStr">
        <is>
          <t xml:space="preserve">2025-11</t>
        </is>
      </c>
      <c r="C7455" s="2" t="inlineStr">
        <is>
          <t xml:space="preserve">2025/26</t>
        </is>
      </c>
      <c r="D7455">
        <v>0.0</v>
      </c>
      <c r="E7455">
        <v>20.32</v>
      </c>
      <c r="F7455">
        <v>25.48</v>
      </c>
      <c r="G7455">
        <v>16.19</v>
      </c>
      <c r="H7455">
        <v>0.08</v>
      </c>
      <c r="I7455">
        <v>0.0</v>
      </c>
      <c r="J7455">
        <v>22.8</v>
      </c>
      <c r="K7455">
        <v>29.19</v>
      </c>
      <c r="L7455">
        <v>18.03</v>
      </c>
      <c r="M7455">
        <v>0.02</v>
      </c>
      <c r="N7455">
        <v>0.0</v>
      </c>
      <c r="O7455">
        <v>22.41</v>
      </c>
      <c r="P7455">
        <v>27.74</v>
      </c>
      <c r="Q7455">
        <v>19.14</v>
      </c>
      <c r="R7455">
        <v>0.26</v>
      </c>
    </row>
    <row r="7456">
      <c r="A7456" s="9">
        <v>45987</v>
      </c>
      <c r="B7456" s="2" t="inlineStr">
        <is>
          <t xml:space="preserve">2025-11</t>
        </is>
      </c>
      <c r="C7456" s="2" t="inlineStr">
        <is>
          <t xml:space="preserve">2025/26</t>
        </is>
      </c>
      <c r="D7456">
        <v>0.0</v>
      </c>
      <c r="E7456">
        <v>19.73</v>
      </c>
      <c r="F7456">
        <v>24.99</v>
      </c>
      <c r="G7456">
        <v>15.89</v>
      </c>
      <c r="H7456">
        <v>0.01</v>
      </c>
      <c r="I7456">
        <v>0.0</v>
      </c>
      <c r="J7456">
        <v>22.46</v>
      </c>
      <c r="K7456">
        <v>28.47</v>
      </c>
      <c r="L7456">
        <v>18.03</v>
      </c>
      <c r="M7456">
        <v>0.01</v>
      </c>
      <c r="N7456">
        <v>0.0</v>
      </c>
      <c r="O7456">
        <v>22.01</v>
      </c>
      <c r="P7456">
        <v>26.82</v>
      </c>
      <c r="Q7456">
        <v>18.64</v>
      </c>
      <c r="R7456">
        <v>0.0</v>
      </c>
    </row>
    <row r="7457">
      <c r="A7457" s="9">
        <v>45988</v>
      </c>
      <c r="B7457" s="2" t="inlineStr">
        <is>
          <t xml:space="preserve">2025-11</t>
        </is>
      </c>
      <c r="C7457" s="2" t="inlineStr">
        <is>
          <t xml:space="preserve">2025/26</t>
        </is>
      </c>
      <c r="D7457">
        <v>0.0</v>
      </c>
      <c r="E7457">
        <v>19.35</v>
      </c>
      <c r="F7457">
        <v>23.87</v>
      </c>
      <c r="G7457">
        <v>16.4</v>
      </c>
      <c r="H7457">
        <v>0.14</v>
      </c>
      <c r="I7457">
        <v>0.0</v>
      </c>
      <c r="J7457">
        <v>21.33</v>
      </c>
      <c r="K7457">
        <v>26.78</v>
      </c>
      <c r="L7457">
        <v>18.1</v>
      </c>
      <c r="M7457">
        <v>0.32</v>
      </c>
      <c r="N7457">
        <v>0.0</v>
      </c>
      <c r="O7457">
        <v>20.73</v>
      </c>
      <c r="P7457">
        <v>24.94</v>
      </c>
      <c r="Q7457">
        <v>18.34</v>
      </c>
      <c r="R7457">
        <v>0.63</v>
      </c>
    </row>
    <row r="7458">
      <c r="A7458" s="9">
        <v>45989</v>
      </c>
      <c r="B7458" s="2" t="inlineStr">
        <is>
          <t xml:space="preserve">2025-11</t>
        </is>
      </c>
      <c r="C7458" s="2" t="inlineStr">
        <is>
          <t xml:space="preserve">2025/26</t>
        </is>
      </c>
      <c r="D7458">
        <v>0.0</v>
      </c>
      <c r="E7458">
        <v>18.15</v>
      </c>
      <c r="F7458">
        <v>21.97</v>
      </c>
      <c r="G7458">
        <v>15.65</v>
      </c>
      <c r="H7458">
        <v>0.85</v>
      </c>
      <c r="I7458">
        <v>0.06</v>
      </c>
      <c r="J7458">
        <v>20.5</v>
      </c>
      <c r="K7458">
        <v>25.8</v>
      </c>
      <c r="L7458">
        <v>16.48</v>
      </c>
      <c r="M7458">
        <v>0.59</v>
      </c>
      <c r="N7458">
        <v>0.685</v>
      </c>
      <c r="O7458">
        <v>19.95</v>
      </c>
      <c r="P7458">
        <v>24.51</v>
      </c>
      <c r="Q7458">
        <v>17.31</v>
      </c>
      <c r="R7458">
        <v>2.59</v>
      </c>
    </row>
    <row r="7459">
      <c r="A7459" s="9">
        <v>45990</v>
      </c>
      <c r="B7459" s="2" t="inlineStr">
        <is>
          <t xml:space="preserve">2025-11</t>
        </is>
      </c>
      <c r="C7459" s="2" t="inlineStr">
        <is>
          <t xml:space="preserve">2025/26</t>
        </is>
      </c>
      <c r="D7459">
        <v>0.0</v>
      </c>
      <c r="E7459">
        <v>18.69</v>
      </c>
      <c r="F7459">
        <v>23.68</v>
      </c>
      <c r="G7459">
        <v>15.17</v>
      </c>
      <c r="H7459">
        <v>2.24</v>
      </c>
      <c r="I7459">
        <v>0.0</v>
      </c>
      <c r="J7459">
        <v>20.57</v>
      </c>
      <c r="K7459">
        <v>26.66</v>
      </c>
      <c r="L7459">
        <v>16.21</v>
      </c>
      <c r="M7459">
        <v>1.43</v>
      </c>
      <c r="N7459">
        <v>2.213</v>
      </c>
      <c r="O7459">
        <v>19.94</v>
      </c>
      <c r="P7459">
        <v>24.62</v>
      </c>
      <c r="Q7459">
        <v>16.88</v>
      </c>
      <c r="R7459">
        <v>6.64</v>
      </c>
    </row>
    <row r="7460">
      <c r="A7460" s="9">
        <v>45991</v>
      </c>
      <c r="B7460" s="2" t="inlineStr">
        <is>
          <t xml:space="preserve">2025-11</t>
        </is>
      </c>
      <c r="C7460" s="2" t="inlineStr">
        <is>
          <t xml:space="preserve">2025/26</t>
        </is>
      </c>
      <c r="D7460">
        <v>0.0</v>
      </c>
      <c r="E7460">
        <v>19.31</v>
      </c>
      <c r="F7460">
        <v>24.67</v>
      </c>
      <c r="G7460">
        <v>15.16</v>
      </c>
      <c r="H7460">
        <v>0.16</v>
      </c>
      <c r="I7460">
        <v>0.0</v>
      </c>
      <c r="J7460">
        <v>21.29</v>
      </c>
      <c r="K7460">
        <v>28.22</v>
      </c>
      <c r="L7460">
        <v>16.17</v>
      </c>
      <c r="M7460">
        <v>0.0</v>
      </c>
      <c r="N7460">
        <v>0.0</v>
      </c>
      <c r="O7460">
        <v>20.53</v>
      </c>
      <c r="P7460">
        <v>26.1</v>
      </c>
      <c r="Q7460">
        <v>16.9</v>
      </c>
      <c r="R7460">
        <v>0.03</v>
      </c>
    </row>
    <row r="7461">
      <c r="A7461" s="9">
        <v>45992</v>
      </c>
      <c r="B7461" s="2" t="inlineStr">
        <is>
          <t xml:space="preserve">2025-12</t>
        </is>
      </c>
      <c r="C7461" s="2" t="inlineStr">
        <is>
          <t xml:space="preserve">2025/26</t>
        </is>
      </c>
      <c r="D7461">
        <v>0.0</v>
      </c>
      <c r="E7461">
        <v>20.09</v>
      </c>
      <c r="F7461">
        <v>24.77</v>
      </c>
      <c r="G7461">
        <v>16.67</v>
      </c>
      <c r="H7461">
        <v>0.21</v>
      </c>
      <c r="I7461">
        <v>0.0</v>
      </c>
      <c r="J7461">
        <v>21.92</v>
      </c>
      <c r="K7461">
        <v>28.27</v>
      </c>
      <c r="L7461">
        <v>16.87</v>
      </c>
      <c r="M7461">
        <v>0.0</v>
      </c>
      <c r="N7461">
        <v>0.0</v>
      </c>
      <c r="O7461">
        <v>21.19</v>
      </c>
      <c r="P7461">
        <v>26.47</v>
      </c>
      <c r="Q7461">
        <v>17.33</v>
      </c>
      <c r="R7461">
        <v>0.15</v>
      </c>
    </row>
    <row r="7462">
      <c r="A7462" s="9">
        <v>45993</v>
      </c>
      <c r="B7462" s="2" t="inlineStr">
        <is>
          <t xml:space="preserve">2025-12</t>
        </is>
      </c>
      <c r="C7462" s="2" t="inlineStr">
        <is>
          <t xml:space="preserve">2025/26</t>
        </is>
      </c>
      <c r="D7462">
        <v>0.0</v>
      </c>
      <c r="E7462">
        <v>20.72</v>
      </c>
      <c r="F7462">
        <v>25.25</v>
      </c>
      <c r="G7462">
        <v>17.19</v>
      </c>
      <c r="H7462">
        <v>0.34</v>
      </c>
      <c r="I7462">
        <v>0.0</v>
      </c>
      <c r="J7462">
        <v>22.52</v>
      </c>
      <c r="K7462">
        <v>28.67</v>
      </c>
      <c r="L7462">
        <v>17.91</v>
      </c>
      <c r="M7462">
        <v>0.06</v>
      </c>
      <c r="N7462">
        <v>0.0</v>
      </c>
      <c r="O7462">
        <v>21.85</v>
      </c>
      <c r="P7462">
        <v>27.08</v>
      </c>
      <c r="Q7462">
        <v>18.1</v>
      </c>
      <c r="R7462">
        <v>0.01</v>
      </c>
    </row>
    <row r="7463">
      <c r="A7463" s="9">
        <v>45994</v>
      </c>
      <c r="B7463" s="2" t="inlineStr">
        <is>
          <t xml:space="preserve">2025-12</t>
        </is>
      </c>
      <c r="C7463" s="2" t="inlineStr">
        <is>
          <t xml:space="preserve">2025/26</t>
        </is>
      </c>
      <c r="D7463">
        <v>0.382</v>
      </c>
      <c r="E7463">
        <v>20.25</v>
      </c>
      <c r="F7463">
        <v>24.75</v>
      </c>
      <c r="G7463">
        <v>17.62</v>
      </c>
      <c r="H7463">
        <v>0.26</v>
      </c>
      <c r="I7463">
        <v>0.067</v>
      </c>
      <c r="J7463">
        <v>22.51</v>
      </c>
      <c r="K7463">
        <v>28.85</v>
      </c>
      <c r="L7463">
        <v>18.27</v>
      </c>
      <c r="M7463">
        <v>0.01</v>
      </c>
      <c r="N7463">
        <v>0.0</v>
      </c>
      <c r="O7463">
        <v>21.68</v>
      </c>
      <c r="P7463">
        <v>26.76</v>
      </c>
      <c r="Q7463">
        <v>18.6</v>
      </c>
      <c r="R7463">
        <v>0.01</v>
      </c>
    </row>
    <row r="7464">
      <c r="A7464" s="9">
        <v>45995</v>
      </c>
      <c r="B7464" s="2" t="inlineStr">
        <is>
          <t xml:space="preserve">2025-12</t>
        </is>
      </c>
      <c r="C7464" s="2" t="inlineStr">
        <is>
          <t xml:space="preserve">2025/26</t>
        </is>
      </c>
      <c r="D7464">
        <v>0.0</v>
      </c>
      <c r="E7464">
        <v>20.06</v>
      </c>
      <c r="F7464">
        <v>24.98</v>
      </c>
      <c r="G7464">
        <v>16.65</v>
      </c>
      <c r="H7464">
        <v>0.0</v>
      </c>
      <c r="I7464">
        <v>0.0</v>
      </c>
      <c r="J7464">
        <v>22.96</v>
      </c>
      <c r="K7464">
        <v>29.58</v>
      </c>
      <c r="L7464">
        <v>17.81</v>
      </c>
      <c r="M7464">
        <v>0.0</v>
      </c>
      <c r="N7464">
        <v>0.0</v>
      </c>
      <c r="O7464">
        <v>22.14</v>
      </c>
      <c r="P7464">
        <v>27.81</v>
      </c>
      <c r="Q7464">
        <v>18.36</v>
      </c>
      <c r="R7464">
        <v>0.0</v>
      </c>
    </row>
    <row r="7465">
      <c r="A7465" s="9">
        <v>45996</v>
      </c>
      <c r="B7465" s="2" t="inlineStr">
        <is>
          <t xml:space="preserve">2025-12</t>
        </is>
      </c>
      <c r="C7465" s="2" t="inlineStr">
        <is>
          <t xml:space="preserve">2025/26</t>
        </is>
      </c>
      <c r="D7465">
        <v>0.0</v>
      </c>
      <c r="E7465">
        <v>19.72</v>
      </c>
      <c r="F7465">
        <v>25.07</v>
      </c>
      <c r="G7465">
        <v>15.25</v>
      </c>
      <c r="H7465">
        <v>0.01</v>
      </c>
      <c r="I7465">
        <v>0.0</v>
      </c>
      <c r="J7465">
        <v>23.17</v>
      </c>
      <c r="K7465">
        <v>29.37</v>
      </c>
      <c r="L7465">
        <v>18.28</v>
      </c>
      <c r="M7465">
        <v>0.02</v>
      </c>
      <c r="N7465">
        <v>0.0</v>
      </c>
      <c r="O7465">
        <v>22.22</v>
      </c>
      <c r="P7465">
        <v>27.95</v>
      </c>
      <c r="Q7465">
        <v>18.42</v>
      </c>
      <c r="R7465">
        <v>0.01</v>
      </c>
    </row>
    <row r="7466">
      <c r="A7466" s="9">
        <v>45997</v>
      </c>
      <c r="B7466" s="2" t="inlineStr">
        <is>
          <t xml:space="preserve">2025-12</t>
        </is>
      </c>
      <c r="C7466" s="2" t="inlineStr">
        <is>
          <t xml:space="preserve">2025/26</t>
        </is>
      </c>
      <c r="D7466">
        <v>0.0</v>
      </c>
      <c r="E7466">
        <v>20.29</v>
      </c>
      <c r="F7466">
        <v>25.15</v>
      </c>
      <c r="G7466">
        <v>16.25</v>
      </c>
      <c r="H7466">
        <v>5.63</v>
      </c>
      <c r="I7466">
        <v>0.0</v>
      </c>
      <c r="J7466">
        <v>23.13</v>
      </c>
      <c r="K7466">
        <v>30.0</v>
      </c>
      <c r="L7466">
        <v>17.7</v>
      </c>
      <c r="M7466">
        <v>1.78</v>
      </c>
      <c r="N7466">
        <v>0.0</v>
      </c>
      <c r="O7466">
        <v>22.47</v>
      </c>
      <c r="P7466">
        <v>28.29</v>
      </c>
      <c r="Q7466">
        <v>18.86</v>
      </c>
      <c r="R7466">
        <v>2.88</v>
      </c>
    </row>
    <row r="7467">
      <c r="A7467" s="9">
        <v>45998</v>
      </c>
      <c r="B7467" s="2" t="inlineStr">
        <is>
          <t xml:space="preserve">2025-12</t>
        </is>
      </c>
      <c r="C7467" s="2" t="inlineStr">
        <is>
          <t xml:space="preserve">2025/26</t>
        </is>
      </c>
      <c r="D7467">
        <v>14.22</v>
      </c>
      <c r="E7467">
        <v>20.99</v>
      </c>
      <c r="F7467">
        <v>25.55</v>
      </c>
      <c r="G7467">
        <v>17.28</v>
      </c>
      <c r="H7467">
        <v>2.59</v>
      </c>
      <c r="I7467">
        <v>1.867</v>
      </c>
      <c r="J7467">
        <v>22.93</v>
      </c>
      <c r="K7467">
        <v>29.01</v>
      </c>
      <c r="L7467">
        <v>18.6</v>
      </c>
      <c r="M7467">
        <v>3.57</v>
      </c>
      <c r="N7467">
        <v>7.878</v>
      </c>
      <c r="O7467">
        <v>22.68</v>
      </c>
      <c r="P7467">
        <v>28.42</v>
      </c>
      <c r="Q7467">
        <v>19.35</v>
      </c>
      <c r="R7467">
        <v>3.65</v>
      </c>
    </row>
    <row r="7468">
      <c r="A7468" s="9">
        <v>45999</v>
      </c>
      <c r="B7468" s="2" t="inlineStr">
        <is>
          <t xml:space="preserve">2025-12</t>
        </is>
      </c>
      <c r="C7468" s="2" t="inlineStr">
        <is>
          <t xml:space="preserve">2025/26</t>
        </is>
      </c>
      <c r="D7468">
        <v>3.723</v>
      </c>
      <c r="E7468">
        <v>21.05</v>
      </c>
      <c r="F7468">
        <v>25.63</v>
      </c>
      <c r="G7468">
        <v>17.19</v>
      </c>
      <c r="H7468">
        <v>2.84</v>
      </c>
      <c r="I7468">
        <v>5.191</v>
      </c>
      <c r="J7468">
        <v>23.23</v>
      </c>
      <c r="K7468">
        <v>29.04</v>
      </c>
      <c r="L7468">
        <v>19.5</v>
      </c>
      <c r="M7468">
        <v>4.97</v>
      </c>
      <c r="N7468">
        <v>0.275</v>
      </c>
      <c r="O7468">
        <v>22.98</v>
      </c>
      <c r="P7468">
        <v>28.32</v>
      </c>
      <c r="Q7468">
        <v>19.52</v>
      </c>
      <c r="R7468">
        <v>1.74</v>
      </c>
    </row>
    <row r="7469">
      <c r="A7469" s="9">
        <v>46000</v>
      </c>
      <c r="B7469" s="2" t="inlineStr">
        <is>
          <t xml:space="preserve">2025-12</t>
        </is>
      </c>
      <c r="C7469" s="2" t="inlineStr">
        <is>
          <t xml:space="preserve">2025/26</t>
        </is>
      </c>
      <c r="D7469">
        <v>4.978</v>
      </c>
      <c r="E7469">
        <v>20.46</v>
      </c>
      <c r="F7469">
        <v>25.19</v>
      </c>
      <c r="G7469">
        <v>17.18</v>
      </c>
      <c r="H7469">
        <v>1.62</v>
      </c>
      <c r="I7469">
        <v>6.647</v>
      </c>
      <c r="J7469">
        <v>22.18</v>
      </c>
      <c r="K7469">
        <v>27.62</v>
      </c>
      <c r="L7469">
        <v>18.57</v>
      </c>
      <c r="M7469">
        <v>3.85</v>
      </c>
      <c r="N7469">
        <v>3.867</v>
      </c>
      <c r="O7469">
        <v>21.96</v>
      </c>
      <c r="P7469">
        <v>26.86</v>
      </c>
      <c r="Q7469">
        <v>18.71</v>
      </c>
      <c r="R7469">
        <v>1.57</v>
      </c>
    </row>
    <row r="7470">
      <c r="A7470" s="9">
        <v>46001</v>
      </c>
      <c r="B7470" s="2" t="inlineStr">
        <is>
          <t xml:space="preserve">2025-12</t>
        </is>
      </c>
      <c r="C7470" s="2" t="inlineStr">
        <is>
          <t xml:space="preserve">2025/26</t>
        </is>
      </c>
      <c r="D7470">
        <v>0.0</v>
      </c>
      <c r="E7470">
        <v>19.86</v>
      </c>
      <c r="F7470">
        <v>24.87</v>
      </c>
      <c r="G7470">
        <v>16.41</v>
      </c>
      <c r="H7470">
        <v>0.14</v>
      </c>
      <c r="I7470">
        <v>0.0</v>
      </c>
      <c r="J7470">
        <v>21.56</v>
      </c>
      <c r="K7470">
        <v>27.74</v>
      </c>
      <c r="L7470">
        <v>17.0</v>
      </c>
      <c r="M7470">
        <v>0.11</v>
      </c>
      <c r="N7470">
        <v>0.0</v>
      </c>
      <c r="O7470">
        <v>21.33</v>
      </c>
      <c r="P7470">
        <v>26.6</v>
      </c>
      <c r="Q7470">
        <v>17.9</v>
      </c>
      <c r="R7470">
        <v>0.54</v>
      </c>
    </row>
    <row r="7471">
      <c r="A7471" s="9">
        <v>46002</v>
      </c>
      <c r="B7471" s="2" t="inlineStr">
        <is>
          <t xml:space="preserve">2025-12</t>
        </is>
      </c>
      <c r="C7471" s="2" t="inlineStr">
        <is>
          <t xml:space="preserve">2025/26</t>
        </is>
      </c>
      <c r="D7471">
        <v>0.0</v>
      </c>
      <c r="E7471">
        <v>20.34</v>
      </c>
      <c r="F7471">
        <v>24.99</v>
      </c>
      <c r="G7471">
        <v>16.53</v>
      </c>
      <c r="H7471">
        <v>0.51</v>
      </c>
      <c r="I7471">
        <v>0.0</v>
      </c>
      <c r="J7471">
        <v>21.51</v>
      </c>
      <c r="K7471">
        <v>27.63</v>
      </c>
      <c r="L7471">
        <v>16.85</v>
      </c>
      <c r="M7471">
        <v>0.1</v>
      </c>
      <c r="N7471">
        <v>0.0</v>
      </c>
      <c r="O7471">
        <v>20.97</v>
      </c>
      <c r="P7471">
        <v>26.12</v>
      </c>
      <c r="Q7471">
        <v>17.44</v>
      </c>
      <c r="R7471">
        <v>1.74</v>
      </c>
    </row>
    <row r="7472">
      <c r="A7472" s="9">
        <v>46003</v>
      </c>
      <c r="B7472" s="2" t="inlineStr">
        <is>
          <t xml:space="preserve">2025-12</t>
        </is>
      </c>
      <c r="C7472" s="2" t="inlineStr">
        <is>
          <t xml:space="preserve">2025/26</t>
        </is>
      </c>
      <c r="D7472">
        <v>0.0</v>
      </c>
      <c r="E7472">
        <v>20.38</v>
      </c>
      <c r="F7472">
        <v>25.06</v>
      </c>
      <c r="G7472">
        <v>17.13</v>
      </c>
      <c r="H7472">
        <v>0.13</v>
      </c>
      <c r="I7472">
        <v>0.0</v>
      </c>
      <c r="J7472">
        <v>22.43</v>
      </c>
      <c r="K7472">
        <v>29.12</v>
      </c>
      <c r="L7472">
        <v>17.79</v>
      </c>
      <c r="M7472">
        <v>0.11</v>
      </c>
      <c r="N7472">
        <v>0.0</v>
      </c>
      <c r="O7472">
        <v>22.02</v>
      </c>
      <c r="P7472">
        <v>27.78</v>
      </c>
      <c r="Q7472">
        <v>18.66</v>
      </c>
      <c r="R7472">
        <v>0.6</v>
      </c>
    </row>
    <row r="7473">
      <c r="A7473" s="9">
        <v>46004</v>
      </c>
      <c r="B7473" s="2" t="inlineStr">
        <is>
          <t xml:space="preserve">2025-12</t>
        </is>
      </c>
      <c r="C7473" s="2" t="inlineStr">
        <is>
          <t xml:space="preserve">2025/26</t>
        </is>
      </c>
      <c r="D7473">
        <v>0.039</v>
      </c>
      <c r="E7473">
        <v>20.3</v>
      </c>
      <c r="F7473">
        <v>25.53</v>
      </c>
      <c r="G7473">
        <v>16.82</v>
      </c>
      <c r="H7473">
        <v>0.86</v>
      </c>
      <c r="I7473">
        <v>0.0</v>
      </c>
      <c r="J7473">
        <v>22.77</v>
      </c>
      <c r="K7473">
        <v>28.92</v>
      </c>
      <c r="L7473">
        <v>18.18</v>
      </c>
      <c r="M7473">
        <v>1.03</v>
      </c>
      <c r="N7473">
        <v>0.632</v>
      </c>
      <c r="O7473">
        <v>22.26</v>
      </c>
      <c r="P7473">
        <v>27.56</v>
      </c>
      <c r="Q7473">
        <v>18.7</v>
      </c>
      <c r="R7473">
        <v>3.29</v>
      </c>
    </row>
    <row r="7474">
      <c r="A7474" s="9">
        <v>46005</v>
      </c>
      <c r="B7474" s="2" t="inlineStr">
        <is>
          <t xml:space="preserve">2025-12</t>
        </is>
      </c>
      <c r="C7474" s="2" t="inlineStr">
        <is>
          <t xml:space="preserve">2025/26</t>
        </is>
      </c>
      <c r="D7474">
        <v>0.046</v>
      </c>
      <c r="E7474">
        <v>20.14</v>
      </c>
      <c r="F7474">
        <v>24.97</v>
      </c>
      <c r="G7474">
        <v>16.2</v>
      </c>
      <c r="H7474">
        <v>4.59</v>
      </c>
      <c r="I7474">
        <v>0.0</v>
      </c>
      <c r="J7474">
        <v>21.9</v>
      </c>
      <c r="K7474">
        <v>27.28</v>
      </c>
      <c r="L7474">
        <v>18.29</v>
      </c>
      <c r="M7474">
        <v>3.62</v>
      </c>
      <c r="N7474">
        <v>5.374</v>
      </c>
      <c r="O7474">
        <v>21.37</v>
      </c>
      <c r="P7474">
        <v>25.8</v>
      </c>
      <c r="Q7474">
        <v>18.96</v>
      </c>
      <c r="R7474">
        <v>12.71</v>
      </c>
    </row>
    <row r="7475">
      <c r="A7475" s="9">
        <v>46006</v>
      </c>
      <c r="B7475" s="2" t="inlineStr">
        <is>
          <t xml:space="preserve">2025-12</t>
        </is>
      </c>
      <c r="C7475" s="2" t="inlineStr">
        <is>
          <t xml:space="preserve">2025/26</t>
        </is>
      </c>
      <c r="D7475">
        <v>0.313</v>
      </c>
      <c r="E7475">
        <v>19.32</v>
      </c>
      <c r="F7475">
        <v>23.34</v>
      </c>
      <c r="G7475">
        <v>16.84</v>
      </c>
      <c r="H7475">
        <v>5.65</v>
      </c>
      <c r="I7475">
        <v>1.505</v>
      </c>
      <c r="J7475">
        <v>20.52</v>
      </c>
      <c r="K7475">
        <v>24.69</v>
      </c>
      <c r="L7475">
        <v>18.06</v>
      </c>
      <c r="M7475">
        <v>3.58</v>
      </c>
      <c r="N7475">
        <v>6.479</v>
      </c>
      <c r="O7475">
        <v>20.26</v>
      </c>
      <c r="P7475">
        <v>23.7</v>
      </c>
      <c r="Q7475">
        <v>18.16</v>
      </c>
      <c r="R7475">
        <v>15.65</v>
      </c>
    </row>
    <row r="7476">
      <c r="A7476" s="9">
        <v>46007</v>
      </c>
      <c r="B7476" s="2" t="inlineStr">
        <is>
          <t xml:space="preserve">2025-12</t>
        </is>
      </c>
      <c r="C7476" s="2" t="inlineStr">
        <is>
          <t xml:space="preserve">2025/26</t>
        </is>
      </c>
      <c r="D7476">
        <v>0.408</v>
      </c>
      <c r="E7476">
        <v>19.51</v>
      </c>
      <c r="F7476">
        <v>24.18</v>
      </c>
      <c r="G7476">
        <v>16.47</v>
      </c>
      <c r="H7476">
        <v>6.41</v>
      </c>
      <c r="I7476">
        <v>0.514</v>
      </c>
      <c r="J7476">
        <v>19.95</v>
      </c>
      <c r="K7476">
        <v>25.0</v>
      </c>
      <c r="L7476">
        <v>16.77</v>
      </c>
      <c r="M7476">
        <v>1.99</v>
      </c>
      <c r="N7476">
        <v>2.701</v>
      </c>
      <c r="O7476">
        <v>19.48</v>
      </c>
      <c r="P7476">
        <v>22.74</v>
      </c>
      <c r="Q7476">
        <v>17.63</v>
      </c>
      <c r="R7476">
        <v>13.9</v>
      </c>
    </row>
    <row r="7477">
      <c r="A7477" s="9">
        <v>46008</v>
      </c>
      <c r="B7477" s="2" t="inlineStr">
        <is>
          <t xml:space="preserve">2025-12</t>
        </is>
      </c>
      <c r="C7477" s="2" t="inlineStr">
        <is>
          <t xml:space="preserve">2025/26</t>
        </is>
      </c>
      <c r="D7477">
        <v>0.0</v>
      </c>
      <c r="E7477">
        <v>19.96</v>
      </c>
      <c r="F7477">
        <v>24.43</v>
      </c>
      <c r="G7477">
        <v>16.78</v>
      </c>
      <c r="H7477">
        <v>0.34</v>
      </c>
      <c r="I7477">
        <v>0.0</v>
      </c>
      <c r="J7477">
        <v>21.28</v>
      </c>
      <c r="K7477">
        <v>26.68</v>
      </c>
      <c r="L7477">
        <v>16.94</v>
      </c>
      <c r="M7477">
        <v>0.09</v>
      </c>
      <c r="N7477">
        <v>0.0</v>
      </c>
      <c r="O7477">
        <v>20.56</v>
      </c>
      <c r="P7477">
        <v>25.06</v>
      </c>
      <c r="Q7477">
        <v>17.45</v>
      </c>
      <c r="R7477">
        <v>0.62</v>
      </c>
    </row>
    <row r="7478">
      <c r="A7478" s="9">
        <v>46009</v>
      </c>
      <c r="B7478" s="2" t="inlineStr">
        <is>
          <t xml:space="preserve">2025-12</t>
        </is>
      </c>
      <c r="C7478" s="2" t="inlineStr">
        <is>
          <t xml:space="preserve">2025/26</t>
        </is>
      </c>
      <c r="D7478">
        <v>0.796</v>
      </c>
      <c r="E7478">
        <v>20.09</v>
      </c>
      <c r="F7478">
        <v>24.77</v>
      </c>
      <c r="G7478">
        <v>16.52</v>
      </c>
      <c r="H7478">
        <v>0.25</v>
      </c>
      <c r="I7478">
        <v>0.0</v>
      </c>
      <c r="J7478">
        <v>22.29</v>
      </c>
      <c r="K7478">
        <v>27.52</v>
      </c>
      <c r="L7478">
        <v>18.34</v>
      </c>
      <c r="M7478">
        <v>0.07</v>
      </c>
      <c r="N7478">
        <v>0.07</v>
      </c>
      <c r="O7478">
        <v>21.89</v>
      </c>
      <c r="P7478">
        <v>26.77</v>
      </c>
      <c r="Q7478">
        <v>18.73</v>
      </c>
      <c r="R7478">
        <v>0.13</v>
      </c>
    </row>
    <row r="7479">
      <c r="A7479" s="9">
        <v>46010</v>
      </c>
      <c r="B7479" s="2" t="inlineStr">
        <is>
          <t xml:space="preserve">2025-12</t>
        </is>
      </c>
      <c r="C7479" s="2" t="inlineStr">
        <is>
          <t xml:space="preserve">2025/26</t>
        </is>
      </c>
      <c r="D7479">
        <v>0.0</v>
      </c>
      <c r="E7479">
        <v>19.64</v>
      </c>
      <c r="F7479">
        <v>24.63</v>
      </c>
      <c r="G7479">
        <v>15.24</v>
      </c>
      <c r="H7479">
        <v>0.0</v>
      </c>
      <c r="I7479">
        <v>0.0</v>
      </c>
      <c r="J7479">
        <v>21.92</v>
      </c>
      <c r="K7479">
        <v>27.53</v>
      </c>
      <c r="L7479">
        <v>18.46</v>
      </c>
      <c r="M7479">
        <v>0.08</v>
      </c>
      <c r="N7479">
        <v>0.0</v>
      </c>
      <c r="O7479">
        <v>21.34</v>
      </c>
      <c r="P7479">
        <v>25.31</v>
      </c>
      <c r="Q7479">
        <v>18.64</v>
      </c>
      <c r="R7479">
        <v>0.02</v>
      </c>
    </row>
    <row r="7480">
      <c r="A7480" s="9">
        <v>46011</v>
      </c>
      <c r="B7480" s="2" t="inlineStr">
        <is>
          <t xml:space="preserve">2025-12</t>
        </is>
      </c>
      <c r="C7480" s="2" t="inlineStr">
        <is>
          <t xml:space="preserve">2025/26</t>
        </is>
      </c>
      <c r="D7480">
        <v>0.0</v>
      </c>
      <c r="E7480">
        <v>19.4</v>
      </c>
      <c r="F7480">
        <v>24.72</v>
      </c>
      <c r="G7480">
        <v>15.62</v>
      </c>
      <c r="H7480">
        <v>0.11</v>
      </c>
      <c r="I7480">
        <v>0.0</v>
      </c>
      <c r="J7480">
        <v>21.67</v>
      </c>
      <c r="K7480">
        <v>27.77</v>
      </c>
      <c r="L7480">
        <v>17.85</v>
      </c>
      <c r="M7480">
        <v>0.3</v>
      </c>
      <c r="N7480">
        <v>0.0</v>
      </c>
      <c r="O7480">
        <v>21.12</v>
      </c>
      <c r="P7480">
        <v>25.65</v>
      </c>
      <c r="Q7480">
        <v>17.99</v>
      </c>
      <c r="R7480">
        <v>0.19</v>
      </c>
    </row>
    <row r="7481">
      <c r="A7481" s="9">
        <v>46012</v>
      </c>
      <c r="B7481" s="2" t="inlineStr">
        <is>
          <t xml:space="preserve">2025-12</t>
        </is>
      </c>
      <c r="C7481" s="2" t="inlineStr">
        <is>
          <t xml:space="preserve">2025/26</t>
        </is>
      </c>
      <c r="D7481">
        <v>0.334</v>
      </c>
      <c r="E7481">
        <v>19.72</v>
      </c>
      <c r="F7481">
        <v>24.97</v>
      </c>
      <c r="G7481">
        <v>16.16</v>
      </c>
      <c r="H7481">
        <v>0.77</v>
      </c>
      <c r="I7481">
        <v>0.119</v>
      </c>
      <c r="J7481">
        <v>21.93</v>
      </c>
      <c r="K7481">
        <v>28.6</v>
      </c>
      <c r="L7481">
        <v>17.43</v>
      </c>
      <c r="M7481">
        <v>0.29</v>
      </c>
      <c r="N7481">
        <v>0.494</v>
      </c>
      <c r="O7481">
        <v>21.38</v>
      </c>
      <c r="P7481">
        <v>26.8</v>
      </c>
      <c r="Q7481">
        <v>17.85</v>
      </c>
      <c r="R7481">
        <v>1.27</v>
      </c>
    </row>
    <row r="7482">
      <c r="A7482" s="9">
        <v>46013</v>
      </c>
      <c r="B7482" s="2" t="inlineStr">
        <is>
          <t xml:space="preserve">2025-12</t>
        </is>
      </c>
      <c r="C7482" s="2" t="inlineStr">
        <is>
          <t xml:space="preserve">2025/26</t>
        </is>
      </c>
      <c r="D7482">
        <v>0.864</v>
      </c>
      <c r="E7482">
        <v>19.34</v>
      </c>
      <c r="F7482">
        <v>24.52</v>
      </c>
      <c r="G7482">
        <v>15.69</v>
      </c>
      <c r="H7482">
        <v>2.99</v>
      </c>
      <c r="I7482">
        <v>0.259</v>
      </c>
      <c r="J7482">
        <v>20.95</v>
      </c>
      <c r="K7482">
        <v>26.74</v>
      </c>
      <c r="L7482">
        <v>16.48</v>
      </c>
      <c r="M7482">
        <v>1.0</v>
      </c>
      <c r="N7482">
        <v>0.817</v>
      </c>
      <c r="O7482">
        <v>20.52</v>
      </c>
      <c r="P7482">
        <v>25.08</v>
      </c>
      <c r="Q7482">
        <v>17.67</v>
      </c>
      <c r="R7482">
        <v>5.04</v>
      </c>
    </row>
    <row r="7483">
      <c r="A7483" s="9">
        <v>46014</v>
      </c>
      <c r="B7483" s="2" t="inlineStr">
        <is>
          <t xml:space="preserve">2025-12</t>
        </is>
      </c>
      <c r="C7483" s="2" t="inlineStr">
        <is>
          <t xml:space="preserve">2025/26</t>
        </is>
      </c>
      <c r="D7483">
        <v>0.401</v>
      </c>
      <c r="E7483">
        <v>19.57</v>
      </c>
      <c r="F7483">
        <v>24.34</v>
      </c>
      <c r="G7483">
        <v>15.55</v>
      </c>
      <c r="H7483">
        <v>1.34</v>
      </c>
      <c r="I7483">
        <v>0.0</v>
      </c>
      <c r="J7483">
        <v>21.66</v>
      </c>
      <c r="K7483">
        <v>28.04</v>
      </c>
      <c r="L7483">
        <v>17.34</v>
      </c>
      <c r="M7483">
        <v>0.2</v>
      </c>
      <c r="N7483">
        <v>0.063</v>
      </c>
      <c r="O7483">
        <v>21.27</v>
      </c>
      <c r="P7483">
        <v>25.76</v>
      </c>
      <c r="Q7483">
        <v>18.37</v>
      </c>
      <c r="R7483">
        <v>1.49</v>
      </c>
    </row>
    <row r="7484">
      <c r="A7484" s="9">
        <v>46015</v>
      </c>
      <c r="B7484" s="2" t="inlineStr">
        <is>
          <t xml:space="preserve">2025-12</t>
        </is>
      </c>
      <c r="C7484" s="2" t="inlineStr">
        <is>
          <t xml:space="preserve">2025/26</t>
        </is>
      </c>
      <c r="D7484">
        <v>0.0</v>
      </c>
      <c r="E7484">
        <v>20.25</v>
      </c>
      <c r="F7484">
        <v>24.68</v>
      </c>
      <c r="G7484">
        <v>16.88</v>
      </c>
      <c r="H7484">
        <v>1.5</v>
      </c>
      <c r="I7484">
        <v>0.0</v>
      </c>
      <c r="J7484">
        <v>21.77</v>
      </c>
      <c r="K7484">
        <v>27.93</v>
      </c>
      <c r="L7484">
        <v>18.04</v>
      </c>
      <c r="M7484">
        <v>0.39</v>
      </c>
      <c r="N7484">
        <v>0.053</v>
      </c>
      <c r="O7484">
        <v>21.14</v>
      </c>
      <c r="P7484">
        <v>25.57</v>
      </c>
      <c r="Q7484">
        <v>18.69</v>
      </c>
      <c r="R7484">
        <v>3.66</v>
      </c>
    </row>
    <row r="7485">
      <c r="A7485" s="9">
        <v>46016</v>
      </c>
      <c r="B7485" s="2" t="inlineStr">
        <is>
          <t xml:space="preserve">2025-12</t>
        </is>
      </c>
      <c r="C7485" s="2" t="inlineStr">
        <is>
          <t xml:space="preserve">2025/26</t>
        </is>
      </c>
      <c r="D7485">
        <v>0.0</v>
      </c>
      <c r="E7485">
        <v>19.39</v>
      </c>
      <c r="F7485">
        <v>22.67</v>
      </c>
      <c r="G7485">
        <v>16.93</v>
      </c>
      <c r="H7485">
        <v>1.73</v>
      </c>
      <c r="I7485">
        <v>0.0</v>
      </c>
      <c r="J7485">
        <v>21.21</v>
      </c>
      <c r="K7485">
        <v>26.62</v>
      </c>
      <c r="L7485">
        <v>18.0</v>
      </c>
      <c r="M7485">
        <v>0.89</v>
      </c>
      <c r="N7485">
        <v>0.62</v>
      </c>
      <c r="O7485">
        <v>20.22</v>
      </c>
      <c r="P7485">
        <v>23.56</v>
      </c>
      <c r="Q7485">
        <v>17.79</v>
      </c>
      <c r="R7485">
        <v>5.67</v>
      </c>
    </row>
    <row r="7486">
      <c r="A7486" s="9">
        <v>46017</v>
      </c>
      <c r="B7486" s="2" t="inlineStr">
        <is>
          <t xml:space="preserve">2025-12</t>
        </is>
      </c>
      <c r="C7486" s="2" t="inlineStr">
        <is>
          <t xml:space="preserve">2025/26</t>
        </is>
      </c>
      <c r="D7486">
        <v>0.0</v>
      </c>
      <c r="E7486">
        <v>19.42</v>
      </c>
      <c r="F7486">
        <v>24.39</v>
      </c>
      <c r="G7486">
        <v>15.87</v>
      </c>
      <c r="H7486">
        <v>1.51</v>
      </c>
      <c r="I7486">
        <v>0.0</v>
      </c>
      <c r="J7486">
        <v>20.91</v>
      </c>
      <c r="K7486">
        <v>27.0</v>
      </c>
      <c r="L7486">
        <v>16.62</v>
      </c>
      <c r="M7486">
        <v>0.4</v>
      </c>
      <c r="N7486">
        <v>0.204</v>
      </c>
      <c r="O7486">
        <v>19.89</v>
      </c>
      <c r="P7486">
        <v>24.65</v>
      </c>
      <c r="Q7486">
        <v>16.9</v>
      </c>
      <c r="R7486">
        <v>3.89</v>
      </c>
    </row>
    <row r="7487">
      <c r="A7487" s="9">
        <v>46018</v>
      </c>
      <c r="B7487" s="2" t="inlineStr">
        <is>
          <t xml:space="preserve">2025-12</t>
        </is>
      </c>
      <c r="C7487" s="2" t="inlineStr">
        <is>
          <t xml:space="preserve">2025/26</t>
        </is>
      </c>
      <c r="D7487">
        <v>0.0</v>
      </c>
      <c r="E7487">
        <v>19.38</v>
      </c>
      <c r="F7487">
        <v>24.2</v>
      </c>
      <c r="G7487">
        <v>15.98</v>
      </c>
      <c r="H7487">
        <v>0.08</v>
      </c>
      <c r="I7487">
        <v>0.0</v>
      </c>
      <c r="J7487">
        <v>21.59</v>
      </c>
      <c r="K7487">
        <v>27.65</v>
      </c>
      <c r="L7487">
        <v>17.35</v>
      </c>
      <c r="M7487">
        <v>0.09</v>
      </c>
      <c r="N7487">
        <v>0.047</v>
      </c>
      <c r="O7487">
        <v>20.55</v>
      </c>
      <c r="P7487">
        <v>24.92</v>
      </c>
      <c r="Q7487">
        <v>17.99</v>
      </c>
      <c r="R7487">
        <v>0.43</v>
      </c>
    </row>
    <row r="7488">
      <c r="A7488" s="9">
        <v>46019</v>
      </c>
      <c r="B7488" s="2" t="inlineStr">
        <is>
          <t xml:space="preserve">2025-12</t>
        </is>
      </c>
      <c r="C7488" s="2" t="inlineStr">
        <is>
          <t xml:space="preserve">2025/26</t>
        </is>
      </c>
      <c r="D7488">
        <v>0.0</v>
      </c>
      <c r="E7488">
        <v>18.65</v>
      </c>
      <c r="F7488">
        <v>24.42</v>
      </c>
      <c r="G7488">
        <v>14.73</v>
      </c>
      <c r="H7488">
        <v>0.0</v>
      </c>
      <c r="I7488">
        <v>0.0</v>
      </c>
      <c r="J7488">
        <v>21.64</v>
      </c>
      <c r="K7488">
        <v>28.69</v>
      </c>
      <c r="L7488">
        <v>16.95</v>
      </c>
      <c r="M7488">
        <v>0.0</v>
      </c>
      <c r="N7488">
        <v>0.0</v>
      </c>
      <c r="O7488">
        <v>19.92</v>
      </c>
      <c r="P7488">
        <v>25.34</v>
      </c>
      <c r="Q7488">
        <v>16.59</v>
      </c>
      <c r="R7488">
        <v>0.0</v>
      </c>
    </row>
    <row r="7489">
      <c r="A7489" s="9">
        <v>46020</v>
      </c>
      <c r="B7489" s="2" t="inlineStr">
        <is>
          <t xml:space="preserve">2025-12</t>
        </is>
      </c>
      <c r="C7489" s="2" t="inlineStr">
        <is>
          <t xml:space="preserve">2025/26</t>
        </is>
      </c>
      <c r="D7489">
        <v>0.0</v>
      </c>
      <c r="E7489">
        <v>19.39</v>
      </c>
      <c r="F7489">
        <v>25.07</v>
      </c>
      <c r="G7489">
        <v>14.54</v>
      </c>
      <c r="H7489">
        <v>1.21</v>
      </c>
      <c r="I7489">
        <v>0.0</v>
      </c>
      <c r="J7489">
        <v>21.75</v>
      </c>
      <c r="K7489">
        <v>29.25</v>
      </c>
      <c r="L7489">
        <v>16.07</v>
      </c>
      <c r="M7489">
        <v>0.08</v>
      </c>
      <c r="N7489">
        <v>0.0</v>
      </c>
      <c r="O7489">
        <v>20.62</v>
      </c>
      <c r="P7489">
        <v>26.18</v>
      </c>
      <c r="Q7489">
        <v>16.58</v>
      </c>
      <c r="R7489">
        <v>1.04</v>
      </c>
    </row>
    <row r="7490">
      <c r="A7490" s="9">
        <v>46021</v>
      </c>
      <c r="B7490" s="2" t="inlineStr">
        <is>
          <t xml:space="preserve">2025-12</t>
        </is>
      </c>
      <c r="C7490" s="2" t="inlineStr">
        <is>
          <t xml:space="preserve">2025/26</t>
        </is>
      </c>
      <c r="D7490">
        <v>1.133</v>
      </c>
      <c r="E7490">
        <v>19.04</v>
      </c>
      <c r="F7490">
        <v>23.66</v>
      </c>
      <c r="G7490">
        <v>15.48</v>
      </c>
      <c r="H7490">
        <v>1.42</v>
      </c>
      <c r="I7490">
        <v>0.0</v>
      </c>
      <c r="J7490">
        <v>21.01</v>
      </c>
      <c r="K7490">
        <v>26.92</v>
      </c>
      <c r="L7490">
        <v>17.18</v>
      </c>
      <c r="M7490">
        <v>0.82</v>
      </c>
      <c r="N7490">
        <v>0.135</v>
      </c>
      <c r="O7490">
        <v>19.94</v>
      </c>
      <c r="P7490">
        <v>24.36</v>
      </c>
      <c r="Q7490">
        <v>16.87</v>
      </c>
      <c r="R7490">
        <v>4.32</v>
      </c>
    </row>
    <row r="7491">
      <c r="A7491" s="9">
        <v>46022</v>
      </c>
      <c r="B7491" s="2" t="inlineStr">
        <is>
          <t xml:space="preserve">2025-12</t>
        </is>
      </c>
      <c r="C7491" s="2" t="inlineStr">
        <is>
          <t xml:space="preserve">2025/26</t>
        </is>
      </c>
      <c r="D7491">
        <v>0.153</v>
      </c>
      <c r="E7491">
        <v>18.06</v>
      </c>
      <c r="F7491">
        <v>22.85</v>
      </c>
      <c r="G7491">
        <v>14.63</v>
      </c>
      <c r="H7491">
        <v>3.51</v>
      </c>
      <c r="I7491">
        <v>0.317</v>
      </c>
      <c r="J7491">
        <v>19.24</v>
      </c>
      <c r="K7491">
        <v>25.06</v>
      </c>
      <c r="L7491">
        <v>15.83</v>
      </c>
      <c r="M7491">
        <v>1.31</v>
      </c>
      <c r="N7491">
        <v>1.574</v>
      </c>
      <c r="O7491">
        <v>18.29</v>
      </c>
      <c r="P7491">
        <v>22.37</v>
      </c>
      <c r="Q7491">
        <v>16.15</v>
      </c>
      <c r="R7491">
        <v>8.94</v>
      </c>
    </row>
    <row r="7492">
      <c r="A7492" s="9">
        <v>46023</v>
      </c>
      <c r="B7492" s="2" t="inlineStr">
        <is>
          <t xml:space="preserve">2026-01</t>
        </is>
      </c>
      <c r="C7492" s="2" t="inlineStr">
        <is>
          <t xml:space="preserve">2025/26</t>
        </is>
      </c>
      <c r="D7492">
        <v>0.0</v>
      </c>
      <c r="E7492">
        <v>17.74</v>
      </c>
      <c r="F7492">
        <v>22.86</v>
      </c>
      <c r="G7492">
        <v>14.85</v>
      </c>
      <c r="H7492">
        <v>1.27</v>
      </c>
      <c r="I7492">
        <v>0.0</v>
      </c>
      <c r="J7492">
        <v>18.77</v>
      </c>
      <c r="K7492">
        <v>25.18</v>
      </c>
      <c r="L7492">
        <v>15.27</v>
      </c>
      <c r="M7492">
        <v>0.13</v>
      </c>
      <c r="N7492">
        <v>0.0</v>
      </c>
      <c r="O7492">
        <v>17.46</v>
      </c>
      <c r="P7492">
        <v>22.32</v>
      </c>
      <c r="Q7492">
        <v>15.0</v>
      </c>
      <c r="R7492">
        <v>2.91</v>
      </c>
    </row>
    <row r="7493">
      <c r="A7493" s="9">
        <v>46024</v>
      </c>
      <c r="B7493" s="2" t="inlineStr">
        <is>
          <t xml:space="preserve">2026-01</t>
        </is>
      </c>
      <c r="C7493" s="2" t="inlineStr">
        <is>
          <t xml:space="preserve">2025/26</t>
        </is>
      </c>
      <c r="D7493">
        <v>0.0</v>
      </c>
      <c r="E7493">
        <v>17.92</v>
      </c>
      <c r="F7493">
        <v>23.83</v>
      </c>
      <c r="G7493">
        <v>13.69</v>
      </c>
      <c r="H7493">
        <v>0.09</v>
      </c>
      <c r="I7493">
        <v>0.0</v>
      </c>
      <c r="J7493">
        <v>20.45</v>
      </c>
      <c r="K7493">
        <v>28.45</v>
      </c>
      <c r="L7493">
        <v>14.63</v>
      </c>
      <c r="M7493">
        <v>0.0</v>
      </c>
      <c r="N7493">
        <v>0.0</v>
      </c>
      <c r="O7493">
        <v>18.55</v>
      </c>
      <c r="P7493">
        <v>24.89</v>
      </c>
      <c r="Q7493">
        <v>14.24</v>
      </c>
      <c r="R7493">
        <v>0.13</v>
      </c>
    </row>
    <row r="7494">
      <c r="A7494" s="9">
        <v>46025</v>
      </c>
      <c r="B7494" s="2" t="inlineStr">
        <is>
          <t xml:space="preserve">2026-01</t>
        </is>
      </c>
      <c r="C7494" s="2" t="inlineStr">
        <is>
          <t xml:space="preserve">2025/26</t>
        </is>
      </c>
      <c r="D7494">
        <v>0.0</v>
      </c>
      <c r="E7494">
        <v>19.62</v>
      </c>
      <c r="F7494">
        <v>26.07</v>
      </c>
      <c r="G7494">
        <v>14.63</v>
      </c>
      <c r="H7494">
        <v>0.0</v>
      </c>
      <c r="I7494">
        <v>0.0</v>
      </c>
      <c r="J7494">
        <v>21.96</v>
      </c>
      <c r="K7494">
        <v>29.97</v>
      </c>
      <c r="L7494">
        <v>15.36</v>
      </c>
      <c r="M7494">
        <v>0.0</v>
      </c>
      <c r="N7494">
        <v>0.0</v>
      </c>
      <c r="O7494">
        <v>20.68</v>
      </c>
      <c r="P7494">
        <v>27.36</v>
      </c>
      <c r="Q7494">
        <v>16.23</v>
      </c>
      <c r="R7494">
        <v>0.0</v>
      </c>
    </row>
    <row r="7495">
      <c r="A7495" s="9">
        <v>46026</v>
      </c>
      <c r="B7495" s="2" t="inlineStr">
        <is>
          <t xml:space="preserve">2026-01</t>
        </is>
      </c>
      <c r="C7495" s="2" t="inlineStr">
        <is>
          <t xml:space="preserve">2025/26</t>
        </is>
      </c>
      <c r="D7495">
        <v>0.0</v>
      </c>
      <c r="E7495">
        <v>19.44</v>
      </c>
      <c r="F7495">
        <v>24.9</v>
      </c>
      <c r="G7495">
        <v>15.59</v>
      </c>
      <c r="H7495">
        <v>0.06</v>
      </c>
      <c r="I7495">
        <v>0.0</v>
      </c>
      <c r="J7495">
        <v>20.59</v>
      </c>
      <c r="K7495">
        <v>27.49</v>
      </c>
      <c r="L7495">
        <v>15.83</v>
      </c>
      <c r="M7495">
        <v>0.0</v>
      </c>
      <c r="N7495">
        <v>0.0</v>
      </c>
      <c r="O7495">
        <v>19.66</v>
      </c>
      <c r="P7495">
        <v>24.7</v>
      </c>
      <c r="Q7495">
        <v>16.2</v>
      </c>
      <c r="R7495">
        <v>0.01</v>
      </c>
    </row>
    <row r="7496">
      <c r="A7496" s="9">
        <v>46027</v>
      </c>
      <c r="B7496" s="2" t="inlineStr">
        <is>
          <t xml:space="preserve">2026-01</t>
        </is>
      </c>
      <c r="C7496" s="2" t="inlineStr">
        <is>
          <t xml:space="preserve">2025/26</t>
        </is>
      </c>
      <c r="D7496">
        <v>0.0</v>
      </c>
      <c r="E7496">
        <v>17.86</v>
      </c>
      <c r="F7496">
        <v>23.56</v>
      </c>
      <c r="G7496">
        <v>14.1</v>
      </c>
      <c r="H7496">
        <v>0.06</v>
      </c>
      <c r="I7496">
        <v>0.0</v>
      </c>
      <c r="J7496">
        <v>20.22</v>
      </c>
      <c r="K7496">
        <v>27.73</v>
      </c>
      <c r="L7496">
        <v>14.91</v>
      </c>
      <c r="M7496">
        <v>0.0</v>
      </c>
      <c r="N7496">
        <v>0.0</v>
      </c>
      <c r="O7496">
        <v>19.04</v>
      </c>
      <c r="P7496">
        <v>24.63</v>
      </c>
      <c r="Q7496">
        <v>15.48</v>
      </c>
      <c r="R7496">
        <v>0.01</v>
      </c>
    </row>
    <row r="7497">
      <c r="A7497" s="9">
        <v>46028</v>
      </c>
      <c r="B7497" s="2" t="inlineStr">
        <is>
          <t xml:space="preserve">2026-01</t>
        </is>
      </c>
      <c r="C7497" s="2" t="inlineStr">
        <is>
          <t xml:space="preserve">2025/26</t>
        </is>
      </c>
      <c r="D7497">
        <v>0.0</v>
      </c>
      <c r="E7497">
        <v>17.47</v>
      </c>
      <c r="F7497">
        <v>24.7</v>
      </c>
      <c r="G7497">
        <v>11.86</v>
      </c>
      <c r="H7497">
        <v>0.0</v>
      </c>
      <c r="I7497">
        <v>0.0</v>
      </c>
      <c r="J7497">
        <v>20.42</v>
      </c>
      <c r="K7497">
        <v>29.12</v>
      </c>
      <c r="L7497">
        <v>13.93</v>
      </c>
      <c r="M7497">
        <v>0.0</v>
      </c>
      <c r="N7497">
        <v>0.0</v>
      </c>
      <c r="O7497">
        <v>19.03</v>
      </c>
      <c r="P7497">
        <v>25.49</v>
      </c>
      <c r="Q7497">
        <v>13.94</v>
      </c>
      <c r="R7497">
        <v>0.0</v>
      </c>
    </row>
    <row r="7498">
      <c r="A7498" s="9">
        <v>46029</v>
      </c>
      <c r="B7498" s="2" t="inlineStr">
        <is>
          <t xml:space="preserve">2026-01</t>
        </is>
      </c>
      <c r="C7498" s="2" t="inlineStr">
        <is>
          <t xml:space="preserve">2025/26</t>
        </is>
      </c>
      <c r="D7498">
        <v>0.0</v>
      </c>
      <c r="E7498">
        <v>18.7</v>
      </c>
      <c r="F7498">
        <v>25.14</v>
      </c>
      <c r="G7498">
        <v>13.84</v>
      </c>
      <c r="H7498">
        <v>0.0</v>
      </c>
      <c r="I7498">
        <v>0.0</v>
      </c>
      <c r="J7498">
        <v>21.14</v>
      </c>
      <c r="K7498">
        <v>29.03</v>
      </c>
      <c r="L7498">
        <v>15.55</v>
      </c>
      <c r="M7498">
        <v>0.0</v>
      </c>
      <c r="N7498">
        <v>0.0</v>
      </c>
      <c r="O7498">
        <v>19.61</v>
      </c>
      <c r="P7498">
        <v>25.79</v>
      </c>
      <c r="Q7498">
        <v>15.48</v>
      </c>
      <c r="R7498">
        <v>0.0</v>
      </c>
    </row>
    <row r="7499">
      <c r="A7499" s="9">
        <v>46030</v>
      </c>
      <c r="B7499" s="2" t="inlineStr">
        <is>
          <t xml:space="preserve">2026-01</t>
        </is>
      </c>
      <c r="C7499" s="2" t="inlineStr">
        <is>
          <t xml:space="preserve">2025/26</t>
        </is>
      </c>
      <c r="D7499">
        <v>0.0</v>
      </c>
      <c r="E7499">
        <v>20.07</v>
      </c>
      <c r="F7499">
        <v>26.98</v>
      </c>
      <c r="G7499">
        <v>14.43</v>
      </c>
      <c r="H7499">
        <v>0.01</v>
      </c>
      <c r="I7499">
        <v>0.0</v>
      </c>
      <c r="J7499">
        <v>21.99</v>
      </c>
      <c r="K7499">
        <v>30.59</v>
      </c>
      <c r="L7499">
        <v>15.41</v>
      </c>
      <c r="M7499">
        <v>0.0</v>
      </c>
      <c r="N7499">
        <v>0.0</v>
      </c>
      <c r="O7499">
        <v>21.49</v>
      </c>
      <c r="P7499">
        <v>29.0</v>
      </c>
      <c r="Q7499">
        <v>16.57</v>
      </c>
      <c r="R7499">
        <v>0.0</v>
      </c>
    </row>
    <row r="7500">
      <c r="A7500" s="9">
        <v>46031</v>
      </c>
      <c r="B7500" s="2" t="inlineStr">
        <is>
          <t xml:space="preserve">2026-01</t>
        </is>
      </c>
      <c r="C7500" s="2" t="inlineStr">
        <is>
          <t xml:space="preserve">2025/26</t>
        </is>
      </c>
      <c r="D7500">
        <v>0.0</v>
      </c>
      <c r="E7500">
        <v>20.01</v>
      </c>
      <c r="F7500">
        <v>26.65</v>
      </c>
      <c r="G7500">
        <v>15.29</v>
      </c>
      <c r="H7500">
        <v>0.05</v>
      </c>
      <c r="I7500">
        <v>0.0</v>
      </c>
      <c r="J7500">
        <v>23.12</v>
      </c>
      <c r="K7500">
        <v>30.75</v>
      </c>
      <c r="L7500">
        <v>17.2</v>
      </c>
      <c r="M7500">
        <v>0.0</v>
      </c>
      <c r="N7500">
        <v>0.0</v>
      </c>
      <c r="O7500">
        <v>22.04</v>
      </c>
      <c r="P7500">
        <v>28.32</v>
      </c>
      <c r="Q7500">
        <v>18.12</v>
      </c>
      <c r="R7500">
        <v>0.01</v>
      </c>
    </row>
    <row r="7501">
      <c r="A7501" s="9">
        <v>46032</v>
      </c>
      <c r="B7501" s="2" t="inlineStr">
        <is>
          <t xml:space="preserve">2026-01</t>
        </is>
      </c>
      <c r="C7501" s="2" t="inlineStr">
        <is>
          <t xml:space="preserve">2025/26</t>
        </is>
      </c>
      <c r="D7501">
        <v>0.0</v>
      </c>
      <c r="E7501">
        <v>19.28</v>
      </c>
      <c r="F7501">
        <v>25.94</v>
      </c>
      <c r="G7501">
        <v>14.39</v>
      </c>
      <c r="H7501">
        <v>0.35</v>
      </c>
      <c r="I7501">
        <v>0.0</v>
      </c>
      <c r="J7501">
        <v>21.66</v>
      </c>
      <c r="K7501">
        <v>27.69</v>
      </c>
      <c r="L7501">
        <v>17.57</v>
      </c>
      <c r="M7501">
        <v>0.05</v>
      </c>
      <c r="N7501">
        <v>0.0</v>
      </c>
      <c r="O7501">
        <v>20.86</v>
      </c>
      <c r="P7501">
        <v>26.14</v>
      </c>
      <c r="Q7501">
        <v>17.82</v>
      </c>
      <c r="R7501">
        <v>0.58</v>
      </c>
    </row>
    <row r="7502">
      <c r="A7502" s="9">
        <v>46033</v>
      </c>
      <c r="B7502" s="2" t="inlineStr">
        <is>
          <t xml:space="preserve">2026-01</t>
        </is>
      </c>
      <c r="C7502" s="2" t="inlineStr">
        <is>
          <t xml:space="preserve">2025/26</t>
        </is>
      </c>
      <c r="D7502">
        <v>0.0</v>
      </c>
      <c r="E7502">
        <v>19.23</v>
      </c>
      <c r="F7502">
        <v>24.85</v>
      </c>
      <c r="G7502">
        <v>15.67</v>
      </c>
      <c r="H7502">
        <v>1.98</v>
      </c>
      <c r="I7502">
        <v>0.0</v>
      </c>
      <c r="J7502">
        <v>21.06</v>
      </c>
      <c r="K7502">
        <v>27.7</v>
      </c>
      <c r="L7502">
        <v>17.16</v>
      </c>
      <c r="M7502">
        <v>1.49</v>
      </c>
      <c r="N7502">
        <v>0.158</v>
      </c>
      <c r="O7502">
        <v>20.32</v>
      </c>
      <c r="P7502">
        <v>25.0</v>
      </c>
      <c r="Q7502">
        <v>18.05</v>
      </c>
      <c r="R7502">
        <v>5.01</v>
      </c>
    </row>
    <row r="7503">
      <c r="A7503" s="9">
        <v>46034</v>
      </c>
      <c r="B7503" s="2" t="inlineStr">
        <is>
          <t xml:space="preserve">2026-01</t>
        </is>
      </c>
      <c r="C7503" s="2" t="inlineStr">
        <is>
          <t xml:space="preserve">2025/26</t>
        </is>
      </c>
      <c r="D7503">
        <v>0.038</v>
      </c>
      <c r="E7503">
        <v>18.56</v>
      </c>
      <c r="F7503">
        <v>24.01</v>
      </c>
      <c r="G7503">
        <v>15.72</v>
      </c>
      <c r="H7503">
        <v>7.16</v>
      </c>
      <c r="I7503">
        <v>0.026</v>
      </c>
      <c r="J7503">
        <v>19.33</v>
      </c>
      <c r="K7503">
        <v>24.41</v>
      </c>
      <c r="L7503">
        <v>16.2</v>
      </c>
      <c r="M7503">
        <v>1.71</v>
      </c>
      <c r="N7503">
        <v>0.627</v>
      </c>
      <c r="O7503">
        <v>18.63</v>
      </c>
      <c r="P7503">
        <v>22.73</v>
      </c>
      <c r="Q7503">
        <v>16.16</v>
      </c>
      <c r="R7503">
        <v>11.25</v>
      </c>
    </row>
    <row r="7504">
      <c r="A7504" s="9">
        <v>46035</v>
      </c>
      <c r="B7504" s="2" t="inlineStr">
        <is>
          <t xml:space="preserve">2026-01</t>
        </is>
      </c>
      <c r="C7504" s="2" t="inlineStr">
        <is>
          <t xml:space="preserve">2025/26</t>
        </is>
      </c>
      <c r="D7504">
        <v>0.0</v>
      </c>
      <c r="E7504">
        <v>18.73</v>
      </c>
      <c r="F7504">
        <v>24.06</v>
      </c>
      <c r="G7504">
        <v>15.65</v>
      </c>
      <c r="H7504">
        <v>0.67</v>
      </c>
      <c r="I7504">
        <v>0.033</v>
      </c>
      <c r="J7504">
        <v>19.6</v>
      </c>
      <c r="K7504">
        <v>25.85</v>
      </c>
      <c r="L7504">
        <v>15.73</v>
      </c>
      <c r="M7504">
        <v>0.23</v>
      </c>
      <c r="N7504">
        <v>0.428</v>
      </c>
      <c r="O7504">
        <v>18.95</v>
      </c>
      <c r="P7504">
        <v>24.01</v>
      </c>
      <c r="Q7504">
        <v>16.23</v>
      </c>
      <c r="R7504">
        <v>1.18</v>
      </c>
    </row>
    <row r="7505">
      <c r="A7505" s="9">
        <v>46036</v>
      </c>
      <c r="B7505" s="2" t="inlineStr">
        <is>
          <t xml:space="preserve">2026-01</t>
        </is>
      </c>
      <c r="C7505" s="2" t="inlineStr">
        <is>
          <t xml:space="preserve">2025/26</t>
        </is>
      </c>
      <c r="D7505">
        <v>0.0</v>
      </c>
      <c r="E7505">
        <v>19.06</v>
      </c>
      <c r="F7505">
        <v>24.92</v>
      </c>
      <c r="G7505">
        <v>14.79</v>
      </c>
      <c r="H7505">
        <v>0.38</v>
      </c>
      <c r="I7505">
        <v>0.0</v>
      </c>
      <c r="J7505">
        <v>20.6</v>
      </c>
      <c r="K7505">
        <v>28.11</v>
      </c>
      <c r="L7505">
        <v>15.06</v>
      </c>
      <c r="M7505">
        <v>0.08</v>
      </c>
      <c r="N7505">
        <v>0.0</v>
      </c>
      <c r="O7505">
        <v>19.22</v>
      </c>
      <c r="P7505">
        <v>24.65</v>
      </c>
      <c r="Q7505">
        <v>15.06</v>
      </c>
      <c r="R7505">
        <v>0.8</v>
      </c>
    </row>
    <row r="7506">
      <c r="A7506" s="9">
        <v>46037</v>
      </c>
      <c r="B7506" s="2" t="inlineStr">
        <is>
          <t xml:space="preserve">2026-01</t>
        </is>
      </c>
      <c r="C7506" s="2" t="inlineStr">
        <is>
          <t xml:space="preserve">2025/26</t>
        </is>
      </c>
      <c r="D7506">
        <v>0.0</v>
      </c>
      <c r="E7506">
        <v>18.19</v>
      </c>
      <c r="F7506">
        <v>23.46</v>
      </c>
      <c r="G7506">
        <v>15.07</v>
      </c>
      <c r="H7506">
        <v>0.98</v>
      </c>
      <c r="I7506">
        <v>0.059</v>
      </c>
      <c r="J7506">
        <v>19.79</v>
      </c>
      <c r="K7506">
        <v>25.12</v>
      </c>
      <c r="L7506">
        <v>16.29</v>
      </c>
      <c r="M7506">
        <v>0.53</v>
      </c>
      <c r="N7506">
        <v>0.78</v>
      </c>
      <c r="O7506">
        <v>18.57</v>
      </c>
      <c r="P7506">
        <v>22.79</v>
      </c>
      <c r="Q7506">
        <v>15.63</v>
      </c>
      <c r="R7506">
        <v>2.52</v>
      </c>
    </row>
    <row r="7507">
      <c r="A7507" s="9">
        <v>46038</v>
      </c>
      <c r="B7507" s="2" t="inlineStr">
        <is>
          <t xml:space="preserve">2026-01</t>
        </is>
      </c>
      <c r="C7507" s="2" t="inlineStr">
        <is>
          <t xml:space="preserve">2025/26</t>
        </is>
      </c>
      <c r="D7507">
        <v>0.0</v>
      </c>
      <c r="E7507">
        <v>18.45</v>
      </c>
      <c r="F7507">
        <v>24.18</v>
      </c>
      <c r="G7507">
        <v>14.31</v>
      </c>
      <c r="H7507">
        <v>1.71</v>
      </c>
      <c r="I7507">
        <v>0.0</v>
      </c>
      <c r="J7507">
        <v>18.15</v>
      </c>
      <c r="K7507">
        <v>24.55</v>
      </c>
      <c r="L7507">
        <v>13.31</v>
      </c>
      <c r="M7507">
        <v>0.32</v>
      </c>
      <c r="N7507">
        <v>0.124</v>
      </c>
      <c r="O7507">
        <v>16.76</v>
      </c>
      <c r="P7507">
        <v>21.03</v>
      </c>
      <c r="Q7507">
        <v>14.85</v>
      </c>
      <c r="R7507">
        <v>4.88</v>
      </c>
    </row>
    <row r="7508">
      <c r="A7508" s="9">
        <v>46039</v>
      </c>
      <c r="B7508" s="2" t="inlineStr">
        <is>
          <t xml:space="preserve">2026-01</t>
        </is>
      </c>
      <c r="C7508" s="2" t="inlineStr">
        <is>
          <t xml:space="preserve">2025/26</t>
        </is>
      </c>
      <c r="D7508">
        <v>0.0</v>
      </c>
      <c r="E7508">
        <v>20.07</v>
      </c>
      <c r="F7508">
        <v>26.84</v>
      </c>
      <c r="G7508">
        <v>14.97</v>
      </c>
      <c r="H7508">
        <v>0.34</v>
      </c>
      <c r="I7508">
        <v>0.0</v>
      </c>
      <c r="J7508">
        <v>20.77</v>
      </c>
      <c r="K7508">
        <v>29.26</v>
      </c>
      <c r="L7508">
        <v>14.49</v>
      </c>
      <c r="M7508">
        <v>0.03</v>
      </c>
      <c r="N7508">
        <v>0.0</v>
      </c>
      <c r="O7508">
        <v>19.26</v>
      </c>
      <c r="P7508">
        <v>26.04</v>
      </c>
      <c r="Q7508">
        <v>14.33</v>
      </c>
      <c r="R7508">
        <v>0.4</v>
      </c>
    </row>
    <row r="7509">
      <c r="A7509" s="9">
        <v>46040</v>
      </c>
      <c r="B7509" s="2" t="inlineStr">
        <is>
          <t xml:space="preserve">2026-01</t>
        </is>
      </c>
      <c r="C7509" s="2" t="inlineStr">
        <is>
          <t xml:space="preserve">2025/26</t>
        </is>
      </c>
      <c r="D7509">
        <v>0.058</v>
      </c>
      <c r="E7509">
        <v>19.83</v>
      </c>
      <c r="F7509">
        <v>25.1</v>
      </c>
      <c r="G7509">
        <v>16.61</v>
      </c>
      <c r="H7509">
        <v>6.42</v>
      </c>
      <c r="I7509">
        <v>0.0</v>
      </c>
      <c r="J7509">
        <v>20.84</v>
      </c>
      <c r="K7509">
        <v>26.58</v>
      </c>
      <c r="L7509">
        <v>17.28</v>
      </c>
      <c r="M7509">
        <v>0.64</v>
      </c>
      <c r="N7509">
        <v>0.471</v>
      </c>
      <c r="O7509">
        <v>19.77</v>
      </c>
      <c r="P7509">
        <v>24.08</v>
      </c>
      <c r="Q7509">
        <v>16.57</v>
      </c>
      <c r="R7509">
        <v>7.75</v>
      </c>
    </row>
    <row r="7510">
      <c r="A7510" s="9">
        <v>46041</v>
      </c>
      <c r="B7510" s="2" t="inlineStr">
        <is>
          <t xml:space="preserve">2026-01</t>
        </is>
      </c>
      <c r="C7510" s="2" t="inlineStr">
        <is>
          <t xml:space="preserve">2025/26</t>
        </is>
      </c>
      <c r="D7510">
        <v>0.088</v>
      </c>
      <c r="E7510">
        <v>19.2</v>
      </c>
      <c r="F7510">
        <v>23.27</v>
      </c>
      <c r="G7510">
        <v>17.04</v>
      </c>
      <c r="H7510">
        <v>9.22</v>
      </c>
      <c r="I7510">
        <v>0.054</v>
      </c>
      <c r="J7510">
        <v>19.49</v>
      </c>
      <c r="K7510">
        <v>24.64</v>
      </c>
      <c r="L7510">
        <v>16.33</v>
      </c>
      <c r="M7510">
        <v>1.24</v>
      </c>
      <c r="N7510">
        <v>0.883</v>
      </c>
      <c r="O7510">
        <v>18.3</v>
      </c>
      <c r="P7510">
        <v>21.29</v>
      </c>
      <c r="Q7510">
        <v>15.84</v>
      </c>
      <c r="R7510">
        <v>18.33</v>
      </c>
    </row>
    <row r="7511">
      <c r="A7511" s="9">
        <v>46042</v>
      </c>
      <c r="B7511" s="2" t="inlineStr">
        <is>
          <t xml:space="preserve">2026-01</t>
        </is>
      </c>
      <c r="C7511" s="2" t="inlineStr">
        <is>
          <t xml:space="preserve">2025/26</t>
        </is>
      </c>
      <c r="D7511">
        <v>0.312</v>
      </c>
      <c r="E7511">
        <v>19.4</v>
      </c>
      <c r="F7511">
        <v>24.45</v>
      </c>
      <c r="G7511">
        <v>16.61</v>
      </c>
      <c r="H7511">
        <v>7.35</v>
      </c>
      <c r="I7511">
        <v>0.038</v>
      </c>
      <c r="J7511">
        <v>18.59</v>
      </c>
      <c r="K7511">
        <v>23.66</v>
      </c>
      <c r="L7511">
        <v>15.15</v>
      </c>
      <c r="M7511">
        <v>0.85</v>
      </c>
      <c r="N7511">
        <v>0.601</v>
      </c>
      <c r="O7511">
        <v>17.66</v>
      </c>
      <c r="P7511">
        <v>21.07</v>
      </c>
      <c r="Q7511">
        <v>15.43</v>
      </c>
      <c r="R7511">
        <v>10.14</v>
      </c>
    </row>
    <row r="7512">
      <c r="A7512" s="9">
        <v>46043</v>
      </c>
      <c r="B7512" s="2" t="inlineStr">
        <is>
          <t xml:space="preserve">2026-01</t>
        </is>
      </c>
      <c r="C7512" s="2" t="inlineStr">
        <is>
          <t xml:space="preserve">2025/26</t>
        </is>
      </c>
      <c r="D7512">
        <v>0.278</v>
      </c>
      <c r="E7512">
        <v>19.53</v>
      </c>
      <c r="F7512">
        <v>25.14</v>
      </c>
      <c r="G7512">
        <v>16.34</v>
      </c>
      <c r="H7512">
        <v>3.84</v>
      </c>
      <c r="I7512">
        <v>0.02</v>
      </c>
      <c r="J7512">
        <v>19.26</v>
      </c>
      <c r="K7512">
        <v>25.63</v>
      </c>
      <c r="L7512">
        <v>14.93</v>
      </c>
      <c r="M7512">
        <v>0.27</v>
      </c>
      <c r="N7512">
        <v>0.34</v>
      </c>
      <c r="O7512">
        <v>17.91</v>
      </c>
      <c r="P7512">
        <v>21.85</v>
      </c>
      <c r="Q7512">
        <v>15.55</v>
      </c>
      <c r="R7512">
        <v>3.67</v>
      </c>
    </row>
    <row r="7513">
      <c r="A7513" s="9">
        <v>46044</v>
      </c>
      <c r="B7513" s="2" t="inlineStr">
        <is>
          <t xml:space="preserve">2026-01</t>
        </is>
      </c>
      <c r="C7513" s="2" t="inlineStr">
        <is>
          <t xml:space="preserve">2025/26</t>
        </is>
      </c>
      <c r="D7513">
        <v>0.0</v>
      </c>
      <c r="E7513">
        <v>19.36</v>
      </c>
      <c r="F7513">
        <v>25.21</v>
      </c>
      <c r="G7513">
        <v>15.1</v>
      </c>
      <c r="H7513">
        <v>0.28</v>
      </c>
      <c r="I7513">
        <v>0.0</v>
      </c>
      <c r="J7513">
        <v>21.5</v>
      </c>
      <c r="K7513">
        <v>29.18</v>
      </c>
      <c r="L7513">
        <v>15.64</v>
      </c>
      <c r="M7513">
        <v>0.0</v>
      </c>
      <c r="N7513">
        <v>0.0</v>
      </c>
      <c r="O7513">
        <v>20.03</v>
      </c>
      <c r="P7513">
        <v>25.5</v>
      </c>
      <c r="Q7513">
        <v>16.03</v>
      </c>
      <c r="R7513">
        <v>0.07</v>
      </c>
    </row>
    <row r="7514">
      <c r="A7514" s="9">
        <v>46045</v>
      </c>
      <c r="B7514" s="2" t="inlineStr">
        <is>
          <t xml:space="preserve">2026-01</t>
        </is>
      </c>
      <c r="C7514" s="2" t="inlineStr">
        <is>
          <t xml:space="preserve">2025/26</t>
        </is>
      </c>
      <c r="D7514">
        <v>0.0</v>
      </c>
      <c r="E7514">
        <v>19.73</v>
      </c>
      <c r="F7514">
        <v>25.44</v>
      </c>
      <c r="G7514">
        <v>15.87</v>
      </c>
      <c r="H7514">
        <v>0.56</v>
      </c>
      <c r="I7514">
        <v>0.0</v>
      </c>
      <c r="J7514">
        <v>21.79</v>
      </c>
      <c r="K7514">
        <v>28.85</v>
      </c>
      <c r="L7514">
        <v>16.49</v>
      </c>
      <c r="M7514">
        <v>0.1</v>
      </c>
      <c r="N7514">
        <v>0.0</v>
      </c>
      <c r="O7514">
        <v>20.42</v>
      </c>
      <c r="P7514">
        <v>25.57</v>
      </c>
      <c r="Q7514">
        <v>16.76</v>
      </c>
      <c r="R7514">
        <v>0.3</v>
      </c>
    </row>
    <row r="7515">
      <c r="A7515" s="9">
        <v>46046</v>
      </c>
      <c r="B7515" s="2" t="inlineStr">
        <is>
          <t xml:space="preserve">2026-01</t>
        </is>
      </c>
      <c r="C7515" s="2" t="inlineStr">
        <is>
          <t xml:space="preserve">2025/26</t>
        </is>
      </c>
      <c r="D7515">
        <v>0.574</v>
      </c>
      <c r="E7515">
        <v>20.05</v>
      </c>
      <c r="F7515">
        <v>26.42</v>
      </c>
      <c r="G7515">
        <v>15.68</v>
      </c>
      <c r="H7515">
        <v>0.28</v>
      </c>
      <c r="I7515">
        <v>0.105</v>
      </c>
      <c r="J7515">
        <v>22.87</v>
      </c>
      <c r="K7515">
        <v>30.8</v>
      </c>
      <c r="L7515">
        <v>16.75</v>
      </c>
      <c r="M7515">
        <v>0.15</v>
      </c>
      <c r="N7515">
        <v>0.477</v>
      </c>
      <c r="O7515">
        <v>21.07</v>
      </c>
      <c r="P7515">
        <v>27.28</v>
      </c>
      <c r="Q7515">
        <v>16.84</v>
      </c>
      <c r="R7515">
        <v>0.25</v>
      </c>
    </row>
    <row r="7516">
      <c r="A7516" s="9">
        <v>46047</v>
      </c>
      <c r="B7516" s="2" t="inlineStr">
        <is>
          <t xml:space="preserve">2026-01</t>
        </is>
      </c>
      <c r="C7516" s="2" t="inlineStr">
        <is>
          <t xml:space="preserve">2025/26</t>
        </is>
      </c>
      <c r="D7516">
        <v>0.0</v>
      </c>
      <c r="E7516">
        <v>20.82</v>
      </c>
      <c r="F7516">
        <v>28.5</v>
      </c>
      <c r="G7516">
        <v>14.47</v>
      </c>
      <c r="H7516">
        <v>0.0</v>
      </c>
      <c r="I7516">
        <v>0.0</v>
      </c>
      <c r="J7516">
        <v>23.96</v>
      </c>
      <c r="K7516">
        <v>32.56</v>
      </c>
      <c r="L7516">
        <v>17.83</v>
      </c>
      <c r="M7516">
        <v>0.0</v>
      </c>
      <c r="N7516">
        <v>0.0</v>
      </c>
      <c r="O7516">
        <v>22.64</v>
      </c>
      <c r="P7516">
        <v>29.67</v>
      </c>
      <c r="Q7516">
        <v>17.89</v>
      </c>
      <c r="R7516">
        <v>0.0</v>
      </c>
    </row>
    <row r="7517">
      <c r="A7517" s="9">
        <v>46048</v>
      </c>
      <c r="B7517" s="2" t="inlineStr">
        <is>
          <t xml:space="preserve">2026-01</t>
        </is>
      </c>
      <c r="C7517" s="2" t="inlineStr">
        <is>
          <t xml:space="preserve">2025/26</t>
        </is>
      </c>
      <c r="D7517">
        <v>0.0</v>
      </c>
      <c r="E7517">
        <v>20.88</v>
      </c>
      <c r="F7517">
        <v>26.29</v>
      </c>
      <c r="G7517">
        <v>17.06</v>
      </c>
      <c r="H7517">
        <v>0.34</v>
      </c>
      <c r="I7517">
        <v>0.0</v>
      </c>
      <c r="J7517">
        <v>22.51</v>
      </c>
      <c r="K7517">
        <v>29.17</v>
      </c>
      <c r="L7517">
        <v>17.65</v>
      </c>
      <c r="M7517">
        <v>0.07</v>
      </c>
      <c r="N7517">
        <v>0.0</v>
      </c>
      <c r="O7517">
        <v>21.2</v>
      </c>
      <c r="P7517">
        <v>26.32</v>
      </c>
      <c r="Q7517">
        <v>17.38</v>
      </c>
      <c r="R7517">
        <v>0.66</v>
      </c>
    </row>
    <row r="7518">
      <c r="A7518" s="9">
        <v>46049</v>
      </c>
      <c r="B7518" s="2" t="inlineStr">
        <is>
          <t xml:space="preserve">2026-01</t>
        </is>
      </c>
      <c r="C7518" s="2" t="inlineStr">
        <is>
          <t xml:space="preserve">2025/26</t>
        </is>
      </c>
      <c r="D7518">
        <v>0.079</v>
      </c>
      <c r="E7518">
        <v>19.5</v>
      </c>
      <c r="F7518">
        <v>24.21</v>
      </c>
      <c r="G7518">
        <v>16.62</v>
      </c>
      <c r="H7518">
        <v>5.56</v>
      </c>
      <c r="I7518">
        <v>0.269</v>
      </c>
      <c r="J7518">
        <v>21.24</v>
      </c>
      <c r="K7518">
        <v>26.91</v>
      </c>
      <c r="L7518">
        <v>17.59</v>
      </c>
      <c r="M7518">
        <v>1.75</v>
      </c>
      <c r="N7518">
        <v>1.325</v>
      </c>
      <c r="O7518">
        <v>20.38</v>
      </c>
      <c r="P7518">
        <v>24.33</v>
      </c>
      <c r="Q7518">
        <v>18.03</v>
      </c>
      <c r="R7518">
        <v>15.55</v>
      </c>
    </row>
    <row r="7519">
      <c r="A7519" s="9">
        <v>46050</v>
      </c>
      <c r="B7519" s="2" t="inlineStr">
        <is>
          <t xml:space="preserve">2026-01</t>
        </is>
      </c>
      <c r="C7519" s="2" t="inlineStr">
        <is>
          <t xml:space="preserve">2025/26</t>
        </is>
      </c>
      <c r="D7519">
        <v>0.867</v>
      </c>
      <c r="E7519">
        <v>18.8</v>
      </c>
      <c r="F7519">
        <v>24.1</v>
      </c>
      <c r="G7519">
        <v>15.63</v>
      </c>
      <c r="H7519">
        <v>9.34</v>
      </c>
      <c r="I7519">
        <v>0.108</v>
      </c>
      <c r="J7519">
        <v>19.23</v>
      </c>
      <c r="K7519">
        <v>25.01</v>
      </c>
      <c r="L7519">
        <v>16.0</v>
      </c>
      <c r="M7519">
        <v>0.92</v>
      </c>
      <c r="N7519">
        <v>0.843</v>
      </c>
      <c r="O7519">
        <v>18.15</v>
      </c>
      <c r="P7519">
        <v>22.01</v>
      </c>
      <c r="Q7519">
        <v>15.45</v>
      </c>
      <c r="R7519">
        <v>11.24</v>
      </c>
    </row>
    <row r="7520">
      <c r="A7520" s="9">
        <v>46051</v>
      </c>
      <c r="B7520" s="2" t="inlineStr">
        <is>
          <t xml:space="preserve">2026-01</t>
        </is>
      </c>
      <c r="C7520" s="2" t="inlineStr">
        <is>
          <t xml:space="preserve">2025/26</t>
        </is>
      </c>
      <c r="D7520">
        <v>0.024</v>
      </c>
      <c r="E7520">
        <v>18.1</v>
      </c>
      <c r="F7520">
        <v>23.83</v>
      </c>
      <c r="G7520">
        <v>14.68</v>
      </c>
      <c r="H7520">
        <v>2.62</v>
      </c>
      <c r="I7520">
        <v>0.0</v>
      </c>
      <c r="J7520">
        <v>18.67</v>
      </c>
      <c r="K7520">
        <v>25.39</v>
      </c>
      <c r="L7520">
        <v>14.99</v>
      </c>
      <c r="M7520">
        <v>0.26</v>
      </c>
      <c r="N7520">
        <v>0.26</v>
      </c>
      <c r="O7520">
        <v>16.96</v>
      </c>
      <c r="P7520">
        <v>21.28</v>
      </c>
      <c r="Q7520">
        <v>14.67</v>
      </c>
      <c r="R7520">
        <v>4.23</v>
      </c>
    </row>
    <row r="7521">
      <c r="A7521" s="9">
        <v>46052</v>
      </c>
      <c r="B7521" s="2" t="inlineStr">
        <is>
          <t xml:space="preserve">2026-01</t>
        </is>
      </c>
      <c r="C7521" s="2" t="inlineStr">
        <is>
          <t xml:space="preserve">2025/26</t>
        </is>
      </c>
      <c r="D7521">
        <v>0.0</v>
      </c>
      <c r="E7521">
        <v>18.2</v>
      </c>
      <c r="F7521">
        <v>24.34</v>
      </c>
      <c r="G7521">
        <v>13.91</v>
      </c>
      <c r="H7521">
        <v>1.2</v>
      </c>
      <c r="I7521">
        <v>0.0</v>
      </c>
      <c r="J7521">
        <v>19.59</v>
      </c>
      <c r="K7521">
        <v>28.03</v>
      </c>
      <c r="L7521">
        <v>13.6</v>
      </c>
      <c r="M7521">
        <v>0.04</v>
      </c>
      <c r="N7521">
        <v>0.0</v>
      </c>
      <c r="O7521">
        <v>17.88</v>
      </c>
      <c r="P7521">
        <v>23.56</v>
      </c>
      <c r="Q7521">
        <v>13.9</v>
      </c>
      <c r="R7521">
        <v>0.69</v>
      </c>
    </row>
    <row r="7522">
      <c r="A7522" s="9">
        <v>46053</v>
      </c>
      <c r="B7522" s="2" t="inlineStr">
        <is>
          <t xml:space="preserve">2026-01</t>
        </is>
      </c>
      <c r="C7522" s="2" t="inlineStr">
        <is>
          <t xml:space="preserve">2025/26</t>
        </is>
      </c>
      <c r="D7522">
        <v>0.496</v>
      </c>
      <c r="E7522">
        <v>16.41</v>
      </c>
      <c r="F7522">
        <v>22.1</v>
      </c>
      <c r="G7522">
        <v>12.49</v>
      </c>
      <c r="H7522">
        <v>1.76</v>
      </c>
      <c r="I7522">
        <v>0.0</v>
      </c>
      <c r="J7522">
        <v>18.35</v>
      </c>
      <c r="K7522">
        <v>23.85</v>
      </c>
      <c r="L7522">
        <v>15.05</v>
      </c>
      <c r="M7522">
        <v>0.19</v>
      </c>
      <c r="N7522">
        <v>0.074</v>
      </c>
      <c r="O7522">
        <v>16.62</v>
      </c>
      <c r="P7522">
        <v>20.7</v>
      </c>
      <c r="Q7522">
        <v>14.36</v>
      </c>
      <c r="R7522">
        <v>1.6</v>
      </c>
    </row>
    <row r="7523">
      <c r="A7523" s="9">
        <v>46054</v>
      </c>
      <c r="B7523" s="2" t="inlineStr">
        <is>
          <t xml:space="preserve">2026-02</t>
        </is>
      </c>
      <c r="C7523" s="2" t="inlineStr">
        <is>
          <t xml:space="preserve">2025/26</t>
        </is>
      </c>
      <c r="D7523">
        <v>0.641</v>
      </c>
      <c r="E7523">
        <v>12.73</v>
      </c>
      <c r="F7523">
        <v>15.99</v>
      </c>
      <c r="G7523">
        <v>9.53</v>
      </c>
      <c r="H7523">
        <v>4.68</v>
      </c>
      <c r="I7523">
        <v>0.0</v>
      </c>
      <c r="J7523">
        <v>14.44</v>
      </c>
      <c r="K7523">
        <v>18.52</v>
      </c>
      <c r="L7523">
        <v>10.98</v>
      </c>
      <c r="M7523">
        <v>1.33</v>
      </c>
      <c r="N7523">
        <v>2.87</v>
      </c>
      <c r="O7523">
        <v>13.4</v>
      </c>
      <c r="P7523">
        <v>15.69</v>
      </c>
      <c r="Q7523">
        <v>10.28</v>
      </c>
      <c r="R7523">
        <v>7.71</v>
      </c>
    </row>
    <row r="7524">
      <c r="A7524" s="9">
        <v>46055</v>
      </c>
      <c r="B7524" s="2" t="inlineStr">
        <is>
          <t xml:space="preserve">2026-02</t>
        </is>
      </c>
      <c r="C7524" s="2" t="inlineStr">
        <is>
          <t xml:space="preserve">2025/26</t>
        </is>
      </c>
      <c r="D7524">
        <v>0.0</v>
      </c>
      <c r="E7524">
        <v>13.07</v>
      </c>
      <c r="F7524">
        <v>17.6</v>
      </c>
      <c r="G7524">
        <v>8.79</v>
      </c>
      <c r="H7524">
        <v>0.87</v>
      </c>
      <c r="I7524">
        <v>0.0</v>
      </c>
      <c r="J7524">
        <v>13.51</v>
      </c>
      <c r="K7524">
        <v>19.13</v>
      </c>
      <c r="L7524">
        <v>10.13</v>
      </c>
      <c r="M7524">
        <v>0.1</v>
      </c>
      <c r="N7524">
        <v>0.0</v>
      </c>
      <c r="O7524">
        <v>12.25</v>
      </c>
      <c r="P7524">
        <v>14.66</v>
      </c>
      <c r="Q7524">
        <v>9.73</v>
      </c>
      <c r="R7524">
        <v>2.82</v>
      </c>
    </row>
    <row r="7525">
      <c r="A7525" s="9">
        <v>46056</v>
      </c>
      <c r="B7525" s="2" t="inlineStr">
        <is>
          <t xml:space="preserve">2026-02</t>
        </is>
      </c>
      <c r="C7525" s="2" t="inlineStr">
        <is>
          <t xml:space="preserve">2025/26</t>
        </is>
      </c>
      <c r="D7525">
        <v>0.0</v>
      </c>
      <c r="E7525">
        <v>15.19</v>
      </c>
      <c r="F7525">
        <v>21.35</v>
      </c>
      <c r="G7525">
        <v>11.32</v>
      </c>
      <c r="H7525">
        <v>0.37</v>
      </c>
      <c r="I7525">
        <v>0.025</v>
      </c>
      <c r="J7525">
        <v>16.17</v>
      </c>
      <c r="K7525">
        <v>22.53</v>
      </c>
      <c r="L7525">
        <v>12.07</v>
      </c>
      <c r="M7525">
        <v>0.3</v>
      </c>
      <c r="N7525">
        <v>0.324</v>
      </c>
      <c r="O7525">
        <v>15.21</v>
      </c>
      <c r="P7525">
        <v>18.63</v>
      </c>
      <c r="Q7525">
        <v>12.93</v>
      </c>
      <c r="R7525">
        <v>1.24</v>
      </c>
    </row>
    <row r="7526">
      <c r="A7526" s="9">
        <v>46057</v>
      </c>
      <c r="B7526" s="2" t="inlineStr">
        <is>
          <t xml:space="preserve">2026-02</t>
        </is>
      </c>
      <c r="C7526" s="2" t="inlineStr">
        <is>
          <t xml:space="preserve">2025/26</t>
        </is>
      </c>
      <c r="D7526">
        <v>0.0</v>
      </c>
      <c r="E7526">
        <v>16.64</v>
      </c>
      <c r="F7526">
        <v>23.63</v>
      </c>
      <c r="G7526">
        <v>11.71</v>
      </c>
      <c r="H7526">
        <v>1.13</v>
      </c>
      <c r="I7526">
        <v>0.0</v>
      </c>
      <c r="J7526">
        <v>17.9</v>
      </c>
      <c r="K7526">
        <v>26.1</v>
      </c>
      <c r="L7526">
        <v>11.94</v>
      </c>
      <c r="M7526">
        <v>0.39</v>
      </c>
      <c r="N7526">
        <v>0.253</v>
      </c>
      <c r="O7526">
        <v>16.26</v>
      </c>
      <c r="P7526">
        <v>21.66</v>
      </c>
      <c r="Q7526">
        <v>12.77</v>
      </c>
      <c r="R7526">
        <v>3.68</v>
      </c>
    </row>
    <row r="7527">
      <c r="A7527" s="9">
        <v>46058</v>
      </c>
      <c r="B7527" s="2" t="inlineStr">
        <is>
          <t xml:space="preserve">2026-02</t>
        </is>
      </c>
      <c r="C7527" s="2" t="inlineStr">
        <is>
          <t xml:space="preserve">2025/26</t>
        </is>
      </c>
      <c r="D7527">
        <v>0.024</v>
      </c>
      <c r="E7527">
        <v>15.79</v>
      </c>
      <c r="F7527">
        <v>21.04</v>
      </c>
      <c r="G7527">
        <v>12.34</v>
      </c>
      <c r="H7527">
        <v>0.5</v>
      </c>
      <c r="I7527">
        <v>0.0</v>
      </c>
      <c r="J7527">
        <v>17.42</v>
      </c>
      <c r="K7527">
        <v>23.52</v>
      </c>
      <c r="L7527">
        <v>13.7</v>
      </c>
      <c r="M7527">
        <v>0.05</v>
      </c>
      <c r="N7527">
        <v>0.0</v>
      </c>
      <c r="O7527">
        <v>16.28</v>
      </c>
      <c r="P7527">
        <v>21.44</v>
      </c>
      <c r="Q7527">
        <v>12.85</v>
      </c>
      <c r="R7527">
        <v>1.23</v>
      </c>
    </row>
    <row r="7528">
      <c r="A7528" s="9">
        <v>46059</v>
      </c>
      <c r="B7528" s="2" t="inlineStr">
        <is>
          <t xml:space="preserve">2026-02</t>
        </is>
      </c>
      <c r="C7528" s="2" t="inlineStr">
        <is>
          <t xml:space="preserve">2025/26</t>
        </is>
      </c>
      <c r="D7528">
        <v>0.0</v>
      </c>
      <c r="E7528">
        <v>15.74</v>
      </c>
      <c r="F7528">
        <v>22.07</v>
      </c>
      <c r="G7528">
        <v>11.79</v>
      </c>
      <c r="H7528">
        <v>0.76</v>
      </c>
      <c r="I7528">
        <v>0.0</v>
      </c>
      <c r="J7528">
        <v>17.18</v>
      </c>
      <c r="K7528">
        <v>22.88</v>
      </c>
      <c r="L7528">
        <v>14.11</v>
      </c>
      <c r="M7528">
        <v>0.12</v>
      </c>
      <c r="N7528">
        <v>0.047</v>
      </c>
      <c r="O7528">
        <v>16.3</v>
      </c>
      <c r="P7528">
        <v>20.33</v>
      </c>
      <c r="Q7528">
        <v>13.96</v>
      </c>
      <c r="R7528">
        <v>1.62</v>
      </c>
    </row>
    <row r="7529">
      <c r="A7529" s="9">
        <v>46060</v>
      </c>
      <c r="B7529" s="2" t="inlineStr">
        <is>
          <t xml:space="preserve">2026-02</t>
        </is>
      </c>
      <c r="C7529" s="2" t="inlineStr">
        <is>
          <t xml:space="preserve">2025/26</t>
        </is>
      </c>
      <c r="D7529">
        <v>0.0</v>
      </c>
      <c r="E7529">
        <v>14.61</v>
      </c>
      <c r="F7529">
        <v>20.89</v>
      </c>
      <c r="G7529">
        <v>10.82</v>
      </c>
      <c r="H7529">
        <v>0.23</v>
      </c>
      <c r="I7529">
        <v>0.0</v>
      </c>
      <c r="J7529">
        <v>16.09</v>
      </c>
      <c r="K7529">
        <v>22.43</v>
      </c>
      <c r="L7529">
        <v>12.78</v>
      </c>
      <c r="M7529">
        <v>0.12</v>
      </c>
      <c r="N7529">
        <v>0.065</v>
      </c>
      <c r="O7529">
        <v>15.05</v>
      </c>
      <c r="P7529">
        <v>19.71</v>
      </c>
      <c r="Q7529">
        <v>12.38</v>
      </c>
      <c r="R7529">
        <v>0.84</v>
      </c>
    </row>
    <row r="7530">
      <c r="A7530" s="9">
        <v>46061</v>
      </c>
      <c r="B7530" s="2" t="inlineStr">
        <is>
          <t xml:space="preserve">2026-02</t>
        </is>
      </c>
      <c r="C7530" s="2" t="inlineStr">
        <is>
          <t xml:space="preserve">2025/26</t>
        </is>
      </c>
      <c r="D7530">
        <v>0.0</v>
      </c>
      <c r="E7530">
        <v>15.35</v>
      </c>
      <c r="F7530">
        <v>21.78</v>
      </c>
      <c r="G7530">
        <v>10.72</v>
      </c>
      <c r="H7530">
        <v>0.0</v>
      </c>
      <c r="I7530">
        <v>0.0</v>
      </c>
      <c r="J7530">
        <v>16.04</v>
      </c>
      <c r="K7530">
        <v>23.57</v>
      </c>
      <c r="L7530">
        <v>11.01</v>
      </c>
      <c r="M7530">
        <v>0.0</v>
      </c>
      <c r="N7530">
        <v>0.0</v>
      </c>
      <c r="O7530">
        <v>15.46</v>
      </c>
      <c r="P7530">
        <v>20.42</v>
      </c>
      <c r="Q7530">
        <v>11.78</v>
      </c>
      <c r="R7530">
        <v>0.01</v>
      </c>
    </row>
    <row r="7531">
      <c r="A7531" s="9">
        <v>46062</v>
      </c>
      <c r="B7531" s="2" t="inlineStr">
        <is>
          <t xml:space="preserve">2026-02</t>
        </is>
      </c>
      <c r="C7531" s="2" t="inlineStr">
        <is>
          <t xml:space="preserve">2025/26</t>
        </is>
      </c>
      <c r="D7531">
        <v>0.0</v>
      </c>
      <c r="E7531">
        <v>16.9</v>
      </c>
      <c r="F7531">
        <v>24.1</v>
      </c>
      <c r="G7531">
        <v>11.98</v>
      </c>
      <c r="H7531">
        <v>0.0</v>
      </c>
      <c r="I7531">
        <v>0.0</v>
      </c>
      <c r="J7531">
        <v>18.21</v>
      </c>
      <c r="K7531">
        <v>24.87</v>
      </c>
      <c r="L7531">
        <v>13.61</v>
      </c>
      <c r="M7531">
        <v>0.0</v>
      </c>
      <c r="N7531">
        <v>0.0</v>
      </c>
      <c r="O7531">
        <v>17.49</v>
      </c>
      <c r="P7531">
        <v>21.99</v>
      </c>
      <c r="Q7531">
        <v>14.55</v>
      </c>
      <c r="R7531">
        <v>0.04</v>
      </c>
    </row>
    <row r="7532">
      <c r="A7532" s="9">
        <v>46063</v>
      </c>
      <c r="B7532" s="2" t="inlineStr">
        <is>
          <t xml:space="preserve">2026-02</t>
        </is>
      </c>
      <c r="C7532" s="2" t="inlineStr">
        <is>
          <t xml:space="preserve">2025/26</t>
        </is>
      </c>
      <c r="D7532">
        <v>0.0</v>
      </c>
      <c r="E7532">
        <v>18.07</v>
      </c>
      <c r="F7532">
        <v>25.26</v>
      </c>
      <c r="G7532">
        <v>12.16</v>
      </c>
      <c r="H7532">
        <v>0.0</v>
      </c>
      <c r="I7532">
        <v>0.0</v>
      </c>
      <c r="J7532">
        <v>20.09</v>
      </c>
      <c r="K7532">
        <v>28.72</v>
      </c>
      <c r="L7532">
        <v>13.53</v>
      </c>
      <c r="M7532">
        <v>0.0</v>
      </c>
      <c r="N7532">
        <v>0.0</v>
      </c>
      <c r="O7532">
        <v>17.98</v>
      </c>
      <c r="P7532">
        <v>24.08</v>
      </c>
      <c r="Q7532">
        <v>13.28</v>
      </c>
      <c r="R7532">
        <v>0.01</v>
      </c>
    </row>
    <row r="7533">
      <c r="A7533" s="9">
        <v>46064</v>
      </c>
      <c r="B7533" s="2" t="inlineStr">
        <is>
          <t xml:space="preserve">2026-02</t>
        </is>
      </c>
      <c r="C7533" s="2" t="inlineStr">
        <is>
          <t xml:space="preserve">2025/26</t>
        </is>
      </c>
      <c r="D7533">
        <v>0.0</v>
      </c>
      <c r="E7533">
        <v>19.56</v>
      </c>
      <c r="F7533">
        <v>27.69</v>
      </c>
      <c r="G7533">
        <v>13.93</v>
      </c>
      <c r="H7533">
        <v>0.0</v>
      </c>
      <c r="I7533">
        <v>0.0</v>
      </c>
      <c r="J7533">
        <v>21.19</v>
      </c>
      <c r="K7533">
        <v>30.04</v>
      </c>
      <c r="L7533">
        <v>14.85</v>
      </c>
      <c r="M7533">
        <v>0.0</v>
      </c>
      <c r="N7533">
        <v>0.0</v>
      </c>
      <c r="O7533">
        <v>19.26</v>
      </c>
      <c r="P7533">
        <v>26.04</v>
      </c>
      <c r="Q7533">
        <v>14.58</v>
      </c>
      <c r="R7533">
        <v>0.0</v>
      </c>
    </row>
    <row r="7534">
      <c r="A7534" s="9">
        <v>46065</v>
      </c>
      <c r="B7534" s="2" t="inlineStr">
        <is>
          <t xml:space="preserve">2026-02</t>
        </is>
      </c>
      <c r="C7534" s="2" t="inlineStr">
        <is>
          <t xml:space="preserve">2025/26</t>
        </is>
      </c>
      <c r="D7534">
        <v>0.0</v>
      </c>
      <c r="E7534">
        <v>19.96</v>
      </c>
      <c r="F7534">
        <v>26.99</v>
      </c>
      <c r="G7534">
        <v>14.71</v>
      </c>
      <c r="H7534">
        <v>0.12</v>
      </c>
      <c r="I7534">
        <v>0.0</v>
      </c>
      <c r="J7534">
        <v>21.49</v>
      </c>
      <c r="K7534">
        <v>29.49</v>
      </c>
      <c r="L7534">
        <v>15.65</v>
      </c>
      <c r="M7534">
        <v>0.03</v>
      </c>
      <c r="N7534">
        <v>0.0</v>
      </c>
      <c r="O7534">
        <v>20.03</v>
      </c>
      <c r="P7534">
        <v>26.31</v>
      </c>
      <c r="Q7534">
        <v>15.39</v>
      </c>
      <c r="R7534">
        <v>0.31</v>
      </c>
    </row>
    <row r="7535">
      <c r="A7535" s="9">
        <v>46066</v>
      </c>
      <c r="B7535" s="2" t="inlineStr">
        <is>
          <t xml:space="preserve">2026-02</t>
        </is>
      </c>
      <c r="C7535" s="2" t="inlineStr">
        <is>
          <t xml:space="preserve">2025/26</t>
        </is>
      </c>
      <c r="D7535">
        <v>0.0</v>
      </c>
      <c r="E7535">
        <v>19.05</v>
      </c>
      <c r="F7535">
        <v>26.48</v>
      </c>
      <c r="G7535">
        <v>13.92</v>
      </c>
      <c r="H7535">
        <v>0.07</v>
      </c>
      <c r="I7535">
        <v>0.0</v>
      </c>
      <c r="J7535">
        <v>21.3</v>
      </c>
      <c r="K7535">
        <v>29.13</v>
      </c>
      <c r="L7535">
        <v>16.0</v>
      </c>
      <c r="M7535">
        <v>0.05</v>
      </c>
      <c r="N7535">
        <v>0.042</v>
      </c>
      <c r="O7535">
        <v>19.42</v>
      </c>
      <c r="P7535">
        <v>25.28</v>
      </c>
      <c r="Q7535">
        <v>15.88</v>
      </c>
      <c r="R7535">
        <v>0.27</v>
      </c>
    </row>
    <row r="7536">
      <c r="A7536" s="9">
        <v>46067</v>
      </c>
      <c r="B7536" s="2" t="inlineStr">
        <is>
          <t xml:space="preserve">2026-02</t>
        </is>
      </c>
      <c r="C7536" s="2" t="inlineStr">
        <is>
          <t xml:space="preserve">2025/26</t>
        </is>
      </c>
      <c r="D7536">
        <v>0.0</v>
      </c>
      <c r="E7536">
        <v>18.63</v>
      </c>
      <c r="F7536">
        <v>27.71</v>
      </c>
      <c r="G7536">
        <v>11.48</v>
      </c>
      <c r="H7536">
        <v>0.0</v>
      </c>
      <c r="I7536">
        <v>0.0</v>
      </c>
      <c r="J7536">
        <v>21.66</v>
      </c>
      <c r="K7536">
        <v>31.21</v>
      </c>
      <c r="L7536">
        <v>13.89</v>
      </c>
      <c r="M7536">
        <v>0.0</v>
      </c>
      <c r="N7536">
        <v>0.0</v>
      </c>
      <c r="O7536">
        <v>19.18</v>
      </c>
      <c r="P7536">
        <v>26.71</v>
      </c>
      <c r="Q7536">
        <v>13.13</v>
      </c>
      <c r="R7536">
        <v>0.0</v>
      </c>
    </row>
    <row r="7537">
      <c r="A7537" s="9">
        <v>46068</v>
      </c>
      <c r="B7537" s="2" t="inlineStr">
        <is>
          <t xml:space="preserve">2026-02</t>
        </is>
      </c>
      <c r="C7537" s="2" t="inlineStr">
        <is>
          <t xml:space="preserve">2025/26</t>
        </is>
      </c>
      <c r="D7537">
        <v>0.0</v>
      </c>
      <c r="E7537">
        <v>20.99</v>
      </c>
      <c r="F7537">
        <v>30.1</v>
      </c>
      <c r="G7537">
        <v>13.47</v>
      </c>
      <c r="H7537">
        <v>0.0</v>
      </c>
      <c r="I7537">
        <v>0.0</v>
      </c>
      <c r="J7537">
        <v>22.65</v>
      </c>
      <c r="K7537">
        <v>32.46</v>
      </c>
      <c r="L7537">
        <v>14.81</v>
      </c>
      <c r="M7537">
        <v>0.0</v>
      </c>
      <c r="N7537">
        <v>0.0</v>
      </c>
      <c r="O7537">
        <v>21.08</v>
      </c>
      <c r="P7537">
        <v>30.23</v>
      </c>
      <c r="Q7537">
        <v>13.31</v>
      </c>
      <c r="R7537">
        <v>0.0</v>
      </c>
    </row>
    <row r="7538">
      <c r="A7538" s="9">
        <v>46069</v>
      </c>
      <c r="B7538" s="2" t="inlineStr">
        <is>
          <t xml:space="preserve">2026-02</t>
        </is>
      </c>
      <c r="C7538" s="2" t="inlineStr">
        <is>
          <t xml:space="preserve">2025/26</t>
        </is>
      </c>
      <c r="D7538">
        <v>0.0</v>
      </c>
      <c r="E7538">
        <v>20.63</v>
      </c>
      <c r="F7538">
        <v>28.41</v>
      </c>
      <c r="G7538">
        <v>14.95</v>
      </c>
      <c r="H7538">
        <v>0.0</v>
      </c>
      <c r="I7538">
        <v>0.0</v>
      </c>
      <c r="J7538">
        <v>22.1</v>
      </c>
      <c r="K7538">
        <v>30.5</v>
      </c>
      <c r="L7538">
        <v>16.05</v>
      </c>
      <c r="M7538">
        <v>0.0</v>
      </c>
      <c r="N7538">
        <v>0.0</v>
      </c>
      <c r="O7538">
        <v>20.15</v>
      </c>
      <c r="P7538">
        <v>26.77</v>
      </c>
      <c r="Q7538">
        <v>15.5</v>
      </c>
      <c r="R7538">
        <v>0.0</v>
      </c>
    </row>
    <row r="7539">
      <c r="A7539" s="9">
        <v>46070</v>
      </c>
      <c r="B7539" s="2" t="inlineStr">
        <is>
          <t xml:space="preserve">2026-02</t>
        </is>
      </c>
      <c r="C7539" s="2" t="inlineStr">
        <is>
          <t xml:space="preserve">2025/26</t>
        </is>
      </c>
      <c r="D7539">
        <v>0.0</v>
      </c>
      <c r="E7539">
        <v>20.67</v>
      </c>
      <c r="F7539">
        <v>28.29</v>
      </c>
      <c r="G7539">
        <v>14.88</v>
      </c>
      <c r="H7539">
        <v>0.0</v>
      </c>
      <c r="I7539">
        <v>0.0</v>
      </c>
      <c r="J7539">
        <v>21.82</v>
      </c>
      <c r="K7539">
        <v>30.34</v>
      </c>
      <c r="L7539">
        <v>15.22</v>
      </c>
      <c r="M7539">
        <v>0.0</v>
      </c>
      <c r="N7539">
        <v>0.0</v>
      </c>
      <c r="O7539">
        <v>19.74</v>
      </c>
      <c r="P7539">
        <v>26.5</v>
      </c>
      <c r="Q7539">
        <v>13.96</v>
      </c>
      <c r="R7539">
        <v>0.0</v>
      </c>
    </row>
    <row r="7540">
      <c r="A7540" s="9">
        <v>46071</v>
      </c>
      <c r="B7540" s="2" t="inlineStr">
        <is>
          <t xml:space="preserve">2026-02</t>
        </is>
      </c>
      <c r="C7540" s="2" t="inlineStr">
        <is>
          <t xml:space="preserve">2025/26</t>
        </is>
      </c>
      <c r="D7540">
        <v>0.0</v>
      </c>
      <c r="E7540">
        <v>21.74</v>
      </c>
      <c r="F7540">
        <v>29.61</v>
      </c>
      <c r="G7540">
        <v>15.69</v>
      </c>
      <c r="H7540">
        <v>0.02</v>
      </c>
      <c r="I7540">
        <v>0.0</v>
      </c>
      <c r="J7540">
        <v>23.45</v>
      </c>
      <c r="K7540">
        <v>32.34</v>
      </c>
      <c r="L7540">
        <v>16.13</v>
      </c>
      <c r="M7540">
        <v>0.0</v>
      </c>
      <c r="N7540">
        <v>0.0</v>
      </c>
      <c r="O7540">
        <v>22.07</v>
      </c>
      <c r="P7540">
        <v>29.39</v>
      </c>
      <c r="Q7540">
        <v>16.8</v>
      </c>
      <c r="R7540">
        <v>0.0</v>
      </c>
    </row>
    <row r="7541">
      <c r="A7541" s="9">
        <v>46072</v>
      </c>
      <c r="B7541" s="2" t="inlineStr">
        <is>
          <t xml:space="preserve">2026-02</t>
        </is>
      </c>
      <c r="C7541" s="2" t="inlineStr">
        <is>
          <t xml:space="preserve">2025/26</t>
        </is>
      </c>
      <c r="D7541">
        <v>0.0</v>
      </c>
      <c r="E7541">
        <v>22.16</v>
      </c>
      <c r="F7541">
        <v>30.6</v>
      </c>
      <c r="G7541">
        <v>15.09</v>
      </c>
      <c r="H7541">
        <v>0.08</v>
      </c>
      <c r="I7541">
        <v>0.0</v>
      </c>
      <c r="J7541">
        <v>24.3</v>
      </c>
      <c r="K7541">
        <v>33.45</v>
      </c>
      <c r="L7541">
        <v>17.62</v>
      </c>
      <c r="M7541">
        <v>0.0</v>
      </c>
      <c r="N7541">
        <v>0.0</v>
      </c>
      <c r="O7541">
        <v>23.65</v>
      </c>
      <c r="P7541">
        <v>31.53</v>
      </c>
      <c r="Q7541">
        <v>17.23</v>
      </c>
      <c r="R7541">
        <v>0.0</v>
      </c>
    </row>
    <row r="7542">
      <c r="A7542" s="9">
        <v>46073</v>
      </c>
      <c r="B7542" s="2" t="inlineStr">
        <is>
          <t xml:space="preserve">2026-02</t>
        </is>
      </c>
      <c r="C7542" s="2" t="inlineStr">
        <is>
          <t xml:space="preserve">2025/26</t>
        </is>
      </c>
      <c r="D7542">
        <v>0.0</v>
      </c>
      <c r="E7542">
        <v>22.92</v>
      </c>
      <c r="F7542">
        <v>31.03</v>
      </c>
      <c r="G7542">
        <v>15.52</v>
      </c>
      <c r="H7542">
        <v>0.0</v>
      </c>
      <c r="I7542">
        <v>0.0</v>
      </c>
      <c r="J7542">
        <v>23.28</v>
      </c>
      <c r="K7542">
        <v>32.51</v>
      </c>
      <c r="L7542">
        <v>16.02</v>
      </c>
      <c r="M7542">
        <v>0.0</v>
      </c>
      <c r="N7542">
        <v>0.0</v>
      </c>
      <c r="O7542">
        <v>23.76</v>
      </c>
      <c r="P7542">
        <v>32.06</v>
      </c>
      <c r="Q7542">
        <v>16.22</v>
      </c>
      <c r="R7542">
        <v>0.0</v>
      </c>
    </row>
    <row r="7543">
      <c r="A7543" s="9">
        <v>46074</v>
      </c>
      <c r="B7543" s="2" t="inlineStr">
        <is>
          <t xml:space="preserve">2026-02</t>
        </is>
      </c>
      <c r="C7543" s="2" t="inlineStr">
        <is>
          <t xml:space="preserve">2025/26</t>
        </is>
      </c>
      <c r="D7543">
        <v>0.0</v>
      </c>
      <c r="E7543">
        <v>23.57</v>
      </c>
      <c r="F7543">
        <v>31.45</v>
      </c>
      <c r="G7543">
        <v>16.63</v>
      </c>
      <c r="H7543">
        <v>0.0</v>
      </c>
      <c r="I7543">
        <v>0.0</v>
      </c>
      <c r="J7543">
        <v>24.73</v>
      </c>
      <c r="K7543">
        <v>34.12</v>
      </c>
      <c r="L7543">
        <v>16.41</v>
      </c>
      <c r="M7543">
        <v>0.0</v>
      </c>
      <c r="N7543">
        <v>0.0</v>
      </c>
      <c r="O7543">
        <v>24.07</v>
      </c>
      <c r="P7543">
        <v>32.35</v>
      </c>
      <c r="Q7543">
        <v>16.79</v>
      </c>
      <c r="R7543">
        <v>0.0</v>
      </c>
    </row>
    <row r="7544">
      <c r="A7544" s="9">
        <v>46075</v>
      </c>
      <c r="B7544" s="2" t="inlineStr">
        <is>
          <t xml:space="preserve">2026-02</t>
        </is>
      </c>
      <c r="C7544" s="2" t="inlineStr">
        <is>
          <t xml:space="preserve">2025/26</t>
        </is>
      </c>
      <c r="D7544">
        <v>0.0</v>
      </c>
      <c r="E7544">
        <v>21.88</v>
      </c>
      <c r="F7544">
        <v>28.64</v>
      </c>
      <c r="G7544">
        <v>16.69</v>
      </c>
      <c r="H7544">
        <v>0.38</v>
      </c>
      <c r="I7544">
        <v>0.0</v>
      </c>
      <c r="J7544">
        <v>23.86</v>
      </c>
      <c r="K7544">
        <v>30.65</v>
      </c>
      <c r="L7544">
        <v>18.62</v>
      </c>
      <c r="M7544">
        <v>0.2</v>
      </c>
      <c r="N7544">
        <v>0.0</v>
      </c>
      <c r="O7544">
        <v>22.64</v>
      </c>
      <c r="P7544">
        <v>27.85</v>
      </c>
      <c r="Q7544">
        <v>18.26</v>
      </c>
      <c r="R7544">
        <v>0.96</v>
      </c>
    </row>
    <row r="7545">
      <c r="A7545" s="9">
        <v>46076</v>
      </c>
      <c r="B7545" s="2" t="inlineStr">
        <is>
          <t xml:space="preserve">2026-02</t>
        </is>
      </c>
      <c r="C7545" s="2" t="inlineStr">
        <is>
          <t xml:space="preserve">2025/26</t>
        </is>
      </c>
      <c r="D7545">
        <v>0.461</v>
      </c>
      <c r="E7545">
        <v>18.6</v>
      </c>
      <c r="F7545">
        <v>24.59</v>
      </c>
      <c r="G7545">
        <v>14.59</v>
      </c>
      <c r="H7545">
        <v>7.77</v>
      </c>
      <c r="I7545">
        <v>0.576</v>
      </c>
      <c r="J7545">
        <v>20.27</v>
      </c>
      <c r="K7545">
        <v>26.18</v>
      </c>
      <c r="L7545">
        <v>16.04</v>
      </c>
      <c r="M7545">
        <v>3.18</v>
      </c>
      <c r="N7545">
        <v>2.839</v>
      </c>
      <c r="O7545">
        <v>19.41</v>
      </c>
      <c r="P7545">
        <v>23.78</v>
      </c>
      <c r="Q7545">
        <v>16.43</v>
      </c>
      <c r="R7545">
        <v>19.75</v>
      </c>
    </row>
    <row r="7546">
      <c r="A7546" s="9">
        <v>46077</v>
      </c>
      <c r="B7546" s="2" t="inlineStr">
        <is>
          <t xml:space="preserve">2026-02</t>
        </is>
      </c>
      <c r="C7546" s="2" t="inlineStr">
        <is>
          <t xml:space="preserve">2025/26</t>
        </is>
      </c>
      <c r="D7546">
        <v>0.643</v>
      </c>
      <c r="E7546">
        <v>16.24</v>
      </c>
      <c r="F7546">
        <v>21.22</v>
      </c>
      <c r="G7546">
        <v>13.09</v>
      </c>
      <c r="H7546">
        <v>2.89</v>
      </c>
      <c r="I7546">
        <v>0.03</v>
      </c>
      <c r="J7546">
        <v>16.65</v>
      </c>
      <c r="K7546">
        <v>22.06</v>
      </c>
      <c r="L7546">
        <v>13.16</v>
      </c>
      <c r="M7546">
        <v>0.6</v>
      </c>
      <c r="N7546">
        <v>0.567</v>
      </c>
      <c r="O7546">
        <v>15.98</v>
      </c>
      <c r="P7546">
        <v>19.44</v>
      </c>
      <c r="Q7546">
        <v>14.12</v>
      </c>
      <c r="R7546">
        <v>5.74</v>
      </c>
    </row>
    <row r="7547">
      <c r="A7547" s="9">
        <v>46078</v>
      </c>
      <c r="B7547" s="2" t="inlineStr">
        <is>
          <t xml:space="preserve">2026-02</t>
        </is>
      </c>
      <c r="C7547" s="2" t="inlineStr">
        <is>
          <t xml:space="preserve">2025/26</t>
        </is>
      </c>
      <c r="D7547">
        <v>0.0</v>
      </c>
      <c r="E7547">
        <v>18.88</v>
      </c>
      <c r="F7547">
        <v>27.82</v>
      </c>
      <c r="G7547">
        <v>12.36</v>
      </c>
      <c r="H7547">
        <v>0.02</v>
      </c>
      <c r="I7547">
        <v>0.0</v>
      </c>
      <c r="J7547">
        <v>20.82</v>
      </c>
      <c r="K7547">
        <v>30.85</v>
      </c>
      <c r="L7547">
        <v>13.03</v>
      </c>
      <c r="M7547">
        <v>0.0</v>
      </c>
      <c r="N7547">
        <v>0.0</v>
      </c>
      <c r="O7547">
        <v>18.54</v>
      </c>
      <c r="P7547">
        <v>26.1</v>
      </c>
      <c r="Q7547">
        <v>13.25</v>
      </c>
      <c r="R7547">
        <v>0.09</v>
      </c>
    </row>
    <row r="7548">
      <c r="A7548" s="9">
        <v>46079</v>
      </c>
      <c r="B7548" s="2" t="inlineStr">
        <is>
          <t xml:space="preserve">2026-02</t>
        </is>
      </c>
      <c r="C7548" s="2" t="inlineStr">
        <is>
          <t xml:space="preserve">2025/26</t>
        </is>
      </c>
      <c r="D7548">
        <v>0.0</v>
      </c>
      <c r="E7548">
        <v>21.92</v>
      </c>
      <c r="F7548">
        <v>31.31</v>
      </c>
      <c r="G7548">
        <v>13.38</v>
      </c>
      <c r="H7548">
        <v>0.0</v>
      </c>
      <c r="I7548">
        <v>0.0</v>
      </c>
      <c r="J7548">
        <v>23.46</v>
      </c>
      <c r="K7548">
        <v>33.88</v>
      </c>
      <c r="L7548">
        <v>14.75</v>
      </c>
      <c r="M7548">
        <v>0.0</v>
      </c>
      <c r="N7548">
        <v>0.0</v>
      </c>
      <c r="O7548">
        <v>22.01</v>
      </c>
      <c r="P7548">
        <v>30.62</v>
      </c>
      <c r="Q7548">
        <v>15.14</v>
      </c>
      <c r="R7548">
        <v>0.0</v>
      </c>
    </row>
    <row r="7549">
      <c r="A7549" s="9">
        <v>46080</v>
      </c>
      <c r="B7549" s="2" t="inlineStr">
        <is>
          <t xml:space="preserve">2026-02</t>
        </is>
      </c>
      <c r="C7549" s="2" t="inlineStr">
        <is>
          <t xml:space="preserve">2025/26</t>
        </is>
      </c>
      <c r="D7549">
        <v>0.0</v>
      </c>
      <c r="E7549">
        <v>23.67</v>
      </c>
      <c r="F7549">
        <v>31.27</v>
      </c>
      <c r="G7549">
        <v>16.99</v>
      </c>
      <c r="H7549">
        <v>0.0</v>
      </c>
      <c r="I7549">
        <v>0.0</v>
      </c>
      <c r="J7549">
        <v>25.23</v>
      </c>
      <c r="K7549">
        <v>34.69</v>
      </c>
      <c r="L7549">
        <v>17.38</v>
      </c>
      <c r="M7549">
        <v>0.0</v>
      </c>
      <c r="N7549">
        <v>0.0</v>
      </c>
      <c r="O7549">
        <v>23.59</v>
      </c>
      <c r="P7549">
        <v>31.43</v>
      </c>
      <c r="Q7549">
        <v>17.19</v>
      </c>
      <c r="R7549">
        <v>0.0</v>
      </c>
    </row>
    <row r="7550">
      <c r="A7550" s="9">
        <v>46081</v>
      </c>
      <c r="B7550" s="2" t="inlineStr">
        <is>
          <t xml:space="preserve">2026-02</t>
        </is>
      </c>
      <c r="C7550" s="2" t="inlineStr">
        <is>
          <t xml:space="preserve">2025/26</t>
        </is>
      </c>
      <c r="D7550">
        <v>0.0</v>
      </c>
      <c r="E7550">
        <v>22.9</v>
      </c>
      <c r="F7550">
        <v>29.71</v>
      </c>
      <c r="G7550">
        <v>18.37</v>
      </c>
      <c r="H7550">
        <v>0.12</v>
      </c>
      <c r="I7550">
        <v>0.0</v>
      </c>
      <c r="J7550">
        <v>24.43</v>
      </c>
      <c r="K7550">
        <v>32.64</v>
      </c>
      <c r="L7550">
        <v>18.42</v>
      </c>
      <c r="M7550">
        <v>0.07</v>
      </c>
      <c r="N7550">
        <v>0.0</v>
      </c>
      <c r="O7550">
        <v>22.23</v>
      </c>
      <c r="P7550">
        <v>28.5</v>
      </c>
      <c r="Q7550">
        <v>17.77</v>
      </c>
      <c r="R7550">
        <v>0.41</v>
      </c>
    </row>
    <row r="7551">
      <c r="A7551" s="9">
        <v>46082</v>
      </c>
      <c r="B7551" s="2" t="inlineStr">
        <is>
          <t xml:space="preserve">2026-03</t>
        </is>
      </c>
      <c r="C7551" s="2" t="inlineStr">
        <is>
          <t xml:space="preserve">2025/26</t>
        </is>
      </c>
      <c r="D7551">
        <v>0.0</v>
      </c>
      <c r="E7551">
        <v>22.07</v>
      </c>
      <c r="F7551">
        <v>28.74</v>
      </c>
      <c r="G7551">
        <v>18.19</v>
      </c>
      <c r="H7551">
        <v>0.34</v>
      </c>
      <c r="I7551">
        <v>0.0</v>
      </c>
      <c r="J7551">
        <v>22.5</v>
      </c>
      <c r="K7551">
        <v>31.59</v>
      </c>
      <c r="L7551">
        <v>15.3</v>
      </c>
      <c r="M7551">
        <v>0.07</v>
      </c>
      <c r="N7551">
        <v>0.066</v>
      </c>
      <c r="O7551">
        <v>20.73</v>
      </c>
      <c r="P7551">
        <v>27.56</v>
      </c>
      <c r="Q7551">
        <v>16.02</v>
      </c>
      <c r="R7551">
        <v>0.94</v>
      </c>
    </row>
    <row r="7552">
      <c r="A7552" s="9">
        <v>46083</v>
      </c>
      <c r="B7552" s="2" t="inlineStr">
        <is>
          <t xml:space="preserve">2026-03</t>
        </is>
      </c>
      <c r="C7552" s="2" t="inlineStr">
        <is>
          <t xml:space="preserve">2025/26</t>
        </is>
      </c>
      <c r="D7552">
        <v>0.0</v>
      </c>
      <c r="E7552">
        <v>22.22</v>
      </c>
      <c r="F7552">
        <v>29.54</v>
      </c>
      <c r="G7552">
        <v>17.11</v>
      </c>
      <c r="H7552">
        <v>0.02</v>
      </c>
      <c r="I7552">
        <v>0.0</v>
      </c>
      <c r="J7552">
        <v>22.67</v>
      </c>
      <c r="K7552">
        <v>30.48</v>
      </c>
      <c r="L7552">
        <v>16.92</v>
      </c>
      <c r="M7552">
        <v>0.01</v>
      </c>
      <c r="N7552">
        <v>0.0</v>
      </c>
      <c r="O7552">
        <v>21.38</v>
      </c>
      <c r="P7552">
        <v>27.34</v>
      </c>
      <c r="Q7552">
        <v>17.07</v>
      </c>
      <c r="R7552">
        <v>0.08</v>
      </c>
    </row>
    <row r="7553">
      <c r="A7553" s="9">
        <v>46084</v>
      </c>
      <c r="B7553" s="2" t="inlineStr">
        <is>
          <t xml:space="preserve">2026-03</t>
        </is>
      </c>
      <c r="C7553" s="2" t="inlineStr">
        <is>
          <t xml:space="preserve">2025/26</t>
        </is>
      </c>
      <c r="D7553">
        <v>0.0</v>
      </c>
      <c r="E7553">
        <v>21.59</v>
      </c>
      <c r="F7553">
        <v>28.73</v>
      </c>
      <c r="G7553">
        <v>16.15</v>
      </c>
      <c r="H7553">
        <v>0.03</v>
      </c>
      <c r="I7553">
        <v>0.0</v>
      </c>
      <c r="J7553">
        <v>22.64</v>
      </c>
      <c r="K7553">
        <v>30.01</v>
      </c>
      <c r="L7553">
        <v>17.72</v>
      </c>
      <c r="M7553">
        <v>0.0</v>
      </c>
      <c r="N7553">
        <v>0.0</v>
      </c>
      <c r="O7553">
        <v>21.35</v>
      </c>
      <c r="P7553">
        <v>26.68</v>
      </c>
      <c r="Q7553">
        <v>17.3</v>
      </c>
      <c r="R7553">
        <v>0.03</v>
      </c>
    </row>
    <row r="7554">
      <c r="A7554" s="9">
        <v>46085</v>
      </c>
      <c r="B7554" s="2" t="inlineStr">
        <is>
          <t xml:space="preserve">2026-03</t>
        </is>
      </c>
      <c r="C7554" s="2" t="inlineStr">
        <is>
          <t xml:space="preserve">2025/26</t>
        </is>
      </c>
      <c r="D7554">
        <v>0.0</v>
      </c>
      <c r="E7554">
        <v>22.28</v>
      </c>
      <c r="F7554">
        <v>29.62</v>
      </c>
      <c r="G7554">
        <v>16.82</v>
      </c>
      <c r="H7554">
        <v>0.66</v>
      </c>
      <c r="I7554">
        <v>0.0</v>
      </c>
      <c r="J7554">
        <v>23.49</v>
      </c>
      <c r="K7554">
        <v>30.93</v>
      </c>
      <c r="L7554">
        <v>17.82</v>
      </c>
      <c r="M7554">
        <v>0.18</v>
      </c>
      <c r="N7554">
        <v>0.0</v>
      </c>
      <c r="O7554">
        <v>22.07</v>
      </c>
      <c r="P7554">
        <v>28.19</v>
      </c>
      <c r="Q7554">
        <v>17.54</v>
      </c>
      <c r="R7554">
        <v>0.76</v>
      </c>
    </row>
    <row r="7555">
      <c r="A7555" s="9">
        <v>46086</v>
      </c>
      <c r="B7555" s="2" t="inlineStr">
        <is>
          <t xml:space="preserve">2026-03</t>
        </is>
      </c>
      <c r="C7555" s="2" t="inlineStr">
        <is>
          <t xml:space="preserve">2025/26</t>
        </is>
      </c>
      <c r="D7555">
        <v>1.537</v>
      </c>
      <c r="E7555">
        <v>22.48</v>
      </c>
      <c r="F7555">
        <v>30.35</v>
      </c>
      <c r="G7555">
        <v>16.94</v>
      </c>
      <c r="H7555">
        <v>11.7</v>
      </c>
      <c r="I7555">
        <v>0.181</v>
      </c>
      <c r="J7555">
        <v>24.31</v>
      </c>
      <c r="K7555">
        <v>32.32</v>
      </c>
      <c r="L7555">
        <v>18.1</v>
      </c>
      <c r="M7555">
        <v>1.82</v>
      </c>
      <c r="N7555">
        <v>0.554</v>
      </c>
      <c r="O7555">
        <v>22.31</v>
      </c>
      <c r="P7555">
        <v>28.96</v>
      </c>
      <c r="Q7555">
        <v>18.29</v>
      </c>
      <c r="R7555">
        <v>26.66</v>
      </c>
    </row>
    <row r="7556">
      <c r="A7556" s="9">
        <v>46087</v>
      </c>
      <c r="B7556" s="2" t="inlineStr">
        <is>
          <t xml:space="preserve">2026-03</t>
        </is>
      </c>
      <c r="C7556" s="2" t="inlineStr">
        <is>
          <t xml:space="preserve">2025/26</t>
        </is>
      </c>
      <c r="D7556">
        <v>3.565</v>
      </c>
      <c r="E7556">
        <v>22.12</v>
      </c>
      <c r="F7556">
        <v>29.47</v>
      </c>
      <c r="G7556">
        <v>17.07</v>
      </c>
      <c r="H7556">
        <v>9.28</v>
      </c>
      <c r="I7556">
        <v>0.098</v>
      </c>
      <c r="J7556">
        <v>24.66</v>
      </c>
      <c r="K7556">
        <v>32.79</v>
      </c>
      <c r="L7556">
        <v>18.55</v>
      </c>
      <c r="M7556">
        <v>2.83</v>
      </c>
      <c r="N7556">
        <v>0.668</v>
      </c>
      <c r="O7556">
        <v>22.07</v>
      </c>
      <c r="P7556">
        <v>28.1</v>
      </c>
      <c r="Q7556">
        <v>18.46</v>
      </c>
      <c r="R7556">
        <v>27.6</v>
      </c>
    </row>
    <row r="7557">
      <c r="A7557" s="9">
        <v>46088</v>
      </c>
      <c r="B7557" s="2" t="inlineStr">
        <is>
          <t xml:space="preserve">2026-03</t>
        </is>
      </c>
      <c r="C7557" s="2" t="inlineStr">
        <is>
          <t xml:space="preserve">2025/26</t>
        </is>
      </c>
      <c r="D7557">
        <v>0.0</v>
      </c>
      <c r="E7557">
        <v>22.2</v>
      </c>
      <c r="F7557">
        <v>30.09</v>
      </c>
      <c r="G7557">
        <v>15.49</v>
      </c>
      <c r="H7557">
        <v>0.0</v>
      </c>
      <c r="I7557">
        <v>4.201</v>
      </c>
      <c r="J7557">
        <v>25.0</v>
      </c>
      <c r="K7557">
        <v>33.35</v>
      </c>
      <c r="L7557">
        <v>18.67</v>
      </c>
      <c r="M7557">
        <v>1.08</v>
      </c>
      <c r="N7557">
        <v>1.028</v>
      </c>
      <c r="O7557">
        <v>22.8</v>
      </c>
      <c r="P7557">
        <v>28.7</v>
      </c>
      <c r="Q7557">
        <v>19.24</v>
      </c>
      <c r="R7557">
        <v>0.2</v>
      </c>
    </row>
    <row r="7558">
      <c r="A7558" s="9">
        <v>46089</v>
      </c>
      <c r="B7558" s="2" t="inlineStr">
        <is>
          <t xml:space="preserve">2026-03</t>
        </is>
      </c>
      <c r="C7558" s="2" t="inlineStr">
        <is>
          <t xml:space="preserve">2025/26</t>
        </is>
      </c>
      <c r="D7558">
        <v>0.0</v>
      </c>
      <c r="E7558">
        <v>22.7</v>
      </c>
      <c r="F7558">
        <v>30.68</v>
      </c>
      <c r="G7558">
        <v>16.48</v>
      </c>
      <c r="H7558">
        <v>0.01</v>
      </c>
      <c r="I7558">
        <v>0.0</v>
      </c>
      <c r="J7558">
        <v>24.77</v>
      </c>
      <c r="K7558">
        <v>31.46</v>
      </c>
      <c r="L7558">
        <v>20.37</v>
      </c>
      <c r="M7558">
        <v>0.71</v>
      </c>
      <c r="N7558">
        <v>0.0</v>
      </c>
      <c r="O7558">
        <v>22.83</v>
      </c>
      <c r="P7558">
        <v>28.55</v>
      </c>
      <c r="Q7558">
        <v>19.23</v>
      </c>
      <c r="R7558">
        <v>0.12</v>
      </c>
    </row>
    <row r="7559">
      <c r="A7559" s="9">
        <v>46090</v>
      </c>
      <c r="B7559" s="2" t="inlineStr">
        <is>
          <t xml:space="preserve">2026-03</t>
        </is>
      </c>
      <c r="C7559" s="2" t="inlineStr">
        <is>
          <t xml:space="preserve">2025/26</t>
        </is>
      </c>
      <c r="D7559">
        <v>0.0</v>
      </c>
      <c r="E7559">
        <v>22.47</v>
      </c>
      <c r="F7559">
        <v>29.99</v>
      </c>
      <c r="G7559">
        <v>16.44</v>
      </c>
      <c r="H7559">
        <v>0.03</v>
      </c>
      <c r="I7559">
        <v>2.426</v>
      </c>
      <c r="J7559">
        <v>24.22</v>
      </c>
      <c r="K7559">
        <v>32.24</v>
      </c>
      <c r="L7559">
        <v>18.95</v>
      </c>
      <c r="M7559">
        <v>0.82</v>
      </c>
      <c r="N7559">
        <v>0.169</v>
      </c>
      <c r="O7559">
        <v>22.11</v>
      </c>
      <c r="P7559">
        <v>27.77</v>
      </c>
      <c r="Q7559">
        <v>18.35</v>
      </c>
      <c r="R7559">
        <v>0.14</v>
      </c>
    </row>
    <row r="7560">
      <c r="A7560" s="9">
        <v>46091</v>
      </c>
      <c r="B7560" s="2" t="inlineStr">
        <is>
          <t xml:space="preserve">2026-03</t>
        </is>
      </c>
      <c r="C7560" s="2" t="inlineStr">
        <is>
          <t xml:space="preserve">2025/26</t>
        </is>
      </c>
      <c r="D7560">
        <v>0.0</v>
      </c>
      <c r="E7560">
        <v>22.54</v>
      </c>
      <c r="F7560">
        <v>29.88</v>
      </c>
      <c r="G7560">
        <v>16.81</v>
      </c>
      <c r="H7560">
        <v>0.14</v>
      </c>
      <c r="I7560">
        <v>0.0</v>
      </c>
      <c r="J7560">
        <v>24.33</v>
      </c>
      <c r="K7560">
        <v>31.74</v>
      </c>
      <c r="L7560">
        <v>18.46</v>
      </c>
      <c r="M7560">
        <v>0.05</v>
      </c>
      <c r="N7560">
        <v>0.0</v>
      </c>
      <c r="O7560">
        <v>22.38</v>
      </c>
      <c r="P7560">
        <v>28.23</v>
      </c>
      <c r="Q7560">
        <v>18.46</v>
      </c>
      <c r="R7560">
        <v>0.08</v>
      </c>
    </row>
    <row r="7561">
      <c r="A7561" s="9">
        <v>46092</v>
      </c>
      <c r="B7561" s="2" t="inlineStr">
        <is>
          <t xml:space="preserve">2026-03</t>
        </is>
      </c>
      <c r="C7561" s="2" t="inlineStr">
        <is>
          <t xml:space="preserve">2025/26</t>
        </is>
      </c>
      <c r="D7561">
        <v>0.255</v>
      </c>
      <c r="E7561">
        <v>23.48</v>
      </c>
      <c r="F7561">
        <v>31.46</v>
      </c>
      <c r="G7561">
        <v>16.61</v>
      </c>
      <c r="H7561">
        <v>0.08</v>
      </c>
      <c r="I7561">
        <v>0.03</v>
      </c>
      <c r="J7561">
        <v>25.67</v>
      </c>
      <c r="K7561">
        <v>34.04</v>
      </c>
      <c r="L7561">
        <v>18.72</v>
      </c>
      <c r="M7561">
        <v>0.05</v>
      </c>
      <c r="N7561">
        <v>0.091</v>
      </c>
      <c r="O7561">
        <v>23.38</v>
      </c>
      <c r="P7561">
        <v>30.23</v>
      </c>
      <c r="Q7561">
        <v>18.26</v>
      </c>
      <c r="R7561">
        <v>0.07</v>
      </c>
    </row>
    <row r="7562">
      <c r="A7562" s="9">
        <v>46093</v>
      </c>
      <c r="B7562" s="2" t="inlineStr">
        <is>
          <t xml:space="preserve">2026-03</t>
        </is>
      </c>
      <c r="C7562" s="2" t="inlineStr">
        <is>
          <t xml:space="preserve">2025/26</t>
        </is>
      </c>
      <c r="D7562">
        <v>0.0</v>
      </c>
      <c r="E7562">
        <v>23.95</v>
      </c>
      <c r="F7562">
        <v>31.57</v>
      </c>
      <c r="G7562">
        <v>17.65</v>
      </c>
      <c r="H7562">
        <v>0.0</v>
      </c>
      <c r="I7562">
        <v>0.0</v>
      </c>
      <c r="J7562">
        <v>25.5</v>
      </c>
      <c r="K7562">
        <v>32.76</v>
      </c>
      <c r="L7562">
        <v>19.83</v>
      </c>
      <c r="M7562">
        <v>0.0</v>
      </c>
      <c r="N7562">
        <v>0.0</v>
      </c>
      <c r="O7562">
        <v>23.56</v>
      </c>
      <c r="P7562">
        <v>29.65</v>
      </c>
      <c r="Q7562">
        <v>19.56</v>
      </c>
      <c r="R7562">
        <v>0.0</v>
      </c>
    </row>
    <row r="7563">
      <c r="A7563" s="9">
        <v>46094</v>
      </c>
      <c r="B7563" s="2" t="inlineStr">
        <is>
          <t xml:space="preserve">2026-03</t>
        </is>
      </c>
      <c r="C7563" s="2" t="inlineStr">
        <is>
          <t xml:space="preserve">2025/26</t>
        </is>
      </c>
      <c r="D7563">
        <v>0.0</v>
      </c>
      <c r="E7563">
        <v>23.36</v>
      </c>
      <c r="F7563">
        <v>30.91</v>
      </c>
      <c r="G7563">
        <v>18.12</v>
      </c>
      <c r="H7563">
        <v>0.0</v>
      </c>
      <c r="I7563">
        <v>0.0</v>
      </c>
      <c r="J7563">
        <v>24.14</v>
      </c>
      <c r="K7563">
        <v>31.68</v>
      </c>
      <c r="L7563">
        <v>18.15</v>
      </c>
      <c r="M7563">
        <v>0.0</v>
      </c>
      <c r="N7563">
        <v>0.0</v>
      </c>
      <c r="O7563">
        <v>22.43</v>
      </c>
      <c r="P7563">
        <v>28.4</v>
      </c>
      <c r="Q7563">
        <v>18.32</v>
      </c>
      <c r="R7563">
        <v>0.0</v>
      </c>
    </row>
    <row r="7564">
      <c r="A7564" s="9">
        <v>46095</v>
      </c>
      <c r="B7564" s="2" t="inlineStr">
        <is>
          <t xml:space="preserve">2026-03</t>
        </is>
      </c>
      <c r="C7564" s="2" t="inlineStr">
        <is>
          <t xml:space="preserve">2025/26</t>
        </is>
      </c>
      <c r="D7564">
        <v>0.0</v>
      </c>
      <c r="E7564">
        <v>23.77</v>
      </c>
      <c r="F7564">
        <v>32.0</v>
      </c>
      <c r="G7564">
        <v>17.61</v>
      </c>
      <c r="H7564">
        <v>0.01</v>
      </c>
      <c r="I7564">
        <v>0.0</v>
      </c>
      <c r="J7564">
        <v>25.13</v>
      </c>
      <c r="K7564">
        <v>33.56</v>
      </c>
      <c r="L7564">
        <v>17.89</v>
      </c>
      <c r="M7564">
        <v>0.01</v>
      </c>
      <c r="N7564">
        <v>0.0</v>
      </c>
      <c r="O7564">
        <v>23.08</v>
      </c>
      <c r="P7564">
        <v>30.03</v>
      </c>
      <c r="Q7564">
        <v>18.13</v>
      </c>
      <c r="R7564">
        <v>0.03</v>
      </c>
    </row>
    <row r="7565">
      <c r="A7565" s="9">
        <v>46096</v>
      </c>
      <c r="B7565" s="2" t="inlineStr">
        <is>
          <t xml:space="preserve">2026-03</t>
        </is>
      </c>
      <c r="C7565" s="2" t="inlineStr">
        <is>
          <t xml:space="preserve">2025/26</t>
        </is>
      </c>
      <c r="D7565">
        <v>0.0</v>
      </c>
      <c r="E7565">
        <v>24.0</v>
      </c>
      <c r="F7565">
        <v>31.99</v>
      </c>
      <c r="G7565">
        <v>17.25</v>
      </c>
      <c r="H7565">
        <v>0.1</v>
      </c>
      <c r="I7565">
        <v>0.0</v>
      </c>
      <c r="J7565">
        <v>26.06</v>
      </c>
      <c r="K7565">
        <v>34.32</v>
      </c>
      <c r="L7565">
        <v>19.96</v>
      </c>
      <c r="M7565">
        <v>0.39</v>
      </c>
      <c r="N7565">
        <v>0.043</v>
      </c>
      <c r="O7565">
        <v>24.39</v>
      </c>
      <c r="P7565">
        <v>31.68</v>
      </c>
      <c r="Q7565">
        <v>19.12</v>
      </c>
      <c r="R7565">
        <v>0.43</v>
      </c>
    </row>
    <row r="7566">
      <c r="A7566" s="9">
        <v>46097</v>
      </c>
      <c r="B7566" s="2" t="inlineStr">
        <is>
          <t xml:space="preserve">2026-03</t>
        </is>
      </c>
      <c r="C7566" s="2" t="inlineStr">
        <is>
          <t xml:space="preserve">2025/26</t>
        </is>
      </c>
      <c r="D7566">
        <v>1.626</v>
      </c>
      <c r="E7566">
        <v>24.08</v>
      </c>
      <c r="F7566">
        <v>32.17</v>
      </c>
      <c r="G7566">
        <v>17.56</v>
      </c>
      <c r="H7566">
        <v>1.24</v>
      </c>
      <c r="I7566">
        <v>0.193</v>
      </c>
      <c r="J7566">
        <v>26.32</v>
      </c>
      <c r="K7566">
        <v>35.25</v>
      </c>
      <c r="L7566">
        <v>19.83</v>
      </c>
      <c r="M7566">
        <v>0.27</v>
      </c>
      <c r="N7566">
        <v>0.544</v>
      </c>
      <c r="O7566">
        <v>24.59</v>
      </c>
      <c r="P7566">
        <v>32.31</v>
      </c>
      <c r="Q7566">
        <v>18.93</v>
      </c>
      <c r="R7566">
        <v>0.58</v>
      </c>
    </row>
    <row r="7567">
      <c r="A7567" s="9">
        <v>46098</v>
      </c>
      <c r="B7567" s="2" t="inlineStr">
        <is>
          <t xml:space="preserve">2026-03</t>
        </is>
      </c>
      <c r="C7567" s="2" t="inlineStr">
        <is>
          <t xml:space="preserve">2025/26</t>
        </is>
      </c>
      <c r="D7567">
        <v>1.477</v>
      </c>
      <c r="E7567">
        <v>22.45</v>
      </c>
      <c r="F7567">
        <v>30.03</v>
      </c>
      <c r="G7567">
        <v>17.58</v>
      </c>
      <c r="H7567">
        <v>1.57</v>
      </c>
      <c r="I7567">
        <v>0.0</v>
      </c>
      <c r="J7567">
        <v>23.22</v>
      </c>
      <c r="K7567">
        <v>28.68</v>
      </c>
      <c r="L7567">
        <v>19.81</v>
      </c>
      <c r="M7567">
        <v>0.1</v>
      </c>
      <c r="N7567">
        <v>0.032</v>
      </c>
      <c r="O7567">
        <v>22.13</v>
      </c>
      <c r="P7567">
        <v>27.25</v>
      </c>
      <c r="Q7567">
        <v>18.34</v>
      </c>
      <c r="R7567">
        <v>1.24</v>
      </c>
    </row>
    <row r="7568">
      <c r="A7568" s="9">
        <v>46099</v>
      </c>
      <c r="B7568" s="2" t="inlineStr">
        <is>
          <t xml:space="preserve">2026-03</t>
        </is>
      </c>
      <c r="C7568" s="2" t="inlineStr">
        <is>
          <t xml:space="preserve">2025/26</t>
        </is>
      </c>
      <c r="D7568">
        <v>0.037</v>
      </c>
      <c r="E7568">
        <v>20.48</v>
      </c>
      <c r="F7568">
        <v>27.24</v>
      </c>
      <c r="G7568">
        <v>16.53</v>
      </c>
      <c r="H7568">
        <v>6.43</v>
      </c>
      <c r="I7568">
        <v>0.0</v>
      </c>
      <c r="J7568">
        <v>22.47</v>
      </c>
      <c r="K7568">
        <v>29.1</v>
      </c>
      <c r="L7568">
        <v>17.79</v>
      </c>
      <c r="M7568">
        <v>0.3</v>
      </c>
      <c r="N7568">
        <v>0.046</v>
      </c>
      <c r="O7568">
        <v>20.63</v>
      </c>
      <c r="P7568">
        <v>25.89</v>
      </c>
      <c r="Q7568">
        <v>17.46</v>
      </c>
      <c r="R7568">
        <v>2.92</v>
      </c>
    </row>
    <row r="7569">
      <c r="A7569" s="9">
        <v>46100</v>
      </c>
      <c r="B7569" s="2" t="inlineStr">
        <is>
          <t xml:space="preserve">2026-03</t>
        </is>
      </c>
      <c r="C7569" s="2" t="inlineStr">
        <is>
          <t xml:space="preserve">2025/26</t>
        </is>
      </c>
      <c r="D7569">
        <v>49.35</v>
      </c>
      <c r="E7569">
        <v>19.12</v>
      </c>
      <c r="F7569">
        <v>23.91</v>
      </c>
      <c r="G7569">
        <v>16.03</v>
      </c>
      <c r="H7569">
        <v>80.23</v>
      </c>
      <c r="I7569">
        <v>0.16</v>
      </c>
      <c r="J7569">
        <v>22.03</v>
      </c>
      <c r="K7569">
        <v>29.93</v>
      </c>
      <c r="L7569">
        <v>17.54</v>
      </c>
      <c r="M7569">
        <v>2.05</v>
      </c>
      <c r="N7569">
        <v>1.153</v>
      </c>
      <c r="O7569">
        <v>20.16</v>
      </c>
      <c r="P7569">
        <v>25.79</v>
      </c>
      <c r="Q7569">
        <v>16.94</v>
      </c>
      <c r="R7569">
        <v>14.31</v>
      </c>
    </row>
    <row r="7570">
      <c r="A7570" s="9">
        <v>46101</v>
      </c>
      <c r="B7570" s="2" t="inlineStr">
        <is>
          <t xml:space="preserve">2026-03</t>
        </is>
      </c>
      <c r="C7570" s="2" t="inlineStr">
        <is>
          <t xml:space="preserve">2025/26</t>
        </is>
      </c>
      <c r="D7570">
        <v>0.18</v>
      </c>
      <c r="E7570">
        <v>17.99</v>
      </c>
      <c r="F7570">
        <v>23.53</v>
      </c>
      <c r="G7570">
        <v>14.09</v>
      </c>
      <c r="H7570">
        <v>1.51</v>
      </c>
      <c r="I7570">
        <v>0.043</v>
      </c>
      <c r="J7570">
        <v>20.39</v>
      </c>
      <c r="K7570">
        <v>26.87</v>
      </c>
      <c r="L7570">
        <v>15.42</v>
      </c>
      <c r="M7570">
        <v>0.56</v>
      </c>
      <c r="N7570">
        <v>0.668</v>
      </c>
      <c r="O7570">
        <v>18.28</v>
      </c>
      <c r="P7570">
        <v>22.98</v>
      </c>
      <c r="Q7570">
        <v>14.59</v>
      </c>
      <c r="R7570">
        <v>3.74</v>
      </c>
    </row>
    <row r="7571">
      <c r="A7571" s="9">
        <v>46102</v>
      </c>
      <c r="B7571" s="2" t="inlineStr">
        <is>
          <t xml:space="preserve">2026-03</t>
        </is>
      </c>
      <c r="C7571" s="2" t="inlineStr">
        <is>
          <t xml:space="preserve">2025/26</t>
        </is>
      </c>
      <c r="D7571">
        <v>0.0</v>
      </c>
      <c r="E7571">
        <v>17.65</v>
      </c>
      <c r="F7571">
        <v>24.58</v>
      </c>
      <c r="G7571">
        <v>12.02</v>
      </c>
      <c r="H7571">
        <v>0.0</v>
      </c>
      <c r="I7571">
        <v>0.0</v>
      </c>
      <c r="J7571">
        <v>20.16</v>
      </c>
      <c r="K7571">
        <v>28.67</v>
      </c>
      <c r="L7571">
        <v>14.2</v>
      </c>
      <c r="M7571">
        <v>0.0</v>
      </c>
      <c r="N7571">
        <v>0.0</v>
      </c>
      <c r="O7571">
        <v>18.32</v>
      </c>
      <c r="P7571">
        <v>24.47</v>
      </c>
      <c r="Q7571">
        <v>13.76</v>
      </c>
      <c r="R7571">
        <v>0.01</v>
      </c>
    </row>
    <row r="7572">
      <c r="A7572" s="9">
        <v>46103</v>
      </c>
      <c r="B7572" s="2" t="inlineStr">
        <is>
          <t xml:space="preserve">2026-03</t>
        </is>
      </c>
      <c r="C7572" s="2" t="inlineStr">
        <is>
          <t xml:space="preserve">2025/26</t>
        </is>
      </c>
      <c r="D7572">
        <v>0.0</v>
      </c>
      <c r="E7572">
        <v>19.15</v>
      </c>
      <c r="F7572">
        <v>26.33</v>
      </c>
      <c r="G7572">
        <v>13.62</v>
      </c>
      <c r="H7572">
        <v>0.0</v>
      </c>
      <c r="I7572">
        <v>0.0</v>
      </c>
      <c r="J7572">
        <v>21.97</v>
      </c>
      <c r="K7572">
        <v>30.73</v>
      </c>
      <c r="L7572">
        <v>14.88</v>
      </c>
      <c r="M7572">
        <v>0.0</v>
      </c>
      <c r="N7572">
        <v>0.0</v>
      </c>
      <c r="O7572">
        <v>19.91</v>
      </c>
      <c r="P7572">
        <v>26.52</v>
      </c>
      <c r="Q7572">
        <v>14.85</v>
      </c>
      <c r="R7572">
        <v>0.0</v>
      </c>
    </row>
    <row r="7573">
      <c r="A7573" s="9">
        <v>46104</v>
      </c>
      <c r="B7573" s="2" t="inlineStr">
        <is>
          <t xml:space="preserve">2026-03</t>
        </is>
      </c>
      <c r="C7573" s="2" t="inlineStr">
        <is>
          <t xml:space="preserve">2025/26</t>
        </is>
      </c>
      <c r="D7573">
        <v>0.0</v>
      </c>
      <c r="E7573">
        <v>19.39</v>
      </c>
      <c r="F7573">
        <v>27.24</v>
      </c>
      <c r="G7573">
        <v>12.42</v>
      </c>
      <c r="H7573">
        <v>0.0</v>
      </c>
      <c r="I7573">
        <v>0.0</v>
      </c>
      <c r="J7573">
        <v>22.98</v>
      </c>
      <c r="K7573">
        <v>32.38</v>
      </c>
      <c r="L7573">
        <v>16.13</v>
      </c>
      <c r="M7573">
        <v>0.0</v>
      </c>
      <c r="N7573">
        <v>0.0</v>
      </c>
      <c r="O7573">
        <v>20.34</v>
      </c>
      <c r="P7573">
        <v>27.48</v>
      </c>
      <c r="Q7573">
        <v>15.21</v>
      </c>
      <c r="R7573">
        <v>0.0</v>
      </c>
    </row>
    <row r="7574">
      <c r="A7574" s="9">
        <v>46105</v>
      </c>
      <c r="B7574" s="2" t="inlineStr">
        <is>
          <t xml:space="preserve">2026-03</t>
        </is>
      </c>
      <c r="C7574" s="2" t="inlineStr">
        <is>
          <t xml:space="preserve">2025/26</t>
        </is>
      </c>
      <c r="D7574">
        <v>0.0</v>
      </c>
      <c r="E7574">
        <v>19.71</v>
      </c>
      <c r="F7574">
        <v>26.68</v>
      </c>
      <c r="G7574">
        <v>14.3</v>
      </c>
      <c r="H7574">
        <v>0.03</v>
      </c>
      <c r="I7574">
        <v>0.0</v>
      </c>
      <c r="J7574">
        <v>21.49</v>
      </c>
      <c r="K7574">
        <v>29.95</v>
      </c>
      <c r="L7574">
        <v>15.91</v>
      </c>
      <c r="M7574">
        <v>0.0</v>
      </c>
      <c r="N7574">
        <v>0.0</v>
      </c>
      <c r="O7574">
        <v>19.76</v>
      </c>
      <c r="P7574">
        <v>25.84</v>
      </c>
      <c r="Q7574">
        <v>15.47</v>
      </c>
      <c r="R7574">
        <v>0.05</v>
      </c>
    </row>
    <row r="7575">
      <c r="A7575" s="9">
        <v>46106</v>
      </c>
      <c r="B7575" s="2" t="inlineStr">
        <is>
          <t xml:space="preserve">2026-03</t>
        </is>
      </c>
      <c r="C7575" s="2" t="inlineStr">
        <is>
          <t xml:space="preserve">2025/26</t>
        </is>
      </c>
      <c r="D7575">
        <v>0.0</v>
      </c>
      <c r="E7575">
        <v>20.24</v>
      </c>
      <c r="F7575">
        <v>26.18</v>
      </c>
      <c r="G7575">
        <v>16.15</v>
      </c>
      <c r="H7575">
        <v>0.44</v>
      </c>
      <c r="I7575">
        <v>0.0</v>
      </c>
      <c r="J7575">
        <v>21.63</v>
      </c>
      <c r="K7575">
        <v>29.91</v>
      </c>
      <c r="L7575">
        <v>15.4</v>
      </c>
      <c r="M7575">
        <v>0.11</v>
      </c>
      <c r="N7575">
        <v>0.0</v>
      </c>
      <c r="O7575">
        <v>20.15</v>
      </c>
      <c r="P7575">
        <v>26.63</v>
      </c>
      <c r="Q7575">
        <v>15.78</v>
      </c>
      <c r="R7575">
        <v>0.71</v>
      </c>
    </row>
    <row r="7576">
      <c r="A7576" s="9">
        <v>46107</v>
      </c>
      <c r="B7576" s="2" t="inlineStr">
        <is>
          <t xml:space="preserve">2026-03</t>
        </is>
      </c>
      <c r="C7576" s="2" t="inlineStr">
        <is>
          <t xml:space="preserve">2025/26</t>
        </is>
      </c>
      <c r="D7576">
        <v>0.05</v>
      </c>
      <c r="E7576">
        <v>21.07</v>
      </c>
      <c r="F7576">
        <v>26.52</v>
      </c>
      <c r="G7576">
        <v>17.48</v>
      </c>
      <c r="H7576">
        <v>1.5</v>
      </c>
      <c r="I7576">
        <v>0.355</v>
      </c>
      <c r="J7576">
        <v>22.52</v>
      </c>
      <c r="K7576">
        <v>29.88</v>
      </c>
      <c r="L7576">
        <v>17.73</v>
      </c>
      <c r="M7576">
        <v>0.44</v>
      </c>
      <c r="N7576">
        <v>0.446</v>
      </c>
      <c r="O7576">
        <v>21.13</v>
      </c>
      <c r="P7576">
        <v>27.05</v>
      </c>
      <c r="Q7576">
        <v>18.04</v>
      </c>
      <c r="R7576">
        <v>1.74</v>
      </c>
    </row>
    <row r="7577">
      <c r="A7577" s="9">
        <v>46108</v>
      </c>
      <c r="B7577" s="2" t="inlineStr">
        <is>
          <t xml:space="preserve">2026-03</t>
        </is>
      </c>
      <c r="C7577" s="2" t="inlineStr">
        <is>
          <t xml:space="preserve">2025/26</t>
        </is>
      </c>
      <c r="D7577">
        <v>0.053</v>
      </c>
      <c r="E7577">
        <v>21.69</v>
      </c>
      <c r="F7577">
        <v>27.7</v>
      </c>
      <c r="G7577">
        <v>17.77</v>
      </c>
      <c r="H7577">
        <v>2.61</v>
      </c>
      <c r="I7577">
        <v>0.074</v>
      </c>
      <c r="J7577">
        <v>22.7</v>
      </c>
      <c r="K7577">
        <v>29.61</v>
      </c>
      <c r="L7577">
        <v>18.25</v>
      </c>
      <c r="M7577">
        <v>1.75</v>
      </c>
      <c r="N7577">
        <v>0.22</v>
      </c>
      <c r="O7577">
        <v>21.26</v>
      </c>
      <c r="P7577">
        <v>26.47</v>
      </c>
      <c r="Q7577">
        <v>18.08</v>
      </c>
      <c r="R7577">
        <v>5.25</v>
      </c>
    </row>
    <row r="7578">
      <c r="A7578" s="9">
        <v>46109</v>
      </c>
      <c r="B7578" s="2" t="inlineStr">
        <is>
          <t xml:space="preserve">2026-03</t>
        </is>
      </c>
      <c r="C7578" s="2" t="inlineStr">
        <is>
          <t xml:space="preserve">2025/26</t>
        </is>
      </c>
      <c r="D7578">
        <v>2.56</v>
      </c>
      <c r="E7578">
        <v>20.48</v>
      </c>
      <c r="F7578">
        <v>26.82</v>
      </c>
      <c r="G7578">
        <v>16.88</v>
      </c>
      <c r="H7578">
        <v>8.03</v>
      </c>
      <c r="I7578">
        <v>8.06</v>
      </c>
      <c r="J7578">
        <v>21.49</v>
      </c>
      <c r="K7578">
        <v>28.18</v>
      </c>
      <c r="L7578">
        <v>17.75</v>
      </c>
      <c r="M7578">
        <v>10.91</v>
      </c>
      <c r="N7578">
        <v>15.275</v>
      </c>
      <c r="O7578">
        <v>20.29</v>
      </c>
      <c r="P7578">
        <v>25.61</v>
      </c>
      <c r="Q7578">
        <v>17.18</v>
      </c>
      <c r="R7578">
        <v>18.84</v>
      </c>
    </row>
    <row r="7579">
      <c r="A7579" s="9">
        <v>46110</v>
      </c>
      <c r="B7579" s="2" t="inlineStr">
        <is>
          <t xml:space="preserve">2026-03</t>
        </is>
      </c>
      <c r="C7579" s="2" t="inlineStr">
        <is>
          <t xml:space="preserve">2025/26</t>
        </is>
      </c>
      <c r="D7579">
        <v>0.173</v>
      </c>
      <c r="E7579">
        <v>20.21</v>
      </c>
      <c r="F7579">
        <v>26.29</v>
      </c>
      <c r="G7579">
        <v>15.87</v>
      </c>
      <c r="H7579">
        <v>1.27</v>
      </c>
      <c r="I7579">
        <v>0.045</v>
      </c>
      <c r="J7579">
        <v>21.16</v>
      </c>
      <c r="K7579">
        <v>28.29</v>
      </c>
      <c r="L7579">
        <v>15.94</v>
      </c>
      <c r="M7579">
        <v>1.02</v>
      </c>
      <c r="N7579">
        <v>1.202</v>
      </c>
      <c r="O7579">
        <v>19.96</v>
      </c>
      <c r="P7579">
        <v>25.7</v>
      </c>
      <c r="Q7579">
        <v>16.08</v>
      </c>
      <c r="R7579">
        <v>2.4</v>
      </c>
    </row>
    <row r="7580">
      <c r="A7580" s="9">
        <v>46111</v>
      </c>
      <c r="B7580" s="2" t="inlineStr">
        <is>
          <t xml:space="preserve">2026-03</t>
        </is>
      </c>
      <c r="C7580" s="2" t="inlineStr">
        <is>
          <t xml:space="preserve">2025/26</t>
        </is>
      </c>
      <c r="D7580">
        <v>0.329</v>
      </c>
      <c r="E7580">
        <v>21.25</v>
      </c>
      <c r="F7580">
        <v>27.75</v>
      </c>
      <c r="G7580">
        <v>16.2</v>
      </c>
      <c r="H7580">
        <v>0.75</v>
      </c>
      <c r="I7580">
        <v>0.0</v>
      </c>
      <c r="J7580">
        <v>22.6</v>
      </c>
      <c r="K7580">
        <v>30.38</v>
      </c>
      <c r="L7580">
        <v>16.57</v>
      </c>
      <c r="M7580">
        <v>0.11</v>
      </c>
      <c r="N7580">
        <v>0.0</v>
      </c>
      <c r="O7580">
        <v>20.99</v>
      </c>
      <c r="P7580">
        <v>27.35</v>
      </c>
      <c r="Q7580">
        <v>16.5</v>
      </c>
      <c r="R7580">
        <v>0.46</v>
      </c>
    </row>
    <row r="7581">
      <c r="A7581" s="9">
        <v>46112</v>
      </c>
      <c r="B7581" s="2" t="inlineStr">
        <is>
          <t xml:space="preserve">2026-03</t>
        </is>
      </c>
      <c r="C7581" s="2" t="inlineStr">
        <is>
          <t xml:space="preserve">2025/26</t>
        </is>
      </c>
      <c r="D7581">
        <v>0.546</v>
      </c>
      <c r="E7581">
        <v>22.43</v>
      </c>
      <c r="F7581">
        <v>28.88</v>
      </c>
      <c r="G7581">
        <v>17.54</v>
      </c>
      <c r="H7581">
        <v>2.28</v>
      </c>
      <c r="I7581">
        <v>0.548</v>
      </c>
      <c r="J7581">
        <v>23.3</v>
      </c>
      <c r="K7581">
        <v>30.22</v>
      </c>
      <c r="L7581">
        <v>18.71</v>
      </c>
      <c r="M7581">
        <v>1.28</v>
      </c>
      <c r="N7581">
        <v>0.219</v>
      </c>
      <c r="O7581">
        <v>22.09</v>
      </c>
      <c r="P7581">
        <v>28.28</v>
      </c>
      <c r="Q7581">
        <v>17.74</v>
      </c>
      <c r="R7581">
        <v>1.13</v>
      </c>
    </row>
    <row r="7582">
      <c r="A7582" s="9">
        <v>46113</v>
      </c>
      <c r="B7582" s="2" t="inlineStr">
        <is>
          <t xml:space="preserve">2026-04</t>
        </is>
      </c>
      <c r="C7582" s="2" t="inlineStr">
        <is>
          <t xml:space="preserve">2025/26</t>
        </is>
      </c>
      <c r="D7582">
        <v>18.011</v>
      </c>
      <c r="E7582">
        <v>21.52</v>
      </c>
      <c r="F7582">
        <v>27.1</v>
      </c>
      <c r="G7582">
        <v>17.81</v>
      </c>
      <c r="H7582">
        <v>13.66</v>
      </c>
      <c r="I7582">
        <v>3.092</v>
      </c>
      <c r="J7582">
        <v>22.59</v>
      </c>
      <c r="K7582">
        <v>26.35</v>
      </c>
      <c r="L7582">
        <v>19.38</v>
      </c>
      <c r="M7582">
        <v>4.49</v>
      </c>
      <c r="N7582">
        <v>1.278</v>
      </c>
      <c r="O7582">
        <v>21.62</v>
      </c>
      <c r="P7582">
        <v>26.26</v>
      </c>
      <c r="Q7582">
        <v>18.71</v>
      </c>
      <c r="R7582">
        <v>7.93</v>
      </c>
    </row>
    <row r="7583">
      <c r="A7583" s="9">
        <v>46114</v>
      </c>
      <c r="B7583" s="2" t="inlineStr">
        <is>
          <t xml:space="preserve">2026-04</t>
        </is>
      </c>
      <c r="C7583" s="2" t="inlineStr">
        <is>
          <t xml:space="preserve">2025/26</t>
        </is>
      </c>
      <c r="D7583">
        <v>28.249</v>
      </c>
      <c r="E7583">
        <v>20.84</v>
      </c>
      <c r="F7583">
        <v>25.06</v>
      </c>
      <c r="G7583">
        <v>18.23</v>
      </c>
      <c r="H7583">
        <v>12.75</v>
      </c>
      <c r="I7583">
        <v>8.049</v>
      </c>
      <c r="J7583">
        <v>24.32</v>
      </c>
      <c r="K7583">
        <v>31.89</v>
      </c>
      <c r="L7583">
        <v>18.57</v>
      </c>
      <c r="M7583">
        <v>4.9</v>
      </c>
      <c r="N7583">
        <v>3.416</v>
      </c>
      <c r="O7583">
        <v>22.48</v>
      </c>
      <c r="P7583">
        <v>28.83</v>
      </c>
      <c r="Q7583">
        <v>18.64</v>
      </c>
      <c r="R7583">
        <v>6.03</v>
      </c>
    </row>
    <row r="7584">
      <c r="A7584" s="9">
        <v>46115</v>
      </c>
      <c r="B7584" s="2" t="inlineStr">
        <is>
          <t xml:space="preserve">2026-04</t>
        </is>
      </c>
      <c r="C7584" s="2" t="inlineStr">
        <is>
          <t xml:space="preserve">2025/26</t>
        </is>
      </c>
      <c r="D7584">
        <v>2.064</v>
      </c>
      <c r="E7584">
        <v>22.09</v>
      </c>
      <c r="F7584">
        <v>28.38</v>
      </c>
      <c r="G7584">
        <v>17.44</v>
      </c>
      <c r="H7584">
        <v>1.3</v>
      </c>
      <c r="I7584">
        <v>0.609</v>
      </c>
      <c r="J7584">
        <v>25.29</v>
      </c>
      <c r="K7584">
        <v>33.32</v>
      </c>
      <c r="L7584">
        <v>18.04</v>
      </c>
      <c r="M7584">
        <v>0.45</v>
      </c>
      <c r="N7584">
        <v>0.231</v>
      </c>
      <c r="O7584">
        <v>23.49</v>
      </c>
      <c r="P7584">
        <v>30.41</v>
      </c>
      <c r="Q7584">
        <v>18.54</v>
      </c>
      <c r="R7584">
        <v>0.62</v>
      </c>
    </row>
    <row r="7585">
      <c r="A7585" s="9">
        <v>46116</v>
      </c>
      <c r="B7585" s="2" t="inlineStr">
        <is>
          <t xml:space="preserve">2026-04</t>
        </is>
      </c>
      <c r="C7585" s="2" t="inlineStr">
        <is>
          <t xml:space="preserve">2025/26</t>
        </is>
      </c>
      <c r="D7585">
        <v>6.782</v>
      </c>
      <c r="E7585">
        <v>22.05</v>
      </c>
      <c r="F7585">
        <v>28.63</v>
      </c>
      <c r="G7585">
        <v>16.52</v>
      </c>
      <c r="H7585">
        <v>2.29</v>
      </c>
      <c r="I7585">
        <v>1.292</v>
      </c>
      <c r="J7585">
        <v>24.93</v>
      </c>
      <c r="K7585">
        <v>30.97</v>
      </c>
      <c r="L7585">
        <v>19.8</v>
      </c>
      <c r="M7585">
        <v>1.68</v>
      </c>
      <c r="N7585">
        <v>1.532</v>
      </c>
      <c r="O7585">
        <v>23.29</v>
      </c>
      <c r="P7585">
        <v>29.33</v>
      </c>
      <c r="Q7585">
        <v>19.16</v>
      </c>
      <c r="R7585">
        <v>1.98</v>
      </c>
    </row>
    <row r="7586">
      <c r="A7586" s="9">
        <v>46117</v>
      </c>
      <c r="B7586" s="2" t="inlineStr">
        <is>
          <t xml:space="preserve">2026-04</t>
        </is>
      </c>
      <c r="C7586" s="2" t="inlineStr">
        <is>
          <t xml:space="preserve">2025/26</t>
        </is>
      </c>
      <c r="D7586">
        <v>0.034</v>
      </c>
      <c r="E7586">
        <v>22.41</v>
      </c>
      <c r="F7586">
        <v>29.02</v>
      </c>
      <c r="G7586">
        <v>17.53</v>
      </c>
      <c r="H7586">
        <v>35.11</v>
      </c>
      <c r="I7586">
        <v>0.547</v>
      </c>
      <c r="J7586">
        <v>24.25</v>
      </c>
      <c r="K7586">
        <v>31.69</v>
      </c>
      <c r="L7586">
        <v>19.16</v>
      </c>
      <c r="M7586">
        <v>6.67</v>
      </c>
      <c r="N7586">
        <v>1.942</v>
      </c>
      <c r="O7586">
        <v>22.51</v>
      </c>
      <c r="P7586">
        <v>28.34</v>
      </c>
      <c r="Q7586">
        <v>18.81</v>
      </c>
      <c r="R7586">
        <v>16.98</v>
      </c>
    </row>
    <row r="7587">
      <c r="A7587" s="9">
        <v>46118</v>
      </c>
      <c r="B7587" s="2" t="inlineStr">
        <is>
          <t xml:space="preserve">2026-04</t>
        </is>
      </c>
      <c r="C7587" s="2" t="inlineStr">
        <is>
          <t xml:space="preserve">2025/26</t>
        </is>
      </c>
      <c r="D7587">
        <v>455.229</v>
      </c>
      <c r="E7587">
        <v>21.56</v>
      </c>
      <c r="F7587">
        <v>26.15</v>
      </c>
      <c r="G7587">
        <v>18.57</v>
      </c>
      <c r="H7587">
        <v>170.76</v>
      </c>
      <c r="I7587">
        <v>31.896</v>
      </c>
      <c r="J7587">
        <v>23.07</v>
      </c>
      <c r="K7587">
        <v>29.98</v>
      </c>
      <c r="L7587">
        <v>18.23</v>
      </c>
      <c r="M7587">
        <v>23.81</v>
      </c>
      <c r="N7587">
        <v>18.413</v>
      </c>
      <c r="O7587">
        <v>21.81</v>
      </c>
      <c r="P7587">
        <v>27.03</v>
      </c>
      <c r="Q7587">
        <v>18.65</v>
      </c>
      <c r="R7587">
        <v>49.61</v>
      </c>
    </row>
    <row r="7588">
      <c r="A7588" s="9">
        <v>46119</v>
      </c>
      <c r="B7588" s="2" t="inlineStr">
        <is>
          <t xml:space="preserve">2026-04</t>
        </is>
      </c>
      <c r="C7588" s="2" t="inlineStr">
        <is>
          <t xml:space="preserve">2025/26</t>
        </is>
      </c>
      <c r="D7588">
        <v>3.068</v>
      </c>
      <c r="E7588">
        <v>21.34</v>
      </c>
      <c r="F7588">
        <v>26.8</v>
      </c>
      <c r="G7588">
        <v>17.39</v>
      </c>
      <c r="H7588">
        <v>3.79</v>
      </c>
      <c r="I7588">
        <v>0.0</v>
      </c>
      <c r="J7588">
        <v>23.23</v>
      </c>
      <c r="K7588">
        <v>29.64</v>
      </c>
      <c r="L7588">
        <v>17.7</v>
      </c>
      <c r="M7588">
        <v>0.18</v>
      </c>
      <c r="N7588">
        <v>0.0</v>
      </c>
      <c r="O7588">
        <v>21.57</v>
      </c>
      <c r="P7588">
        <v>27.03</v>
      </c>
      <c r="Q7588">
        <v>17.01</v>
      </c>
      <c r="R7588">
        <v>0.39</v>
      </c>
    </row>
    <row r="7589">
      <c r="A7589" s="9">
        <v>46120</v>
      </c>
      <c r="B7589" s="2" t="inlineStr">
        <is>
          <t xml:space="preserve">2026-04</t>
        </is>
      </c>
      <c r="C7589" s="2" t="inlineStr">
        <is>
          <t xml:space="preserve">2025/26</t>
        </is>
      </c>
      <c r="D7589">
        <v>0.0</v>
      </c>
      <c r="E7589">
        <v>21.45</v>
      </c>
      <c r="F7589">
        <v>26.87</v>
      </c>
      <c r="G7589">
        <v>17.27</v>
      </c>
      <c r="H7589">
        <v>20.31</v>
      </c>
      <c r="I7589">
        <v>0.0</v>
      </c>
      <c r="J7589">
        <v>24.48</v>
      </c>
      <c r="K7589">
        <v>31.29</v>
      </c>
      <c r="L7589">
        <v>19.13</v>
      </c>
      <c r="M7589">
        <v>0.18</v>
      </c>
      <c r="N7589">
        <v>0.0</v>
      </c>
      <c r="O7589">
        <v>22.49</v>
      </c>
      <c r="P7589">
        <v>27.84</v>
      </c>
      <c r="Q7589">
        <v>18.53</v>
      </c>
      <c r="R7589">
        <v>8.29</v>
      </c>
    </row>
    <row r="7590">
      <c r="A7590" s="9">
        <v>46121</v>
      </c>
      <c r="B7590" s="2" t="inlineStr">
        <is>
          <t xml:space="preserve">2026-04</t>
        </is>
      </c>
      <c r="C7590" s="2" t="inlineStr">
        <is>
          <t xml:space="preserve">2025/26</t>
        </is>
      </c>
      <c r="D7590">
        <v>3.591</v>
      </c>
      <c r="E7590">
        <v>21.35</v>
      </c>
      <c r="F7590">
        <v>26.8</v>
      </c>
      <c r="G7590">
        <v>17.8</v>
      </c>
      <c r="H7590">
        <v>76.61</v>
      </c>
      <c r="I7590">
        <v>0.0</v>
      </c>
      <c r="J7590">
        <v>24.51</v>
      </c>
      <c r="K7590">
        <v>32.49</v>
      </c>
      <c r="L7590">
        <v>18.31</v>
      </c>
      <c r="M7590">
        <v>0.01</v>
      </c>
      <c r="N7590">
        <v>0.0</v>
      </c>
      <c r="O7590">
        <v>22.1</v>
      </c>
      <c r="P7590">
        <v>27.39</v>
      </c>
      <c r="Q7590">
        <v>18.34</v>
      </c>
      <c r="R7590">
        <v>12.04</v>
      </c>
    </row>
    <row r="7591">
      <c r="A7591" s="9">
        <v>46122</v>
      </c>
      <c r="B7591" s="2" t="inlineStr">
        <is>
          <t xml:space="preserve">2026-04</t>
        </is>
      </c>
      <c r="C7591" s="2" t="inlineStr">
        <is>
          <t xml:space="preserve">2025/26</t>
        </is>
      </c>
      <c r="D7591">
        <v>0.0</v>
      </c>
      <c r="E7591">
        <v>21.61</v>
      </c>
      <c r="F7591">
        <v>27.13</v>
      </c>
      <c r="G7591">
        <v>17.07</v>
      </c>
      <c r="H7591">
        <v>0.26</v>
      </c>
      <c r="I7591">
        <v>0.0</v>
      </c>
      <c r="J7591">
        <v>23.92</v>
      </c>
      <c r="K7591">
        <v>32.14</v>
      </c>
      <c r="L7591">
        <v>17.31</v>
      </c>
      <c r="M7591">
        <v>0.16</v>
      </c>
      <c r="N7591">
        <v>0.0</v>
      </c>
      <c r="O7591">
        <v>21.94</v>
      </c>
      <c r="P7591">
        <v>27.61</v>
      </c>
      <c r="Q7591">
        <v>17.58</v>
      </c>
      <c r="R7591">
        <v>0.52</v>
      </c>
    </row>
    <row r="7592">
      <c r="A7592" s="9">
        <v>46123</v>
      </c>
      <c r="B7592" s="2" t="inlineStr">
        <is>
          <t xml:space="preserve">2026-04</t>
        </is>
      </c>
      <c r="C7592" s="2" t="inlineStr">
        <is>
          <t xml:space="preserve">2025/26</t>
        </is>
      </c>
      <c r="D7592">
        <v>0.0</v>
      </c>
      <c r="E7592">
        <v>21.25</v>
      </c>
      <c r="F7592">
        <v>26.6</v>
      </c>
      <c r="G7592">
        <v>17.56</v>
      </c>
      <c r="H7592">
        <v>0.22</v>
      </c>
      <c r="I7592">
        <v>0.261</v>
      </c>
      <c r="J7592">
        <v>23.5</v>
      </c>
      <c r="K7592">
        <v>31.3</v>
      </c>
      <c r="L7592">
        <v>18.52</v>
      </c>
      <c r="M7592">
        <v>0.36</v>
      </c>
      <c r="N7592">
        <v>0.748</v>
      </c>
      <c r="O7592">
        <v>21.74</v>
      </c>
      <c r="P7592">
        <v>27.02</v>
      </c>
      <c r="Q7592">
        <v>18.44</v>
      </c>
      <c r="R7592">
        <v>0.77</v>
      </c>
    </row>
    <row r="7593">
      <c r="A7593" s="9">
        <v>46124</v>
      </c>
      <c r="B7593" s="2" t="inlineStr">
        <is>
          <t xml:space="preserve">2026-04</t>
        </is>
      </c>
      <c r="C7593" s="2" t="inlineStr">
        <is>
          <t xml:space="preserve">2025/26</t>
        </is>
      </c>
      <c r="D7593">
        <v>0.0</v>
      </c>
      <c r="E7593">
        <v>20.65</v>
      </c>
      <c r="F7593">
        <v>26.02</v>
      </c>
      <c r="G7593">
        <v>16.36</v>
      </c>
      <c r="H7593">
        <v>0.1</v>
      </c>
      <c r="I7593">
        <v>0.0</v>
      </c>
      <c r="J7593">
        <v>23.36</v>
      </c>
      <c r="K7593">
        <v>30.94</v>
      </c>
      <c r="L7593">
        <v>17.83</v>
      </c>
      <c r="M7593">
        <v>0.03</v>
      </c>
      <c r="N7593">
        <v>0.0</v>
      </c>
      <c r="O7593">
        <v>21.68</v>
      </c>
      <c r="P7593">
        <v>27.08</v>
      </c>
      <c r="Q7593">
        <v>17.75</v>
      </c>
      <c r="R7593">
        <v>0.27</v>
      </c>
    </row>
    <row r="7594">
      <c r="A7594" s="9">
        <v>46125</v>
      </c>
      <c r="B7594" s="2" t="inlineStr">
        <is>
          <t xml:space="preserve">2026-04</t>
        </is>
      </c>
      <c r="C7594" s="2" t="inlineStr">
        <is>
          <t xml:space="preserve">2025/26</t>
        </is>
      </c>
      <c r="D7594">
        <v>0.0</v>
      </c>
      <c r="E7594">
        <v>20.4</v>
      </c>
      <c r="F7594">
        <v>26.02</v>
      </c>
      <c r="G7594">
        <v>16.49</v>
      </c>
      <c r="H7594">
        <v>0.14</v>
      </c>
      <c r="I7594">
        <v>0.0</v>
      </c>
      <c r="J7594">
        <v>23.07</v>
      </c>
      <c r="K7594">
        <v>30.93</v>
      </c>
      <c r="L7594">
        <v>17.75</v>
      </c>
      <c r="M7594">
        <v>0.07</v>
      </c>
      <c r="N7594">
        <v>0.0</v>
      </c>
      <c r="O7594">
        <v>21.21</v>
      </c>
      <c r="P7594">
        <v>26.88</v>
      </c>
      <c r="Q7594">
        <v>17.66</v>
      </c>
      <c r="R7594">
        <v>0.61</v>
      </c>
    </row>
    <row r="7595">
      <c r="A7595" s="9">
        <v>46126</v>
      </c>
      <c r="B7595" s="2" t="inlineStr">
        <is>
          <t xml:space="preserve">2026-04</t>
        </is>
      </c>
      <c r="C7595" s="2" t="inlineStr">
        <is>
          <t xml:space="preserve">2025/26</t>
        </is>
      </c>
      <c r="D7595">
        <v>0.0</v>
      </c>
      <c r="E7595">
        <v>20.54</v>
      </c>
      <c r="F7595">
        <v>26.45</v>
      </c>
      <c r="G7595">
        <v>15.67</v>
      </c>
      <c r="H7595">
        <v>0.03</v>
      </c>
      <c r="I7595">
        <v>0.0</v>
      </c>
      <c r="J7595">
        <v>23.21</v>
      </c>
      <c r="K7595">
        <v>31.2</v>
      </c>
      <c r="L7595">
        <v>16.87</v>
      </c>
      <c r="M7595">
        <v>0.13</v>
      </c>
      <c r="N7595">
        <v>0.0</v>
      </c>
      <c r="O7595">
        <v>21.59</v>
      </c>
      <c r="P7595">
        <v>27.72</v>
      </c>
      <c r="Q7595">
        <v>16.88</v>
      </c>
      <c r="R7595">
        <v>0.06</v>
      </c>
    </row>
    <row r="7596">
      <c r="A7596" s="9">
        <v>46127</v>
      </c>
      <c r="B7596" s="2" t="inlineStr">
        <is>
          <t xml:space="preserve">2026-04</t>
        </is>
      </c>
      <c r="C7596" s="2" t="inlineStr">
        <is>
          <t xml:space="preserve">2025/26</t>
        </is>
      </c>
      <c r="D7596">
        <v>0.0</v>
      </c>
      <c r="E7596">
        <v>19.93</v>
      </c>
      <c r="F7596">
        <v>26.02</v>
      </c>
      <c r="G7596">
        <v>15.7</v>
      </c>
      <c r="H7596">
        <v>0.0</v>
      </c>
      <c r="I7596">
        <v>0.0</v>
      </c>
      <c r="J7596">
        <v>23.77</v>
      </c>
      <c r="K7596">
        <v>31.91</v>
      </c>
      <c r="L7596">
        <v>18.11</v>
      </c>
      <c r="M7596">
        <v>0.04</v>
      </c>
      <c r="N7596">
        <v>0.0</v>
      </c>
      <c r="O7596">
        <v>21.49</v>
      </c>
      <c r="P7596">
        <v>27.52</v>
      </c>
      <c r="Q7596">
        <v>17.22</v>
      </c>
      <c r="R7596">
        <v>0.0</v>
      </c>
    </row>
    <row r="7597">
      <c r="A7597" s="9">
        <v>46128</v>
      </c>
      <c r="B7597" s="2" t="inlineStr">
        <is>
          <t xml:space="preserve">2026-04</t>
        </is>
      </c>
      <c r="C7597" s="2" t="inlineStr">
        <is>
          <t xml:space="preserve">2025/26</t>
        </is>
      </c>
      <c r="D7597">
        <v>0.0</v>
      </c>
      <c r="E7597">
        <v>20.81</v>
      </c>
      <c r="F7597">
        <v>26.38</v>
      </c>
      <c r="G7597">
        <v>16.3</v>
      </c>
      <c r="H7597">
        <v>0.0</v>
      </c>
      <c r="I7597">
        <v>0.0</v>
      </c>
      <c r="J7597">
        <v>24.34</v>
      </c>
      <c r="K7597">
        <v>32.86</v>
      </c>
      <c r="L7597">
        <v>17.04</v>
      </c>
      <c r="M7597">
        <v>0.01</v>
      </c>
      <c r="N7597">
        <v>0.0</v>
      </c>
      <c r="O7597">
        <v>22.21</v>
      </c>
      <c r="P7597">
        <v>28.66</v>
      </c>
      <c r="Q7597">
        <v>17.06</v>
      </c>
      <c r="R7597">
        <v>0.0</v>
      </c>
    </row>
    <row r="7598">
      <c r="A7598" s="9">
        <v>46129</v>
      </c>
      <c r="B7598" s="2" t="inlineStr">
        <is>
          <t xml:space="preserve">2026-04</t>
        </is>
      </c>
      <c r="C7598" s="2" t="inlineStr">
        <is>
          <t xml:space="preserve">2025/26</t>
        </is>
      </c>
      <c r="D7598">
        <v>0.0</v>
      </c>
      <c r="E7598">
        <v>21.15</v>
      </c>
      <c r="F7598">
        <v>26.99</v>
      </c>
      <c r="G7598">
        <v>16.33</v>
      </c>
      <c r="H7598">
        <v>0.0</v>
      </c>
      <c r="I7598">
        <v>0.0</v>
      </c>
      <c r="J7598">
        <v>25.22</v>
      </c>
      <c r="K7598">
        <v>32.98</v>
      </c>
      <c r="L7598">
        <v>18.95</v>
      </c>
      <c r="M7598">
        <v>0.01</v>
      </c>
      <c r="N7598">
        <v>0.0</v>
      </c>
      <c r="O7598">
        <v>22.84</v>
      </c>
      <c r="P7598">
        <v>29.32</v>
      </c>
      <c r="Q7598">
        <v>18.1</v>
      </c>
      <c r="R7598">
        <v>0.0</v>
      </c>
    </row>
    <row r="7599">
      <c r="A7599" s="9">
        <v>46130</v>
      </c>
      <c r="B7599" s="2" t="inlineStr">
        <is>
          <t xml:space="preserve">2026-04</t>
        </is>
      </c>
      <c r="C7599" s="2" t="inlineStr">
        <is>
          <t xml:space="preserve">2025/26</t>
        </is>
      </c>
      <c r="D7599">
        <v>0.0</v>
      </c>
      <c r="E7599">
        <v>22.12</v>
      </c>
      <c r="F7599">
        <v>28.07</v>
      </c>
      <c r="G7599">
        <v>17.46</v>
      </c>
      <c r="H7599">
        <v>0.51</v>
      </c>
      <c r="I7599">
        <v>0.0</v>
      </c>
      <c r="J7599">
        <v>24.64</v>
      </c>
      <c r="K7599">
        <v>31.33</v>
      </c>
      <c r="L7599">
        <v>18.71</v>
      </c>
      <c r="M7599">
        <v>0.51</v>
      </c>
      <c r="N7599">
        <v>0.0</v>
      </c>
      <c r="O7599">
        <v>23.43</v>
      </c>
      <c r="P7599">
        <v>29.19</v>
      </c>
      <c r="Q7599">
        <v>18.62</v>
      </c>
      <c r="R7599">
        <v>0.2</v>
      </c>
    </row>
    <row r="7600">
      <c r="A7600" s="9">
        <v>46131</v>
      </c>
      <c r="B7600" s="2" t="inlineStr">
        <is>
          <t xml:space="preserve">2026-04</t>
        </is>
      </c>
      <c r="C7600" s="2" t="inlineStr">
        <is>
          <t xml:space="preserve">2025/26</t>
        </is>
      </c>
      <c r="D7600">
        <v>12.477</v>
      </c>
      <c r="E7600">
        <v>21.51</v>
      </c>
      <c r="F7600">
        <v>26.79</v>
      </c>
      <c r="G7600">
        <v>18.66</v>
      </c>
      <c r="H7600">
        <v>7.17</v>
      </c>
      <c r="I7600">
        <v>3.053</v>
      </c>
      <c r="J7600">
        <v>25.19</v>
      </c>
      <c r="K7600">
        <v>31.73</v>
      </c>
      <c r="L7600">
        <v>20.39</v>
      </c>
      <c r="M7600">
        <v>2.61</v>
      </c>
      <c r="N7600">
        <v>2.973</v>
      </c>
      <c r="O7600">
        <v>23.08</v>
      </c>
      <c r="P7600">
        <v>28.09</v>
      </c>
      <c r="Q7600">
        <v>19.15</v>
      </c>
      <c r="R7600">
        <v>2.63</v>
      </c>
    </row>
    <row r="7601">
      <c r="A7601" s="9">
        <v>46132</v>
      </c>
      <c r="B7601" s="2" t="inlineStr">
        <is>
          <t xml:space="preserve">2026-04</t>
        </is>
      </c>
      <c r="C7601" s="2" t="inlineStr">
        <is>
          <t xml:space="preserve">2025/26</t>
        </is>
      </c>
      <c r="D7601">
        <v>1.09</v>
      </c>
      <c r="E7601">
        <v>21.78</v>
      </c>
      <c r="F7601">
        <v>27.01</v>
      </c>
      <c r="G7601">
        <v>18.53</v>
      </c>
      <c r="H7601">
        <v>2.04</v>
      </c>
      <c r="I7601">
        <v>1.083</v>
      </c>
      <c r="J7601">
        <v>24.03</v>
      </c>
      <c r="K7601">
        <v>30.41</v>
      </c>
      <c r="L7601">
        <v>19.17</v>
      </c>
      <c r="M7601">
        <v>0.49</v>
      </c>
      <c r="N7601">
        <v>0.375</v>
      </c>
      <c r="O7601">
        <v>22.33</v>
      </c>
      <c r="P7601">
        <v>27.03</v>
      </c>
      <c r="Q7601">
        <v>18.78</v>
      </c>
      <c r="R7601">
        <v>0.76</v>
      </c>
    </row>
    <row r="7602">
      <c r="A7602" s="9">
        <v>46133</v>
      </c>
      <c r="B7602" s="2" t="inlineStr">
        <is>
          <t xml:space="preserve">2026-04</t>
        </is>
      </c>
      <c r="C7602" s="2" t="inlineStr">
        <is>
          <t xml:space="preserve">2025/26</t>
        </is>
      </c>
      <c r="D7602">
        <v>1.79</v>
      </c>
      <c r="E7602">
        <v>20.92</v>
      </c>
      <c r="F7602">
        <v>24.51</v>
      </c>
      <c r="G7602">
        <v>18.23</v>
      </c>
      <c r="H7602">
        <v>4.18</v>
      </c>
      <c r="I7602">
        <v>0.137</v>
      </c>
      <c r="J7602">
        <v>23.95</v>
      </c>
      <c r="K7602">
        <v>31.27</v>
      </c>
      <c r="L7602">
        <v>17.66</v>
      </c>
      <c r="M7602">
        <v>0.49</v>
      </c>
      <c r="N7602">
        <v>0.259</v>
      </c>
      <c r="O7602">
        <v>22.35</v>
      </c>
      <c r="P7602">
        <v>28.13</v>
      </c>
      <c r="Q7602">
        <v>18.15</v>
      </c>
      <c r="R7602">
        <v>2.09</v>
      </c>
    </row>
    <row r="7603">
      <c r="A7603" s="9">
        <v>46134</v>
      </c>
      <c r="B7603" s="2" t="inlineStr">
        <is>
          <t xml:space="preserve">2026-04</t>
        </is>
      </c>
      <c r="C7603" s="2" t="inlineStr">
        <is>
          <t xml:space="preserve">2025/26</t>
        </is>
      </c>
      <c r="D7603">
        <v>2.514</v>
      </c>
      <c r="E7603">
        <v>21.35</v>
      </c>
      <c r="F7603">
        <v>25.83</v>
      </c>
      <c r="G7603">
        <v>18.22</v>
      </c>
      <c r="H7603">
        <v>6.21</v>
      </c>
      <c r="I7603">
        <v>0.0</v>
      </c>
      <c r="J7603">
        <v>24.62</v>
      </c>
      <c r="K7603">
        <v>31.31</v>
      </c>
      <c r="L7603">
        <v>18.64</v>
      </c>
      <c r="M7603">
        <v>2.95</v>
      </c>
      <c r="N7603">
        <v>0.0</v>
      </c>
      <c r="O7603">
        <v>23.37</v>
      </c>
      <c r="P7603">
        <v>29.77</v>
      </c>
      <c r="Q7603">
        <v>18.64</v>
      </c>
      <c r="R7603">
        <v>3.97</v>
      </c>
    </row>
    <row r="7604">
      <c r="A7604" s="9">
        <v>46135</v>
      </c>
      <c r="B7604" s="2" t="inlineStr">
        <is>
          <t xml:space="preserve">2026-04</t>
        </is>
      </c>
      <c r="C7604" s="2" t="inlineStr">
        <is>
          <t xml:space="preserve">2025/26</t>
        </is>
      </c>
      <c r="D7604">
        <v>10.31</v>
      </c>
      <c r="E7604">
        <v>22.16</v>
      </c>
      <c r="F7604">
        <v>26.98</v>
      </c>
      <c r="G7604">
        <v>17.7</v>
      </c>
      <c r="H7604">
        <v>2.37</v>
      </c>
      <c r="I7604">
        <v>10.573</v>
      </c>
      <c r="J7604">
        <v>23.98</v>
      </c>
      <c r="K7604">
        <v>29.56</v>
      </c>
      <c r="L7604">
        <v>19.58</v>
      </c>
      <c r="M7604">
        <v>5.88</v>
      </c>
      <c r="N7604">
        <v>3.591</v>
      </c>
      <c r="O7604">
        <v>24.03</v>
      </c>
      <c r="P7604">
        <v>29.34</v>
      </c>
      <c r="Q7604">
        <v>19.4</v>
      </c>
      <c r="R7604">
        <v>2.37</v>
      </c>
    </row>
    <row r="7605">
      <c r="A7605" s="9">
        <v>46136</v>
      </c>
      <c r="B7605" s="2" t="inlineStr">
        <is>
          <t xml:space="preserve">2026-04</t>
        </is>
      </c>
      <c r="C7605" s="2" t="inlineStr">
        <is>
          <t xml:space="preserve">2025/26</t>
        </is>
      </c>
      <c r="D7605">
        <v>0.0</v>
      </c>
      <c r="E7605">
        <v>23.53</v>
      </c>
      <c r="F7605">
        <v>29.48</v>
      </c>
      <c r="G7605">
        <v>18.77</v>
      </c>
      <c r="H7605">
        <v>0.61</v>
      </c>
      <c r="I7605">
        <v>0.0</v>
      </c>
      <c r="J7605">
        <v>25.25</v>
      </c>
      <c r="K7605">
        <v>33.48</v>
      </c>
      <c r="L7605">
        <v>19.35</v>
      </c>
      <c r="M7605">
        <v>0.87</v>
      </c>
      <c r="N7605">
        <v>0.0</v>
      </c>
      <c r="O7605">
        <v>25.42</v>
      </c>
      <c r="P7605">
        <v>33.48</v>
      </c>
      <c r="Q7605">
        <v>18.55</v>
      </c>
      <c r="R7605">
        <v>0.6</v>
      </c>
    </row>
    <row r="7606">
      <c r="A7606" s="9">
        <v>46137</v>
      </c>
      <c r="B7606" s="2" t="inlineStr">
        <is>
          <t xml:space="preserve">2026-04</t>
        </is>
      </c>
      <c r="C7606" s="2" t="inlineStr">
        <is>
          <t xml:space="preserve">2025/26</t>
        </is>
      </c>
      <c r="D7606">
        <v>0.965</v>
      </c>
      <c r="E7606">
        <v>23.62</v>
      </c>
      <c r="F7606">
        <v>30.06</v>
      </c>
      <c r="G7606">
        <v>17.67</v>
      </c>
      <c r="H7606">
        <v>0.28</v>
      </c>
      <c r="I7606">
        <v>2.386</v>
      </c>
      <c r="J7606">
        <v>25.46</v>
      </c>
      <c r="K7606">
        <v>33.51</v>
      </c>
      <c r="L7606">
        <v>19.77</v>
      </c>
      <c r="M7606">
        <v>1.33</v>
      </c>
      <c r="N7606">
        <v>1.644</v>
      </c>
      <c r="O7606">
        <v>25.82</v>
      </c>
      <c r="P7606">
        <v>33.92</v>
      </c>
      <c r="Q7606">
        <v>19.31</v>
      </c>
      <c r="R7606">
        <v>0.4</v>
      </c>
    </row>
    <row r="7607">
      <c r="A7607" s="9">
        <v>46138</v>
      </c>
      <c r="B7607" s="2" t="inlineStr">
        <is>
          <t xml:space="preserve">2026-04</t>
        </is>
      </c>
      <c r="C7607" s="2" t="inlineStr">
        <is>
          <t xml:space="preserve">2025/26</t>
        </is>
      </c>
      <c r="D7607">
        <v>0.0</v>
      </c>
      <c r="E7607">
        <v>23.97</v>
      </c>
      <c r="F7607">
        <v>29.71</v>
      </c>
      <c r="G7607">
        <v>19.34</v>
      </c>
      <c r="H7607">
        <v>0.86</v>
      </c>
      <c r="I7607">
        <v>0.0</v>
      </c>
      <c r="J7607">
        <v>27.45</v>
      </c>
      <c r="K7607">
        <v>36.26</v>
      </c>
      <c r="L7607">
        <v>20.39</v>
      </c>
      <c r="M7607">
        <v>0.18</v>
      </c>
      <c r="N7607">
        <v>0.0</v>
      </c>
      <c r="O7607">
        <v>26.25</v>
      </c>
      <c r="P7607">
        <v>33.89</v>
      </c>
      <c r="Q7607">
        <v>20.09</v>
      </c>
      <c r="R7607">
        <v>0.22</v>
      </c>
    </row>
    <row r="7608">
      <c r="A7608" s="9">
        <v>46139</v>
      </c>
      <c r="B7608" s="2" t="inlineStr">
        <is>
          <t xml:space="preserve">2026-04</t>
        </is>
      </c>
      <c r="C7608" s="2" t="inlineStr">
        <is>
          <t xml:space="preserve">2025/26</t>
        </is>
      </c>
      <c r="D7608">
        <v>4.163</v>
      </c>
      <c r="E7608">
        <v>23.21</v>
      </c>
      <c r="F7608">
        <v>29.14</v>
      </c>
      <c r="G7608">
        <v>18.36</v>
      </c>
      <c r="H7608">
        <v>0.97</v>
      </c>
      <c r="I7608">
        <v>0.338</v>
      </c>
      <c r="J7608">
        <v>27.49</v>
      </c>
      <c r="K7608">
        <v>36.02</v>
      </c>
      <c r="L7608">
        <v>20.99</v>
      </c>
      <c r="M7608">
        <v>0.15</v>
      </c>
      <c r="N7608">
        <v>0.176</v>
      </c>
      <c r="O7608">
        <v>25.72</v>
      </c>
      <c r="P7608">
        <v>33.2</v>
      </c>
      <c r="Q7608">
        <v>20.38</v>
      </c>
      <c r="R7608">
        <v>0.28</v>
      </c>
    </row>
    <row r="7609">
      <c r="A7609" s="9">
        <v>46140</v>
      </c>
      <c r="B7609" s="2" t="inlineStr">
        <is>
          <t xml:space="preserve">2026-04</t>
        </is>
      </c>
      <c r="C7609" s="2" t="inlineStr">
        <is>
          <t xml:space="preserve">2025/26</t>
        </is>
      </c>
      <c r="D7609">
        <v>0.0</v>
      </c>
      <c r="E7609">
        <v>21.58</v>
      </c>
      <c r="F7609">
        <v>27.93</v>
      </c>
      <c r="G7609">
        <v>15.22</v>
      </c>
      <c r="H7609">
        <v>0.0</v>
      </c>
      <c r="I7609">
        <v>0.0</v>
      </c>
      <c r="J7609">
        <v>26.54</v>
      </c>
      <c r="K7609">
        <v>35.13</v>
      </c>
      <c r="L7609">
        <v>19.67</v>
      </c>
      <c r="M7609">
        <v>0.0</v>
      </c>
      <c r="N7609">
        <v>0.0</v>
      </c>
      <c r="O7609">
        <v>24.5</v>
      </c>
      <c r="P7609">
        <v>31.7</v>
      </c>
      <c r="Q7609">
        <v>19.81</v>
      </c>
      <c r="R7609">
        <v>0.0</v>
      </c>
    </row>
    <row r="7610">
      <c r="A7610" s="9">
        <v>46141</v>
      </c>
      <c r="B7610" s="2" t="inlineStr">
        <is>
          <t xml:space="preserve">2026-04</t>
        </is>
      </c>
      <c r="C7610" s="2" t="inlineStr">
        <is>
          <t xml:space="preserve">2025/26</t>
        </is>
      </c>
      <c r="D7610">
        <v>0.0</v>
      </c>
      <c r="E7610">
        <v>22.23</v>
      </c>
      <c r="F7610">
        <v>28.31</v>
      </c>
      <c r="G7610">
        <v>17.47</v>
      </c>
      <c r="H7610">
        <v>0.0</v>
      </c>
      <c r="I7610">
        <v>0.0</v>
      </c>
      <c r="J7610">
        <v>26.35</v>
      </c>
      <c r="K7610">
        <v>34.31</v>
      </c>
      <c r="L7610">
        <v>19.01</v>
      </c>
      <c r="M7610">
        <v>0.01</v>
      </c>
      <c r="N7610">
        <v>0.0</v>
      </c>
      <c r="O7610">
        <v>24.4</v>
      </c>
      <c r="P7610">
        <v>31.59</v>
      </c>
      <c r="Q7610">
        <v>19.25</v>
      </c>
      <c r="R7610">
        <v>0.0</v>
      </c>
    </row>
    <row r="7611">
      <c r="A7611" s="9">
        <v>46142</v>
      </c>
      <c r="B7611" s="2" t="inlineStr">
        <is>
          <t xml:space="preserve">2026-04</t>
        </is>
      </c>
      <c r="C7611" s="2" t="inlineStr">
        <is>
          <t xml:space="preserve">2025/26</t>
        </is>
      </c>
      <c r="D7611">
        <v>0.0</v>
      </c>
      <c r="E7611">
        <v>23.12</v>
      </c>
      <c r="F7611">
        <v>28.95</v>
      </c>
      <c r="G7611">
        <v>17.69</v>
      </c>
      <c r="H7611">
        <v>0.02</v>
      </c>
      <c r="I7611">
        <v>0.0</v>
      </c>
      <c r="J7611">
        <v>26.85</v>
      </c>
      <c r="K7611">
        <v>34.95</v>
      </c>
      <c r="L7611">
        <v>19.7</v>
      </c>
      <c r="M7611">
        <v>0.04</v>
      </c>
      <c r="N7611">
        <v>0.0</v>
      </c>
      <c r="O7611">
        <v>25.46</v>
      </c>
      <c r="P7611">
        <v>33.03</v>
      </c>
      <c r="Q7611">
        <v>19.27</v>
      </c>
      <c r="R7611">
        <v>0.04</v>
      </c>
    </row>
    <row r="7612">
      <c r="A7612" s="9">
        <v>46143</v>
      </c>
      <c r="B7612" s="2" t="inlineStr">
        <is>
          <t xml:space="preserve">2026-05</t>
        </is>
      </c>
      <c r="C7612" s="2" t="inlineStr">
        <is>
          <t xml:space="preserve">2025/26</t>
        </is>
      </c>
      <c r="D7612">
        <v>0.125</v>
      </c>
      <c r="E7612">
        <v>24.01</v>
      </c>
      <c r="F7612">
        <v>29.74</v>
      </c>
      <c r="G7612">
        <v>18.76</v>
      </c>
      <c r="H7612">
        <v>0.17</v>
      </c>
      <c r="I7612">
        <v>0.0</v>
      </c>
      <c r="J7612">
        <v>27.22</v>
      </c>
      <c r="K7612">
        <v>35.22</v>
      </c>
      <c r="L7612">
        <v>21.35</v>
      </c>
      <c r="M7612">
        <v>0.31</v>
      </c>
      <c r="N7612">
        <v>0.0</v>
      </c>
      <c r="O7612">
        <v>27.02</v>
      </c>
      <c r="P7612">
        <v>34.81</v>
      </c>
      <c r="Q7612">
        <v>20.26</v>
      </c>
      <c r="R7612">
        <v>0.17</v>
      </c>
    </row>
    <row r="7613">
      <c r="A7613" s="9">
        <v>46144</v>
      </c>
      <c r="B7613" s="2" t="inlineStr">
        <is>
          <t xml:space="preserve">2026-05</t>
        </is>
      </c>
      <c r="C7613" s="2" t="inlineStr">
        <is>
          <t xml:space="preserve">2025/26</t>
        </is>
      </c>
      <c r="D7613">
        <v>0.541</v>
      </c>
      <c r="E7613">
        <v>24.62</v>
      </c>
      <c r="F7613">
        <v>30.07</v>
      </c>
      <c r="G7613">
        <v>19.4</v>
      </c>
      <c r="H7613">
        <v>1.23</v>
      </c>
      <c r="I7613">
        <v>0.853</v>
      </c>
      <c r="J7613">
        <v>27.35</v>
      </c>
      <c r="K7613">
        <v>35.61</v>
      </c>
      <c r="L7613">
        <v>20.78</v>
      </c>
      <c r="M7613">
        <v>0.69</v>
      </c>
      <c r="N7613">
        <v>0.597</v>
      </c>
      <c r="O7613">
        <v>27.44</v>
      </c>
      <c r="P7613">
        <v>35.51</v>
      </c>
      <c r="Q7613">
        <v>21.22</v>
      </c>
      <c r="R7613">
        <v>0.45</v>
      </c>
    </row>
    <row r="7614">
      <c r="A7614" s="9">
        <v>46145</v>
      </c>
      <c r="B7614" s="2" t="inlineStr">
        <is>
          <t xml:space="preserve">2026-05</t>
        </is>
      </c>
      <c r="C7614" s="2" t="inlineStr">
        <is>
          <t xml:space="preserve">2025/26</t>
        </is>
      </c>
      <c r="D7614">
        <v>3.183</v>
      </c>
      <c r="E7614">
        <v>23.69</v>
      </c>
      <c r="F7614">
        <v>28.24</v>
      </c>
      <c r="G7614">
        <v>20.41</v>
      </c>
      <c r="H7614">
        <v>1.29</v>
      </c>
      <c r="I7614">
        <v>0.562</v>
      </c>
      <c r="J7614">
        <v>26.05</v>
      </c>
      <c r="K7614">
        <v>31.73</v>
      </c>
      <c r="L7614">
        <v>22.36</v>
      </c>
      <c r="M7614">
        <v>2.01</v>
      </c>
      <c r="N7614">
        <v>1.075</v>
      </c>
      <c r="O7614">
        <v>25.27</v>
      </c>
      <c r="P7614">
        <v>29.98</v>
      </c>
      <c r="Q7614">
        <v>22.03</v>
      </c>
      <c r="R7614">
        <v>1.5</v>
      </c>
    </row>
    <row r="7615">
      <c r="A7615" s="9">
        <v>46146</v>
      </c>
      <c r="B7615" s="2" t="inlineStr">
        <is>
          <t xml:space="preserve">2026-05</t>
        </is>
      </c>
      <c r="C7615" s="2" t="inlineStr">
        <is>
          <t xml:space="preserve">2025/26</t>
        </is>
      </c>
      <c r="D7615">
        <v>0.143</v>
      </c>
      <c r="E7615">
        <v>24.04</v>
      </c>
      <c r="F7615">
        <v>30.03</v>
      </c>
      <c r="G7615">
        <v>19.69</v>
      </c>
      <c r="H7615">
        <v>0.12</v>
      </c>
      <c r="I7615">
        <v>0.0</v>
      </c>
      <c r="J7615">
        <v>26.92</v>
      </c>
      <c r="K7615">
        <v>34.04</v>
      </c>
      <c r="L7615">
        <v>20.22</v>
      </c>
      <c r="M7615">
        <v>0.02</v>
      </c>
      <c r="N7615">
        <v>0.0</v>
      </c>
      <c r="O7615">
        <v>25.41</v>
      </c>
      <c r="P7615">
        <v>31.64</v>
      </c>
      <c r="Q7615">
        <v>20.49</v>
      </c>
      <c r="R7615">
        <v>0.0</v>
      </c>
    </row>
    <row r="7616">
      <c r="A7616" s="9">
        <v>46147</v>
      </c>
      <c r="B7616" s="2" t="inlineStr">
        <is>
          <t xml:space="preserve">2026-05</t>
        </is>
      </c>
      <c r="C7616" s="2" t="inlineStr">
        <is>
          <t xml:space="preserve">2025/26</t>
        </is>
      </c>
      <c r="D7616">
        <v>0.0</v>
      </c>
      <c r="E7616">
        <v>24.21</v>
      </c>
      <c r="F7616">
        <v>30.69</v>
      </c>
      <c r="G7616">
        <v>18.18</v>
      </c>
      <c r="H7616">
        <v>0.28</v>
      </c>
      <c r="I7616">
        <v>0.0</v>
      </c>
      <c r="J7616">
        <v>28.55</v>
      </c>
      <c r="K7616">
        <v>37.04</v>
      </c>
      <c r="L7616">
        <v>21.88</v>
      </c>
      <c r="M7616">
        <v>0.22</v>
      </c>
      <c r="N7616">
        <v>0.0</v>
      </c>
      <c r="O7616">
        <v>26.96</v>
      </c>
      <c r="P7616">
        <v>34.6</v>
      </c>
      <c r="Q7616">
        <v>21.29</v>
      </c>
      <c r="R7616">
        <v>0.28</v>
      </c>
    </row>
    <row r="7617">
      <c r="A7617" s="9">
        <v>46148</v>
      </c>
      <c r="B7617" s="2" t="inlineStr">
        <is>
          <t xml:space="preserve">2026-05</t>
        </is>
      </c>
      <c r="C7617" s="2" t="inlineStr">
        <is>
          <t xml:space="preserve">2025/26</t>
        </is>
      </c>
      <c r="D7617">
        <v>6.759</v>
      </c>
      <c r="E7617">
        <v>24.56</v>
      </c>
      <c r="F7617">
        <v>30.87</v>
      </c>
      <c r="G7617">
        <v>18.21</v>
      </c>
      <c r="H7617">
        <v>2.69</v>
      </c>
      <c r="I7617">
        <v>0.51</v>
      </c>
      <c r="J7617">
        <v>28.0</v>
      </c>
      <c r="K7617">
        <v>36.57</v>
      </c>
      <c r="L7617">
        <v>22.03</v>
      </c>
      <c r="M7617">
        <v>0.26</v>
      </c>
      <c r="N7617">
        <v>0.284</v>
      </c>
      <c r="O7617">
        <v>27.01</v>
      </c>
      <c r="P7617">
        <v>34.65</v>
      </c>
      <c r="Q7617">
        <v>20.91</v>
      </c>
      <c r="R7617">
        <v>0.55</v>
      </c>
    </row>
    <row r="7618">
      <c r="A7618" s="9">
        <v>46149</v>
      </c>
      <c r="B7618" s="2" t="inlineStr">
        <is>
          <t xml:space="preserve">2026-05</t>
        </is>
      </c>
      <c r="C7618" s="2" t="inlineStr">
        <is>
          <t xml:space="preserve">2025/26</t>
        </is>
      </c>
      <c r="D7618">
        <v>0.087</v>
      </c>
      <c r="E7618">
        <v>25.54</v>
      </c>
      <c r="F7618">
        <v>31.17</v>
      </c>
      <c r="G7618">
        <v>20.12</v>
      </c>
      <c r="H7618">
        <v>0.07</v>
      </c>
      <c r="I7618">
        <v>0.0</v>
      </c>
      <c r="J7618">
        <v>28.22</v>
      </c>
      <c r="K7618">
        <v>35.65</v>
      </c>
      <c r="L7618">
        <v>22.77</v>
      </c>
      <c r="M7618">
        <v>0.08</v>
      </c>
      <c r="N7618">
        <v>0.0</v>
      </c>
      <c r="O7618">
        <v>28.05</v>
      </c>
      <c r="P7618">
        <v>35.17</v>
      </c>
      <c r="Q7618">
        <v>22.41</v>
      </c>
      <c r="R7618">
        <v>0.05</v>
      </c>
    </row>
    <row r="7619">
      <c r="A7619" s="9">
        <v>46150</v>
      </c>
      <c r="B7619" s="2" t="inlineStr">
        <is>
          <t xml:space="preserve">2026-05</t>
        </is>
      </c>
      <c r="C7619" s="2" t="inlineStr">
        <is>
          <t xml:space="preserve">2025/26</t>
        </is>
      </c>
      <c r="D7619">
        <v>0.05</v>
      </c>
      <c r="E7619">
        <v>25.34</v>
      </c>
      <c r="F7619">
        <v>32.21</v>
      </c>
      <c r="G7619">
        <v>19.13</v>
      </c>
      <c r="H7619">
        <v>0.03</v>
      </c>
      <c r="I7619">
        <v>0.0</v>
      </c>
      <c r="J7619">
        <v>28.84</v>
      </c>
      <c r="K7619">
        <v>35.87</v>
      </c>
      <c r="L7619">
        <v>23.32</v>
      </c>
      <c r="M7619">
        <v>0.03</v>
      </c>
      <c r="N7619">
        <v>0.0</v>
      </c>
      <c r="O7619">
        <v>27.63</v>
      </c>
      <c r="P7619">
        <v>34.76</v>
      </c>
      <c r="Q7619">
        <v>22.28</v>
      </c>
      <c r="R7619">
        <v>0.02</v>
      </c>
    </row>
    <row r="7620">
      <c r="A7620" s="9">
        <v>46151</v>
      </c>
      <c r="B7620" s="2" t="inlineStr">
        <is>
          <t xml:space="preserve">2026-05</t>
        </is>
      </c>
      <c r="C7620" s="2" t="inlineStr">
        <is>
          <t xml:space="preserve">2025/26</t>
        </is>
      </c>
      <c r="D7620">
        <v>0.141</v>
      </c>
      <c r="E7620">
        <v>24.91</v>
      </c>
      <c r="F7620">
        <v>31.95</v>
      </c>
      <c r="G7620">
        <v>17.55</v>
      </c>
      <c r="H7620">
        <v>0.04</v>
      </c>
      <c r="I7620">
        <v>0.0</v>
      </c>
      <c r="J7620">
        <v>28.72</v>
      </c>
      <c r="K7620">
        <v>36.93</v>
      </c>
      <c r="L7620">
        <v>22.61</v>
      </c>
      <c r="M7620">
        <v>0.03</v>
      </c>
      <c r="N7620">
        <v>0.0</v>
      </c>
      <c r="O7620">
        <v>27.68</v>
      </c>
      <c r="P7620">
        <v>35.96</v>
      </c>
      <c r="Q7620">
        <v>21.17</v>
      </c>
      <c r="R7620">
        <v>0.0</v>
      </c>
    </row>
    <row r="7621">
      <c r="A7621" s="9">
        <v>46152</v>
      </c>
      <c r="B7621" s="2" t="inlineStr">
        <is>
          <t xml:space="preserve">2026-05</t>
        </is>
      </c>
      <c r="C7621" s="2" t="inlineStr">
        <is>
          <t xml:space="preserve">2025/26</t>
        </is>
      </c>
      <c r="D7621">
        <v>0.326</v>
      </c>
      <c r="E7621">
        <v>24.96</v>
      </c>
      <c r="F7621">
        <v>31.85</v>
      </c>
      <c r="G7621">
        <v>18.62</v>
      </c>
      <c r="H7621">
        <v>0.08</v>
      </c>
      <c r="I7621">
        <v>0.0</v>
      </c>
      <c r="J7621">
        <v>28.79</v>
      </c>
      <c r="K7621">
        <v>37.01</v>
      </c>
      <c r="L7621">
        <v>22.43</v>
      </c>
      <c r="M7621">
        <v>0.05</v>
      </c>
      <c r="N7621">
        <v>0.0</v>
      </c>
      <c r="O7621">
        <v>27.27</v>
      </c>
      <c r="P7621">
        <v>35.13</v>
      </c>
      <c r="Q7621">
        <v>21.58</v>
      </c>
      <c r="R7621">
        <v>0.01</v>
      </c>
    </row>
    <row r="7622">
      <c r="A7622" s="9">
        <v>46153</v>
      </c>
      <c r="B7622" s="2" t="inlineStr">
        <is>
          <t xml:space="preserve">2026-05</t>
        </is>
      </c>
      <c r="C7622" s="2" t="inlineStr">
        <is>
          <t xml:space="preserve">2025/26</t>
        </is>
      </c>
      <c r="D7622">
        <v>0.0</v>
      </c>
      <c r="E7622">
        <v>23.6</v>
      </c>
      <c r="F7622">
        <v>31.1</v>
      </c>
      <c r="G7622">
        <v>17.12</v>
      </c>
      <c r="H7622">
        <v>0.01</v>
      </c>
      <c r="I7622">
        <v>0.0</v>
      </c>
      <c r="J7622">
        <v>27.96</v>
      </c>
      <c r="K7622">
        <v>35.58</v>
      </c>
      <c r="L7622">
        <v>21.47</v>
      </c>
      <c r="M7622">
        <v>0.06</v>
      </c>
      <c r="N7622">
        <v>0.0</v>
      </c>
      <c r="O7622">
        <v>25.74</v>
      </c>
      <c r="P7622">
        <v>32.74</v>
      </c>
      <c r="Q7622">
        <v>20.95</v>
      </c>
      <c r="R7622">
        <v>0.04</v>
      </c>
    </row>
    <row r="7623">
      <c r="A7623" s="9">
        <v>46154</v>
      </c>
      <c r="B7623" s="2" t="inlineStr">
        <is>
          <t xml:space="preserve">2026-05</t>
        </is>
      </c>
      <c r="C7623" s="2" t="inlineStr">
        <is>
          <t xml:space="preserve">2025/26</t>
        </is>
      </c>
      <c r="D7623">
        <v>0.0</v>
      </c>
      <c r="E7623">
        <v>23.56</v>
      </c>
      <c r="F7623">
        <v>30.64</v>
      </c>
      <c r="G7623">
        <v>17.75</v>
      </c>
      <c r="H7623">
        <v>0.11</v>
      </c>
      <c r="I7623">
        <v>0.024</v>
      </c>
      <c r="J7623">
        <v>26.77</v>
      </c>
      <c r="K7623">
        <v>34.5</v>
      </c>
      <c r="L7623">
        <v>20.46</v>
      </c>
      <c r="M7623">
        <v>0.08</v>
      </c>
      <c r="N7623">
        <v>0.048</v>
      </c>
      <c r="O7623">
        <v>24.68</v>
      </c>
      <c r="P7623">
        <v>31.5</v>
      </c>
      <c r="Q7623">
        <v>20.02</v>
      </c>
      <c r="R7623">
        <v>0.35</v>
      </c>
    </row>
    <row r="7624">
      <c r="A7624" s="9">
        <v>46155</v>
      </c>
      <c r="B7624" s="2" t="inlineStr">
        <is>
          <t xml:space="preserve">2026-05</t>
        </is>
      </c>
      <c r="C7624" s="2" t="inlineStr">
        <is>
          <t xml:space="preserve">2025/26</t>
        </is>
      </c>
      <c r="D7624">
        <v>0.0</v>
      </c>
      <c r="E7624">
        <v>23.46</v>
      </c>
      <c r="F7624">
        <v>30.33</v>
      </c>
      <c r="G7624">
        <v>18.59</v>
      </c>
      <c r="H7624">
        <v>0.0</v>
      </c>
      <c r="I7624">
        <v>0.0</v>
      </c>
      <c r="J7624">
        <v>25.48</v>
      </c>
      <c r="K7624">
        <v>33.83</v>
      </c>
      <c r="L7624">
        <v>18.08</v>
      </c>
      <c r="M7624">
        <v>0.02</v>
      </c>
      <c r="N7624">
        <v>0.0</v>
      </c>
      <c r="O7624">
        <v>23.85</v>
      </c>
      <c r="P7624">
        <v>31.25</v>
      </c>
      <c r="Q7624">
        <v>17.84</v>
      </c>
      <c r="R7624">
        <v>0.0</v>
      </c>
    </row>
    <row r="7625">
      <c r="A7625" s="9">
        <v>46156</v>
      </c>
      <c r="B7625" s="2" t="inlineStr">
        <is>
          <t xml:space="preserve">2026-05</t>
        </is>
      </c>
      <c r="C7625" s="2" t="inlineStr">
        <is>
          <t xml:space="preserve">2025/26</t>
        </is>
      </c>
      <c r="D7625">
        <v>0.0</v>
      </c>
      <c r="E7625">
        <v>23.61</v>
      </c>
      <c r="F7625">
        <v>31.32</v>
      </c>
      <c r="G7625">
        <v>17.61</v>
      </c>
      <c r="H7625">
        <v>0.0</v>
      </c>
      <c r="I7625">
        <v>0.0</v>
      </c>
      <c r="J7625">
        <v>25.73</v>
      </c>
      <c r="K7625">
        <v>34.65</v>
      </c>
      <c r="L7625">
        <v>17.32</v>
      </c>
      <c r="M7625">
        <v>0.04</v>
      </c>
      <c r="N7625">
        <v>0.0</v>
      </c>
      <c r="O7625">
        <v>24.17</v>
      </c>
      <c r="P7625">
        <v>32.46</v>
      </c>
      <c r="Q7625">
        <v>17.75</v>
      </c>
      <c r="R7625">
        <v>0.0</v>
      </c>
    </row>
    <row r="7626">
      <c r="A7626" s="9">
        <v>46157</v>
      </c>
      <c r="B7626" s="2" t="inlineStr">
        <is>
          <t xml:space="preserve">2026-05</t>
        </is>
      </c>
      <c r="C7626" s="2" t="inlineStr">
        <is>
          <t xml:space="preserve">2025/26</t>
        </is>
      </c>
      <c r="D7626">
        <v>0.0</v>
      </c>
      <c r="E7626">
        <v>23.95</v>
      </c>
      <c r="F7626">
        <v>31.4</v>
      </c>
      <c r="G7626">
        <v>17.27</v>
      </c>
      <c r="H7626">
        <v>0.01</v>
      </c>
      <c r="I7626">
        <v>0.0</v>
      </c>
      <c r="J7626">
        <v>26.08</v>
      </c>
      <c r="K7626">
        <v>34.82</v>
      </c>
      <c r="L7626">
        <v>17.51</v>
      </c>
      <c r="M7626">
        <v>0.01</v>
      </c>
      <c r="N7626">
        <v>0.0</v>
      </c>
      <c r="O7626">
        <v>24.37</v>
      </c>
      <c r="P7626">
        <v>32.11</v>
      </c>
      <c r="Q7626">
        <v>17.65</v>
      </c>
      <c r="R7626">
        <v>0.04</v>
      </c>
    </row>
    <row r="7627">
      <c r="A7627" s="9">
        <v>46158</v>
      </c>
      <c r="B7627" s="2" t="inlineStr">
        <is>
          <t xml:space="preserve">2026-05</t>
        </is>
      </c>
      <c r="C7627" s="2" t="inlineStr">
        <is>
          <t xml:space="preserve">2025/26</t>
        </is>
      </c>
      <c r="D7627">
        <v>0.0</v>
      </c>
      <c r="E7627">
        <v>25.38</v>
      </c>
      <c r="F7627">
        <v>32.54</v>
      </c>
      <c r="G7627">
        <v>20.18</v>
      </c>
      <c r="H7627">
        <v>4.58</v>
      </c>
      <c r="I7627">
        <v>0.0</v>
      </c>
      <c r="J7627">
        <v>27.54</v>
      </c>
      <c r="K7627">
        <v>36.06</v>
      </c>
      <c r="L7627">
        <v>20.17</v>
      </c>
      <c r="M7627">
        <v>1.61</v>
      </c>
      <c r="N7627">
        <v>0.138</v>
      </c>
      <c r="O7627">
        <v>25.33</v>
      </c>
      <c r="P7627">
        <v>32.02</v>
      </c>
      <c r="Q7627">
        <v>20.04</v>
      </c>
      <c r="R7627">
        <v>1.82</v>
      </c>
    </row>
    <row r="7628">
      <c r="A7628" s="9">
        <v>46159</v>
      </c>
      <c r="B7628" s="2" t="inlineStr">
        <is>
          <t xml:space="preserve">2026-05</t>
        </is>
      </c>
      <c r="C7628" s="2" t="inlineStr">
        <is>
          <t xml:space="preserve">2025/26</t>
        </is>
      </c>
      <c r="D7628">
        <v>16.54</v>
      </c>
      <c r="E7628">
        <v>25.33</v>
      </c>
      <c r="F7628">
        <v>31.94</v>
      </c>
      <c r="G7628">
        <v>20.1</v>
      </c>
      <c r="H7628">
        <v>2.9</v>
      </c>
      <c r="I7628">
        <v>3.895</v>
      </c>
      <c r="J7628">
        <v>27.21</v>
      </c>
      <c r="K7628">
        <v>33.37</v>
      </c>
      <c r="L7628">
        <v>21.46</v>
      </c>
      <c r="M7628">
        <v>1.63</v>
      </c>
      <c r="N7628">
        <v>4.09</v>
      </c>
      <c r="O7628">
        <v>26.44</v>
      </c>
      <c r="P7628">
        <v>33.77</v>
      </c>
      <c r="Q7628">
        <v>21.17</v>
      </c>
      <c r="R7628">
        <v>1.88</v>
      </c>
    </row>
    <row r="7629">
      <c r="A7629" s="9">
        <v>46160</v>
      </c>
      <c r="B7629" s="2" t="inlineStr">
        <is>
          <t xml:space="preserve">2026-05</t>
        </is>
      </c>
      <c r="C7629" s="2" t="inlineStr">
        <is>
          <t xml:space="preserve">2025/26</t>
        </is>
      </c>
      <c r="D7629">
        <v>0.398</v>
      </c>
      <c r="E7629">
        <v>25.54</v>
      </c>
      <c r="F7629">
        <v>32.9</v>
      </c>
      <c r="G7629">
        <v>18.52</v>
      </c>
      <c r="H7629">
        <v>0.08</v>
      </c>
      <c r="I7629">
        <v>0.0</v>
      </c>
      <c r="J7629">
        <v>28.84</v>
      </c>
      <c r="K7629">
        <v>37.22</v>
      </c>
      <c r="L7629">
        <v>22.13</v>
      </c>
      <c r="M7629">
        <v>0.01</v>
      </c>
      <c r="N7629">
        <v>0.0</v>
      </c>
      <c r="O7629">
        <v>27.18</v>
      </c>
      <c r="P7629">
        <v>35.3</v>
      </c>
      <c r="Q7629">
        <v>21.34</v>
      </c>
      <c r="R7629">
        <v>0.02</v>
      </c>
    </row>
    <row r="7630">
      <c r="A7630" s="9">
        <v>46161</v>
      </c>
      <c r="B7630" s="2" t="inlineStr">
        <is>
          <t xml:space="preserve">2026-05</t>
        </is>
      </c>
      <c r="C7630" s="2" t="inlineStr">
        <is>
          <t xml:space="preserve">2025/26</t>
        </is>
      </c>
      <c r="D7630">
        <v>0.0</v>
      </c>
      <c r="E7630">
        <v>25.58</v>
      </c>
      <c r="F7630">
        <v>32.34</v>
      </c>
      <c r="G7630">
        <v>19.92</v>
      </c>
      <c r="H7630">
        <v>0.06</v>
      </c>
      <c r="I7630">
        <v>0.0</v>
      </c>
      <c r="J7630">
        <v>28.3</v>
      </c>
      <c r="K7630">
        <v>35.9</v>
      </c>
      <c r="L7630">
        <v>22.11</v>
      </c>
      <c r="M7630">
        <v>0.0</v>
      </c>
      <c r="N7630">
        <v>0.0</v>
      </c>
      <c r="O7630">
        <v>26.78</v>
      </c>
      <c r="P7630">
        <v>33.76</v>
      </c>
      <c r="Q7630">
        <v>21.87</v>
      </c>
      <c r="R7630">
        <v>0.0</v>
      </c>
    </row>
    <row r="7631">
      <c r="A7631" s="9">
        <v>46162</v>
      </c>
      <c r="B7631" s="2" t="inlineStr">
        <is>
          <t xml:space="preserve">2026-05</t>
        </is>
      </c>
      <c r="C7631" s="2" t="inlineStr">
        <is>
          <t xml:space="preserve">2025/26</t>
        </is>
      </c>
      <c r="D7631">
        <v>0.0</v>
      </c>
      <c r="E7631">
        <v>25.43</v>
      </c>
      <c r="F7631">
        <v>32.83</v>
      </c>
      <c r="G7631">
        <v>19.02</v>
      </c>
      <c r="H7631">
        <v>2.38</v>
      </c>
      <c r="I7631">
        <v>0.0</v>
      </c>
      <c r="J7631">
        <v>27.89</v>
      </c>
      <c r="K7631">
        <v>35.03</v>
      </c>
      <c r="L7631">
        <v>22.46</v>
      </c>
      <c r="M7631">
        <v>2.36</v>
      </c>
      <c r="N7631">
        <v>0.0</v>
      </c>
      <c r="O7631">
        <v>26.32</v>
      </c>
      <c r="P7631">
        <v>33.33</v>
      </c>
      <c r="Q7631">
        <v>21.48</v>
      </c>
      <c r="R7631">
        <v>1.93</v>
      </c>
    </row>
    <row r="7632">
      <c r="A7632" s="9">
        <v>46163</v>
      </c>
      <c r="B7632" s="2" t="inlineStr">
        <is>
          <t xml:space="preserve">2026-05</t>
        </is>
      </c>
      <c r="C7632" s="2" t="inlineStr">
        <is>
          <t xml:space="preserve">2025/26</t>
        </is>
      </c>
      <c r="D7632">
        <v>9.455</v>
      </c>
      <c r="E7632">
        <v>25.5</v>
      </c>
      <c r="F7632">
        <v>32.95</v>
      </c>
      <c r="G7632">
        <v>19.19</v>
      </c>
      <c r="H7632">
        <v>4.08</v>
      </c>
      <c r="I7632">
        <v>4.849</v>
      </c>
      <c r="J7632">
        <v>26.89</v>
      </c>
      <c r="K7632">
        <v>34.19</v>
      </c>
      <c r="L7632">
        <v>20.85</v>
      </c>
      <c r="M7632">
        <v>4.51</v>
      </c>
      <c r="N7632">
        <v>1.748</v>
      </c>
      <c r="O7632">
        <v>25.8</v>
      </c>
      <c r="P7632">
        <v>32.81</v>
      </c>
      <c r="Q7632">
        <v>21.05</v>
      </c>
      <c r="R7632">
        <v>3.71</v>
      </c>
    </row>
    <row r="7633">
      <c r="A7633" s="9">
        <v>46164</v>
      </c>
      <c r="B7633" s="2" t="inlineStr">
        <is>
          <t xml:space="preserve">2026-05</t>
        </is>
      </c>
      <c r="C7633" s="2" t="inlineStr">
        <is>
          <t xml:space="preserve">2025/26</t>
        </is>
      </c>
      <c r="D7633">
        <v>23.651</v>
      </c>
      <c r="E7633">
        <v>25.53</v>
      </c>
      <c r="F7633">
        <v>32.3</v>
      </c>
      <c r="G7633">
        <v>19.5</v>
      </c>
      <c r="H7633">
        <v>11.84</v>
      </c>
      <c r="I7633">
        <v>10.767</v>
      </c>
      <c r="J7633">
        <v>27.06</v>
      </c>
      <c r="K7633">
        <v>33.97</v>
      </c>
      <c r="L7633">
        <v>22.14</v>
      </c>
      <c r="M7633">
        <v>6.32</v>
      </c>
      <c r="N7633">
        <v>3.925</v>
      </c>
      <c r="O7633">
        <v>26.5</v>
      </c>
      <c r="P7633">
        <v>34.46</v>
      </c>
      <c r="Q7633">
        <v>21.2</v>
      </c>
      <c r="R7633">
        <v>6.24</v>
      </c>
    </row>
    <row r="7634">
      <c r="A7634" s="9">
        <v>46165</v>
      </c>
      <c r="B7634" s="2" t="inlineStr">
        <is>
          <t xml:space="preserve">2026-05</t>
        </is>
      </c>
      <c r="C7634" s="2" t="inlineStr">
        <is>
          <t xml:space="preserve">2025/26</t>
        </is>
      </c>
      <c r="D7634">
        <v>2.602</v>
      </c>
      <c r="E7634">
        <v>25.32</v>
      </c>
      <c r="F7634">
        <v>30.39</v>
      </c>
      <c r="G7634">
        <v>21.41</v>
      </c>
      <c r="H7634">
        <v>3.49</v>
      </c>
      <c r="I7634">
        <v>0.505</v>
      </c>
      <c r="J7634">
        <v>26.89</v>
      </c>
      <c r="K7634">
        <v>32.61</v>
      </c>
      <c r="L7634">
        <v>22.54</v>
      </c>
      <c r="M7634">
        <v>1.08</v>
      </c>
      <c r="N7634">
        <v>0.615</v>
      </c>
      <c r="O7634">
        <v>25.67</v>
      </c>
      <c r="P7634">
        <v>30.75</v>
      </c>
      <c r="Q7634">
        <v>21.94</v>
      </c>
      <c r="R7634">
        <v>0.87</v>
      </c>
    </row>
    <row r="7635">
      <c r="A7635" s="9">
        <v>46166</v>
      </c>
      <c r="B7635" s="2" t="inlineStr">
        <is>
          <t xml:space="preserve">2026-05</t>
        </is>
      </c>
      <c r="C7635" s="2" t="inlineStr">
        <is>
          <t xml:space="preserve">2025/26</t>
        </is>
      </c>
      <c r="D7635">
        <v>19.378</v>
      </c>
      <c r="E7635">
        <v>24.47</v>
      </c>
      <c r="F7635">
        <v>29.73</v>
      </c>
      <c r="G7635">
        <v>21.22</v>
      </c>
      <c r="H7635">
        <v>6.55</v>
      </c>
      <c r="I7635">
        <v>3.901</v>
      </c>
      <c r="J7635">
        <v>24.73</v>
      </c>
      <c r="K7635">
        <v>28.83</v>
      </c>
      <c r="L7635">
        <v>21.86</v>
      </c>
      <c r="M7635">
        <v>3.03</v>
      </c>
      <c r="N7635">
        <v>4.756</v>
      </c>
      <c r="O7635">
        <v>24.68</v>
      </c>
      <c r="P7635">
        <v>28.88</v>
      </c>
      <c r="Q7635">
        <v>22.22</v>
      </c>
      <c r="R7635">
        <v>4.18</v>
      </c>
    </row>
    <row r="7636">
      <c r="A7636" s="9">
        <v>46167</v>
      </c>
      <c r="B7636" s="2" t="inlineStr">
        <is>
          <t xml:space="preserve">2026-05</t>
        </is>
      </c>
      <c r="C7636" s="2" t="inlineStr">
        <is>
          <t xml:space="preserve">2025/26</t>
        </is>
      </c>
      <c r="D7636">
        <v>0.0</v>
      </c>
      <c r="E7636">
        <v>24.16</v>
      </c>
      <c r="F7636">
        <v>29.59</v>
      </c>
      <c r="G7636">
        <v>20.24</v>
      </c>
      <c r="H7636">
        <v>0.84</v>
      </c>
      <c r="I7636">
        <v>0.108</v>
      </c>
      <c r="J7636">
        <v>25.25</v>
      </c>
      <c r="K7636">
        <v>30.63</v>
      </c>
      <c r="L7636">
        <v>21.05</v>
      </c>
      <c r="M7636">
        <v>0.47</v>
      </c>
      <c r="N7636">
        <v>0.211</v>
      </c>
      <c r="O7636">
        <v>24.45</v>
      </c>
      <c r="P7636">
        <v>29.46</v>
      </c>
      <c r="Q7636">
        <v>21.3</v>
      </c>
      <c r="R7636">
        <v>2.37</v>
      </c>
    </row>
    <row r="7637">
      <c r="A7637" s="9">
        <v>46168</v>
      </c>
      <c r="B7637" s="2" t="inlineStr">
        <is>
          <t xml:space="preserve">2026-05</t>
        </is>
      </c>
      <c r="C7637" s="2" t="inlineStr">
        <is>
          <t xml:space="preserve">2025/26</t>
        </is>
      </c>
      <c r="D7637">
        <v>0.0</v>
      </c>
      <c r="E7637">
        <v>24.9</v>
      </c>
      <c r="F7637">
        <v>30.83</v>
      </c>
      <c r="G7637">
        <v>19.9</v>
      </c>
      <c r="H7637">
        <v>1.39</v>
      </c>
      <c r="I7637">
        <v>0.143</v>
      </c>
      <c r="J7637">
        <v>26.14</v>
      </c>
      <c r="K7637">
        <v>32.16</v>
      </c>
      <c r="L7637">
        <v>21.25</v>
      </c>
      <c r="M7637">
        <v>0.72</v>
      </c>
      <c r="N7637">
        <v>0.309</v>
      </c>
      <c r="O7637">
        <v>25.35</v>
      </c>
      <c r="P7637">
        <v>31.13</v>
      </c>
      <c r="Q7637">
        <v>21.57</v>
      </c>
      <c r="R7637">
        <v>2.36</v>
      </c>
    </row>
    <row r="7638">
      <c r="A7638" s="9">
        <v>46169</v>
      </c>
      <c r="B7638" s="2" t="inlineStr">
        <is>
          <t xml:space="preserve">2026-05</t>
        </is>
      </c>
      <c r="C7638" s="2" t="inlineStr">
        <is>
          <t xml:space="preserve">2025/26</t>
        </is>
      </c>
      <c r="D7638">
        <v>10.202</v>
      </c>
      <c r="E7638">
        <v>23.0</v>
      </c>
      <c r="F7638">
        <v>27.11</v>
      </c>
      <c r="G7638">
        <v>20.1</v>
      </c>
      <c r="H7638">
        <v>8.55</v>
      </c>
      <c r="I7638">
        <v>3.103</v>
      </c>
      <c r="J7638">
        <v>24.5</v>
      </c>
      <c r="K7638">
        <v>27.52</v>
      </c>
      <c r="L7638">
        <v>21.71</v>
      </c>
      <c r="M7638">
        <v>3.15</v>
      </c>
      <c r="N7638">
        <v>1.275</v>
      </c>
      <c r="O7638">
        <v>24.91</v>
      </c>
      <c r="P7638">
        <v>29.35</v>
      </c>
      <c r="Q7638">
        <v>21.85</v>
      </c>
      <c r="R7638">
        <v>3.98</v>
      </c>
    </row>
    <row r="7639">
      <c r="A7639" s="9">
        <v>46170</v>
      </c>
      <c r="B7639" s="2" t="inlineStr">
        <is>
          <t xml:space="preserve">2026-05</t>
        </is>
      </c>
      <c r="C7639" s="2" t="inlineStr">
        <is>
          <t xml:space="preserve">2025/26</t>
        </is>
      </c>
      <c r="D7639">
        <v>6.312</v>
      </c>
      <c r="E7639">
        <v>23.14</v>
      </c>
      <c r="F7639">
        <v>28.03</v>
      </c>
      <c r="G7639">
        <v>19.44</v>
      </c>
      <c r="H7639">
        <v>9.52</v>
      </c>
      <c r="I7639">
        <v>2.01</v>
      </c>
      <c r="J7639">
        <v>25.53</v>
      </c>
      <c r="K7639">
        <v>32.33</v>
      </c>
      <c r="L7639">
        <v>20.96</v>
      </c>
      <c r="M7639">
        <v>6.2</v>
      </c>
      <c r="N7639">
        <v>1.019</v>
      </c>
      <c r="O7639">
        <v>25.02</v>
      </c>
      <c r="P7639">
        <v>31.19</v>
      </c>
      <c r="Q7639">
        <v>20.75</v>
      </c>
      <c r="R7639">
        <v>5.1</v>
      </c>
    </row>
    <row r="7640">
      <c r="A7640" s="9">
        <v>46171</v>
      </c>
      <c r="B7640" s="2" t="inlineStr">
        <is>
          <t xml:space="preserve">2026-05</t>
        </is>
      </c>
      <c r="C7640" s="2" t="inlineStr">
        <is>
          <t xml:space="preserve">2025/26</t>
        </is>
      </c>
      <c r="D7640">
        <v>5.703</v>
      </c>
      <c r="E7640">
        <v>22.63</v>
      </c>
      <c r="F7640">
        <v>26.4</v>
      </c>
      <c r="G7640">
        <v>20.19</v>
      </c>
      <c r="H7640">
        <v>7.86</v>
      </c>
      <c r="I7640">
        <v>13.906</v>
      </c>
      <c r="J7640">
        <v>24.21</v>
      </c>
      <c r="K7640">
        <v>27.73</v>
      </c>
      <c r="L7640">
        <v>21.4</v>
      </c>
      <c r="M7640">
        <v>13.03</v>
      </c>
      <c r="N7640">
        <v>13.521</v>
      </c>
      <c r="O7640">
        <v>24.3</v>
      </c>
      <c r="P7640">
        <v>29.12</v>
      </c>
      <c r="Q7640">
        <v>21.13</v>
      </c>
      <c r="R7640">
        <v>12.13</v>
      </c>
    </row>
    <row r="7641">
      <c r="A7641" s="9">
        <v>46172</v>
      </c>
      <c r="B7641" s="2" t="inlineStr">
        <is>
          <t xml:space="preserve">2026-05</t>
        </is>
      </c>
      <c r="C7641" s="2" t="inlineStr">
        <is>
          <t xml:space="preserve">2025/26</t>
        </is>
      </c>
      <c r="D7641">
        <v>6.6</v>
      </c>
      <c r="E7641">
        <v>23.86</v>
      </c>
      <c r="F7641">
        <v>29.12</v>
      </c>
      <c r="G7641">
        <v>19.51</v>
      </c>
      <c r="H7641">
        <v>9.0</v>
      </c>
      <c r="I7641">
        <v>11.47</v>
      </c>
      <c r="J7641">
        <v>24.45</v>
      </c>
      <c r="K7641">
        <v>30.41</v>
      </c>
      <c r="L7641">
        <v>20.87</v>
      </c>
      <c r="M7641">
        <v>11.12</v>
      </c>
      <c r="N7641">
        <v>12.236</v>
      </c>
      <c r="O7641">
        <v>25.2</v>
      </c>
      <c r="P7641">
        <v>31.49</v>
      </c>
      <c r="Q7641">
        <v>21.03</v>
      </c>
      <c r="R7641">
        <v>16.1</v>
      </c>
    </row>
    <row r="7642">
      <c r="A7642" s="9">
        <v>46173</v>
      </c>
      <c r="B7642" s="2" t="inlineStr">
        <is>
          <t xml:space="preserve">2026-05</t>
        </is>
      </c>
      <c r="C7642" s="2" t="inlineStr">
        <is>
          <t xml:space="preserve">2025/26</t>
        </is>
      </c>
      <c r="D7642">
        <v>1.759</v>
      </c>
      <c r="E7642">
        <v>24.18</v>
      </c>
      <c r="F7642">
        <v>29.1</v>
      </c>
      <c r="G7642">
        <v>19.95</v>
      </c>
      <c r="H7642">
        <v>3.6</v>
      </c>
      <c r="I7642">
        <v>5.109</v>
      </c>
      <c r="J7642">
        <v>25.68</v>
      </c>
      <c r="K7642">
        <v>32.32</v>
      </c>
      <c r="L7642">
        <v>20.45</v>
      </c>
      <c r="M7642">
        <v>4.96</v>
      </c>
      <c r="N7642">
        <v>9.873</v>
      </c>
      <c r="O7642">
        <v>26.08</v>
      </c>
      <c r="P7642">
        <v>32.25</v>
      </c>
      <c r="Q7642">
        <v>21.47</v>
      </c>
      <c r="R7642">
        <v>6.23</v>
      </c>
    </row>
    <row r="7643">
      <c r="A7643" s="9">
        <v>46174</v>
      </c>
      <c r="B7643" s="2" t="inlineStr">
        <is>
          <t xml:space="preserve">2026-06</t>
        </is>
      </c>
      <c r="C7643" s="2" t="inlineStr">
        <is>
          <t xml:space="preserve">2025/26</t>
        </is>
      </c>
      <c r="D7643">
        <v>1.147</v>
      </c>
      <c r="E7643">
        <v>25.1</v>
      </c>
      <c r="F7643">
        <v>30.86</v>
      </c>
      <c r="G7643">
        <v>20.01</v>
      </c>
      <c r="H7643">
        <v>5.85</v>
      </c>
      <c r="I7643">
        <v>0.02</v>
      </c>
      <c r="J7643">
        <v>26.02</v>
      </c>
      <c r="K7643">
        <v>30.39</v>
      </c>
      <c r="L7643">
        <v>22.06</v>
      </c>
      <c r="M7643">
        <v>0.5</v>
      </c>
      <c r="N7643">
        <v>0.0</v>
      </c>
      <c r="O7643">
        <v>25.53</v>
      </c>
      <c r="P7643">
        <v>29.77</v>
      </c>
      <c r="Q7643">
        <v>22.56</v>
      </c>
      <c r="R7643">
        <v>1.36</v>
      </c>
    </row>
    <row r="7644">
      <c r="A7644" s="9">
        <v>46175</v>
      </c>
      <c r="B7644" s="2" t="inlineStr">
        <is>
          <t xml:space="preserve">2026-06</t>
        </is>
      </c>
      <c r="C7644" s="2" t="inlineStr">
        <is>
          <t xml:space="preserve">2025/26</t>
        </is>
      </c>
      <c r="D7644">
        <v>25.012</v>
      </c>
      <c r="E7644">
        <v>24.7</v>
      </c>
      <c r="F7644">
        <v>30.58</v>
      </c>
      <c r="G7644">
        <v>19.44</v>
      </c>
      <c r="H7644">
        <v>6.4</v>
      </c>
      <c r="I7644">
        <v>1.754</v>
      </c>
      <c r="J7644">
        <v>25.61</v>
      </c>
      <c r="K7644">
        <v>29.49</v>
      </c>
      <c r="L7644">
        <v>22.55</v>
      </c>
      <c r="M7644">
        <v>1.5</v>
      </c>
      <c r="N7644">
        <v>1.069</v>
      </c>
      <c r="O7644">
        <v>24.93</v>
      </c>
      <c r="P7644">
        <v>29.22</v>
      </c>
      <c r="Q7644">
        <v>22.19</v>
      </c>
      <c r="R7644">
        <v>2.68</v>
      </c>
    </row>
    <row r="7645">
      <c r="A7645" s="9">
        <v>46176</v>
      </c>
      <c r="B7645" s="2" t="inlineStr">
        <is>
          <t xml:space="preserve">2026-06</t>
        </is>
      </c>
      <c r="C7645" s="2" t="inlineStr">
        <is>
          <t xml:space="preserve">2025/26</t>
        </is>
      </c>
      <c r="D7645">
        <v>1.418</v>
      </c>
      <c r="E7645">
        <v>24.76</v>
      </c>
      <c r="F7645">
        <v>30.08</v>
      </c>
      <c r="G7645">
        <v>20.35</v>
      </c>
      <c r="H7645">
        <v>1.15</v>
      </c>
      <c r="I7645">
        <v>0.137</v>
      </c>
      <c r="J7645">
        <v>25.51</v>
      </c>
      <c r="K7645">
        <v>30.65</v>
      </c>
      <c r="L7645">
        <v>21.55</v>
      </c>
      <c r="M7645">
        <v>0.22</v>
      </c>
      <c r="N7645">
        <v>0.132</v>
      </c>
      <c r="O7645">
        <v>24.75</v>
      </c>
      <c r="P7645">
        <v>28.77</v>
      </c>
      <c r="Q7645">
        <v>21.69</v>
      </c>
      <c r="R7645">
        <v>0.65</v>
      </c>
    </row>
    <row r="7646">
      <c r="A7646" s="9">
        <v>46177</v>
      </c>
      <c r="B7646" s="2" t="inlineStr">
        <is>
          <t xml:space="preserve">2026-06</t>
        </is>
      </c>
      <c r="C7646" s="2" t="inlineStr">
        <is>
          <t xml:space="preserve">2025/26</t>
        </is>
      </c>
      <c r="D7646">
        <v>3.733</v>
      </c>
      <c r="E7646">
        <v>24.77</v>
      </c>
      <c r="F7646">
        <v>30.3</v>
      </c>
      <c r="G7646">
        <v>20.46</v>
      </c>
      <c r="H7646">
        <v>2.03</v>
      </c>
      <c r="I7646">
        <v>0.268</v>
      </c>
      <c r="J7646">
        <v>25.55</v>
      </c>
      <c r="K7646">
        <v>30.84</v>
      </c>
      <c r="L7646">
        <v>21.97</v>
      </c>
      <c r="M7646">
        <v>1.01</v>
      </c>
      <c r="N7646">
        <v>0.151</v>
      </c>
      <c r="O7646">
        <v>25.83</v>
      </c>
      <c r="P7646">
        <v>31.18</v>
      </c>
      <c r="Q7646">
        <v>21.92</v>
      </c>
      <c r="R7646">
        <v>1.22</v>
      </c>
    </row>
    <row r="7647">
      <c r="A7647" s="9">
        <v>46178</v>
      </c>
      <c r="B7647" s="2" t="inlineStr">
        <is>
          <t xml:space="preserve">2026-06</t>
        </is>
      </c>
      <c r="C7647" s="2" t="inlineStr">
        <is>
          <t xml:space="preserve">2025/26</t>
        </is>
      </c>
      <c r="D7647">
        <v>12.595</v>
      </c>
      <c r="E7647">
        <v>24.64</v>
      </c>
      <c r="F7647">
        <v>30.6</v>
      </c>
      <c r="G7647">
        <v>20.06</v>
      </c>
      <c r="H7647">
        <v>7.58</v>
      </c>
      <c r="I7647">
        <v>2.311</v>
      </c>
      <c r="J7647">
        <v>24.72</v>
      </c>
      <c r="K7647">
        <v>28.95</v>
      </c>
      <c r="L7647">
        <v>21.26</v>
      </c>
      <c r="M7647">
        <v>1.85</v>
      </c>
      <c r="N7647">
        <v>0.997</v>
      </c>
      <c r="O7647">
        <v>25.83</v>
      </c>
      <c r="P7647">
        <v>31.34</v>
      </c>
      <c r="Q7647">
        <v>21.9</v>
      </c>
      <c r="R7647">
        <v>2.24</v>
      </c>
    </row>
    <row r="7648">
      <c r="A7648" s="9">
        <v>46179</v>
      </c>
      <c r="B7648" s="2" t="inlineStr">
        <is>
          <t xml:space="preserve">2026-06</t>
        </is>
      </c>
      <c r="C7648" s="2" t="inlineStr">
        <is>
          <t xml:space="preserve">2025/26</t>
        </is>
      </c>
      <c r="D7648">
        <v>9.258</v>
      </c>
      <c r="E7648">
        <v>24.55</v>
      </c>
      <c r="F7648">
        <v>29.82</v>
      </c>
      <c r="G7648">
        <v>20.46</v>
      </c>
      <c r="H7648">
        <v>4.74</v>
      </c>
      <c r="I7648">
        <v>9.597</v>
      </c>
      <c r="J7648">
        <v>25.0</v>
      </c>
      <c r="K7648">
        <v>30.57</v>
      </c>
      <c r="L7648">
        <v>21.71</v>
      </c>
      <c r="M7648">
        <v>8.71</v>
      </c>
      <c r="N7648">
        <v>7.387</v>
      </c>
      <c r="O7648">
        <v>25.17</v>
      </c>
      <c r="P7648">
        <v>30.97</v>
      </c>
      <c r="Q7648">
        <v>21.96</v>
      </c>
      <c r="R7648">
        <v>5.18</v>
      </c>
    </row>
    <row r="7649">
      <c r="A7649" s="9">
        <v>46180</v>
      </c>
      <c r="B7649" s="2" t="inlineStr">
        <is>
          <t xml:space="preserve">2026-06</t>
        </is>
      </c>
      <c r="C7649" s="2" t="inlineStr">
        <is>
          <t xml:space="preserve">2025/26</t>
        </is>
      </c>
      <c r="D7649">
        <v>17.111</v>
      </c>
      <c r="E7649">
        <v>24.18</v>
      </c>
      <c r="F7649">
        <v>29.11</v>
      </c>
      <c r="G7649">
        <v>20.88</v>
      </c>
      <c r="H7649">
        <v>15.09</v>
      </c>
      <c r="I7649">
        <v>4.171</v>
      </c>
      <c r="J7649">
        <v>24.41</v>
      </c>
      <c r="K7649">
        <v>30.75</v>
      </c>
      <c r="L7649">
        <v>21.24</v>
      </c>
      <c r="M7649">
        <v>11.8</v>
      </c>
      <c r="N7649">
        <v>5.454</v>
      </c>
      <c r="O7649">
        <v>25.05</v>
      </c>
      <c r="P7649">
        <v>29.93</v>
      </c>
      <c r="Q7649">
        <v>22.15</v>
      </c>
      <c r="R7649">
        <v>17.13</v>
      </c>
    </row>
    <row r="7650">
      <c r="A7650" s="9">
        <v>46181</v>
      </c>
      <c r="B7650" s="2" t="inlineStr">
        <is>
          <t xml:space="preserve">2026-06</t>
        </is>
      </c>
      <c r="C7650" s="2" t="inlineStr">
        <is>
          <t xml:space="preserve">2025/26</t>
        </is>
      </c>
      <c r="D7650">
        <v>8.891</v>
      </c>
      <c r="E7650">
        <v>23.04</v>
      </c>
      <c r="F7650">
        <v>28.09</v>
      </c>
      <c r="G7650">
        <v>19.94</v>
      </c>
      <c r="H7650">
        <v>5.82</v>
      </c>
      <c r="I7650">
        <v>24.378</v>
      </c>
      <c r="J7650">
        <v>24.24</v>
      </c>
      <c r="K7650">
        <v>28.27</v>
      </c>
      <c r="L7650">
        <v>21.24</v>
      </c>
      <c r="M7650">
        <v>16.36</v>
      </c>
      <c r="N7650">
        <v>27.286</v>
      </c>
      <c r="O7650">
        <v>24.49</v>
      </c>
      <c r="P7650">
        <v>29.24</v>
      </c>
      <c r="Q7650">
        <v>21.74</v>
      </c>
      <c r="R7650">
        <v>13.62</v>
      </c>
    </row>
    <row r="7651">
      <c r="A7651" s="9">
        <v>46182</v>
      </c>
      <c r="B7651" s="2" t="inlineStr">
        <is>
          <t xml:space="preserve">2026-06</t>
        </is>
      </c>
      <c r="C7651" s="2" t="inlineStr">
        <is>
          <t xml:space="preserve">2025/26</t>
        </is>
      </c>
      <c r="D7651">
        <v>3.129</v>
      </c>
      <c r="E7651">
        <v>23.07</v>
      </c>
      <c r="F7651">
        <v>28.26</v>
      </c>
      <c r="G7651">
        <v>19.92</v>
      </c>
      <c r="H7651">
        <v>4.21</v>
      </c>
      <c r="I7651">
        <v>1.446</v>
      </c>
      <c r="J7651">
        <v>23.76</v>
      </c>
      <c r="K7651">
        <v>26.71</v>
      </c>
      <c r="L7651">
        <v>21.89</v>
      </c>
      <c r="M7651">
        <v>2.01</v>
      </c>
      <c r="N7651">
        <v>0.579</v>
      </c>
      <c r="O7651">
        <v>24.61</v>
      </c>
      <c r="P7651">
        <v>29.36</v>
      </c>
      <c r="Q7651">
        <v>22.22</v>
      </c>
      <c r="R7651">
        <v>2.16</v>
      </c>
    </row>
    <row r="7652">
      <c r="A7652" s="9">
        <v>46183</v>
      </c>
      <c r="B7652" s="2" t="inlineStr">
        <is>
          <t xml:space="preserve">2026-06</t>
        </is>
      </c>
      <c r="C7652" s="2" t="inlineStr">
        <is>
          <t xml:space="preserve">2025/26</t>
        </is>
      </c>
      <c r="D7652">
        <v>9.581</v>
      </c>
      <c r="E7652">
        <v>21.92</v>
      </c>
      <c r="F7652">
        <v>25.02</v>
      </c>
      <c r="G7652">
        <v>19.55</v>
      </c>
      <c r="H7652">
        <v>14.09</v>
      </c>
      <c r="I7652">
        <v>4.407</v>
      </c>
      <c r="J7652">
        <v>22.37</v>
      </c>
      <c r="K7652">
        <v>24.79</v>
      </c>
      <c r="L7652">
        <v>20.64</v>
      </c>
      <c r="M7652">
        <v>4.28</v>
      </c>
      <c r="N7652">
        <v>1.693</v>
      </c>
      <c r="O7652">
        <v>23.64</v>
      </c>
      <c r="P7652">
        <v>28.33</v>
      </c>
      <c r="Q7652">
        <v>21.36</v>
      </c>
      <c r="R7652">
        <v>7.2</v>
      </c>
    </row>
    <row r="7653">
      <c r="A7653" s="9">
        <v>46184</v>
      </c>
      <c r="B7653" s="2" t="inlineStr">
        <is>
          <t xml:space="preserve">2026-06</t>
        </is>
      </c>
      <c r="C7653" s="2" t="inlineStr">
        <is>
          <t xml:space="preserve">2025/26</t>
        </is>
      </c>
      <c r="D7653">
        <v>17.415</v>
      </c>
      <c r="E7653">
        <v>22.5</v>
      </c>
      <c r="F7653">
        <v>26.33</v>
      </c>
      <c r="G7653">
        <v>19.9</v>
      </c>
      <c r="H7653">
        <v>6.82</v>
      </c>
      <c r="I7653">
        <v>3.345</v>
      </c>
      <c r="J7653">
        <v>23.03</v>
      </c>
      <c r="K7653">
        <v>28.53</v>
      </c>
      <c r="L7653">
        <v>19.99</v>
      </c>
      <c r="M7653">
        <v>4.66</v>
      </c>
      <c r="N7653">
        <v>2.358</v>
      </c>
      <c r="O7653">
        <v>23.35</v>
      </c>
      <c r="P7653">
        <v>27.05</v>
      </c>
      <c r="Q7653">
        <v>21.5</v>
      </c>
      <c r="R7653">
        <v>8.28</v>
      </c>
    </row>
    <row r="7654">
      <c r="A7654" s="9">
        <v>46185</v>
      </c>
      <c r="B7654" s="2" t="inlineStr">
        <is>
          <t xml:space="preserve">2026-06</t>
        </is>
      </c>
      <c r="C7654" s="2" t="inlineStr">
        <is>
          <t xml:space="preserve">2025/26</t>
        </is>
      </c>
      <c r="D7654">
        <v>1.979</v>
      </c>
      <c r="E7654">
        <v>23.54</v>
      </c>
      <c r="F7654">
        <v>27.66</v>
      </c>
      <c r="G7654">
        <v>19.25</v>
      </c>
      <c r="H7654">
        <v>4.01</v>
      </c>
      <c r="I7654">
        <v>2.024</v>
      </c>
      <c r="J7654">
        <v>23.87</v>
      </c>
      <c r="K7654">
        <v>29.54</v>
      </c>
      <c r="L7654">
        <v>19.14</v>
      </c>
      <c r="M7654">
        <v>3.64</v>
      </c>
      <c r="N7654">
        <v>3.015</v>
      </c>
      <c r="O7654">
        <v>24.2</v>
      </c>
      <c r="P7654">
        <v>29.34</v>
      </c>
      <c r="Q7654">
        <v>20.14</v>
      </c>
      <c r="R7654">
        <v>9.21</v>
      </c>
    </row>
    <row r="7655">
      <c r="A7655" s="9">
        <v>46186</v>
      </c>
      <c r="B7655" s="2" t="inlineStr">
        <is>
          <t xml:space="preserve">2026-06</t>
        </is>
      </c>
      <c r="C7655" s="2" t="inlineStr">
        <is>
          <t xml:space="preserve">2025/26</t>
        </is>
      </c>
      <c r="D7655">
        <v>0.034</v>
      </c>
      <c r="E7655">
        <v>24.24</v>
      </c>
      <c r="F7655">
        <v>29.67</v>
      </c>
      <c r="G7655">
        <v>19.87</v>
      </c>
      <c r="H7655">
        <v>0.3</v>
      </c>
      <c r="I7655">
        <v>0.268</v>
      </c>
      <c r="J7655">
        <v>24.72</v>
      </c>
      <c r="K7655">
        <v>29.08</v>
      </c>
      <c r="L7655">
        <v>20.78</v>
      </c>
      <c r="M7655">
        <v>1.62</v>
      </c>
      <c r="N7655">
        <v>1.019</v>
      </c>
      <c r="O7655">
        <v>24.15</v>
      </c>
      <c r="P7655">
        <v>27.77</v>
      </c>
      <c r="Q7655">
        <v>21.97</v>
      </c>
      <c r="R7655">
        <v>1.15</v>
      </c>
    </row>
    <row r="7656">
      <c r="A7656" s="9">
        <v>46187</v>
      </c>
      <c r="B7656" s="2" t="inlineStr">
        <is>
          <t xml:space="preserve">2026-06</t>
        </is>
      </c>
      <c r="C7656" s="2" t="inlineStr">
        <is>
          <t xml:space="preserve">2025/26</t>
        </is>
      </c>
      <c r="D7656">
        <v>0.0</v>
      </c>
      <c r="E7656">
        <v>24.07</v>
      </c>
      <c r="F7656">
        <v>29.45</v>
      </c>
      <c r="G7656">
        <v>19.51</v>
      </c>
      <c r="H7656">
        <v>1.6</v>
      </c>
      <c r="I7656">
        <v>0.0</v>
      </c>
      <c r="J7656">
        <v>25.43</v>
      </c>
      <c r="K7656">
        <v>30.5</v>
      </c>
      <c r="L7656">
        <v>21.34</v>
      </c>
      <c r="M7656">
        <v>0.81</v>
      </c>
      <c r="N7656">
        <v>0.0</v>
      </c>
      <c r="O7656">
        <v>24.32</v>
      </c>
      <c r="P7656">
        <v>28.81</v>
      </c>
      <c r="Q7656">
        <v>21.81</v>
      </c>
      <c r="R7656">
        <v>0.9</v>
      </c>
    </row>
    <row r="7657">
      <c r="A7657" s="9">
        <v>46188</v>
      </c>
      <c r="B7657" s="2" t="inlineStr">
        <is>
          <t xml:space="preserve">2026-06</t>
        </is>
      </c>
      <c r="C7657" s="2" t="inlineStr">
        <is>
          <t xml:space="preserve">2025/26</t>
        </is>
      </c>
      <c r="D7657">
        <v>14.087</v>
      </c>
      <c r="E7657">
        <v>23.65</v>
      </c>
      <c r="F7657">
        <v>28.02</v>
      </c>
      <c r="G7657">
        <v>19.8</v>
      </c>
      <c r="H7657">
        <v>5.78</v>
      </c>
      <c r="I7657">
        <v>1.951</v>
      </c>
      <c r="J7657">
        <v>25.02</v>
      </c>
      <c r="K7657">
        <v>29.55</v>
      </c>
      <c r="L7657">
        <v>21.1</v>
      </c>
      <c r="M7657">
        <v>1.11</v>
      </c>
      <c r="N7657">
        <v>0.895</v>
      </c>
      <c r="O7657">
        <v>24.49</v>
      </c>
      <c r="P7657">
        <v>28.77</v>
      </c>
      <c r="Q7657">
        <v>21.31</v>
      </c>
      <c r="R7657">
        <v>1.53</v>
      </c>
    </row>
    <row r="7658">
      <c r="A7658" s="9">
        <v>46189</v>
      </c>
      <c r="B7658" s="2" t="inlineStr">
        <is>
          <t xml:space="preserve">2026-06</t>
        </is>
      </c>
      <c r="C7658" s="2" t="inlineStr">
        <is>
          <t xml:space="preserve">2025/26</t>
        </is>
      </c>
      <c r="D7658">
        <v>1.345</v>
      </c>
      <c r="E7658">
        <v>23.54</v>
      </c>
      <c r="F7658">
        <v>27.91</v>
      </c>
      <c r="G7658">
        <v>20.26</v>
      </c>
      <c r="H7658">
        <v>2.2</v>
      </c>
      <c r="I7658">
        <v>0.0</v>
      </c>
      <c r="J7658">
        <v>23.72</v>
      </c>
      <c r="K7658">
        <v>26.32</v>
      </c>
      <c r="L7658">
        <v>21.22</v>
      </c>
      <c r="M7658">
        <v>1.07</v>
      </c>
      <c r="N7658">
        <v>0.0</v>
      </c>
      <c r="O7658">
        <v>23.64</v>
      </c>
      <c r="P7658">
        <v>26.49</v>
      </c>
      <c r="Q7658">
        <v>21.53</v>
      </c>
      <c r="R7658">
        <v>0.77</v>
      </c>
    </row>
    <row r="7659">
      <c r="A7659" s="9">
        <v>46190</v>
      </c>
      <c r="B7659" s="2" t="inlineStr">
        <is>
          <t xml:space="preserve">2026-06</t>
        </is>
      </c>
      <c r="C7659" s="2" t="inlineStr">
        <is>
          <t xml:space="preserve">2025/26</t>
        </is>
      </c>
      <c r="D7659">
        <v>8.897</v>
      </c>
      <c r="E7659">
        <v>23.46</v>
      </c>
      <c r="F7659">
        <v>27.49</v>
      </c>
      <c r="G7659">
        <v>20.1</v>
      </c>
      <c r="H7659">
        <v>7.02</v>
      </c>
      <c r="I7659">
        <v>1.302</v>
      </c>
      <c r="J7659">
        <v>24.97</v>
      </c>
      <c r="K7659">
        <v>31.35</v>
      </c>
      <c r="L7659">
        <v>20.12</v>
      </c>
      <c r="M7659">
        <v>1.36</v>
      </c>
      <c r="N7659">
        <v>0.578</v>
      </c>
      <c r="O7659">
        <v>25.01</v>
      </c>
      <c r="P7659">
        <v>30.29</v>
      </c>
      <c r="Q7659">
        <v>20.33</v>
      </c>
      <c r="R7659">
        <v>1.57</v>
      </c>
    </row>
    <row r="7660">
      <c r="A7660" s="9">
        <v>46191</v>
      </c>
      <c r="B7660" s="2" t="inlineStr">
        <is>
          <t xml:space="preserve">2026-06</t>
        </is>
      </c>
      <c r="C7660" s="2" t="inlineStr">
        <is>
          <t xml:space="preserve">2025/26</t>
        </is>
      </c>
      <c r="D7660">
        <v>2.743</v>
      </c>
      <c r="E7660">
        <v>23.63</v>
      </c>
      <c r="F7660">
        <v>29.29</v>
      </c>
      <c r="G7660">
        <v>19.49</v>
      </c>
      <c r="H7660">
        <v>2.81</v>
      </c>
      <c r="I7660">
        <v>1.427</v>
      </c>
      <c r="J7660">
        <v>25.25</v>
      </c>
      <c r="K7660">
        <v>32.46</v>
      </c>
      <c r="L7660">
        <v>20.3</v>
      </c>
      <c r="M7660">
        <v>1.32</v>
      </c>
      <c r="N7660">
        <v>0.516</v>
      </c>
      <c r="O7660">
        <v>25.85</v>
      </c>
      <c r="P7660">
        <v>32.3</v>
      </c>
      <c r="Q7660">
        <v>20.75</v>
      </c>
      <c r="R7660">
        <v>1.05</v>
      </c>
    </row>
    <row r="7661">
      <c r="A7661" s="9">
        <v>46192</v>
      </c>
      <c r="B7661" s="2" t="inlineStr">
        <is>
          <t xml:space="preserve">2026-06</t>
        </is>
      </c>
      <c r="C7661" s="2" t="inlineStr">
        <is>
          <t xml:space="preserve">2025/26</t>
        </is>
      </c>
      <c r="D7661">
        <v>3.695</v>
      </c>
      <c r="E7661">
        <v>23.06</v>
      </c>
      <c r="F7661">
        <v>28.23</v>
      </c>
      <c r="G7661">
        <v>18.64</v>
      </c>
      <c r="H7661">
        <v>4.48</v>
      </c>
      <c r="I7661">
        <v>1.948</v>
      </c>
      <c r="J7661">
        <v>24.78</v>
      </c>
      <c r="K7661">
        <v>31.33</v>
      </c>
      <c r="L7661">
        <v>20.41</v>
      </c>
      <c r="M7661">
        <v>2.42</v>
      </c>
      <c r="N7661">
        <v>0.671</v>
      </c>
      <c r="O7661">
        <v>25.27</v>
      </c>
      <c r="P7661">
        <v>30.54</v>
      </c>
      <c r="Q7661">
        <v>20.97</v>
      </c>
      <c r="R7661">
        <v>2.7</v>
      </c>
    </row>
    <row r="7662">
      <c r="A7662" s="9">
        <v>46193</v>
      </c>
      <c r="B7662" s="2" t="inlineStr">
        <is>
          <t xml:space="preserve">2026-06</t>
        </is>
      </c>
      <c r="C7662" s="2" t="inlineStr">
        <is>
          <t xml:space="preserve">2025/26</t>
        </is>
      </c>
      <c r="D7662">
        <v>1.937</v>
      </c>
      <c r="E7662">
        <v>22.39</v>
      </c>
      <c r="F7662">
        <v>27.55</v>
      </c>
      <c r="G7662">
        <v>18.7</v>
      </c>
      <c r="H7662">
        <v>4.1</v>
      </c>
      <c r="I7662">
        <v>0.966</v>
      </c>
      <c r="J7662">
        <v>24.51</v>
      </c>
      <c r="K7662">
        <v>29.74</v>
      </c>
      <c r="L7662">
        <v>20.0</v>
      </c>
      <c r="M7662">
        <v>3.12</v>
      </c>
      <c r="N7662">
        <v>3.28</v>
      </c>
      <c r="O7662">
        <v>23.78</v>
      </c>
      <c r="P7662">
        <v>27.78</v>
      </c>
      <c r="Q7662">
        <v>21.37</v>
      </c>
      <c r="R7662">
        <v>4.44</v>
      </c>
    </row>
    <row r="7663">
      <c r="A7663" s="9">
        <v>46194</v>
      </c>
      <c r="B7663" s="2" t="inlineStr">
        <is>
          <t xml:space="preserve">2026-06</t>
        </is>
      </c>
      <c r="C7663" s="2" t="inlineStr">
        <is>
          <t xml:space="preserve">2025/26</t>
        </is>
      </c>
      <c r="D7663">
        <v>20.206</v>
      </c>
      <c r="E7663">
        <v>21.53</v>
      </c>
      <c r="F7663">
        <v>25.67</v>
      </c>
      <c r="G7663">
        <v>17.94</v>
      </c>
      <c r="H7663">
        <v>11.7</v>
      </c>
      <c r="I7663">
        <v>7.354</v>
      </c>
      <c r="J7663">
        <v>24.54</v>
      </c>
      <c r="K7663">
        <v>30.64</v>
      </c>
      <c r="L7663">
        <v>20.09</v>
      </c>
      <c r="M7663">
        <v>5.05</v>
      </c>
      <c r="N7663">
        <v>7.659</v>
      </c>
      <c r="O7663">
        <v>23.85</v>
      </c>
      <c r="P7663">
        <v>29.17</v>
      </c>
      <c r="Q7663">
        <v>20.66</v>
      </c>
      <c r="R7663">
        <v>6.27</v>
      </c>
    </row>
    <row r="7664">
      <c r="A7664" s="9">
        <v>46195</v>
      </c>
      <c r="B7664" s="2" t="inlineStr">
        <is>
          <t xml:space="preserve">2026-06</t>
        </is>
      </c>
      <c r="C7664" s="2" t="inlineStr">
        <is>
          <t xml:space="preserve">2025/26</t>
        </is>
      </c>
      <c r="D7664">
        <v>10.304</v>
      </c>
      <c r="E7664">
        <v>21.91</v>
      </c>
      <c r="F7664">
        <v>25.99</v>
      </c>
      <c r="G7664">
        <v>18.72</v>
      </c>
      <c r="H7664">
        <v>5.41</v>
      </c>
      <c r="I7664">
        <v>2.425</v>
      </c>
      <c r="J7664">
        <v>24.07</v>
      </c>
      <c r="K7664">
        <v>28.75</v>
      </c>
      <c r="L7664">
        <v>20.45</v>
      </c>
      <c r="M7664">
        <v>1.63</v>
      </c>
      <c r="N7664">
        <v>1.0</v>
      </c>
      <c r="O7664">
        <v>23.77</v>
      </c>
      <c r="P7664">
        <v>28.8</v>
      </c>
      <c r="Q7664">
        <v>20.08</v>
      </c>
      <c r="R7664">
        <v>2.0</v>
      </c>
    </row>
    <row r="7665">
      <c r="A7665" s="9">
        <v>46196</v>
      </c>
      <c r="B7665" s="2" t="inlineStr">
        <is>
          <t xml:space="preserve">2026-06</t>
        </is>
      </c>
      <c r="C7665" s="2" t="inlineStr">
        <is>
          <t xml:space="preserve">2025/26</t>
        </is>
      </c>
      <c r="D7665">
        <v>0.0</v>
      </c>
      <c r="E7665">
        <v>23.05</v>
      </c>
      <c r="F7665">
        <v>28.54</v>
      </c>
      <c r="G7665">
        <v>17.82</v>
      </c>
      <c r="H7665">
        <v>1.39</v>
      </c>
      <c r="I7665">
        <v>0.0</v>
      </c>
      <c r="J7665">
        <v>25.78</v>
      </c>
      <c r="K7665">
        <v>31.7</v>
      </c>
      <c r="L7665">
        <v>20.55</v>
      </c>
      <c r="M7665">
        <v>0.45</v>
      </c>
      <c r="N7665">
        <v>0.0</v>
      </c>
      <c r="O7665">
        <v>24.98</v>
      </c>
      <c r="P7665">
        <v>30.59</v>
      </c>
      <c r="Q7665">
        <v>20.56</v>
      </c>
      <c r="R7665">
        <v>0.74</v>
      </c>
    </row>
    <row r="7666">
      <c r="A7666" s="9">
        <v>46197</v>
      </c>
      <c r="B7666" s="2" t="inlineStr">
        <is>
          <t xml:space="preserve">2026-06</t>
        </is>
      </c>
      <c r="C7666" s="2" t="inlineStr">
        <is>
          <t xml:space="preserve">2025/26</t>
        </is>
      </c>
      <c r="D7666">
        <v>0.282</v>
      </c>
      <c r="E7666">
        <v>22.83</v>
      </c>
      <c r="F7666">
        <v>28.33</v>
      </c>
      <c r="G7666">
        <v>18.86</v>
      </c>
      <c r="H7666">
        <v>1.65</v>
      </c>
      <c r="I7666">
        <v>0.279</v>
      </c>
      <c r="J7666">
        <v>25.58</v>
      </c>
      <c r="K7666">
        <v>32.14</v>
      </c>
      <c r="L7666">
        <v>21.51</v>
      </c>
      <c r="M7666">
        <v>0.55</v>
      </c>
      <c r="N7666">
        <v>0.202</v>
      </c>
      <c r="O7666">
        <v>24.6</v>
      </c>
      <c r="P7666">
        <v>30.19</v>
      </c>
      <c r="Q7666">
        <v>21.45</v>
      </c>
      <c r="R7666">
        <v>0.81</v>
      </c>
    </row>
    <row r="7667">
      <c r="A7667" s="9">
        <v>46198</v>
      </c>
      <c r="B7667" s="2" t="inlineStr">
        <is>
          <t xml:space="preserve">2026-06</t>
        </is>
      </c>
      <c r="C7667" s="2" t="inlineStr">
        <is>
          <t xml:space="preserve">2025/26</t>
        </is>
      </c>
      <c r="D7667">
        <v>6.784</v>
      </c>
      <c r="E7667">
        <v>22.27</v>
      </c>
      <c r="F7667">
        <v>28.04</v>
      </c>
      <c r="G7667">
        <v>17.43</v>
      </c>
      <c r="H7667">
        <v>2.46</v>
      </c>
      <c r="I7667">
        <v>0.427</v>
      </c>
      <c r="J7667">
        <v>24.66</v>
      </c>
      <c r="K7667">
        <v>30.8</v>
      </c>
      <c r="L7667">
        <v>20.2</v>
      </c>
      <c r="M7667">
        <v>0.3</v>
      </c>
      <c r="N7667">
        <v>0.266</v>
      </c>
      <c r="O7667">
        <v>23.99</v>
      </c>
      <c r="P7667">
        <v>29.18</v>
      </c>
      <c r="Q7667">
        <v>20.75</v>
      </c>
      <c r="R7667">
        <v>0.89</v>
      </c>
    </row>
    <row r="7668">
      <c r="A7668" s="9">
        <v>46199</v>
      </c>
      <c r="B7668" s="2" t="inlineStr">
        <is>
          <t xml:space="preserve">2026-06</t>
        </is>
      </c>
      <c r="C7668" s="2" t="inlineStr">
        <is>
          <t xml:space="preserve">2025/26</t>
        </is>
      </c>
      <c r="D7668">
        <v>0.053</v>
      </c>
      <c r="E7668">
        <v>23.09</v>
      </c>
      <c r="F7668">
        <v>28.61</v>
      </c>
      <c r="G7668">
        <v>18.84</v>
      </c>
      <c r="H7668">
        <v>0.52</v>
      </c>
      <c r="I7668">
        <v>0.0</v>
      </c>
      <c r="J7668">
        <v>24.99</v>
      </c>
      <c r="K7668">
        <v>31.17</v>
      </c>
      <c r="L7668">
        <v>20.21</v>
      </c>
      <c r="M7668">
        <v>0.65</v>
      </c>
      <c r="N7668">
        <v>0.0</v>
      </c>
      <c r="O7668">
        <v>23.76</v>
      </c>
      <c r="P7668">
        <v>28.3</v>
      </c>
      <c r="Q7668">
        <v>20.46</v>
      </c>
      <c r="R7668">
        <v>0.68</v>
      </c>
    </row>
    <row r="7669">
      <c r="A7669" s="9">
        <v>46200</v>
      </c>
      <c r="B7669" s="2" t="inlineStr">
        <is>
          <t xml:space="preserve">2026-06</t>
        </is>
      </c>
      <c r="C7669" s="2" t="inlineStr">
        <is>
          <t xml:space="preserve">2025/26</t>
        </is>
      </c>
      <c r="D7669">
        <v>0.0</v>
      </c>
      <c r="E7669">
        <v>23.59</v>
      </c>
      <c r="F7669">
        <v>29.83</v>
      </c>
      <c r="G7669">
        <v>18.9</v>
      </c>
      <c r="H7669">
        <v>0.01</v>
      </c>
      <c r="I7669">
        <v>0.0</v>
      </c>
      <c r="J7669">
        <v>25.79</v>
      </c>
      <c r="K7669">
        <v>32.52</v>
      </c>
      <c r="L7669">
        <v>21.04</v>
      </c>
      <c r="M7669">
        <v>0.96</v>
      </c>
      <c r="N7669">
        <v>0.0</v>
      </c>
      <c r="O7669">
        <v>24.97</v>
      </c>
      <c r="P7669">
        <v>30.58</v>
      </c>
      <c r="Q7669">
        <v>21.51</v>
      </c>
      <c r="R7669">
        <v>0.13</v>
      </c>
    </row>
    <row r="7670">
      <c r="A7670" s="9">
        <v>46201</v>
      </c>
      <c r="B7670" s="2" t="inlineStr">
        <is>
          <t xml:space="preserve">2026-06</t>
        </is>
      </c>
      <c r="C7670" s="2" t="inlineStr">
        <is>
          <t xml:space="preserve">2025/26</t>
        </is>
      </c>
      <c r="D7670">
        <v>0.0</v>
      </c>
      <c r="E7670">
        <v>22.89</v>
      </c>
      <c r="F7670">
        <v>29.85</v>
      </c>
      <c r="G7670">
        <v>16.61</v>
      </c>
      <c r="H7670">
        <v>0.13</v>
      </c>
      <c r="I7670">
        <v>0.0</v>
      </c>
      <c r="J7670">
        <v>25.83</v>
      </c>
      <c r="K7670">
        <v>32.95</v>
      </c>
      <c r="L7670">
        <v>20.91</v>
      </c>
      <c r="M7670">
        <v>0.16</v>
      </c>
      <c r="N7670">
        <v>0.0</v>
      </c>
      <c r="O7670">
        <v>24.99</v>
      </c>
      <c r="P7670">
        <v>31.06</v>
      </c>
      <c r="Q7670">
        <v>21.2</v>
      </c>
      <c r="R7670">
        <v>0.08</v>
      </c>
    </row>
    <row r="7671">
      <c r="A7671" s="9">
        <v>46202</v>
      </c>
      <c r="B7671" s="2" t="inlineStr">
        <is>
          <t xml:space="preserve">2026-06</t>
        </is>
      </c>
      <c r="C7671" s="2" t="inlineStr">
        <is>
          <t xml:space="preserve">2025/26</t>
        </is>
      </c>
      <c r="D7671">
        <v>0.248</v>
      </c>
      <c r="E7671">
        <v>23.68</v>
      </c>
      <c r="F7671">
        <v>30.17</v>
      </c>
      <c r="G7671">
        <v>17.77</v>
      </c>
      <c r="H7671">
        <v>0.1</v>
      </c>
      <c r="I7671">
        <v>0.0</v>
      </c>
      <c r="J7671">
        <v>25.5</v>
      </c>
      <c r="K7671">
        <v>32.38</v>
      </c>
      <c r="L7671">
        <v>20.08</v>
      </c>
      <c r="M7671">
        <v>0.08</v>
      </c>
      <c r="N7671">
        <v>0.0</v>
      </c>
      <c r="O7671">
        <v>24.69</v>
      </c>
      <c r="P7671">
        <v>30.78</v>
      </c>
      <c r="Q7671">
        <v>20.49</v>
      </c>
      <c r="R7671">
        <v>0.15</v>
      </c>
    </row>
    <row r="7672">
      <c r="A7672" s="9">
        <v>46203</v>
      </c>
      <c r="B7672" s="2" t="inlineStr">
        <is>
          <t xml:space="preserve">2026-06</t>
        </is>
      </c>
      <c r="C7672" s="2" t="inlineStr">
        <is>
          <t xml:space="preserve">2025/26</t>
        </is>
      </c>
      <c r="D7672">
        <v>0.0</v>
      </c>
      <c r="E7672">
        <v>23.81</v>
      </c>
      <c r="F7672">
        <v>29.03</v>
      </c>
      <c r="G7672">
        <v>19.42</v>
      </c>
      <c r="H7672">
        <v>0.25</v>
      </c>
      <c r="I7672">
        <v>0.0</v>
      </c>
      <c r="J7672">
        <v>25.54</v>
      </c>
      <c r="K7672">
        <v>31.12</v>
      </c>
      <c r="L7672">
        <v>20.68</v>
      </c>
      <c r="M7672">
        <v>0.03</v>
      </c>
      <c r="N7672">
        <v>0.0</v>
      </c>
      <c r="O7672">
        <v>24.56</v>
      </c>
      <c r="P7672">
        <v>28.98</v>
      </c>
      <c r="Q7672">
        <v>21.13</v>
      </c>
      <c r="R7672">
        <v>0.31</v>
      </c>
    </row>
    <row r="7673">
      <c r="A7673" s="9">
        <v>46204</v>
      </c>
      <c r="B7673" s="2" t="inlineStr">
        <is>
          <t xml:space="preserve">2026-07</t>
        </is>
      </c>
      <c r="C7673" s="2" t="inlineStr">
        <is>
          <t xml:space="preserve">2026/27</t>
        </is>
      </c>
      <c r="D7673">
        <v>0.0</v>
      </c>
      <c r="E7673">
        <v>24.4</v>
      </c>
      <c r="F7673">
        <v>30.69</v>
      </c>
      <c r="G7673">
        <v>19.37</v>
      </c>
      <c r="H7673">
        <v>0.1</v>
      </c>
      <c r="I7673">
        <v>0.0</v>
      </c>
      <c r="J7673">
        <v>25.63</v>
      </c>
      <c r="K7673">
        <v>30.94</v>
      </c>
      <c r="L7673">
        <v>21.7</v>
      </c>
      <c r="M7673">
        <v>0.03</v>
      </c>
      <c r="N7673">
        <v>0.0</v>
      </c>
      <c r="O7673">
        <v>25.17</v>
      </c>
      <c r="P7673">
        <v>30.17</v>
      </c>
      <c r="Q7673">
        <v>21.89</v>
      </c>
      <c r="R7673">
        <v>0.15</v>
      </c>
    </row>
    <row r="7674">
      <c r="A7674" s="9">
        <v>46205</v>
      </c>
      <c r="B7674" s="2" t="inlineStr">
        <is>
          <t xml:space="preserve">2026-07</t>
        </is>
      </c>
      <c r="C7674" s="2" t="inlineStr">
        <is>
          <t xml:space="preserve">2026/27</t>
        </is>
      </c>
      <c r="D7674">
        <v>0.0</v>
      </c>
      <c r="E7674">
        <v>24.0</v>
      </c>
      <c r="F7674">
        <v>30.66</v>
      </c>
      <c r="G7674">
        <v>18.29</v>
      </c>
      <c r="H7674">
        <v>0.0</v>
      </c>
      <c r="I7674">
        <v>0.0</v>
      </c>
      <c r="J7674">
        <v>26.09</v>
      </c>
      <c r="K7674">
        <v>32.46</v>
      </c>
      <c r="L7674">
        <v>21.51</v>
      </c>
      <c r="M7674">
        <v>0.05</v>
      </c>
      <c r="N7674">
        <v>0.0</v>
      </c>
      <c r="O7674">
        <v>25.54</v>
      </c>
      <c r="P7674">
        <v>31.4</v>
      </c>
      <c r="Q7674">
        <v>22.29</v>
      </c>
      <c r="R7674">
        <v>0.01</v>
      </c>
    </row>
    <row r="7675">
      <c r="A7675" s="9">
        <v>46206</v>
      </c>
      <c r="B7675" s="2" t="inlineStr">
        <is>
          <t xml:space="preserve">2026-07</t>
        </is>
      </c>
      <c r="C7675" s="2" t="inlineStr">
        <is>
          <t xml:space="preserve">2026/27</t>
        </is>
      </c>
      <c r="D7675">
        <v>0.0</v>
      </c>
      <c r="E7675">
        <v>24.14</v>
      </c>
      <c r="F7675">
        <v>30.56</v>
      </c>
      <c r="G7675">
        <v>17.9</v>
      </c>
      <c r="H7675">
        <v>0.0</v>
      </c>
      <c r="I7675">
        <v>0.0</v>
      </c>
      <c r="J7675">
        <v>26.28</v>
      </c>
      <c r="K7675">
        <v>33.03</v>
      </c>
      <c r="L7675">
        <v>21.28</v>
      </c>
      <c r="M7675">
        <v>0.02</v>
      </c>
      <c r="N7675">
        <v>0.0</v>
      </c>
      <c r="O7675">
        <v>25.51</v>
      </c>
      <c r="P7675">
        <v>31.21</v>
      </c>
      <c r="Q7675">
        <v>21.42</v>
      </c>
      <c r="R7675">
        <v>0.0</v>
      </c>
    </row>
    <row r="7676">
      <c r="A7676" s="9">
        <v>46207</v>
      </c>
      <c r="B7676" s="2" t="inlineStr">
        <is>
          <t xml:space="preserve">2026-07</t>
        </is>
      </c>
      <c r="C7676" s="2" t="inlineStr">
        <is>
          <t xml:space="preserve">2026/27</t>
        </is>
      </c>
      <c r="D7676">
        <v>0.0</v>
      </c>
      <c r="E7676">
        <v>24.81</v>
      </c>
      <c r="F7676">
        <v>31.65</v>
      </c>
      <c r="G7676">
        <v>18.76</v>
      </c>
      <c r="H7676">
        <v>0.08</v>
      </c>
      <c r="I7676">
        <v>0.0</v>
      </c>
      <c r="J7676">
        <v>26.61</v>
      </c>
      <c r="K7676">
        <v>33.76</v>
      </c>
      <c r="L7676">
        <v>21.31</v>
      </c>
      <c r="M7676">
        <v>0.49</v>
      </c>
      <c r="N7676">
        <v>0.0</v>
      </c>
      <c r="O7676">
        <v>25.6</v>
      </c>
      <c r="P7676">
        <v>32.07</v>
      </c>
      <c r="Q7676">
        <v>21.46</v>
      </c>
      <c r="R7676">
        <v>0.44</v>
      </c>
    </row>
    <row r="7677">
      <c r="A7677" s="9">
        <v>46208</v>
      </c>
      <c r="B7677" s="2" t="inlineStr">
        <is>
          <t xml:space="preserve">2026-07</t>
        </is>
      </c>
      <c r="C7677" s="2" t="inlineStr">
        <is>
          <t xml:space="preserve">2026/27</t>
        </is>
      </c>
      <c r="D7677">
        <v>5.85</v>
      </c>
      <c r="E7677">
        <v>22.84</v>
      </c>
      <c r="F7677">
        <v>28.32</v>
      </c>
      <c r="G7677">
        <v>18.2</v>
      </c>
      <c r="H7677">
        <v>18.05</v>
      </c>
      <c r="I7677">
        <v>7.275</v>
      </c>
      <c r="J7677">
        <v>24.34</v>
      </c>
      <c r="K7677">
        <v>30.68</v>
      </c>
      <c r="L7677">
        <v>20.1</v>
      </c>
      <c r="M7677">
        <v>12.19</v>
      </c>
      <c r="N7677">
        <v>5.384</v>
      </c>
      <c r="O7677">
        <v>24.29</v>
      </c>
      <c r="P7677">
        <v>30.06</v>
      </c>
      <c r="Q7677">
        <v>20.77</v>
      </c>
      <c r="R7677">
        <v>11.21</v>
      </c>
    </row>
    <row r="7678">
      <c r="A7678" s="9">
        <v>46209</v>
      </c>
      <c r="B7678" s="2" t="inlineStr">
        <is>
          <t xml:space="preserve">2026-07</t>
        </is>
      </c>
      <c r="C7678" s="2" t="inlineStr">
        <is>
          <t xml:space="preserve">2026/27</t>
        </is>
      </c>
      <c r="D7678">
        <v>25.216</v>
      </c>
      <c r="E7678">
        <v>22.6</v>
      </c>
      <c r="F7678">
        <v>29.07</v>
      </c>
      <c r="G7678">
        <v>17.27</v>
      </c>
      <c r="H7678">
        <v>3.05</v>
      </c>
      <c r="I7678">
        <v>18.476</v>
      </c>
      <c r="J7678">
        <v>23.64</v>
      </c>
      <c r="K7678">
        <v>28.99</v>
      </c>
      <c r="L7678">
        <v>19.59</v>
      </c>
      <c r="M7678">
        <v>10.87</v>
      </c>
      <c r="N7678">
        <v>16.395</v>
      </c>
      <c r="O7678">
        <v>23.21</v>
      </c>
      <c r="P7678">
        <v>29.13</v>
      </c>
      <c r="Q7678">
        <v>19.35</v>
      </c>
      <c r="R7678">
        <v>4.17</v>
      </c>
    </row>
    <row r="7679">
      <c r="A7679" s="9">
        <v>46210</v>
      </c>
      <c r="B7679" s="2" t="inlineStr">
        <is>
          <t xml:space="preserve">2026-07</t>
        </is>
      </c>
      <c r="C7679" s="2" t="inlineStr">
        <is>
          <t xml:space="preserve">2026/27</t>
        </is>
      </c>
      <c r="D7679">
        <v>0.0</v>
      </c>
      <c r="E7679">
        <v>23.62</v>
      </c>
      <c r="F7679">
        <v>29.52</v>
      </c>
      <c r="G7679">
        <v>18.33</v>
      </c>
      <c r="H7679">
        <v>0.04</v>
      </c>
      <c r="I7679">
        <v>0.0</v>
      </c>
      <c r="J7679">
        <v>25.34</v>
      </c>
      <c r="K7679">
        <v>32.45</v>
      </c>
      <c r="L7679">
        <v>19.53</v>
      </c>
      <c r="M7679">
        <v>0.1</v>
      </c>
      <c r="N7679">
        <v>0.0</v>
      </c>
      <c r="O7679">
        <v>24.92</v>
      </c>
      <c r="P7679">
        <v>31.23</v>
      </c>
      <c r="Q7679">
        <v>20.36</v>
      </c>
      <c r="R7679">
        <v>0.03</v>
      </c>
    </row>
    <row r="7680">
      <c r="A7680" s="9">
        <v>46211</v>
      </c>
      <c r="B7680" s="2" t="inlineStr">
        <is>
          <t xml:space="preserve">2026-07</t>
        </is>
      </c>
      <c r="C7680" s="2" t="inlineStr">
        <is>
          <t xml:space="preserve">2026/27</t>
        </is>
      </c>
      <c r="D7680">
        <v>0.0</v>
      </c>
      <c r="E7680">
        <v>24.1</v>
      </c>
      <c r="F7680">
        <v>30.09</v>
      </c>
      <c r="G7680">
        <v>18.81</v>
      </c>
      <c r="H7680">
        <v>0.26</v>
      </c>
      <c r="I7680">
        <v>0.0</v>
      </c>
      <c r="J7680">
        <v>25.69</v>
      </c>
      <c r="K7680">
        <v>31.6</v>
      </c>
      <c r="L7680">
        <v>21.0</v>
      </c>
      <c r="M7680">
        <v>0.06</v>
      </c>
      <c r="N7680">
        <v>0.0</v>
      </c>
      <c r="O7680">
        <v>25.19</v>
      </c>
      <c r="P7680">
        <v>30.67</v>
      </c>
      <c r="Q7680">
        <v>21.53</v>
      </c>
      <c r="R7680">
        <v>0.03</v>
      </c>
    </row>
    <row r="7681">
      <c r="A7681" s="9">
        <v>46212</v>
      </c>
      <c r="B7681" s="2" t="inlineStr">
        <is>
          <t xml:space="preserve">2026-07</t>
        </is>
      </c>
      <c r="C7681" s="2" t="inlineStr">
        <is>
          <t xml:space="preserve">2026/27</t>
        </is>
      </c>
      <c r="D7681">
        <v>0.051</v>
      </c>
      <c r="E7681">
        <v>24.45</v>
      </c>
      <c r="F7681">
        <v>30.37</v>
      </c>
      <c r="G7681">
        <v>19.98</v>
      </c>
      <c r="H7681">
        <v>0.5</v>
      </c>
      <c r="I7681">
        <v>0.0</v>
      </c>
      <c r="J7681">
        <v>25.79</v>
      </c>
      <c r="K7681">
        <v>31.46</v>
      </c>
      <c r="L7681">
        <v>21.35</v>
      </c>
      <c r="M7681">
        <v>0.15</v>
      </c>
      <c r="N7681">
        <v>0.0</v>
      </c>
      <c r="O7681">
        <v>25.16</v>
      </c>
      <c r="P7681">
        <v>29.71</v>
      </c>
      <c r="Q7681">
        <v>22.02</v>
      </c>
      <c r="R7681">
        <v>0.19</v>
      </c>
    </row>
    <row r="7682">
      <c r="A7682" s="9">
        <v>46213</v>
      </c>
      <c r="B7682" s="2" t="inlineStr">
        <is>
          <t xml:space="preserve">2026-07</t>
        </is>
      </c>
      <c r="C7682" s="2" t="inlineStr">
        <is>
          <t xml:space="preserve">2026/27</t>
        </is>
      </c>
      <c r="D7682">
        <v>0.492</v>
      </c>
      <c r="E7682">
        <v>24.55</v>
      </c>
      <c r="F7682">
        <v>31.69</v>
      </c>
      <c r="G7682">
        <v>19.03</v>
      </c>
      <c r="H7682">
        <v>2.17</v>
      </c>
      <c r="I7682">
        <v>0.0</v>
      </c>
      <c r="J7682">
        <v>25.83</v>
      </c>
      <c r="K7682">
        <v>32.17</v>
      </c>
      <c r="L7682">
        <v>20.93</v>
      </c>
      <c r="M7682">
        <v>0.54</v>
      </c>
      <c r="N7682">
        <v>0.0</v>
      </c>
      <c r="O7682">
        <v>25.27</v>
      </c>
      <c r="P7682">
        <v>31.17</v>
      </c>
      <c r="Q7682">
        <v>21.3</v>
      </c>
      <c r="R7682">
        <v>0.84</v>
      </c>
    </row>
    <row r="7683">
      <c r="A7683" s="9">
        <v>46214</v>
      </c>
      <c r="B7683" s="2" t="inlineStr">
        <is>
          <t xml:space="preserve">2026-07</t>
        </is>
      </c>
      <c r="C7683" s="2" t="inlineStr">
        <is>
          <t xml:space="preserve">2026/27</t>
        </is>
      </c>
      <c r="D7683">
        <v>2.843</v>
      </c>
      <c r="E7683">
        <v>23.34</v>
      </c>
      <c r="F7683">
        <v>28.4</v>
      </c>
      <c r="G7683">
        <v>20.31</v>
      </c>
      <c r="H7683">
        <v>3.24</v>
      </c>
      <c r="I7683">
        <v>4.72</v>
      </c>
      <c r="J7683">
        <v>24.34</v>
      </c>
      <c r="K7683">
        <v>29.3</v>
      </c>
      <c r="L7683">
        <v>21.65</v>
      </c>
      <c r="M7683">
        <v>3.99</v>
      </c>
      <c r="N7683">
        <v>4.104</v>
      </c>
      <c r="O7683">
        <v>23.77</v>
      </c>
      <c r="P7683">
        <v>27.31</v>
      </c>
      <c r="Q7683">
        <v>21.83</v>
      </c>
      <c r="R7683">
        <v>3.52</v>
      </c>
    </row>
    <row r="7684">
      <c r="A7684" s="9">
        <v>46215</v>
      </c>
      <c r="B7684" s="2" t="inlineStr">
        <is>
          <t xml:space="preserve">2026-07</t>
        </is>
      </c>
      <c r="C7684" s="2" t="inlineStr">
        <is>
          <t xml:space="preserve">2026/27</t>
        </is>
      </c>
      <c r="D7684">
        <v>0.087</v>
      </c>
      <c r="E7684">
        <v>23.75</v>
      </c>
      <c r="F7684">
        <v>28.94</v>
      </c>
      <c r="G7684">
        <v>19.17</v>
      </c>
      <c r="H7684">
        <v>0.08</v>
      </c>
      <c r="I7684">
        <v>0.0</v>
      </c>
      <c r="J7684">
        <v>25.3</v>
      </c>
      <c r="K7684">
        <v>30.5</v>
      </c>
      <c r="L7684">
        <v>21.15</v>
      </c>
      <c r="M7684">
        <v>0.65</v>
      </c>
      <c r="N7684">
        <v>0.074</v>
      </c>
      <c r="O7684">
        <v>24.72</v>
      </c>
      <c r="P7684">
        <v>29.89</v>
      </c>
      <c r="Q7684">
        <v>21.31</v>
      </c>
      <c r="R7684">
        <v>0.26</v>
      </c>
    </row>
    <row r="7685">
      <c r="A7685" s="9">
        <v>46216</v>
      </c>
      <c r="B7685" s="2" t="inlineStr">
        <is>
          <t xml:space="preserve">2026-07</t>
        </is>
      </c>
      <c r="C7685" s="2" t="inlineStr">
        <is>
          <t xml:space="preserve">2026/27</t>
        </is>
      </c>
      <c r="D7685">
        <v>0.0</v>
      </c>
      <c r="E7685">
        <v>22.92</v>
      </c>
      <c r="F7685">
        <v>28.74</v>
      </c>
      <c r="G7685">
        <v>18.19</v>
      </c>
      <c r="H7685">
        <v>2.49</v>
      </c>
      <c r="I7685">
        <v>0.0</v>
      </c>
      <c r="J7685">
        <v>25.31</v>
      </c>
      <c r="K7685">
        <v>31.44</v>
      </c>
      <c r="L7685">
        <v>21.02</v>
      </c>
      <c r="M7685">
        <v>0.86</v>
      </c>
      <c r="N7685">
        <v>0.0</v>
      </c>
      <c r="O7685">
        <v>24.46</v>
      </c>
      <c r="P7685">
        <v>29.99</v>
      </c>
      <c r="Q7685">
        <v>21.44</v>
      </c>
      <c r="R7685">
        <v>2.21</v>
      </c>
    </row>
    <row r="7686">
      <c r="A7686" s="9">
        <v>46217</v>
      </c>
      <c r="B7686" s="2" t="inlineStr">
        <is>
          <t xml:space="preserve">2026-07</t>
        </is>
      </c>
      <c r="C7686" s="2" t="inlineStr">
        <is>
          <t xml:space="preserve">2026/27</t>
        </is>
      </c>
      <c r="D7686">
        <v>3.313</v>
      </c>
      <c r="E7686">
        <v>21.76</v>
      </c>
      <c r="F7686">
        <v>26.6</v>
      </c>
      <c r="G7686">
        <v>18.49</v>
      </c>
      <c r="H7686">
        <v>3.06</v>
      </c>
      <c r="I7686">
        <v>1.564</v>
      </c>
      <c r="J7686">
        <v>24.41</v>
      </c>
      <c r="K7686">
        <v>30.73</v>
      </c>
      <c r="L7686">
        <v>20.29</v>
      </c>
      <c r="M7686">
        <v>1.59</v>
      </c>
      <c r="N7686">
        <v>1.027</v>
      </c>
      <c r="O7686">
        <v>23.62</v>
      </c>
      <c r="P7686">
        <v>28.75</v>
      </c>
      <c r="Q7686">
        <v>20.62</v>
      </c>
      <c r="R7686">
        <v>4.39</v>
      </c>
    </row>
    <row r="7687">
      <c r="A7687" s="9">
        <v>46218</v>
      </c>
      <c r="B7687" s="2" t="inlineStr">
        <is>
          <t xml:space="preserve">2026-07</t>
        </is>
      </c>
      <c r="C7687" s="2" t="inlineStr">
        <is>
          <t xml:space="preserve">2026/27</t>
        </is>
      </c>
      <c r="D7687">
        <v>3.645</v>
      </c>
      <c r="E7687">
        <v>21.02</v>
      </c>
      <c r="F7687">
        <v>25.57</v>
      </c>
      <c r="G7687">
        <v>17.56</v>
      </c>
      <c r="H7687">
        <v>3.98</v>
      </c>
      <c r="I7687">
        <v>0.564</v>
      </c>
      <c r="J7687">
        <v>23.75</v>
      </c>
      <c r="K7687">
        <v>29.68</v>
      </c>
      <c r="L7687">
        <v>19.78</v>
      </c>
      <c r="M7687">
        <v>0.75</v>
      </c>
      <c r="N7687">
        <v>0.505</v>
      </c>
      <c r="O7687">
        <v>22.72</v>
      </c>
      <c r="P7687">
        <v>28.15</v>
      </c>
      <c r="Q7687">
        <v>19.66</v>
      </c>
      <c r="R7687">
        <v>3.07</v>
      </c>
    </row>
    <row r="7688">
      <c r="A7688" s="9">
        <v>46219</v>
      </c>
      <c r="B7688" s="2" t="inlineStr">
        <is>
          <t xml:space="preserve">2026-07</t>
        </is>
      </c>
      <c r="C7688" s="2" t="inlineStr">
        <is>
          <t xml:space="preserve">2026/27</t>
        </is>
      </c>
      <c r="D7688">
        <v>0.053</v>
      </c>
      <c r="E7688">
        <v>22.66</v>
      </c>
      <c r="F7688">
        <v>29.18</v>
      </c>
      <c r="G7688">
        <v>17.96</v>
      </c>
      <c r="H7688">
        <v>0.38</v>
      </c>
      <c r="I7688">
        <v>0.0</v>
      </c>
      <c r="J7688">
        <v>25.05</v>
      </c>
      <c r="K7688">
        <v>32.29</v>
      </c>
      <c r="L7688">
        <v>19.58</v>
      </c>
      <c r="M7688">
        <v>0.12</v>
      </c>
      <c r="N7688">
        <v>0.0</v>
      </c>
      <c r="O7688">
        <v>24.22</v>
      </c>
      <c r="P7688">
        <v>30.75</v>
      </c>
      <c r="Q7688">
        <v>19.36</v>
      </c>
      <c r="R7688">
        <v>0.07</v>
      </c>
    </row>
    <row r="7689">
      <c r="A7689" s="9">
        <v>46220</v>
      </c>
      <c r="B7689" s="2" t="inlineStr">
        <is>
          <t xml:space="preserve">2026-07</t>
        </is>
      </c>
      <c r="C7689" s="2" t="inlineStr">
        <is>
          <t xml:space="preserve">2026/27</t>
        </is>
      </c>
      <c r="D7689">
        <v>0.0</v>
      </c>
      <c r="E7689">
        <v>23.29</v>
      </c>
      <c r="F7689">
        <v>30.07</v>
      </c>
      <c r="G7689">
        <v>18.07</v>
      </c>
      <c r="H7689">
        <v>0.03</v>
      </c>
      <c r="I7689">
        <v>0.0</v>
      </c>
      <c r="J7689">
        <v>25.47</v>
      </c>
      <c r="K7689">
        <v>32.57</v>
      </c>
      <c r="L7689">
        <v>20.08</v>
      </c>
      <c r="M7689">
        <v>0.05</v>
      </c>
      <c r="N7689">
        <v>0.0</v>
      </c>
      <c r="O7689">
        <v>24.71</v>
      </c>
      <c r="P7689">
        <v>30.86</v>
      </c>
      <c r="Q7689">
        <v>20.49</v>
      </c>
      <c r="R7689">
        <v>0.04</v>
      </c>
    </row>
    <row r="7690">
      <c r="A7690" s="9">
        <v>46221</v>
      </c>
      <c r="B7690" s="2" t="inlineStr">
        <is>
          <t xml:space="preserve">2026-07</t>
        </is>
      </c>
      <c r="C7690" s="2" t="inlineStr">
        <is>
          <t xml:space="preserve">2026/27</t>
        </is>
      </c>
      <c r="D7690">
        <v>0.0</v>
      </c>
      <c r="E7690">
        <v>23.44</v>
      </c>
      <c r="F7690">
        <v>30.3</v>
      </c>
      <c r="G7690">
        <v>18.19</v>
      </c>
      <c r="H7690">
        <v>0.07</v>
      </c>
      <c r="I7690">
        <v>0.0</v>
      </c>
      <c r="J7690">
        <v>25.54</v>
      </c>
      <c r="K7690">
        <v>32.24</v>
      </c>
      <c r="L7690">
        <v>20.49</v>
      </c>
      <c r="M7690">
        <v>0.01</v>
      </c>
      <c r="N7690">
        <v>0.0</v>
      </c>
      <c r="O7690">
        <v>24.71</v>
      </c>
      <c r="P7690">
        <v>30.4</v>
      </c>
      <c r="Q7690">
        <v>20.69</v>
      </c>
      <c r="R7690">
        <v>0.03</v>
      </c>
    </row>
    <row r="7691">
      <c r="A7691" s="9">
        <v>46222</v>
      </c>
      <c r="B7691" s="2" t="inlineStr">
        <is>
          <t xml:space="preserve">2026-07</t>
        </is>
      </c>
      <c r="C7691" s="2" t="inlineStr">
        <is>
          <t xml:space="preserve">2026/27</t>
        </is>
      </c>
      <c r="D7691">
        <v>0.0</v>
      </c>
      <c r="E7691">
        <v>23.65</v>
      </c>
      <c r="F7691">
        <v>30.26</v>
      </c>
      <c r="G7691">
        <v>18.4</v>
      </c>
      <c r="H7691">
        <v>0.59</v>
      </c>
      <c r="I7691">
        <v>0.0</v>
      </c>
      <c r="J7691">
        <v>25.27</v>
      </c>
      <c r="K7691">
        <v>32.06</v>
      </c>
      <c r="L7691">
        <v>20.2</v>
      </c>
      <c r="M7691">
        <v>0.65</v>
      </c>
      <c r="N7691">
        <v>0.0</v>
      </c>
      <c r="O7691">
        <v>24.69</v>
      </c>
      <c r="P7691">
        <v>30.67</v>
      </c>
      <c r="Q7691">
        <v>20.42</v>
      </c>
      <c r="R7691">
        <v>0.41</v>
      </c>
    </row>
    <row r="7692">
      <c r="A7692" s="9">
        <v>46223</v>
      </c>
      <c r="B7692" s="2" t="inlineStr">
        <is>
          <t xml:space="preserve">2026-07</t>
        </is>
      </c>
      <c r="C7692" s="2" t="inlineStr">
        <is>
          <t xml:space="preserve">2026/27</t>
        </is>
      </c>
      <c r="D7692">
        <v>1.061</v>
      </c>
      <c r="E7692">
        <v>22.68</v>
      </c>
      <c r="F7692">
        <v>29.2</v>
      </c>
      <c r="G7692">
        <v>18.43</v>
      </c>
      <c r="H7692">
        <v>0.3</v>
      </c>
      <c r="I7692">
        <v>1.09</v>
      </c>
      <c r="J7692">
        <v>25.16</v>
      </c>
      <c r="K7692">
        <v>32.63</v>
      </c>
      <c r="L7692">
        <v>19.39</v>
      </c>
      <c r="M7692">
        <v>0.32</v>
      </c>
      <c r="N7692">
        <v>0.381</v>
      </c>
      <c r="O7692">
        <v>24.62</v>
      </c>
      <c r="P7692">
        <v>31.43</v>
      </c>
      <c r="Q7692">
        <v>20.04</v>
      </c>
      <c r="R7692">
        <v>0.37</v>
      </c>
    </row>
    <row r="7693">
      <c r="A7693" s="9">
        <v>46224</v>
      </c>
      <c r="B7693" s="2" t="inlineStr">
        <is>
          <t xml:space="preserve">2026-07</t>
        </is>
      </c>
      <c r="C7693" s="2" t="inlineStr">
        <is>
          <t xml:space="preserve">2026/27</t>
        </is>
      </c>
      <c r="D7693">
        <v>0.021</v>
      </c>
      <c r="E7693">
        <v>23.65</v>
      </c>
      <c r="F7693">
        <v>31.32</v>
      </c>
      <c r="G7693">
        <v>17.32</v>
      </c>
      <c r="H7693">
        <v>0.65</v>
      </c>
      <c r="I7693">
        <v>0.0</v>
      </c>
      <c r="J7693">
        <v>25.15</v>
      </c>
      <c r="K7693">
        <v>32.29</v>
      </c>
      <c r="L7693">
        <v>18.79</v>
      </c>
      <c r="M7693">
        <v>0.07</v>
      </c>
      <c r="N7693">
        <v>0.0</v>
      </c>
      <c r="O7693">
        <v>24.84</v>
      </c>
      <c r="P7693">
        <v>31.74</v>
      </c>
      <c r="Q7693">
        <v>19.57</v>
      </c>
      <c r="R7693">
        <v>0.4</v>
      </c>
    </row>
    <row r="7694">
      <c r="A7694" s="9">
        <v>46225</v>
      </c>
      <c r="B7694" s="2" t="inlineStr">
        <is>
          <t xml:space="preserve">2026-07</t>
        </is>
      </c>
      <c r="C7694" s="2" t="inlineStr">
        <is>
          <t xml:space="preserve">2026/27</t>
        </is>
      </c>
      <c r="D7694">
        <v>0.131</v>
      </c>
      <c r="E7694">
        <v>24.26</v>
      </c>
      <c r="F7694">
        <v>30.86</v>
      </c>
      <c r="G7694">
        <v>18.95</v>
      </c>
      <c r="H7694">
        <v>0.18</v>
      </c>
      <c r="I7694">
        <v>0.289</v>
      </c>
      <c r="J7694">
        <v>26.11</v>
      </c>
      <c r="K7694">
        <v>33.03</v>
      </c>
      <c r="L7694">
        <v>20.09</v>
      </c>
      <c r="M7694">
        <v>0.25</v>
      </c>
      <c r="N7694">
        <v>0.165</v>
      </c>
      <c r="O7694">
        <v>25.65</v>
      </c>
      <c r="P7694">
        <v>32.24</v>
      </c>
      <c r="Q7694">
        <v>20.76</v>
      </c>
      <c r="R7694">
        <v>0.44</v>
      </c>
    </row>
    <row r="7695">
      <c r="A7695" s="9">
        <v>46226</v>
      </c>
      <c r="B7695" s="2" t="inlineStr">
        <is>
          <t xml:space="preserve">2026-07</t>
        </is>
      </c>
      <c r="C7695" s="2" t="inlineStr">
        <is>
          <t xml:space="preserve">2026/27</t>
        </is>
      </c>
      <c r="D7695">
        <v>0.0</v>
      </c>
      <c r="E7695">
        <v>24.31</v>
      </c>
      <c r="F7695">
        <v>31.69</v>
      </c>
      <c r="G7695">
        <v>17.82</v>
      </c>
      <c r="H7695">
        <v>0.0</v>
      </c>
      <c r="I7695">
        <v>0.0</v>
      </c>
      <c r="J7695">
        <v>26.44</v>
      </c>
      <c r="K7695">
        <v>33.69</v>
      </c>
      <c r="L7695">
        <v>21.01</v>
      </c>
      <c r="M7695">
        <v>0.06</v>
      </c>
      <c r="N7695">
        <v>0.0</v>
      </c>
      <c r="O7695">
        <v>25.45</v>
      </c>
      <c r="P7695">
        <v>31.77</v>
      </c>
      <c r="Q7695">
        <v>21.1</v>
      </c>
      <c r="R7695">
        <v>0.0</v>
      </c>
    </row>
    <row r="7696">
      <c r="A7696" s="9">
        <v>46227</v>
      </c>
      <c r="B7696" s="2" t="inlineStr">
        <is>
          <t xml:space="preserve">2026-07</t>
        </is>
      </c>
      <c r="C7696" s="2" t="inlineStr">
        <is>
          <t xml:space="preserve">2026/27</t>
        </is>
      </c>
      <c r="D7696">
        <v>0.0</v>
      </c>
      <c r="E7696">
        <v>24.59</v>
      </c>
      <c r="F7696">
        <v>31.96</v>
      </c>
      <c r="G7696">
        <v>18.36</v>
      </c>
      <c r="H7696">
        <v>0.21</v>
      </c>
      <c r="I7696">
        <v>0.0</v>
      </c>
      <c r="J7696">
        <v>25.81</v>
      </c>
      <c r="K7696">
        <v>33.0</v>
      </c>
      <c r="L7696">
        <v>19.95</v>
      </c>
      <c r="M7696">
        <v>0.07</v>
      </c>
      <c r="N7696">
        <v>0.0</v>
      </c>
      <c r="O7696">
        <v>24.84</v>
      </c>
      <c r="P7696">
        <v>30.78</v>
      </c>
      <c r="Q7696">
        <v>20.09</v>
      </c>
      <c r="R7696">
        <v>0.05</v>
      </c>
    </row>
    <row r="7697">
      <c r="A7697" s="9">
        <v>46228</v>
      </c>
      <c r="B7697" s="2" t="inlineStr">
        <is>
          <t xml:space="preserve">2026-07</t>
        </is>
      </c>
      <c r="C7697" s="2" t="inlineStr">
        <is>
          <t xml:space="preserve">2026/27</t>
        </is>
      </c>
      <c r="D7697">
        <v>0.35</v>
      </c>
      <c r="E7697">
        <v>22.27</v>
      </c>
      <c r="F7697">
        <v>27.02</v>
      </c>
      <c r="G7697">
        <v>18.57</v>
      </c>
      <c r="H7697">
        <v>1.82</v>
      </c>
      <c r="I7697">
        <v>0.0</v>
      </c>
      <c r="J7697">
        <v>25.13</v>
      </c>
      <c r="K7697">
        <v>31.01</v>
      </c>
      <c r="L7697">
        <v>20.44</v>
      </c>
      <c r="M7697">
        <v>4.19</v>
      </c>
      <c r="N7697">
        <v>0.088</v>
      </c>
      <c r="O7697">
        <v>24.03</v>
      </c>
      <c r="P7697">
        <v>29.92</v>
      </c>
      <c r="Q7697">
        <v>20.3</v>
      </c>
      <c r="R7697">
        <v>1.93</v>
      </c>
    </row>
    <row r="7698">
      <c r="A7698" s="9">
        <v>46229</v>
      </c>
      <c r="B7698" s="2" t="inlineStr">
        <is>
          <t xml:space="preserve">2026-07</t>
        </is>
      </c>
      <c r="C7698" s="2" t="inlineStr">
        <is>
          <t xml:space="preserve">2026/27</t>
        </is>
      </c>
      <c r="D7698">
        <v>4.478</v>
      </c>
      <c r="E7698">
        <v>23.22</v>
      </c>
      <c r="F7698">
        <v>29.76</v>
      </c>
      <c r="G7698">
        <v>17.49</v>
      </c>
      <c r="H7698">
        <v>4.17</v>
      </c>
      <c r="I7698">
        <v>8.702</v>
      </c>
      <c r="J7698">
        <v>24.68</v>
      </c>
      <c r="K7698">
        <v>31.16</v>
      </c>
      <c r="L7698">
        <v>20.8</v>
      </c>
      <c r="M7698">
        <v>4.53</v>
      </c>
      <c r="N7698">
        <v>6.175</v>
      </c>
      <c r="O7698">
        <v>24.71</v>
      </c>
      <c r="P7698">
        <v>32.01</v>
      </c>
      <c r="Q7698">
        <v>20.44</v>
      </c>
      <c r="R7698">
        <v>3.53</v>
      </c>
    </row>
    <row r="7699">
      <c r="A7699" s="9">
        <v>46230</v>
      </c>
      <c r="B7699" s="2" t="inlineStr">
        <is>
          <t xml:space="preserve">2026-07</t>
        </is>
      </c>
      <c r="C7699" s="2" t="inlineStr">
        <is>
          <t xml:space="preserve">2026/27</t>
        </is>
      </c>
      <c r="D7699">
        <v>5.722</v>
      </c>
      <c r="E7699">
        <v>23.27</v>
      </c>
      <c r="F7699">
        <v>30.26</v>
      </c>
      <c r="G7699">
        <v>18.58</v>
      </c>
      <c r="H7699">
        <v>6.47</v>
      </c>
      <c r="I7699">
        <v>3.268</v>
      </c>
      <c r="J7699">
        <v>25.5</v>
      </c>
      <c r="K7699">
        <v>32.51</v>
      </c>
      <c r="L7699">
        <v>20.67</v>
      </c>
      <c r="M7699">
        <v>1.95</v>
      </c>
      <c r="N7699">
        <v>1.205</v>
      </c>
      <c r="O7699">
        <v>24.67</v>
      </c>
      <c r="P7699">
        <v>30.72</v>
      </c>
      <c r="Q7699">
        <v>21.2</v>
      </c>
      <c r="R7699">
        <v>3.29</v>
      </c>
    </row>
    <row r="7700">
      <c r="A7700" s="9">
        <v>46231</v>
      </c>
      <c r="B7700" s="2" t="inlineStr">
        <is>
          <t xml:space="preserve">2026-07</t>
        </is>
      </c>
      <c r="C7700" s="2" t="inlineStr">
        <is>
          <t xml:space="preserve">2026/27</t>
        </is>
      </c>
      <c r="D7700">
        <v>21.11</v>
      </c>
      <c r="E7700">
        <v>23.2</v>
      </c>
      <c r="F7700">
        <v>30.51</v>
      </c>
      <c r="G7700">
        <v>17.59</v>
      </c>
      <c r="H7700">
        <v>7.86</v>
      </c>
      <c r="I7700">
        <v>1.437</v>
      </c>
      <c r="J7700">
        <v>26.03</v>
      </c>
      <c r="K7700">
        <v>33.71</v>
      </c>
      <c r="L7700">
        <v>19.94</v>
      </c>
      <c r="M7700">
        <v>0.75</v>
      </c>
      <c r="N7700">
        <v>0.918</v>
      </c>
      <c r="O7700">
        <v>25.18</v>
      </c>
      <c r="P7700">
        <v>32.14</v>
      </c>
      <c r="Q7700">
        <v>20.51</v>
      </c>
      <c r="R7700">
        <v>1.7</v>
      </c>
    </row>
    <row r="7701">
      <c r="A7701" s="9">
        <v>46232</v>
      </c>
      <c r="B7701" s="2" t="inlineStr">
        <is>
          <t xml:space="preserve">2026-07</t>
        </is>
      </c>
      <c r="C7701" s="2" t="inlineStr">
        <is>
          <t xml:space="preserve">2026/27</t>
        </is>
      </c>
      <c r="D7701">
        <v>1.574</v>
      </c>
      <c r="E7701">
        <v>23.72</v>
      </c>
      <c r="F7701">
        <v>30.29</v>
      </c>
      <c r="G7701">
        <v>18.44</v>
      </c>
      <c r="H7701">
        <v>0.52</v>
      </c>
      <c r="I7701">
        <v>0.134</v>
      </c>
      <c r="J7701">
        <v>26.37</v>
      </c>
      <c r="K7701">
        <v>33.24</v>
      </c>
      <c r="L7701">
        <v>21.2</v>
      </c>
      <c r="M7701">
        <v>0.08</v>
      </c>
      <c r="N7701">
        <v>0.068</v>
      </c>
      <c r="O7701">
        <v>25.61</v>
      </c>
      <c r="P7701">
        <v>32.73</v>
      </c>
      <c r="Q7701">
        <v>21.02</v>
      </c>
      <c r="R7701">
        <v>0.13</v>
      </c>
    </row>
    <row r="7702">
      <c r="A7702" s="9">
        <v>46233</v>
      </c>
      <c r="B7702" s="2" t="inlineStr">
        <is>
          <t xml:space="preserve">2026-07</t>
        </is>
      </c>
      <c r="C7702" s="2" t="inlineStr">
        <is>
          <t xml:space="preserve">2026/27</t>
        </is>
      </c>
      <c r="D7702">
        <v>0.0</v>
      </c>
      <c r="E7702">
        <v>23.74</v>
      </c>
      <c r="F7702">
        <v>29.45</v>
      </c>
      <c r="G7702">
        <v>18.65</v>
      </c>
      <c r="H7702">
        <v>0.08</v>
      </c>
      <c r="I7702">
        <v>0.0</v>
      </c>
      <c r="J7702">
        <v>27.17</v>
      </c>
      <c r="K7702">
        <v>34.9</v>
      </c>
      <c r="L7702">
        <v>20.95</v>
      </c>
      <c r="M7702">
        <v>0.0</v>
      </c>
      <c r="N7702">
        <v>0.0</v>
      </c>
      <c r="O7702">
        <v>26.3</v>
      </c>
      <c r="P7702">
        <v>33.68</v>
      </c>
      <c r="Q7702">
        <v>21.46</v>
      </c>
      <c r="R7702">
        <v>0.08</v>
      </c>
    </row>
    <row r="7703">
      <c r="A7703" s="9">
        <v>46234</v>
      </c>
      <c r="B7703" s="2" t="inlineStr">
        <is>
          <t xml:space="preserve">2026-07</t>
        </is>
      </c>
      <c r="C7703" s="2" t="inlineStr">
        <is>
          <t xml:space="preserve">2026/27</t>
        </is>
      </c>
      <c r="D7703">
        <v>0.0</v>
      </c>
      <c r="E7703">
        <v>24.95</v>
      </c>
      <c r="F7703">
        <v>32.37</v>
      </c>
      <c r="G7703">
        <v>19.74</v>
      </c>
      <c r="H7703">
        <v>0.06</v>
      </c>
      <c r="I7703">
        <v>0.0</v>
      </c>
      <c r="J7703">
        <v>26.86</v>
      </c>
      <c r="K7703">
        <v>33.46</v>
      </c>
      <c r="L7703">
        <v>21.71</v>
      </c>
      <c r="M7703">
        <v>0.01</v>
      </c>
      <c r="N7703">
        <v>0.0</v>
      </c>
      <c r="O7703">
        <v>26.1</v>
      </c>
      <c r="P7703">
        <v>32.37</v>
      </c>
      <c r="Q7703">
        <v>22.18</v>
      </c>
      <c r="R7703">
        <v>0.14</v>
      </c>
    </row>
    <row r="7704">
      <c r="A7704" s="9">
        <v>46235</v>
      </c>
      <c r="B7704" s="2" t="inlineStr">
        <is>
          <t xml:space="preserve">2026-08</t>
        </is>
      </c>
      <c r="C7704" s="2" t="inlineStr">
        <is>
          <t xml:space="preserve">2026/27</t>
        </is>
      </c>
      <c r="D7704">
        <v>0.0</v>
      </c>
      <c r="E7704">
        <v>23.86</v>
      </c>
      <c r="F7704">
        <v>31.43</v>
      </c>
      <c r="G7704">
        <v>17.45</v>
      </c>
      <c r="H7704">
        <v>41.66</v>
      </c>
      <c r="I7704">
        <v>0.0</v>
      </c>
      <c r="J7704">
        <v>26.91</v>
      </c>
      <c r="K7704">
        <v>34.31</v>
      </c>
      <c r="L7704">
        <v>21.44</v>
      </c>
      <c r="M7704">
        <v>0.54</v>
      </c>
      <c r="N7704">
        <v>0.0</v>
      </c>
      <c r="O7704">
        <v>25.81</v>
      </c>
      <c r="P7704">
        <v>32.79</v>
      </c>
      <c r="Q7704">
        <v>21.53</v>
      </c>
      <c r="R7704">
        <v>17.39</v>
      </c>
    </row>
    <row r="7705">
      <c r="A7705" s="9">
        <v>46236</v>
      </c>
      <c r="B7705" s="2" t="inlineStr">
        <is>
          <t xml:space="preserve">2026-08</t>
        </is>
      </c>
      <c r="C7705" s="2" t="inlineStr">
        <is>
          <t xml:space="preserve">2026/27</t>
        </is>
      </c>
      <c r="D7705">
        <v>4.764</v>
      </c>
      <c r="E7705">
        <v>22.3</v>
      </c>
      <c r="F7705">
        <v>27.92</v>
      </c>
      <c r="G7705">
        <v>17.99</v>
      </c>
      <c r="H7705">
        <v>44.77</v>
      </c>
      <c r="I7705">
        <v>0.0</v>
      </c>
      <c r="J7705">
        <v>26.24</v>
      </c>
      <c r="K7705">
        <v>34.09</v>
      </c>
      <c r="L7705">
        <v>20.64</v>
      </c>
      <c r="M7705">
        <v>0.4</v>
      </c>
      <c r="N7705">
        <v>0.0</v>
      </c>
      <c r="O7705">
        <v>24.23</v>
      </c>
      <c r="P7705">
        <v>30.61</v>
      </c>
      <c r="Q7705">
        <v>20.58</v>
      </c>
      <c r="R7705">
        <v>8.33</v>
      </c>
    </row>
    <row r="7706">
      <c r="A7706" s="9">
        <v>46237</v>
      </c>
      <c r="B7706" s="2" t="inlineStr">
        <is>
          <t xml:space="preserve">2026-08</t>
        </is>
      </c>
      <c r="C7706" s="2" t="inlineStr">
        <is>
          <t xml:space="preserve">2026/27</t>
        </is>
      </c>
      <c r="D7706">
        <v>0.335</v>
      </c>
      <c r="E7706">
        <v>23.25</v>
      </c>
      <c r="F7706">
        <v>28.58</v>
      </c>
      <c r="G7706">
        <v>18.63</v>
      </c>
      <c r="H7706">
        <v>3.14</v>
      </c>
      <c r="I7706">
        <v>0.0</v>
      </c>
      <c r="J7706">
        <v>26.66</v>
      </c>
      <c r="K7706">
        <v>35.24</v>
      </c>
      <c r="L7706">
        <v>19.35</v>
      </c>
      <c r="M7706">
        <v>0.37</v>
      </c>
      <c r="N7706">
        <v>0.0</v>
      </c>
      <c r="O7706">
        <v>24.84</v>
      </c>
      <c r="P7706">
        <v>31.39</v>
      </c>
      <c r="Q7706">
        <v>20.09</v>
      </c>
      <c r="R7706">
        <v>5.52</v>
      </c>
    </row>
    <row r="7707">
      <c r="A7707" s="9">
        <v>46238</v>
      </c>
      <c r="B7707" s="2" t="inlineStr">
        <is>
          <t xml:space="preserve">2026-08</t>
        </is>
      </c>
      <c r="C7707" s="2" t="inlineStr">
        <is>
          <t xml:space="preserve">2026/27</t>
        </is>
      </c>
      <c r="D7707">
        <v>0.0</v>
      </c>
      <c r="E7707">
        <v>22.68</v>
      </c>
      <c r="F7707">
        <v>26.99</v>
      </c>
      <c r="G7707">
        <v>19.02</v>
      </c>
      <c r="H7707">
        <v>1.09</v>
      </c>
      <c r="I7707">
        <v>0.316</v>
      </c>
      <c r="J7707">
        <v>25.91</v>
      </c>
      <c r="K7707">
        <v>31.62</v>
      </c>
      <c r="L7707">
        <v>22.14</v>
      </c>
      <c r="M7707">
        <v>1.16</v>
      </c>
      <c r="N7707">
        <v>0.958</v>
      </c>
      <c r="O7707">
        <v>24.32</v>
      </c>
      <c r="P7707">
        <v>28.49</v>
      </c>
      <c r="Q7707">
        <v>22.06</v>
      </c>
      <c r="R7707">
        <v>5.32</v>
      </c>
    </row>
    <row r="7708">
      <c r="A7708" s="9">
        <v>46239</v>
      </c>
      <c r="B7708" s="2" t="inlineStr">
        <is>
          <t xml:space="preserve">2026-08</t>
        </is>
      </c>
      <c r="C7708" s="2" t="inlineStr">
        <is>
          <t xml:space="preserve">2026/27</t>
        </is>
      </c>
      <c r="D7708">
        <v>0.584</v>
      </c>
      <c r="E7708">
        <v>22.22</v>
      </c>
      <c r="F7708">
        <v>26.51</v>
      </c>
      <c r="G7708">
        <v>18.85</v>
      </c>
      <c r="H7708">
        <v>2.57</v>
      </c>
      <c r="I7708">
        <v>0.305</v>
      </c>
      <c r="J7708">
        <v>25.52</v>
      </c>
      <c r="K7708">
        <v>32.45</v>
      </c>
      <c r="L7708">
        <v>20.9</v>
      </c>
      <c r="M7708">
        <v>0.49</v>
      </c>
      <c r="N7708">
        <v>0.22</v>
      </c>
      <c r="O7708">
        <v>24.02</v>
      </c>
      <c r="P7708">
        <v>28.62</v>
      </c>
      <c r="Q7708">
        <v>21.2</v>
      </c>
      <c r="R7708">
        <v>1.63</v>
      </c>
    </row>
    <row r="7709">
      <c r="A7709" s="9">
        <v>46240</v>
      </c>
      <c r="B7709" s="2" t="inlineStr">
        <is>
          <t xml:space="preserve">2026-08</t>
        </is>
      </c>
      <c r="C7709" s="2" t="inlineStr">
        <is>
          <t xml:space="preserve">2026/27</t>
        </is>
      </c>
      <c r="D7709">
        <v>3.684</v>
      </c>
      <c r="E7709">
        <v>22.64</v>
      </c>
      <c r="F7709">
        <v>28.28</v>
      </c>
      <c r="G7709">
        <v>18.31</v>
      </c>
      <c r="H7709">
        <v>1.2</v>
      </c>
      <c r="I7709">
        <v>0.249</v>
      </c>
      <c r="J7709">
        <v>25.6</v>
      </c>
      <c r="K7709">
        <v>32.76</v>
      </c>
      <c r="L7709">
        <v>20.45</v>
      </c>
      <c r="M7709">
        <v>0.25</v>
      </c>
      <c r="N7709">
        <v>0.188</v>
      </c>
      <c r="O7709">
        <v>24.64</v>
      </c>
      <c r="P7709">
        <v>31.5</v>
      </c>
      <c r="Q7709">
        <v>20.41</v>
      </c>
      <c r="R7709">
        <v>1.93</v>
      </c>
    </row>
    <row r="7710">
      <c r="A7710" s="9">
        <v>46241</v>
      </c>
      <c r="B7710" s="2" t="inlineStr">
        <is>
          <t xml:space="preserve">2026-08</t>
        </is>
      </c>
      <c r="C7710" s="2" t="inlineStr">
        <is>
          <t xml:space="preserve">2026/27</t>
        </is>
      </c>
      <c r="D7710">
        <v>0.0</v>
      </c>
      <c r="E7710">
        <v>22.52</v>
      </c>
      <c r="F7710">
        <v>27.86</v>
      </c>
      <c r="G7710">
        <v>19.17</v>
      </c>
      <c r="H7710">
        <v>0.53</v>
      </c>
      <c r="I7710">
        <v>0.0</v>
      </c>
      <c r="J7710">
        <v>25.84</v>
      </c>
      <c r="K7710">
        <v>32.62</v>
      </c>
      <c r="L7710">
        <v>20.71</v>
      </c>
      <c r="M7710">
        <v>0.11</v>
      </c>
      <c r="N7710">
        <v>0.0</v>
      </c>
      <c r="O7710">
        <v>24.14</v>
      </c>
      <c r="P7710">
        <v>29.33</v>
      </c>
      <c r="Q7710">
        <v>20.58</v>
      </c>
      <c r="R7710">
        <v>1.99</v>
      </c>
    </row>
    <row r="7711">
      <c r="A7711" s="9">
        <v>46242</v>
      </c>
      <c r="B7711" s="2" t="inlineStr">
        <is>
          <t xml:space="preserve">2026-08</t>
        </is>
      </c>
      <c r="C7711" s="2" t="inlineStr">
        <is>
          <t xml:space="preserve">2026/27</t>
        </is>
      </c>
      <c r="D7711">
        <v>0.0</v>
      </c>
      <c r="E7711">
        <v>23.06</v>
      </c>
      <c r="F7711">
        <v>29.12</v>
      </c>
      <c r="G7711">
        <v>18.48</v>
      </c>
      <c r="H7711">
        <v>0.0</v>
      </c>
      <c r="I7711">
        <v>0.0</v>
      </c>
      <c r="J7711">
        <v>25.9</v>
      </c>
      <c r="K7711">
        <v>33.22</v>
      </c>
      <c r="L7711">
        <v>20.83</v>
      </c>
      <c r="M7711">
        <v>0.01</v>
      </c>
      <c r="N7711">
        <v>0.0</v>
      </c>
      <c r="O7711">
        <v>24.8</v>
      </c>
      <c r="P7711">
        <v>30.9</v>
      </c>
      <c r="Q7711">
        <v>20.19</v>
      </c>
      <c r="R7711">
        <v>0.0</v>
      </c>
    </row>
    <row r="7712">
      <c r="A7712" s="9">
        <v>46243</v>
      </c>
      <c r="B7712" s="2" t="inlineStr">
        <is>
          <t xml:space="preserve">2026-08</t>
        </is>
      </c>
      <c r="C7712" s="2" t="inlineStr">
        <is>
          <t xml:space="preserve">2026/27</t>
        </is>
      </c>
      <c r="D7712">
        <v>0.0</v>
      </c>
      <c r="E7712">
        <v>22.93</v>
      </c>
      <c r="F7712">
        <v>29.59</v>
      </c>
      <c r="G7712">
        <v>17.35</v>
      </c>
      <c r="H7712">
        <v>0.91</v>
      </c>
      <c r="I7712">
        <v>0.0</v>
      </c>
      <c r="J7712">
        <v>26.49</v>
      </c>
      <c r="K7712">
        <v>34.56</v>
      </c>
      <c r="L7712">
        <v>20.89</v>
      </c>
      <c r="M7712">
        <v>0.22</v>
      </c>
      <c r="N7712">
        <v>0.0</v>
      </c>
      <c r="O7712">
        <v>25.09</v>
      </c>
      <c r="P7712">
        <v>31.51</v>
      </c>
      <c r="Q7712">
        <v>20.85</v>
      </c>
      <c r="R7712">
        <v>1.78</v>
      </c>
    </row>
    <row r="7713">
      <c r="A7713" s="9">
        <v>46244</v>
      </c>
      <c r="B7713" s="2" t="inlineStr">
        <is>
          <t xml:space="preserve">2026-08</t>
        </is>
      </c>
      <c r="C7713" s="2" t="inlineStr">
        <is>
          <t xml:space="preserve">2026/27</t>
        </is>
      </c>
      <c r="D7713">
        <v>0.0</v>
      </c>
      <c r="E7713">
        <v>23.25</v>
      </c>
      <c r="F7713">
        <v>29.48</v>
      </c>
      <c r="G7713">
        <v>18.38</v>
      </c>
      <c r="H7713">
        <v>1.81</v>
      </c>
      <c r="I7713">
        <v>0.256</v>
      </c>
      <c r="J7713">
        <v>25.78</v>
      </c>
      <c r="K7713">
        <v>33.74</v>
      </c>
      <c r="L7713">
        <v>20.48</v>
      </c>
      <c r="M7713">
        <v>0.94</v>
      </c>
      <c r="N7713">
        <v>0.521</v>
      </c>
      <c r="O7713">
        <v>24.28</v>
      </c>
      <c r="P7713">
        <v>30.71</v>
      </c>
      <c r="Q7713">
        <v>20.46</v>
      </c>
      <c r="R7713">
        <v>3.9</v>
      </c>
    </row>
    <row r="7714">
      <c r="A7714" s="9">
        <v>46245</v>
      </c>
      <c r="B7714" s="2" t="inlineStr">
        <is>
          <t xml:space="preserve">2026-08</t>
        </is>
      </c>
      <c r="C7714" s="2" t="inlineStr">
        <is>
          <t xml:space="preserve">2026/27</t>
        </is>
      </c>
      <c r="D7714">
        <v>2.035</v>
      </c>
      <c r="E7714">
        <v>22.95</v>
      </c>
      <c r="F7714">
        <v>27.66</v>
      </c>
      <c r="G7714">
        <v>19.43</v>
      </c>
      <c r="H7714">
        <v>4.26</v>
      </c>
      <c r="I7714">
        <v>2.025</v>
      </c>
      <c r="J7714">
        <v>25.37</v>
      </c>
      <c r="K7714">
        <v>31.78</v>
      </c>
      <c r="L7714">
        <v>21.07</v>
      </c>
      <c r="M7714">
        <v>2.57</v>
      </c>
      <c r="N7714">
        <v>1.33</v>
      </c>
      <c r="O7714">
        <v>24.14</v>
      </c>
      <c r="P7714">
        <v>29.14</v>
      </c>
      <c r="Q7714">
        <v>21.1</v>
      </c>
      <c r="R7714">
        <v>8.17</v>
      </c>
    </row>
    <row r="7715">
      <c r="A7715" s="9">
        <v>46246</v>
      </c>
      <c r="B7715" s="2" t="inlineStr">
        <is>
          <t xml:space="preserve">2026-08</t>
        </is>
      </c>
      <c r="C7715" s="2" t="inlineStr">
        <is>
          <t xml:space="preserve">2026/27</t>
        </is>
      </c>
      <c r="D7715">
        <v>0.078</v>
      </c>
      <c r="E7715">
        <v>22.98</v>
      </c>
      <c r="F7715">
        <v>29.14</v>
      </c>
      <c r="G7715">
        <v>18.02</v>
      </c>
      <c r="H7715">
        <v>1.06</v>
      </c>
      <c r="I7715">
        <v>0.317</v>
      </c>
      <c r="J7715">
        <v>25.21</v>
      </c>
      <c r="K7715">
        <v>31.73</v>
      </c>
      <c r="L7715">
        <v>20.89</v>
      </c>
      <c r="M7715">
        <v>0.56</v>
      </c>
      <c r="N7715">
        <v>0.579</v>
      </c>
      <c r="O7715">
        <v>23.87</v>
      </c>
      <c r="P7715">
        <v>29.42</v>
      </c>
      <c r="Q7715">
        <v>20.57</v>
      </c>
      <c r="R7715">
        <v>3.05</v>
      </c>
    </row>
    <row r="7716">
      <c r="A7716" s="9">
        <v>46247</v>
      </c>
      <c r="B7716" s="2" t="inlineStr">
        <is>
          <t xml:space="preserve">2026-08</t>
        </is>
      </c>
      <c r="C7716" s="2" t="inlineStr">
        <is>
          <t xml:space="preserve">2026/27</t>
        </is>
      </c>
      <c r="D7716">
        <v>0.0</v>
      </c>
      <c r="E7716">
        <v>23.82</v>
      </c>
      <c r="F7716">
        <v>30.2</v>
      </c>
      <c r="G7716">
        <v>18.33</v>
      </c>
      <c r="H7716">
        <v>0.81</v>
      </c>
      <c r="I7716">
        <v>0.0</v>
      </c>
      <c r="J7716">
        <v>26.98</v>
      </c>
      <c r="K7716">
        <v>35.09</v>
      </c>
      <c r="L7716">
        <v>20.72</v>
      </c>
      <c r="M7716">
        <v>0.07</v>
      </c>
      <c r="N7716">
        <v>0.0</v>
      </c>
      <c r="O7716">
        <v>25.12</v>
      </c>
      <c r="P7716">
        <v>31.89</v>
      </c>
      <c r="Q7716">
        <v>20.39</v>
      </c>
      <c r="R7716">
        <v>0.8</v>
      </c>
    </row>
    <row r="7717">
      <c r="A7717" s="9">
        <v>46248</v>
      </c>
      <c r="B7717" s="2" t="inlineStr">
        <is>
          <t xml:space="preserve">2026-08</t>
        </is>
      </c>
      <c r="C7717" s="2" t="inlineStr">
        <is>
          <t xml:space="preserve">2026/27</t>
        </is>
      </c>
      <c r="D7717">
        <v>0.0</v>
      </c>
      <c r="E7717">
        <v>24.09</v>
      </c>
      <c r="F7717">
        <v>30.42</v>
      </c>
      <c r="G7717">
        <v>19.89</v>
      </c>
      <c r="H7717">
        <v>0.93</v>
      </c>
      <c r="I7717">
        <v>0.035</v>
      </c>
      <c r="J7717">
        <v>26.8</v>
      </c>
      <c r="K7717">
        <v>34.33</v>
      </c>
      <c r="L7717">
        <v>21.39</v>
      </c>
      <c r="M7717">
        <v>0.15</v>
      </c>
      <c r="N7717">
        <v>0.145</v>
      </c>
      <c r="O7717">
        <v>25.15</v>
      </c>
      <c r="P7717">
        <v>31.33</v>
      </c>
      <c r="Q7717">
        <v>21.33</v>
      </c>
      <c r="R7717">
        <v>1.48</v>
      </c>
    </row>
    <row r="7718">
      <c r="A7718" s="9">
        <v>46249</v>
      </c>
      <c r="B7718" s="2" t="inlineStr">
        <is>
          <t xml:space="preserve">2026-08</t>
        </is>
      </c>
      <c r="C7718" s="2" t="inlineStr">
        <is>
          <t xml:space="preserve">2026/27</t>
        </is>
      </c>
      <c r="D7718">
        <v>0.0</v>
      </c>
      <c r="E7718">
        <v>23.65</v>
      </c>
      <c r="F7718">
        <v>29.53</v>
      </c>
      <c r="G7718">
        <v>19.65</v>
      </c>
      <c r="H7718">
        <v>0.14</v>
      </c>
      <c r="I7718">
        <v>0.0</v>
      </c>
      <c r="J7718">
        <v>25.63</v>
      </c>
      <c r="K7718">
        <v>32.0</v>
      </c>
      <c r="L7718">
        <v>21.72</v>
      </c>
      <c r="M7718">
        <v>0.18</v>
      </c>
      <c r="N7718">
        <v>0.181</v>
      </c>
      <c r="O7718">
        <v>24.69</v>
      </c>
      <c r="P7718">
        <v>29.59</v>
      </c>
      <c r="Q7718">
        <v>21.75</v>
      </c>
      <c r="R7718">
        <v>0.44</v>
      </c>
    </row>
    <row r="7719">
      <c r="A7719" s="9">
        <v>46250</v>
      </c>
      <c r="B7719" s="2" t="inlineStr">
        <is>
          <t xml:space="preserve">2026-08</t>
        </is>
      </c>
      <c r="C7719" s="2" t="inlineStr">
        <is>
          <t xml:space="preserve">2026/27</t>
        </is>
      </c>
      <c r="D7719">
        <v>0.0</v>
      </c>
      <c r="E7719">
        <v>23.05</v>
      </c>
      <c r="F7719">
        <v>29.78</v>
      </c>
      <c r="G7719">
        <v>17.91</v>
      </c>
      <c r="H7719">
        <v>0.24</v>
      </c>
      <c r="I7719">
        <v>0.0</v>
      </c>
      <c r="J7719">
        <v>25.27</v>
      </c>
      <c r="K7719">
        <v>32.8</v>
      </c>
      <c r="L7719">
        <v>20.29</v>
      </c>
      <c r="M7719">
        <v>0.07</v>
      </c>
      <c r="N7719">
        <v>0.0</v>
      </c>
      <c r="O7719">
        <v>24.32</v>
      </c>
      <c r="P7719">
        <v>30.27</v>
      </c>
      <c r="Q7719">
        <v>20.06</v>
      </c>
      <c r="R7719">
        <v>0.38</v>
      </c>
    </row>
    <row r="7720">
      <c r="A7720" s="9">
        <v>46251</v>
      </c>
      <c r="B7720" s="2" t="inlineStr">
        <is>
          <t xml:space="preserve">2026-08</t>
        </is>
      </c>
      <c r="C7720" s="2" t="inlineStr">
        <is>
          <t xml:space="preserve">2026/27</t>
        </is>
      </c>
      <c r="D7720">
        <v>0.045</v>
      </c>
      <c r="E7720">
        <v>22.53</v>
      </c>
      <c r="F7720">
        <v>26.83</v>
      </c>
      <c r="G7720">
        <v>18.95</v>
      </c>
      <c r="H7720">
        <v>1.35</v>
      </c>
      <c r="I7720">
        <v>0.057</v>
      </c>
      <c r="J7720">
        <v>24.25</v>
      </c>
      <c r="K7720">
        <v>30.22</v>
      </c>
      <c r="L7720">
        <v>19.71</v>
      </c>
      <c r="M7720">
        <v>0.23</v>
      </c>
      <c r="N7720">
        <v>0.184</v>
      </c>
      <c r="O7720">
        <v>23.3</v>
      </c>
      <c r="P7720">
        <v>27.91</v>
      </c>
      <c r="Q7720">
        <v>19.81</v>
      </c>
      <c r="R7720">
        <v>1.64</v>
      </c>
    </row>
    <row r="7721">
      <c r="A7721" s="9">
        <v>46252</v>
      </c>
      <c r="B7721" s="2" t="inlineStr">
        <is>
          <t xml:space="preserve">2026-08</t>
        </is>
      </c>
      <c r="C7721" s="2" t="inlineStr">
        <is>
          <t xml:space="preserve">2026/27</t>
        </is>
      </c>
      <c r="D7721">
        <v>0.0</v>
      </c>
      <c r="E7721">
        <v>23.37</v>
      </c>
      <c r="F7721">
        <v>29.82</v>
      </c>
      <c r="G7721">
        <v>19.01</v>
      </c>
      <c r="H7721">
        <v>1.48</v>
      </c>
      <c r="I7721">
        <v>0.0</v>
      </c>
      <c r="J7721">
        <v>25.39</v>
      </c>
      <c r="K7721">
        <v>32.96</v>
      </c>
      <c r="L7721">
        <v>20.14</v>
      </c>
      <c r="M7721">
        <v>1.97</v>
      </c>
      <c r="N7721">
        <v>0.0</v>
      </c>
      <c r="O7721">
        <v>24.71</v>
      </c>
      <c r="P7721">
        <v>31.06</v>
      </c>
      <c r="Q7721">
        <v>20.29</v>
      </c>
      <c r="R7721">
        <v>1.43</v>
      </c>
    </row>
    <row r="7722">
      <c r="A7722" s="9">
        <v>46253</v>
      </c>
      <c r="B7722" s="2" t="inlineStr">
        <is>
          <t xml:space="preserve">2026-08</t>
        </is>
      </c>
      <c r="C7722" s="2" t="inlineStr">
        <is>
          <t xml:space="preserve">2026/27</t>
        </is>
      </c>
      <c r="D7722">
        <v>3.42</v>
      </c>
      <c r="E7722">
        <v>23.29</v>
      </c>
      <c r="F7722">
        <v>30.15</v>
      </c>
      <c r="G7722">
        <v>17.7</v>
      </c>
      <c r="H7722">
        <v>0.79</v>
      </c>
      <c r="I7722">
        <v>3.543</v>
      </c>
      <c r="J7722">
        <v>26.02</v>
      </c>
      <c r="K7722">
        <v>34.3</v>
      </c>
      <c r="L7722">
        <v>20.31</v>
      </c>
      <c r="M7722">
        <v>1.11</v>
      </c>
      <c r="N7722">
        <v>1.216</v>
      </c>
      <c r="O7722">
        <v>25.21</v>
      </c>
      <c r="P7722">
        <v>31.78</v>
      </c>
      <c r="Q7722">
        <v>20.72</v>
      </c>
      <c r="R7722">
        <v>0.96</v>
      </c>
    </row>
    <row r="7723">
      <c r="A7723" s="9">
        <v>46254</v>
      </c>
      <c r="B7723" s="2" t="inlineStr">
        <is>
          <t xml:space="preserve">2026-08</t>
        </is>
      </c>
      <c r="C7723" s="2" t="inlineStr">
        <is>
          <t xml:space="preserve">2026/27</t>
        </is>
      </c>
      <c r="D7723">
        <v>0.0</v>
      </c>
      <c r="E7723">
        <v>24.19</v>
      </c>
      <c r="F7723">
        <v>30.93</v>
      </c>
      <c r="G7723">
        <v>18.74</v>
      </c>
      <c r="H7723">
        <v>0.72</v>
      </c>
      <c r="I7723">
        <v>0.0</v>
      </c>
      <c r="J7723">
        <v>26.99</v>
      </c>
      <c r="K7723">
        <v>34.49</v>
      </c>
      <c r="L7723">
        <v>21.38</v>
      </c>
      <c r="M7723">
        <v>0.09</v>
      </c>
      <c r="N7723">
        <v>0.0</v>
      </c>
      <c r="O7723">
        <v>25.6</v>
      </c>
      <c r="P7723">
        <v>31.9</v>
      </c>
      <c r="Q7723">
        <v>21.41</v>
      </c>
      <c r="R7723">
        <v>1.03</v>
      </c>
    </row>
    <row r="7724">
      <c r="A7724" s="9">
        <v>46255</v>
      </c>
      <c r="B7724" s="2" t="inlineStr">
        <is>
          <t xml:space="preserve">2026-08</t>
        </is>
      </c>
      <c r="C7724" s="2" t="inlineStr">
        <is>
          <t xml:space="preserve">2026/27</t>
        </is>
      </c>
      <c r="D7724">
        <v>0.0</v>
      </c>
      <c r="E7724">
        <v>24.39</v>
      </c>
      <c r="F7724">
        <v>31.04</v>
      </c>
      <c r="G7724">
        <v>19.63</v>
      </c>
      <c r="H7724">
        <v>0.48</v>
      </c>
      <c r="I7724">
        <v>0.114</v>
      </c>
      <c r="J7724">
        <v>26.38</v>
      </c>
      <c r="K7724">
        <v>33.24</v>
      </c>
      <c r="L7724">
        <v>21.13</v>
      </c>
      <c r="M7724">
        <v>0.34</v>
      </c>
      <c r="N7724">
        <v>0.278</v>
      </c>
      <c r="O7724">
        <v>24.94</v>
      </c>
      <c r="P7724">
        <v>30.77</v>
      </c>
      <c r="Q7724">
        <v>21.06</v>
      </c>
      <c r="R7724">
        <v>1.72</v>
      </c>
    </row>
    <row r="7725">
      <c r="A7725" s="9">
        <v>46256</v>
      </c>
      <c r="B7725" s="2" t="inlineStr">
        <is>
          <t xml:space="preserve">2026-08</t>
        </is>
      </c>
      <c r="C7725" s="2" t="inlineStr">
        <is>
          <t xml:space="preserve">2026/27</t>
        </is>
      </c>
      <c r="D7725">
        <v>0.0</v>
      </c>
      <c r="E7725">
        <v>23.53</v>
      </c>
      <c r="F7725">
        <v>28.1</v>
      </c>
      <c r="G7725">
        <v>19.72</v>
      </c>
      <c r="H7725">
        <v>1.77</v>
      </c>
      <c r="I7725">
        <v>0.0</v>
      </c>
      <c r="J7725">
        <v>25.6</v>
      </c>
      <c r="K7725">
        <v>31.84</v>
      </c>
      <c r="L7725">
        <v>21.33</v>
      </c>
      <c r="M7725">
        <v>0.46</v>
      </c>
      <c r="N7725">
        <v>0.0</v>
      </c>
      <c r="O7725">
        <v>24.63</v>
      </c>
      <c r="P7725">
        <v>29.63</v>
      </c>
      <c r="Q7725">
        <v>21.12</v>
      </c>
      <c r="R7725">
        <v>0.95</v>
      </c>
    </row>
    <row r="7726">
      <c r="A7726" s="9">
        <v>46257</v>
      </c>
      <c r="B7726" s="2" t="inlineStr">
        <is>
          <t xml:space="preserve">2026-08</t>
        </is>
      </c>
      <c r="C7726" s="2" t="inlineStr">
        <is>
          <t xml:space="preserve">2026/27</t>
        </is>
      </c>
      <c r="D7726">
        <v>4.689</v>
      </c>
      <c r="E7726">
        <v>24.08</v>
      </c>
      <c r="F7726">
        <v>31.24</v>
      </c>
      <c r="G7726">
        <v>19.06</v>
      </c>
      <c r="H7726">
        <v>0.45</v>
      </c>
      <c r="I7726">
        <v>0.876</v>
      </c>
      <c r="J7726">
        <v>26.61</v>
      </c>
      <c r="K7726">
        <v>35.46</v>
      </c>
      <c r="L7726">
        <v>20.23</v>
      </c>
      <c r="M7726">
        <v>0.57</v>
      </c>
      <c r="N7726">
        <v>1.079</v>
      </c>
      <c r="O7726">
        <v>25.51</v>
      </c>
      <c r="P7726">
        <v>32.84</v>
      </c>
      <c r="Q7726">
        <v>20.83</v>
      </c>
      <c r="R7726">
        <v>0.39</v>
      </c>
    </row>
    <row r="7727">
      <c r="A7727" s="9">
        <v>46258</v>
      </c>
      <c r="B7727" s="2" t="inlineStr">
        <is>
          <t xml:space="preserve">2026-08</t>
        </is>
      </c>
      <c r="C7727" s="2" t="inlineStr">
        <is>
          <t xml:space="preserve">2026/27</t>
        </is>
      </c>
      <c r="D7727">
        <v>0.0</v>
      </c>
      <c r="E7727">
        <v>24.61</v>
      </c>
      <c r="F7727">
        <v>31.64</v>
      </c>
      <c r="G7727">
        <v>19.03</v>
      </c>
      <c r="H7727">
        <v>0.23</v>
      </c>
      <c r="I7727">
        <v>0.0</v>
      </c>
      <c r="J7727">
        <v>26.92</v>
      </c>
      <c r="K7727">
        <v>34.42</v>
      </c>
      <c r="L7727">
        <v>21.38</v>
      </c>
      <c r="M7727">
        <v>0.26</v>
      </c>
      <c r="N7727">
        <v>0.0</v>
      </c>
      <c r="O7727">
        <v>25.58</v>
      </c>
      <c r="P7727">
        <v>32.19</v>
      </c>
      <c r="Q7727">
        <v>21.27</v>
      </c>
      <c r="R7727">
        <v>0.46</v>
      </c>
    </row>
    <row r="7728">
      <c r="A7728" s="9">
        <v>46259</v>
      </c>
      <c r="B7728" s="2" t="inlineStr">
        <is>
          <t xml:space="preserve">2026-08</t>
        </is>
      </c>
      <c r="C7728" s="2" t="inlineStr">
        <is>
          <t xml:space="preserve">2026/27</t>
        </is>
      </c>
      <c r="D7728">
        <v>0.042</v>
      </c>
      <c r="E7728">
        <v>23.91</v>
      </c>
      <c r="F7728">
        <v>30.52</v>
      </c>
      <c r="G7728">
        <v>19.59</v>
      </c>
      <c r="H7728">
        <v>1.6</v>
      </c>
      <c r="I7728">
        <v>0.0</v>
      </c>
      <c r="J7728">
        <v>26.23</v>
      </c>
      <c r="K7728">
        <v>33.57</v>
      </c>
      <c r="L7728">
        <v>21.34</v>
      </c>
      <c r="M7728">
        <v>1.01</v>
      </c>
      <c r="N7728">
        <v>0.0</v>
      </c>
      <c r="O7728">
        <v>25.05</v>
      </c>
      <c r="P7728">
        <v>31.23</v>
      </c>
      <c r="Q7728">
        <v>21.21</v>
      </c>
      <c r="R7728">
        <v>2.36</v>
      </c>
    </row>
    <row r="7729">
      <c r="A7729" s="9">
        <v>46260</v>
      </c>
      <c r="B7729" s="2" t="inlineStr">
        <is>
          <t xml:space="preserve">2026-08</t>
        </is>
      </c>
      <c r="C7729" s="2" t="inlineStr">
        <is>
          <t xml:space="preserve">2026/27</t>
        </is>
      </c>
      <c r="D7729">
        <v>0.0</v>
      </c>
      <c r="E7729">
        <v>23.83</v>
      </c>
      <c r="F7729">
        <v>30.72</v>
      </c>
      <c r="G7729">
        <v>18.96</v>
      </c>
      <c r="H7729">
        <v>0.54</v>
      </c>
      <c r="I7729">
        <v>0.255</v>
      </c>
      <c r="J7729">
        <v>25.92</v>
      </c>
      <c r="K7729">
        <v>33.09</v>
      </c>
      <c r="L7729">
        <v>20.94</v>
      </c>
      <c r="M7729">
        <v>0.45</v>
      </c>
      <c r="N7729">
        <v>0.465</v>
      </c>
      <c r="O7729">
        <v>24.55</v>
      </c>
      <c r="P7729">
        <v>30.12</v>
      </c>
      <c r="Q7729">
        <v>21.02</v>
      </c>
      <c r="R7729">
        <v>2.5</v>
      </c>
    </row>
    <row r="7730">
      <c r="A7730" s="9">
        <v>46261</v>
      </c>
      <c r="B7730" s="2" t="inlineStr">
        <is>
          <t xml:space="preserve">2026-08</t>
        </is>
      </c>
      <c r="C7730" s="2" t="inlineStr">
        <is>
          <t xml:space="preserve">2026/27</t>
        </is>
      </c>
      <c r="D7730">
        <v>0.0</v>
      </c>
      <c r="E7730">
        <v>24.29</v>
      </c>
      <c r="F7730">
        <v>31.49</v>
      </c>
      <c r="G7730">
        <v>18.5</v>
      </c>
      <c r="H7730">
        <v>0.03</v>
      </c>
      <c r="I7730">
        <v>0.0</v>
      </c>
      <c r="J7730">
        <v>26.61</v>
      </c>
      <c r="K7730">
        <v>34.11</v>
      </c>
      <c r="L7730">
        <v>20.94</v>
      </c>
      <c r="M7730">
        <v>0.01</v>
      </c>
      <c r="N7730">
        <v>0.0</v>
      </c>
      <c r="O7730">
        <v>25.33</v>
      </c>
      <c r="P7730">
        <v>31.57</v>
      </c>
      <c r="Q7730">
        <v>20.92</v>
      </c>
      <c r="R7730">
        <v>0.11</v>
      </c>
    </row>
    <row r="7731">
      <c r="A7731" s="9">
        <v>46262</v>
      </c>
      <c r="B7731" s="2" t="inlineStr">
        <is>
          <t xml:space="preserve">2026-08</t>
        </is>
      </c>
      <c r="C7731" s="2" t="inlineStr">
        <is>
          <t xml:space="preserve">2026/27</t>
        </is>
      </c>
      <c r="D7731">
        <v>0.0</v>
      </c>
      <c r="E7731">
        <v>24.33</v>
      </c>
      <c r="F7731">
        <v>31.23</v>
      </c>
      <c r="G7731">
        <v>19.11</v>
      </c>
      <c r="H7731">
        <v>0.06</v>
      </c>
      <c r="I7731">
        <v>0.0</v>
      </c>
      <c r="J7731">
        <v>27.54</v>
      </c>
      <c r="K7731">
        <v>35.86</v>
      </c>
      <c r="L7731">
        <v>21.36</v>
      </c>
      <c r="M7731">
        <v>0.04</v>
      </c>
      <c r="N7731">
        <v>0.0</v>
      </c>
      <c r="O7731">
        <v>26.0</v>
      </c>
      <c r="P7731">
        <v>32.75</v>
      </c>
      <c r="Q7731">
        <v>21.98</v>
      </c>
      <c r="R7731">
        <v>0.25</v>
      </c>
    </row>
    <row r="7732">
      <c r="A7732" s="9">
        <v>46263</v>
      </c>
      <c r="B7732" s="2" t="inlineStr">
        <is>
          <t xml:space="preserve">2026-08</t>
        </is>
      </c>
      <c r="C7732" s="2" t="inlineStr">
        <is>
          <t xml:space="preserve">2026/27</t>
        </is>
      </c>
      <c r="D7732">
        <v>0.0</v>
      </c>
      <c r="E7732">
        <v>24.42</v>
      </c>
      <c r="F7732">
        <v>31.44</v>
      </c>
      <c r="G7732">
        <v>19.12</v>
      </c>
      <c r="H7732">
        <v>0.12</v>
      </c>
      <c r="I7732">
        <v>0.0</v>
      </c>
      <c r="J7732">
        <v>26.48</v>
      </c>
      <c r="K7732">
        <v>33.47</v>
      </c>
      <c r="L7732">
        <v>21.13</v>
      </c>
      <c r="M7732">
        <v>0.12</v>
      </c>
      <c r="N7732">
        <v>0.138</v>
      </c>
      <c r="O7732">
        <v>25.29</v>
      </c>
      <c r="P7732">
        <v>31.07</v>
      </c>
      <c r="Q7732">
        <v>21.42</v>
      </c>
      <c r="R7732">
        <v>0.44</v>
      </c>
    </row>
    <row r="7733">
      <c r="A7733" s="9">
        <v>46264</v>
      </c>
      <c r="B7733" s="2" t="inlineStr">
        <is>
          <t xml:space="preserve">2026-08</t>
        </is>
      </c>
      <c r="C7733" s="2" t="inlineStr">
        <is>
          <t xml:space="preserve">2026/27</t>
        </is>
      </c>
      <c r="D7733">
        <v>0.0</v>
      </c>
      <c r="E7733">
        <v>25.67</v>
      </c>
      <c r="F7733">
        <v>33.32</v>
      </c>
      <c r="G7733">
        <v>19.86</v>
      </c>
      <c r="H7733">
        <v>1.18</v>
      </c>
      <c r="I7733">
        <v>0.0</v>
      </c>
      <c r="J7733">
        <v>27.24</v>
      </c>
      <c r="K7733">
        <v>36.12</v>
      </c>
      <c r="L7733">
        <v>20.79</v>
      </c>
      <c r="M7733">
        <v>1.61</v>
      </c>
      <c r="N7733">
        <v>0.115</v>
      </c>
      <c r="O7733">
        <v>25.88</v>
      </c>
      <c r="P7733">
        <v>33.32</v>
      </c>
      <c r="Q7733">
        <v>20.87</v>
      </c>
      <c r="R7733">
        <v>1.56</v>
      </c>
    </row>
    <row r="7734">
      <c r="A7734" s="9">
        <v>46265</v>
      </c>
      <c r="B7734" s="2" t="inlineStr">
        <is>
          <t xml:space="preserve">2026-08</t>
        </is>
      </c>
      <c r="C7734" s="2" t="inlineStr">
        <is>
          <t xml:space="preserve">2026/27</t>
        </is>
      </c>
      <c r="D7734">
        <v>3.746</v>
      </c>
      <c r="E7734">
        <v>25.32</v>
      </c>
      <c r="F7734">
        <v>32.97</v>
      </c>
      <c r="G7734">
        <v>19.48</v>
      </c>
      <c r="H7734">
        <v>2.86</v>
      </c>
      <c r="I7734">
        <v>3.8</v>
      </c>
      <c r="J7734">
        <v>26.91</v>
      </c>
      <c r="K7734">
        <v>34.45</v>
      </c>
      <c r="L7734">
        <v>21.91</v>
      </c>
      <c r="M7734">
        <v>2.09</v>
      </c>
      <c r="N7734">
        <v>1.366</v>
      </c>
      <c r="O7734">
        <v>25.62</v>
      </c>
      <c r="P7734">
        <v>32.4</v>
      </c>
      <c r="Q7734">
        <v>21.59</v>
      </c>
      <c r="R7734">
        <v>2.63</v>
      </c>
    </row>
    <row r="7735">
      <c r="A7735" s="9">
        <v>46266</v>
      </c>
      <c r="B7735" s="2" t="inlineStr">
        <is>
          <t xml:space="preserve">2026-09</t>
        </is>
      </c>
      <c r="C7735" s="2" t="inlineStr">
        <is>
          <t xml:space="preserve">2026/27</t>
        </is>
      </c>
      <c r="D7735">
        <v>2.126</v>
      </c>
      <c r="E7735">
        <v>23.75</v>
      </c>
      <c r="F7735">
        <v>29.17</v>
      </c>
      <c r="G7735">
        <v>20.5</v>
      </c>
      <c r="H7735">
        <v>1.05</v>
      </c>
      <c r="I7735">
        <v>0.673</v>
      </c>
      <c r="J7735">
        <v>23.51</v>
      </c>
      <c r="K7735">
        <v>28.34</v>
      </c>
      <c r="L7735">
        <v>20.7</v>
      </c>
      <c r="M7735">
        <v>3.62</v>
      </c>
      <c r="N7735">
        <v>0.32</v>
      </c>
      <c r="O7735">
        <v>24.0</v>
      </c>
      <c r="P7735">
        <v>27.51</v>
      </c>
      <c r="Q7735">
        <v>22.32</v>
      </c>
      <c r="R7735">
        <v>4.66</v>
      </c>
    </row>
    <row r="7736">
      <c r="A7736" s="9">
        <v>46267</v>
      </c>
      <c r="B7736" s="2" t="inlineStr">
        <is>
          <t xml:space="preserve">2026-09</t>
        </is>
      </c>
      <c r="C7736" s="2" t="inlineStr">
        <is>
          <t xml:space="preserve">2026/27</t>
        </is>
      </c>
      <c r="D7736">
        <v>0.088</v>
      </c>
      <c r="E7736">
        <v>23.33</v>
      </c>
      <c r="F7736">
        <v>28.77</v>
      </c>
      <c r="G7736">
        <v>19.71</v>
      </c>
      <c r="H7736">
        <v>8.8</v>
      </c>
      <c r="I7736">
        <v>0.0</v>
      </c>
      <c r="J7736">
        <v>23.51</v>
      </c>
      <c r="K7736">
        <v>28.42</v>
      </c>
      <c r="L7736">
        <v>20.4</v>
      </c>
      <c r="M7736">
        <v>7.61</v>
      </c>
      <c r="N7736">
        <v>0.0</v>
      </c>
      <c r="O7736">
        <v>23.61</v>
      </c>
      <c r="P7736">
        <v>26.84</v>
      </c>
      <c r="Q7736">
        <v>21.9</v>
      </c>
      <c r="R7736">
        <v>6.65</v>
      </c>
    </row>
    <row r="7737">
      <c r="A7737" s="9">
        <v>46268</v>
      </c>
      <c r="B7737" s="2" t="inlineStr">
        <is>
          <t xml:space="preserve">2026-09</t>
        </is>
      </c>
      <c r="C7737" s="2" t="inlineStr">
        <is>
          <t xml:space="preserve">2026/27</t>
        </is>
      </c>
      <c r="D7737">
        <v>25.842</v>
      </c>
      <c r="E7737">
        <v>23.26</v>
      </c>
      <c r="F7737">
        <v>27.89</v>
      </c>
      <c r="G7737">
        <v>20.64</v>
      </c>
      <c r="H7737">
        <v>4.81</v>
      </c>
      <c r="I7737">
        <v>8.492</v>
      </c>
      <c r="J7737">
        <v>22.58</v>
      </c>
      <c r="K7737">
        <v>26.7</v>
      </c>
      <c r="L7737">
        <v>20.43</v>
      </c>
      <c r="M7737">
        <v>4.6</v>
      </c>
      <c r="N7737">
        <v>3.881</v>
      </c>
      <c r="O7737">
        <v>23.17</v>
      </c>
      <c r="P7737">
        <v>26.81</v>
      </c>
      <c r="Q7737">
        <v>21.55</v>
      </c>
      <c r="R7737">
        <v>8.84</v>
      </c>
    </row>
    <row r="7738">
      <c r="A7738" s="9">
        <v>46269</v>
      </c>
      <c r="B7738" s="2" t="inlineStr">
        <is>
          <t xml:space="preserve">2026-09</t>
        </is>
      </c>
      <c r="C7738" s="2" t="inlineStr">
        <is>
          <t xml:space="preserve">2026/27</t>
        </is>
      </c>
      <c r="D7738">
        <v>5.42</v>
      </c>
      <c r="E7738">
        <v>23.28</v>
      </c>
      <c r="F7738">
        <v>28.75</v>
      </c>
      <c r="G7738">
        <v>19.55</v>
      </c>
      <c r="H7738">
        <v>3.79</v>
      </c>
      <c r="I7738">
        <v>0.345</v>
      </c>
      <c r="J7738">
        <v>23.27</v>
      </c>
      <c r="K7738">
        <v>28.64</v>
      </c>
      <c r="L7738">
        <v>20.05</v>
      </c>
      <c r="M7738">
        <v>7.02</v>
      </c>
      <c r="N7738">
        <v>0.497</v>
      </c>
      <c r="O7738">
        <v>23.9</v>
      </c>
      <c r="P7738">
        <v>28.13</v>
      </c>
      <c r="Q7738">
        <v>21.81</v>
      </c>
      <c r="R7738">
        <v>7.74</v>
      </c>
    </row>
    <row r="7739">
      <c r="A7739" s="9">
        <v>46270</v>
      </c>
      <c r="B7739" s="2" t="inlineStr">
        <is>
          <t xml:space="preserve">2026-09</t>
        </is>
      </c>
      <c r="C7739" s="2" t="inlineStr">
        <is>
          <t xml:space="preserve">2026/27</t>
        </is>
      </c>
      <c r="D7739">
        <v>0.725</v>
      </c>
      <c r="E7739">
        <v>23.78</v>
      </c>
      <c r="F7739">
        <v>29.27</v>
      </c>
      <c r="G7739">
        <v>20.14</v>
      </c>
      <c r="H7739">
        <v>1.85</v>
      </c>
      <c r="I7739">
        <v>0.0</v>
      </c>
      <c r="J7739">
        <v>23.55</v>
      </c>
      <c r="K7739">
        <v>28.21</v>
      </c>
      <c r="L7739">
        <v>20.26</v>
      </c>
      <c r="M7739">
        <v>4.04</v>
      </c>
      <c r="N7739">
        <v>1.211</v>
      </c>
      <c r="O7739">
        <v>23.75</v>
      </c>
      <c r="P7739">
        <v>27.31</v>
      </c>
      <c r="Q7739">
        <v>21.79</v>
      </c>
      <c r="R7739">
        <v>4.6</v>
      </c>
    </row>
    <row r="7740">
      <c r="A7740" s="9">
        <v>46271</v>
      </c>
      <c r="B7740" s="2" t="inlineStr">
        <is>
          <t xml:space="preserve">2026-09</t>
        </is>
      </c>
      <c r="C7740" s="2" t="inlineStr">
        <is>
          <t xml:space="preserve">2026/27</t>
        </is>
      </c>
      <c r="D7740">
        <v>0.0</v>
      </c>
      <c r="E7740">
        <v>23.61</v>
      </c>
      <c r="F7740">
        <v>29.21</v>
      </c>
      <c r="G7740">
        <v>19.88</v>
      </c>
      <c r="H7740">
        <v>1.56</v>
      </c>
      <c r="I7740">
        <v>0.0</v>
      </c>
      <c r="J7740">
        <v>23.34</v>
      </c>
      <c r="K7740">
        <v>28.48</v>
      </c>
      <c r="L7740">
        <v>20.38</v>
      </c>
      <c r="M7740">
        <v>3.12</v>
      </c>
      <c r="N7740">
        <v>0.0</v>
      </c>
      <c r="O7740">
        <v>23.67</v>
      </c>
      <c r="P7740">
        <v>27.57</v>
      </c>
      <c r="Q7740">
        <v>21.82</v>
      </c>
      <c r="R7740">
        <v>3.18</v>
      </c>
    </row>
    <row r="7741">
      <c r="A7741" s="9">
        <v>46272</v>
      </c>
      <c r="B7741" s="2" t="inlineStr">
        <is>
          <t xml:space="preserve">2026-09</t>
        </is>
      </c>
      <c r="C7741" s="2" t="inlineStr">
        <is>
          <t xml:space="preserve">2026/27</t>
        </is>
      </c>
      <c r="D7741">
        <v>3.521</v>
      </c>
      <c r="E7741">
        <v>23.43</v>
      </c>
      <c r="F7741">
        <v>29.42</v>
      </c>
      <c r="G7741">
        <v>19.4</v>
      </c>
      <c r="H7741">
        <v>8.28</v>
      </c>
      <c r="I7741">
        <v>0.21</v>
      </c>
      <c r="J7741">
        <v>23.47</v>
      </c>
      <c r="K7741">
        <v>28.57</v>
      </c>
      <c r="L7741">
        <v>20.18</v>
      </c>
      <c r="M7741">
        <v>9.69</v>
      </c>
      <c r="N7741">
        <v>0.158</v>
      </c>
      <c r="O7741">
        <v>23.78</v>
      </c>
      <c r="P7741">
        <v>27.65</v>
      </c>
      <c r="Q7741">
        <v>21.88</v>
      </c>
      <c r="R7741">
        <v>5.88</v>
      </c>
    </row>
    <row r="7742">
      <c r="A7742" s="9">
        <v>46273</v>
      </c>
      <c r="B7742" s="2" t="inlineStr">
        <is>
          <t xml:space="preserve">2026-09</t>
        </is>
      </c>
      <c r="C7742" s="2" t="inlineStr">
        <is>
          <t xml:space="preserve">2026/27</t>
        </is>
      </c>
      <c r="D7742">
        <v>4.181</v>
      </c>
      <c r="E7742">
        <v>23.13</v>
      </c>
      <c r="F7742">
        <v>28.6</v>
      </c>
      <c r="G7742">
        <v>20.31</v>
      </c>
      <c r="H7742">
        <v>3.45</v>
      </c>
      <c r="I7742">
        <v>0.283</v>
      </c>
      <c r="J7742">
        <v>22.98</v>
      </c>
      <c r="K7742">
        <v>28.26</v>
      </c>
      <c r="L7742">
        <v>20.35</v>
      </c>
      <c r="M7742">
        <v>7.13</v>
      </c>
      <c r="N7742">
        <v>0.199</v>
      </c>
      <c r="O7742">
        <v>23.75</v>
      </c>
      <c r="P7742">
        <v>27.54</v>
      </c>
      <c r="Q7742">
        <v>21.53</v>
      </c>
      <c r="R7742">
        <v>4.64</v>
      </c>
    </row>
    <row r="7743">
      <c r="A7743" s="9">
        <v>46274</v>
      </c>
      <c r="B7743" s="2" t="inlineStr">
        <is>
          <t xml:space="preserve">2026-09</t>
        </is>
      </c>
      <c r="C7743" s="2" t="inlineStr">
        <is>
          <t xml:space="preserve">2026/27</t>
        </is>
      </c>
      <c r="D7743">
        <v>0.0</v>
      </c>
      <c r="E7743">
        <v>22.71</v>
      </c>
      <c r="F7743">
        <v>28.46</v>
      </c>
      <c r="G7743">
        <v>19.16</v>
      </c>
      <c r="H7743">
        <v>3.42</v>
      </c>
      <c r="I7743">
        <v>0.0</v>
      </c>
      <c r="J7743">
        <v>22.56</v>
      </c>
      <c r="K7743">
        <v>27.37</v>
      </c>
      <c r="L7743">
        <v>19.88</v>
      </c>
      <c r="M7743">
        <v>3.23</v>
      </c>
      <c r="N7743">
        <v>0.0</v>
      </c>
      <c r="O7743">
        <v>23.32</v>
      </c>
      <c r="P7743">
        <v>26.95</v>
      </c>
      <c r="Q7743">
        <v>21.52</v>
      </c>
      <c r="R7743">
        <v>8.17</v>
      </c>
    </row>
    <row r="7744">
      <c r="A7744" s="9">
        <v>46275</v>
      </c>
      <c r="B7744" s="2" t="inlineStr">
        <is>
          <t xml:space="preserve">2026-09</t>
        </is>
      </c>
      <c r="C7744" s="2" t="inlineStr">
        <is>
          <t xml:space="preserve">2026/27</t>
        </is>
      </c>
      <c r="D7744">
        <v>0.05</v>
      </c>
      <c r="E7744">
        <v>22.82</v>
      </c>
      <c r="F7744">
        <v>28.31</v>
      </c>
      <c r="G7744">
        <v>19.26</v>
      </c>
      <c r="H7744">
        <v>0.74</v>
      </c>
      <c r="I7744">
        <v>0.0</v>
      </c>
      <c r="J7744">
        <v>22.52</v>
      </c>
      <c r="K7744">
        <v>27.4</v>
      </c>
      <c r="L7744">
        <v>19.56</v>
      </c>
      <c r="M7744">
        <v>2.12</v>
      </c>
      <c r="N7744">
        <v>0.0</v>
      </c>
      <c r="O7744">
        <v>23.13</v>
      </c>
      <c r="P7744">
        <v>26.29</v>
      </c>
      <c r="Q7744">
        <v>21.38</v>
      </c>
      <c r="R7744">
        <v>4.64</v>
      </c>
    </row>
    <row r="7745">
      <c r="A7745" s="9">
        <v>46276</v>
      </c>
      <c r="B7745" s="2" t="inlineStr">
        <is>
          <t xml:space="preserve">2026-09</t>
        </is>
      </c>
      <c r="C7745" s="2" t="inlineStr">
        <is>
          <t xml:space="preserve">2026/27</t>
        </is>
      </c>
      <c r="D7745">
        <v>0.0</v>
      </c>
      <c r="E7745">
        <v>23.08</v>
      </c>
      <c r="F7745">
        <v>29.29</v>
      </c>
      <c r="G7745">
        <v>18.68</v>
      </c>
      <c r="H7745">
        <v>3.94</v>
      </c>
      <c r="I7745">
        <v>0.0</v>
      </c>
      <c r="J7745">
        <v>22.83</v>
      </c>
      <c r="K7745">
        <v>27.96</v>
      </c>
      <c r="L7745">
        <v>18.96</v>
      </c>
      <c r="M7745">
        <v>2.19</v>
      </c>
      <c r="N7745">
        <v>0.0</v>
      </c>
      <c r="O7745">
        <v>23.28</v>
      </c>
      <c r="P7745">
        <v>26.98</v>
      </c>
      <c r="Q7745">
        <v>21.01</v>
      </c>
      <c r="R7745">
        <v>3.23</v>
      </c>
    </row>
    <row r="7746">
      <c r="A7746" s="9">
        <v>46277</v>
      </c>
      <c r="B7746" s="2" t="inlineStr">
        <is>
          <t xml:space="preserve">2026-09</t>
        </is>
      </c>
      <c r="C7746" s="2" t="inlineStr">
        <is>
          <t xml:space="preserve">2026/27</t>
        </is>
      </c>
      <c r="D7746">
        <v>0.053</v>
      </c>
      <c r="E7746">
        <v>23.16</v>
      </c>
      <c r="F7746">
        <v>29.0</v>
      </c>
      <c r="G7746">
        <v>20.0</v>
      </c>
      <c r="H7746">
        <v>6.76</v>
      </c>
      <c r="I7746">
        <v>0.0</v>
      </c>
      <c r="J7746">
        <v>23.3</v>
      </c>
      <c r="K7746">
        <v>28.46</v>
      </c>
      <c r="L7746">
        <v>19.7</v>
      </c>
      <c r="M7746">
        <v>6.02</v>
      </c>
      <c r="N7746">
        <v>0.271</v>
      </c>
      <c r="O7746">
        <v>23.74</v>
      </c>
      <c r="P7746">
        <v>27.5</v>
      </c>
      <c r="Q7746">
        <v>21.53</v>
      </c>
      <c r="R7746">
        <v>8.89</v>
      </c>
    </row>
    <row r="7747">
      <c r="A7747" s="9">
        <v>46278</v>
      </c>
      <c r="B7747" s="2" t="inlineStr">
        <is>
          <t xml:space="preserve">2026-09</t>
        </is>
      </c>
      <c r="C7747" s="2" t="inlineStr">
        <is>
          <t xml:space="preserve">2026/27</t>
        </is>
      </c>
      <c r="D7747">
        <v>0.043</v>
      </c>
      <c r="E7747">
        <v>23.21</v>
      </c>
      <c r="F7747">
        <v>28.7</v>
      </c>
      <c r="G7747">
        <v>20.05</v>
      </c>
      <c r="H7747">
        <v>1.45</v>
      </c>
      <c r="I7747">
        <v>0.319</v>
      </c>
      <c r="J7747">
        <v>23.28</v>
      </c>
      <c r="K7747">
        <v>27.94</v>
      </c>
      <c r="L7747">
        <v>20.16</v>
      </c>
      <c r="M7747">
        <v>2.57</v>
      </c>
      <c r="N7747">
        <v>0.406</v>
      </c>
      <c r="O7747">
        <v>23.52</v>
      </c>
      <c r="P7747">
        <v>27.12</v>
      </c>
      <c r="Q7747">
        <v>20.85</v>
      </c>
      <c r="R7747">
        <v>5.63</v>
      </c>
    </row>
    <row r="7748">
      <c r="A7748" s="9">
        <v>46279</v>
      </c>
      <c r="B7748" s="2" t="inlineStr">
        <is>
          <t xml:space="preserve">2026-09</t>
        </is>
      </c>
      <c r="C7748" s="2" t="inlineStr">
        <is>
          <t xml:space="preserve">2026/27</t>
        </is>
      </c>
      <c r="D7748">
        <v>0.043</v>
      </c>
      <c r="E7748">
        <v>22.01</v>
      </c>
      <c r="F7748">
        <v>27.15</v>
      </c>
      <c r="G7748">
        <v>18.68</v>
      </c>
      <c r="H7748">
        <v>9.0</v>
      </c>
      <c r="I7748">
        <v>0.135</v>
      </c>
      <c r="J7748">
        <v>21.96</v>
      </c>
      <c r="K7748">
        <v>26.31</v>
      </c>
      <c r="L7748">
        <v>19.48</v>
      </c>
      <c r="M7748">
        <v>7.7</v>
      </c>
      <c r="N7748">
        <v>0.23</v>
      </c>
      <c r="O7748">
        <v>22.56</v>
      </c>
      <c r="P7748">
        <v>25.95</v>
      </c>
      <c r="Q7748">
        <v>20.82</v>
      </c>
      <c r="R7748">
        <v>13.61</v>
      </c>
    </row>
    <row r="7749">
      <c r="A7749" s="9">
        <v>46280</v>
      </c>
      <c r="B7749" s="2" t="inlineStr">
        <is>
          <t xml:space="preserve">2026-09</t>
        </is>
      </c>
      <c r="C7749" s="2" t="inlineStr">
        <is>
          <t xml:space="preserve">2026/27</t>
        </is>
      </c>
      <c r="D7749">
        <v>3.86</v>
      </c>
      <c r="E7749">
        <v>22.11</v>
      </c>
      <c r="F7749">
        <v>27.52</v>
      </c>
      <c r="G7749">
        <v>19.19</v>
      </c>
      <c r="H7749">
        <v>7.09</v>
      </c>
      <c r="I7749">
        <v>2.243</v>
      </c>
      <c r="J7749">
        <v>21.84</v>
      </c>
      <c r="K7749">
        <v>26.58</v>
      </c>
      <c r="L7749">
        <v>19.23</v>
      </c>
      <c r="M7749">
        <v>5.52</v>
      </c>
      <c r="N7749">
        <v>0.856</v>
      </c>
      <c r="O7749">
        <v>22.43</v>
      </c>
      <c r="P7749">
        <v>25.71</v>
      </c>
      <c r="Q7749">
        <v>20.95</v>
      </c>
      <c r="R7749">
        <v>8.7</v>
      </c>
    </row>
    <row r="7750">
      <c r="A7750" s="9">
        <v>46281</v>
      </c>
      <c r="B7750" s="2" t="inlineStr">
        <is>
          <t xml:space="preserve">2026-09</t>
        </is>
      </c>
      <c r="C7750" s="2" t="inlineStr">
        <is>
          <t xml:space="preserve">2026/27</t>
        </is>
      </c>
      <c r="D7750">
        <v>3.976</v>
      </c>
      <c r="E7750">
        <v>22.02</v>
      </c>
      <c r="F7750">
        <v>27.52</v>
      </c>
      <c r="G7750">
        <v>19.17</v>
      </c>
      <c r="H7750">
        <v>7.21</v>
      </c>
      <c r="I7750">
        <v>4.065</v>
      </c>
      <c r="J7750">
        <v>21.78</v>
      </c>
      <c r="K7750">
        <v>26.2</v>
      </c>
      <c r="L7750">
        <v>18.59</v>
      </c>
      <c r="M7750">
        <v>6.45</v>
      </c>
      <c r="N7750">
        <v>1.411</v>
      </c>
      <c r="O7750">
        <v>22.46</v>
      </c>
      <c r="P7750">
        <v>25.45</v>
      </c>
      <c r="Q7750">
        <v>20.72</v>
      </c>
      <c r="R7750">
        <v>9.32</v>
      </c>
    </row>
    <row r="7751">
      <c r="A7751" s="9">
        <v>46282</v>
      </c>
      <c r="B7751" s="2" t="inlineStr">
        <is>
          <t xml:space="preserve">2026-09</t>
        </is>
      </c>
      <c r="C7751" s="2" t="inlineStr">
        <is>
          <t xml:space="preserve">2026/27</t>
        </is>
      </c>
      <c r="D7751">
        <v>7.757</v>
      </c>
      <c r="E7751">
        <v>21.95</v>
      </c>
      <c r="F7751">
        <v>26.88</v>
      </c>
      <c r="G7751">
        <v>19.14</v>
      </c>
      <c r="H7751">
        <v>11.46</v>
      </c>
      <c r="I7751">
        <v>7.097</v>
      </c>
      <c r="J7751">
        <v>22.14</v>
      </c>
      <c r="K7751">
        <v>26.61</v>
      </c>
      <c r="L7751">
        <v>19.26</v>
      </c>
      <c r="M7751">
        <v>9.15</v>
      </c>
      <c r="N7751">
        <v>2.698</v>
      </c>
      <c r="O7751">
        <v>22.7</v>
      </c>
      <c r="P7751">
        <v>25.69</v>
      </c>
      <c r="Q7751">
        <v>21.0</v>
      </c>
      <c r="R7751">
        <v>15.59</v>
      </c>
    </row>
    <row r="7752">
      <c r="A7752" s="9">
        <v>46283</v>
      </c>
      <c r="B7752" s="2" t="inlineStr">
        <is>
          <t xml:space="preserve">2026-09</t>
        </is>
      </c>
      <c r="C7752" s="2" t="inlineStr">
        <is>
          <t xml:space="preserve">2026/27</t>
        </is>
      </c>
      <c r="D7752">
        <v>4.074</v>
      </c>
      <c r="E7752">
        <v>21.99</v>
      </c>
      <c r="F7752">
        <v>27.19</v>
      </c>
      <c r="G7752">
        <v>19.39</v>
      </c>
      <c r="H7752">
        <v>8.99</v>
      </c>
      <c r="I7752">
        <v>1.467</v>
      </c>
      <c r="J7752">
        <v>21.61</v>
      </c>
      <c r="K7752">
        <v>26.18</v>
      </c>
      <c r="L7752">
        <v>19.14</v>
      </c>
      <c r="M7752">
        <v>7.9</v>
      </c>
      <c r="N7752">
        <v>1.126</v>
      </c>
      <c r="O7752">
        <v>22.16</v>
      </c>
      <c r="P7752">
        <v>25.03</v>
      </c>
      <c r="Q7752">
        <v>20.61</v>
      </c>
      <c r="R7752">
        <v>11.13</v>
      </c>
    </row>
    <row r="7753">
      <c r="A7753" s="9">
        <v>46284</v>
      </c>
      <c r="B7753" s="2" t="inlineStr">
        <is>
          <t xml:space="preserve">2026-09</t>
        </is>
      </c>
      <c r="C7753" s="2" t="inlineStr">
        <is>
          <t xml:space="preserve">2026/27</t>
        </is>
      </c>
      <c r="D7753">
        <v>5.327</v>
      </c>
      <c r="E7753">
        <v>22.64</v>
      </c>
      <c r="F7753">
        <v>28.11</v>
      </c>
      <c r="G7753">
        <v>19.05</v>
      </c>
      <c r="H7753">
        <v>10.3</v>
      </c>
      <c r="I7753">
        <v>4.788</v>
      </c>
      <c r="J7753">
        <v>22.97</v>
      </c>
      <c r="K7753">
        <v>27.69</v>
      </c>
      <c r="L7753">
        <v>19.07</v>
      </c>
      <c r="M7753">
        <v>8.62</v>
      </c>
      <c r="N7753">
        <v>4.208</v>
      </c>
      <c r="O7753">
        <v>23.18</v>
      </c>
      <c r="P7753">
        <v>26.78</v>
      </c>
      <c r="Q7753">
        <v>20.88</v>
      </c>
      <c r="R7753">
        <v>6.16</v>
      </c>
    </row>
    <row r="7754">
      <c r="A7754" s="9">
        <v>46285</v>
      </c>
      <c r="B7754" s="2" t="inlineStr">
        <is>
          <t xml:space="preserve">2026-09</t>
        </is>
      </c>
      <c r="C7754" s="2" t="inlineStr">
        <is>
          <t xml:space="preserve">2026/27</t>
        </is>
      </c>
      <c r="D7754">
        <v>10.938</v>
      </c>
      <c r="E7754">
        <v>22.58</v>
      </c>
      <c r="F7754">
        <v>25.74</v>
      </c>
      <c r="G7754">
        <v>20.22</v>
      </c>
      <c r="H7754">
        <v>10.66</v>
      </c>
      <c r="I7754">
        <v>13.679</v>
      </c>
      <c r="J7754">
        <v>23.23</v>
      </c>
      <c r="K7754">
        <v>26.87</v>
      </c>
      <c r="L7754">
        <v>20.72</v>
      </c>
      <c r="M7754">
        <v>11.01</v>
      </c>
      <c r="N7754">
        <v>10.582</v>
      </c>
      <c r="O7754">
        <v>23.25</v>
      </c>
      <c r="P7754">
        <v>25.61</v>
      </c>
      <c r="Q7754">
        <v>21.97</v>
      </c>
      <c r="R7754">
        <v>8.53</v>
      </c>
    </row>
    <row r="7755">
      <c r="A7755" s="9">
        <v>46286</v>
      </c>
      <c r="B7755" s="2" t="inlineStr">
        <is>
          <t xml:space="preserve">2026-09</t>
        </is>
      </c>
      <c r="C7755" s="2" t="inlineStr">
        <is>
          <t xml:space="preserve">2026/27</t>
        </is>
      </c>
      <c r="D7755">
        <v>12.117</v>
      </c>
      <c r="E7755">
        <v>22.35</v>
      </c>
      <c r="F7755">
        <v>26.4</v>
      </c>
      <c r="G7755">
        <v>20.33</v>
      </c>
      <c r="H7755">
        <v>14.44</v>
      </c>
      <c r="I7755">
        <v>2.456</v>
      </c>
      <c r="J7755">
        <v>22.19</v>
      </c>
      <c r="K7755">
        <v>24.34</v>
      </c>
      <c r="L7755">
        <v>20.86</v>
      </c>
      <c r="M7755">
        <v>36.25</v>
      </c>
      <c r="N7755">
        <v>1.627</v>
      </c>
      <c r="O7755">
        <v>23.75</v>
      </c>
      <c r="P7755">
        <v>27.29</v>
      </c>
      <c r="Q7755">
        <v>21.87</v>
      </c>
      <c r="R7755">
        <v>20.46</v>
      </c>
    </row>
    <row r="7756">
      <c r="A7756" s="9">
        <v>46287</v>
      </c>
      <c r="B7756" s="2" t="inlineStr">
        <is>
          <t xml:space="preserve">2026-09</t>
        </is>
      </c>
      <c r="C7756" s="2" t="inlineStr">
        <is>
          <t xml:space="preserve">2026/27</t>
        </is>
      </c>
      <c r="D7756">
        <v>1.456</v>
      </c>
      <c r="E7756">
        <v>21.61</v>
      </c>
      <c r="F7756">
        <v>24.95</v>
      </c>
      <c r="G7756">
        <v>19.66</v>
      </c>
      <c r="H7756">
        <v>8.74</v>
      </c>
      <c r="I7756">
        <v>2.807</v>
      </c>
      <c r="J7756">
        <v>22.38</v>
      </c>
      <c r="K7756">
        <v>26.02</v>
      </c>
      <c r="L7756">
        <v>20.39</v>
      </c>
      <c r="M7756">
        <v>29.19</v>
      </c>
      <c r="N7756">
        <v>3.499</v>
      </c>
      <c r="O7756">
        <v>23.42</v>
      </c>
      <c r="P7756">
        <v>25.88</v>
      </c>
      <c r="Q7756">
        <v>22.13</v>
      </c>
      <c r="R7756">
        <v>11.71</v>
      </c>
    </row>
  </sheetData>
  <mergeCells count="3">
    <mergeCell ref="D1:H1"/>
    <mergeCell ref="I1:M1"/>
    <mergeCell ref="N1:R1"/>
  </mergeCells>
</worksheet>
</file>

<file path=xl/worksheets/sheet10.xml><?xml version="1.0" encoding="utf-8"?>
<worksheet xmlns="http://schemas.openxmlformats.org/spreadsheetml/2006/main" xmlns:r="http://schemas.openxmlformats.org/officeDocument/2006/relationships">
  <sheetViews>
    <sheetView workbookViewId="0">
      <pane xSplit="1" ySplit="1" topLeftCell="B2" activePane="bottomRight" state="frozen"/>
    </sheetView>
  </sheetViews>
  <sheetFormatPr defaultRowHeight="13.2"/>
  <cols>
    <col min="1" max="1" width="12" customWidth="1"/>
    <col min="2" max="2" width="7" customWidth="1"/>
    <col min="3" max="3" width="8" customWidth="1"/>
    <col min="4" max="4" width="8" customWidth="1"/>
    <col min="5" max="5" width="20" customWidth="1"/>
    <col min="6" max="6" width="11" customWidth="1"/>
    <col min="7" max="7" width="13" customWidth="1"/>
    <col min="8" max="8" width="11" customWidth="1"/>
    <col min="9" max="9" width="11" customWidth="1"/>
    <col min="10" max="10" width="11" customWidth="1"/>
    <col min="11" max="11" width="10" customWidth="1"/>
    <col min="12" max="12" width="18" customWidth="1"/>
    <col min="13" max="13" width="12" customWidth="1"/>
  </cols>
  <sheetData>
    <row r="1">
      <c r="A1" s="1" t="inlineStr">
        <is>
          <t xml:space="preserve">Key (year-centre month)</t>
        </is>
      </c>
      <c r="B1" s="1" t="inlineStr">
        <is>
          <t xml:space="preserve">Year</t>
        </is>
      </c>
      <c r="C1" s="1" t="inlineStr">
        <is>
          <t xml:space="preserve">Centre month</t>
        </is>
      </c>
      <c r="D1" s="1" t="inlineStr">
        <is>
          <t xml:space="preserve">NOAA period</t>
        </is>
      </c>
      <c r="E1" s="1" t="inlineStr">
        <is>
          <t xml:space="preserve">Months covered</t>
        </is>
      </c>
      <c r="F1" s="1" t="inlineStr">
        <is>
          <t xml:space="preserve">ONI (°C, as published)</t>
        </is>
      </c>
      <c r="G1" s="1" t="inlineStr">
        <is>
          <t xml:space="preserve">ONI rounded to 0.1 (as in the NOAA table)</t>
        </is>
      </c>
      <c r="H1" s="1" t="inlineStr">
        <is>
          <t xml:space="preserve">Threshold state (±0.5)</t>
        </is>
      </c>
      <c r="I1" s="1" t="inlineStr">
        <is>
          <t xml:space="preserve">Periods in run, counted forward</t>
        </is>
      </c>
      <c r="J1" s="1" t="inlineStr">
        <is>
          <t xml:space="preserve">Periods in run, counted back</t>
        </is>
      </c>
      <c r="K1" s="1" t="inlineStr">
        <is>
          <t xml:space="preserve">Run length (periods)</t>
        </is>
      </c>
      <c r="L1" s="1" t="inlineStr">
        <is>
          <t xml:space="preserve">Official ENSO episode</t>
        </is>
      </c>
      <c r="M1" s="1" t="inlineStr">
        <is>
          <t xml:space="preserve">Coffee season (Jul–Jun) of the centre month</t>
        </is>
      </c>
    </row>
    <row r="2">
      <c r="A2" s="2" t="inlineStr">
        <is>
          <t xml:space="preserve">1950-01</t>
        </is>
      </c>
      <c r="B2" s="2">
        <v>1950</v>
      </c>
      <c r="C2" s="2">
        <v>1</v>
      </c>
      <c r="D2" s="2" t="inlineStr">
        <is>
          <t xml:space="preserve">DJF</t>
        </is>
      </c>
      <c r="E2" t="inlineStr">
        <is>
          <t xml:space="preserve">Dec 1949 – Feb 1950</t>
        </is>
      </c>
      <c r="F2" s="3">
        <v>-1.32</v>
      </c>
      <c r="G2" s="4">
        <f>ROUND(F2,1)</f>
        <v>-1.3</v>
      </c>
      <c r="H2" s="2" t="str">
        <f>IF(G2&gt;=0.5,"warm",IF(G2&lt;=-0.5,"cold","neutral"))</f>
        <v>cold</v>
      </c>
      <c r="I2" s="2">
        <f>1</f>
        <v>1</v>
      </c>
      <c r="J2" s="2">
        <f>IF(H2=H3,J3+1,1)</f>
        <v>13</v>
      </c>
      <c r="K2" s="2">
        <f>I2+J2-1</f>
        <v>13</v>
      </c>
      <c r="L2" s="5" t="str">
        <f>IF(H2="neutral","—",IF(K2&gt;=5,IF(H2="warm","El Niño","La Niña"),IF(ROW()+J2-1=920,IF(H2="warm","El Niño (ongoing)","La Niña (ongoing)"),"—")))</f>
        <v>La Niña</v>
      </c>
      <c r="M2" s="2" t="inlineStr">
        <is>
          <t xml:space="preserve">1949/50</t>
        </is>
      </c>
    </row>
    <row r="3">
      <c r="A3" s="2" t="inlineStr">
        <is>
          <t xml:space="preserve">1950-02</t>
        </is>
      </c>
      <c r="B3" s="2">
        <v>1950</v>
      </c>
      <c r="C3" s="2">
        <v>2</v>
      </c>
      <c r="D3" s="2" t="inlineStr">
        <is>
          <t xml:space="preserve">JFM</t>
        </is>
      </c>
      <c r="E3" t="inlineStr">
        <is>
          <t xml:space="preserve">Jan 1950 – Mar 1950</t>
        </is>
      </c>
      <c r="F3" s="3">
        <v>-1.2</v>
      </c>
      <c r="G3" s="4">
        <f>ROUND(F3,1)</f>
        <v>-1.2</v>
      </c>
      <c r="H3" s="2" t="str">
        <f>IF(G3&gt;=0.5,"warm",IF(G3&lt;=-0.5,"cold","neutral"))</f>
        <v>cold</v>
      </c>
      <c r="I3" s="2">
        <f>IF(H3=H2,I2+1,1)</f>
        <v>2</v>
      </c>
      <c r="J3" s="2">
        <f>IF(H3=H4,J4+1,1)</f>
        <v>12</v>
      </c>
      <c r="K3" s="2">
        <f>I3+J3-1</f>
        <v>13</v>
      </c>
      <c r="L3" s="5" t="str">
        <f>IF(H3="neutral","—",IF(K3&gt;=5,IF(H3="warm","El Niño","La Niña"),IF(ROW()+J3-1=920,IF(H3="warm","El Niño (ongoing)","La Niña (ongoing)"),"—")))</f>
        <v>La Niña</v>
      </c>
      <c r="M3" s="2" t="inlineStr">
        <is>
          <t xml:space="preserve">1949/50</t>
        </is>
      </c>
    </row>
    <row r="4">
      <c r="A4" s="2" t="inlineStr">
        <is>
          <t xml:space="preserve">1950-03</t>
        </is>
      </c>
      <c r="B4" s="2">
        <v>1950</v>
      </c>
      <c r="C4" s="2">
        <v>3</v>
      </c>
      <c r="D4" s="2" t="inlineStr">
        <is>
          <t xml:space="preserve">FMA</t>
        </is>
      </c>
      <c r="E4" t="inlineStr">
        <is>
          <t xml:space="preserve">Feb 1950 – Apr 1950</t>
        </is>
      </c>
      <c r="F4" s="3">
        <v>-1.12</v>
      </c>
      <c r="G4" s="4">
        <f>ROUND(F4,1)</f>
        <v>-1.1</v>
      </c>
      <c r="H4" s="2" t="str">
        <f>IF(G4&gt;=0.5,"warm",IF(G4&lt;=-0.5,"cold","neutral"))</f>
        <v>cold</v>
      </c>
      <c r="I4" s="2">
        <f>IF(H4=H3,I3+1,1)</f>
        <v>3</v>
      </c>
      <c r="J4" s="2">
        <f>IF(H4=H5,J5+1,1)</f>
        <v>11</v>
      </c>
      <c r="K4" s="2">
        <f>I4+J4-1</f>
        <v>13</v>
      </c>
      <c r="L4" s="5" t="str">
        <f>IF(H4="neutral","—",IF(K4&gt;=5,IF(H4="warm","El Niño","La Niña"),IF(ROW()+J4-1=920,IF(H4="warm","El Niño (ongoing)","La Niña (ongoing)"),"—")))</f>
        <v>La Niña</v>
      </c>
      <c r="M4" s="2" t="inlineStr">
        <is>
          <t xml:space="preserve">1949/50</t>
        </is>
      </c>
    </row>
    <row r="5">
      <c r="A5" s="2" t="inlineStr">
        <is>
          <t xml:space="preserve">1950-04</t>
        </is>
      </c>
      <c r="B5" s="2">
        <v>1950</v>
      </c>
      <c r="C5" s="2">
        <v>4</v>
      </c>
      <c r="D5" s="2" t="inlineStr">
        <is>
          <t xml:space="preserve">MAM</t>
        </is>
      </c>
      <c r="E5" t="inlineStr">
        <is>
          <t xml:space="preserve">Mar 1950 – May 1950</t>
        </is>
      </c>
      <c r="F5" s="3">
        <v>-1.08</v>
      </c>
      <c r="G5" s="4">
        <f>ROUND(F5,1)</f>
        <v>-1.1</v>
      </c>
      <c r="H5" s="2" t="str">
        <f>IF(G5&gt;=0.5,"warm",IF(G5&lt;=-0.5,"cold","neutral"))</f>
        <v>cold</v>
      </c>
      <c r="I5" s="2">
        <f>IF(H5=H4,I4+1,1)</f>
        <v>4</v>
      </c>
      <c r="J5" s="2">
        <f>IF(H5=H6,J6+1,1)</f>
        <v>10</v>
      </c>
      <c r="K5" s="2">
        <f>I5+J5-1</f>
        <v>13</v>
      </c>
      <c r="L5" s="5" t="str">
        <f>IF(H5="neutral","—",IF(K5&gt;=5,IF(H5="warm","El Niño","La Niña"),IF(ROW()+J5-1=920,IF(H5="warm","El Niño (ongoing)","La Niña (ongoing)"),"—")))</f>
        <v>La Niña</v>
      </c>
      <c r="M5" s="2" t="inlineStr">
        <is>
          <t xml:space="preserve">1949/50</t>
        </is>
      </c>
    </row>
    <row r="6">
      <c r="A6" s="2" t="inlineStr">
        <is>
          <t xml:space="preserve">1950-05</t>
        </is>
      </c>
      <c r="B6" s="2">
        <v>1950</v>
      </c>
      <c r="C6" s="2">
        <v>5</v>
      </c>
      <c r="D6" s="2" t="inlineStr">
        <is>
          <t xml:space="preserve">AMJ</t>
        </is>
      </c>
      <c r="E6" t="inlineStr">
        <is>
          <t xml:space="preserve">Apr 1950 – Jun 1950</t>
        </is>
      </c>
      <c r="F6" s="3">
        <v>-1.1</v>
      </c>
      <c r="G6" s="4">
        <f>ROUND(F6,1)</f>
        <v>-1.1</v>
      </c>
      <c r="H6" s="2" t="str">
        <f>IF(G6&gt;=0.5,"warm",IF(G6&lt;=-0.5,"cold","neutral"))</f>
        <v>cold</v>
      </c>
      <c r="I6" s="2">
        <f>IF(H6=H5,I5+1,1)</f>
        <v>5</v>
      </c>
      <c r="J6" s="2">
        <f>IF(H6=H7,J7+1,1)</f>
        <v>9</v>
      </c>
      <c r="K6" s="2">
        <f>I6+J6-1</f>
        <v>13</v>
      </c>
      <c r="L6" s="5" t="str">
        <f>IF(H6="neutral","—",IF(K6&gt;=5,IF(H6="warm","El Niño","La Niña"),IF(ROW()+J6-1=920,IF(H6="warm","El Niño (ongoing)","La Niña (ongoing)"),"—")))</f>
        <v>La Niña</v>
      </c>
      <c r="M6" s="2" t="inlineStr">
        <is>
          <t xml:space="preserve">1949/50</t>
        </is>
      </c>
    </row>
    <row r="7">
      <c r="A7" s="2" t="inlineStr">
        <is>
          <t xml:space="preserve">1950-06</t>
        </is>
      </c>
      <c r="B7" s="2">
        <v>1950</v>
      </c>
      <c r="C7" s="2">
        <v>6</v>
      </c>
      <c r="D7" s="2" t="inlineStr">
        <is>
          <t xml:space="preserve">MJJ</t>
        </is>
      </c>
      <c r="E7" t="inlineStr">
        <is>
          <t xml:space="preserve">May 1950 – Jul 1950</t>
        </is>
      </c>
      <c r="F7" s="3">
        <v>-0.9</v>
      </c>
      <c r="G7" s="4">
        <f>ROUND(F7,1)</f>
        <v>-0.9</v>
      </c>
      <c r="H7" s="2" t="str">
        <f>IF(G7&gt;=0.5,"warm",IF(G7&lt;=-0.5,"cold","neutral"))</f>
        <v>cold</v>
      </c>
      <c r="I7" s="2">
        <f>IF(H7=H6,I6+1,1)</f>
        <v>6</v>
      </c>
      <c r="J7" s="2">
        <f>IF(H7=H8,J8+1,1)</f>
        <v>8</v>
      </c>
      <c r="K7" s="2">
        <f>I7+J7-1</f>
        <v>13</v>
      </c>
      <c r="L7" s="5" t="str">
        <f>IF(H7="neutral","—",IF(K7&gt;=5,IF(H7="warm","El Niño","La Niña"),IF(ROW()+J7-1=920,IF(H7="warm","El Niño (ongoing)","La Niña (ongoing)"),"—")))</f>
        <v>La Niña</v>
      </c>
      <c r="M7" s="2" t="inlineStr">
        <is>
          <t xml:space="preserve">1949/50</t>
        </is>
      </c>
    </row>
    <row r="8">
      <c r="A8" s="2" t="inlineStr">
        <is>
          <t xml:space="preserve">1950-07</t>
        </is>
      </c>
      <c r="B8" s="2">
        <v>1950</v>
      </c>
      <c r="C8" s="2">
        <v>7</v>
      </c>
      <c r="D8" s="2" t="inlineStr">
        <is>
          <t xml:space="preserve">JJA</t>
        </is>
      </c>
      <c r="E8" t="inlineStr">
        <is>
          <t xml:space="preserve">Jun 1950 – Aug 1950</t>
        </is>
      </c>
      <c r="F8" s="3">
        <v>-0.62</v>
      </c>
      <c r="G8" s="4">
        <f>ROUND(F8,1)</f>
        <v>-0.6</v>
      </c>
      <c r="H8" s="2" t="str">
        <f>IF(G8&gt;=0.5,"warm",IF(G8&lt;=-0.5,"cold","neutral"))</f>
        <v>cold</v>
      </c>
      <c r="I8" s="2">
        <f>IF(H8=H7,I7+1,1)</f>
        <v>7</v>
      </c>
      <c r="J8" s="2">
        <f>IF(H8=H9,J9+1,1)</f>
        <v>7</v>
      </c>
      <c r="K8" s="2">
        <f>I8+J8-1</f>
        <v>13</v>
      </c>
      <c r="L8" s="5" t="str">
        <f>IF(H8="neutral","—",IF(K8&gt;=5,IF(H8="warm","El Niño","La Niña"),IF(ROW()+J8-1=920,IF(H8="warm","El Niño (ongoing)","La Niña (ongoing)"),"—")))</f>
        <v>La Niña</v>
      </c>
      <c r="M8" s="2" t="inlineStr">
        <is>
          <t xml:space="preserve">1950/51</t>
        </is>
      </c>
    </row>
    <row r="9">
      <c r="A9" s="2" t="inlineStr">
        <is>
          <t xml:space="preserve">1950-08</t>
        </is>
      </c>
      <c r="B9" s="2">
        <v>1950</v>
      </c>
      <c r="C9" s="2">
        <v>8</v>
      </c>
      <c r="D9" s="2" t="inlineStr">
        <is>
          <t xml:space="preserve">JAS</t>
        </is>
      </c>
      <c r="E9" t="inlineStr">
        <is>
          <t xml:space="preserve">Jul 1950 – Sep 1950</t>
        </is>
      </c>
      <c r="F9" s="3">
        <v>-0.57</v>
      </c>
      <c r="G9" s="4">
        <f>ROUND(F9,1)</f>
        <v>-0.6</v>
      </c>
      <c r="H9" s="2" t="str">
        <f>IF(G9&gt;=0.5,"warm",IF(G9&lt;=-0.5,"cold","neutral"))</f>
        <v>cold</v>
      </c>
      <c r="I9" s="2">
        <f>IF(H9=H8,I8+1,1)</f>
        <v>8</v>
      </c>
      <c r="J9" s="2">
        <f>IF(H9=H10,J10+1,1)</f>
        <v>6</v>
      </c>
      <c r="K9" s="2">
        <f>I9+J9-1</f>
        <v>13</v>
      </c>
      <c r="L9" s="5" t="str">
        <f>IF(H9="neutral","—",IF(K9&gt;=5,IF(H9="warm","El Niño","La Niña"),IF(ROW()+J9-1=920,IF(H9="warm","El Niño (ongoing)","La Niña (ongoing)"),"—")))</f>
        <v>La Niña</v>
      </c>
      <c r="M9" s="2" t="inlineStr">
        <is>
          <t xml:space="preserve">1950/51</t>
        </is>
      </c>
    </row>
    <row r="10">
      <c r="A10" s="2" t="inlineStr">
        <is>
          <t xml:space="preserve">1950-09</t>
        </is>
      </c>
      <c r="B10" s="2">
        <v>1950</v>
      </c>
      <c r="C10" s="2">
        <v>9</v>
      </c>
      <c r="D10" s="2" t="inlineStr">
        <is>
          <t xml:space="preserve">ASO</t>
        </is>
      </c>
      <c r="E10" t="inlineStr">
        <is>
          <t xml:space="preserve">Aug 1950 – Oct 1950</t>
        </is>
      </c>
      <c r="F10" s="3">
        <v>-0.56</v>
      </c>
      <c r="G10" s="4">
        <f>ROUND(F10,1)</f>
        <v>-0.6</v>
      </c>
      <c r="H10" s="2" t="str">
        <f>IF(G10&gt;=0.5,"warm",IF(G10&lt;=-0.5,"cold","neutral"))</f>
        <v>cold</v>
      </c>
      <c r="I10" s="2">
        <f>IF(H10=H9,I9+1,1)</f>
        <v>9</v>
      </c>
      <c r="J10" s="2">
        <f>IF(H10=H11,J11+1,1)</f>
        <v>5</v>
      </c>
      <c r="K10" s="2">
        <f>I10+J10-1</f>
        <v>13</v>
      </c>
      <c r="L10" s="5" t="str">
        <f>IF(H10="neutral","—",IF(K10&gt;=5,IF(H10="warm","El Niño","La Niña"),IF(ROW()+J10-1=920,IF(H10="warm","El Niño (ongoing)","La Niña (ongoing)"),"—")))</f>
        <v>La Niña</v>
      </c>
      <c r="M10" s="2" t="inlineStr">
        <is>
          <t xml:space="preserve">1950/51</t>
        </is>
      </c>
    </row>
    <row r="11">
      <c r="A11" s="2" t="inlineStr">
        <is>
          <t xml:space="preserve">1950-10</t>
        </is>
      </c>
      <c r="B11" s="2">
        <v>1950</v>
      </c>
      <c r="C11" s="2">
        <v>10</v>
      </c>
      <c r="D11" s="2" t="inlineStr">
        <is>
          <t xml:space="preserve">SON</t>
        </is>
      </c>
      <c r="E11" t="inlineStr">
        <is>
          <t xml:space="preserve">Sep 1950 – Nov 1950</t>
        </is>
      </c>
      <c r="F11" s="3">
        <v>-0.62</v>
      </c>
      <c r="G11" s="4">
        <f>ROUND(F11,1)</f>
        <v>-0.6</v>
      </c>
      <c r="H11" s="2" t="str">
        <f>IF(G11&gt;=0.5,"warm",IF(G11&lt;=-0.5,"cold","neutral"))</f>
        <v>cold</v>
      </c>
      <c r="I11" s="2">
        <f>IF(H11=H10,I10+1,1)</f>
        <v>10</v>
      </c>
      <c r="J11" s="2">
        <f>IF(H11=H12,J12+1,1)</f>
        <v>4</v>
      </c>
      <c r="K11" s="2">
        <f>I11+J11-1</f>
        <v>13</v>
      </c>
      <c r="L11" s="5" t="str">
        <f>IF(H11="neutral","—",IF(K11&gt;=5,IF(H11="warm","El Niño","La Niña"),IF(ROW()+J11-1=920,IF(H11="warm","El Niño (ongoing)","La Niña (ongoing)"),"—")))</f>
        <v>La Niña</v>
      </c>
      <c r="M11" s="2" t="inlineStr">
        <is>
          <t xml:space="preserve">1950/51</t>
        </is>
      </c>
    </row>
    <row r="12">
      <c r="A12" s="2" t="inlineStr">
        <is>
          <t xml:space="preserve">1950-11</t>
        </is>
      </c>
      <c r="B12" s="2">
        <v>1950</v>
      </c>
      <c r="C12" s="2">
        <v>11</v>
      </c>
      <c r="D12" s="2" t="inlineStr">
        <is>
          <t xml:space="preserve">OND</t>
        </is>
      </c>
      <c r="E12" t="inlineStr">
        <is>
          <t xml:space="preserve">Oct 1950 – Dec 1950</t>
        </is>
      </c>
      <c r="F12" s="3">
        <v>-0.66</v>
      </c>
      <c r="G12" s="4">
        <f>ROUND(F12,1)</f>
        <v>-0.7</v>
      </c>
      <c r="H12" s="2" t="str">
        <f>IF(G12&gt;=0.5,"warm",IF(G12&lt;=-0.5,"cold","neutral"))</f>
        <v>cold</v>
      </c>
      <c r="I12" s="2">
        <f>IF(H12=H11,I11+1,1)</f>
        <v>11</v>
      </c>
      <c r="J12" s="2">
        <f>IF(H12=H13,J13+1,1)</f>
        <v>3</v>
      </c>
      <c r="K12" s="2">
        <f>I12+J12-1</f>
        <v>13</v>
      </c>
      <c r="L12" s="5" t="str">
        <f>IF(H12="neutral","—",IF(K12&gt;=5,IF(H12="warm","El Niño","La Niña"),IF(ROW()+J12-1=920,IF(H12="warm","El Niño (ongoing)","La Niña (ongoing)"),"—")))</f>
        <v>La Niña</v>
      </c>
      <c r="M12" s="2" t="inlineStr">
        <is>
          <t xml:space="preserve">1950/51</t>
        </is>
      </c>
    </row>
    <row r="13">
      <c r="A13" s="2" t="inlineStr">
        <is>
          <t xml:space="preserve">1950-12</t>
        </is>
      </c>
      <c r="B13" s="2">
        <v>1950</v>
      </c>
      <c r="C13" s="2">
        <v>12</v>
      </c>
      <c r="D13" s="2" t="inlineStr">
        <is>
          <t xml:space="preserve">NDJ</t>
        </is>
      </c>
      <c r="E13" t="inlineStr">
        <is>
          <t xml:space="preserve">Nov 1950 – Jan 1951</t>
        </is>
      </c>
      <c r="F13" s="3">
        <v>-0.79</v>
      </c>
      <c r="G13" s="4">
        <f>ROUND(F13,1)</f>
        <v>-0.8</v>
      </c>
      <c r="H13" s="2" t="str">
        <f>IF(G13&gt;=0.5,"warm",IF(G13&lt;=-0.5,"cold","neutral"))</f>
        <v>cold</v>
      </c>
      <c r="I13" s="2">
        <f>IF(H13=H12,I12+1,1)</f>
        <v>12</v>
      </c>
      <c r="J13" s="2">
        <f>IF(H13=H14,J14+1,1)</f>
        <v>2</v>
      </c>
      <c r="K13" s="2">
        <f>I13+J13-1</f>
        <v>13</v>
      </c>
      <c r="L13" s="5" t="str">
        <f>IF(H13="neutral","—",IF(K13&gt;=5,IF(H13="warm","El Niño","La Niña"),IF(ROW()+J13-1=920,IF(H13="warm","El Niño (ongoing)","La Niña (ongoing)"),"—")))</f>
        <v>La Niña</v>
      </c>
      <c r="M13" s="2" t="inlineStr">
        <is>
          <t xml:space="preserve">1950/51</t>
        </is>
      </c>
    </row>
    <row r="14">
      <c r="A14" s="2" t="inlineStr">
        <is>
          <t xml:space="preserve">1951-01</t>
        </is>
      </c>
      <c r="B14" s="2">
        <v>1951</v>
      </c>
      <c r="C14" s="2">
        <v>1</v>
      </c>
      <c r="D14" s="2" t="inlineStr">
        <is>
          <t xml:space="preserve">DJF</t>
        </is>
      </c>
      <c r="E14" t="inlineStr">
        <is>
          <t xml:space="preserve">Dec 1950 – Feb 1951</t>
        </is>
      </c>
      <c r="F14" s="3">
        <v>-0.66</v>
      </c>
      <c r="G14" s="4">
        <f>ROUND(F14,1)</f>
        <v>-0.7</v>
      </c>
      <c r="H14" s="2" t="str">
        <f>IF(G14&gt;=0.5,"warm",IF(G14&lt;=-0.5,"cold","neutral"))</f>
        <v>cold</v>
      </c>
      <c r="I14" s="2">
        <f>IF(H14=H13,I13+1,1)</f>
        <v>13</v>
      </c>
      <c r="J14" s="2">
        <f>IF(H14=H15,J15+1,1)</f>
        <v>1</v>
      </c>
      <c r="K14" s="2">
        <f>I14+J14-1</f>
        <v>13</v>
      </c>
      <c r="L14" s="5" t="str">
        <f>IF(H14="neutral","—",IF(K14&gt;=5,IF(H14="warm","El Niño","La Niña"),IF(ROW()+J14-1=920,IF(H14="warm","El Niño (ongoing)","La Niña (ongoing)"),"—")))</f>
        <v>La Niña</v>
      </c>
      <c r="M14" s="2" t="inlineStr">
        <is>
          <t xml:space="preserve">1950/51</t>
        </is>
      </c>
    </row>
    <row r="15">
      <c r="A15" s="2" t="inlineStr">
        <is>
          <t xml:space="preserve">1951-02</t>
        </is>
      </c>
      <c r="B15" s="2">
        <v>1951</v>
      </c>
      <c r="C15" s="2">
        <v>2</v>
      </c>
      <c r="D15" s="2" t="inlineStr">
        <is>
          <t xml:space="preserve">JFM</t>
        </is>
      </c>
      <c r="E15" t="inlineStr">
        <is>
          <t xml:space="preserve">Jan 1951 – Mar 1951</t>
        </is>
      </c>
      <c r="F15" s="3">
        <v>-0.36</v>
      </c>
      <c r="G15" s="4">
        <f>ROUND(F15,1)</f>
        <v>-0.4</v>
      </c>
      <c r="H15" s="2" t="str">
        <f>IF(G15&gt;=0.5,"warm",IF(G15&lt;=-0.5,"cold","neutral"))</f>
        <v>neutral</v>
      </c>
      <c r="I15" s="2">
        <f>IF(H15=H14,I14+1,1)</f>
        <v>1</v>
      </c>
      <c r="J15" s="2">
        <f>IF(H15=H16,J16+1,1)</f>
        <v>4</v>
      </c>
      <c r="K15" s="2">
        <f>I15+J15-1</f>
        <v>4</v>
      </c>
      <c r="L15" s="2" t="str">
        <f>IF(H15="neutral","—",IF(K15&gt;=5,IF(H15="warm","El Niño","La Niña"),IF(ROW()+J15-1=920,IF(H15="warm","El Niño (ongoing)","La Niña (ongoing)"),"—")))</f>
        <v>—</v>
      </c>
      <c r="M15" s="2" t="inlineStr">
        <is>
          <t xml:space="preserve">1950/51</t>
        </is>
      </c>
    </row>
    <row r="16">
      <c r="A16" s="2" t="inlineStr">
        <is>
          <t xml:space="preserve">1951-03</t>
        </is>
      </c>
      <c r="B16" s="2">
        <v>1951</v>
      </c>
      <c r="C16" s="2">
        <v>3</v>
      </c>
      <c r="D16" s="2" t="inlineStr">
        <is>
          <t xml:space="preserve">FMA</t>
        </is>
      </c>
      <c r="E16" t="inlineStr">
        <is>
          <t xml:space="preserve">Feb 1951 – Apr 1951</t>
        </is>
      </c>
      <c r="F16" s="3">
        <v>-0.04</v>
      </c>
      <c r="G16" s="4">
        <f>ROUND(F16,1)</f>
        <v>-0.0</v>
      </c>
      <c r="H16" s="2" t="str">
        <f>IF(G16&gt;=0.5,"warm",IF(G16&lt;=-0.5,"cold","neutral"))</f>
        <v>neutral</v>
      </c>
      <c r="I16" s="2">
        <f>IF(H16=H15,I15+1,1)</f>
        <v>2</v>
      </c>
      <c r="J16" s="2">
        <f>IF(H16=H17,J17+1,1)</f>
        <v>3</v>
      </c>
      <c r="K16" s="2">
        <f>I16+J16-1</f>
        <v>4</v>
      </c>
      <c r="L16" s="2" t="str">
        <f>IF(H16="neutral","—",IF(K16&gt;=5,IF(H16="warm","El Niño","La Niña"),IF(ROW()+J16-1=920,IF(H16="warm","El Niño (ongoing)","La Niña (ongoing)"),"—")))</f>
        <v>—</v>
      </c>
      <c r="M16" s="2" t="inlineStr">
        <is>
          <t xml:space="preserve">1950/51</t>
        </is>
      </c>
    </row>
    <row r="17">
      <c r="A17" s="2" t="inlineStr">
        <is>
          <t xml:space="preserve">1951-04</t>
        </is>
      </c>
      <c r="B17" s="2">
        <v>1951</v>
      </c>
      <c r="C17" s="2">
        <v>4</v>
      </c>
      <c r="D17" s="2" t="inlineStr">
        <is>
          <t xml:space="preserve">MAM</t>
        </is>
      </c>
      <c r="E17" t="inlineStr">
        <is>
          <t xml:space="preserve">Mar 1951 – May 1951</t>
        </is>
      </c>
      <c r="F17" s="3">
        <v>0.16</v>
      </c>
      <c r="G17" s="4">
        <f>ROUND(F17,1)</f>
        <v>0.2</v>
      </c>
      <c r="H17" s="2" t="str">
        <f>IF(G17&gt;=0.5,"warm",IF(G17&lt;=-0.5,"cold","neutral"))</f>
        <v>neutral</v>
      </c>
      <c r="I17" s="2">
        <f>IF(H17=H16,I16+1,1)</f>
        <v>3</v>
      </c>
      <c r="J17" s="2">
        <f>IF(H17=H18,J18+1,1)</f>
        <v>2</v>
      </c>
      <c r="K17" s="2">
        <f>I17+J17-1</f>
        <v>4</v>
      </c>
      <c r="L17" s="2" t="str">
        <f>IF(H17="neutral","—",IF(K17&gt;=5,IF(H17="warm","El Niño","La Niña"),IF(ROW()+J17-1=920,IF(H17="warm","El Niño (ongoing)","La Niña (ongoing)"),"—")))</f>
        <v>—</v>
      </c>
      <c r="M17" s="2" t="inlineStr">
        <is>
          <t xml:space="preserve">1950/51</t>
        </is>
      </c>
    </row>
    <row r="18">
      <c r="A18" s="2" t="inlineStr">
        <is>
          <t xml:space="preserve">1951-05</t>
        </is>
      </c>
      <c r="B18" s="2">
        <v>1951</v>
      </c>
      <c r="C18" s="2">
        <v>5</v>
      </c>
      <c r="D18" s="2" t="inlineStr">
        <is>
          <t xml:space="preserve">AMJ</t>
        </is>
      </c>
      <c r="E18" t="inlineStr">
        <is>
          <t xml:space="preserve">Apr 1951 – Jun 1951</t>
        </is>
      </c>
      <c r="F18" s="3">
        <v>0.27</v>
      </c>
      <c r="G18" s="4">
        <f>ROUND(F18,1)</f>
        <v>0.3</v>
      </c>
      <c r="H18" s="2" t="str">
        <f>IF(G18&gt;=0.5,"warm",IF(G18&lt;=-0.5,"cold","neutral"))</f>
        <v>neutral</v>
      </c>
      <c r="I18" s="2">
        <f>IF(H18=H17,I17+1,1)</f>
        <v>4</v>
      </c>
      <c r="J18" s="2">
        <f>IF(H18=H19,J19+1,1)</f>
        <v>1</v>
      </c>
      <c r="K18" s="2">
        <f>I18+J18-1</f>
        <v>4</v>
      </c>
      <c r="L18" s="2" t="str">
        <f>IF(H18="neutral","—",IF(K18&gt;=5,IF(H18="warm","El Niño","La Niña"),IF(ROW()+J18-1=920,IF(H18="warm","El Niño (ongoing)","La Niña (ongoing)"),"—")))</f>
        <v>—</v>
      </c>
      <c r="M18" s="2" t="inlineStr">
        <is>
          <t xml:space="preserve">1950/51</t>
        </is>
      </c>
    </row>
    <row r="19">
      <c r="A19" s="2" t="inlineStr">
        <is>
          <t xml:space="preserve">1951-06</t>
        </is>
      </c>
      <c r="B19" s="2">
        <v>1951</v>
      </c>
      <c r="C19" s="2">
        <v>6</v>
      </c>
      <c r="D19" s="2" t="inlineStr">
        <is>
          <t xml:space="preserve">MJJ</t>
        </is>
      </c>
      <c r="E19" t="inlineStr">
        <is>
          <t xml:space="preserve">May 1951 – Jul 1951</t>
        </is>
      </c>
      <c r="F19" s="3">
        <v>0.5</v>
      </c>
      <c r="G19" s="4">
        <f>ROUND(F19,1)</f>
        <v>0.5</v>
      </c>
      <c r="H19" s="2" t="str">
        <f>IF(G19&gt;=0.5,"warm",IF(G19&lt;=-0.5,"cold","neutral"))</f>
        <v>warm</v>
      </c>
      <c r="I19" s="2">
        <f>IF(H19=H18,I18+1,1)</f>
        <v>1</v>
      </c>
      <c r="J19" s="2">
        <f>IF(H19=H20,J20+1,1)</f>
        <v>8</v>
      </c>
      <c r="K19" s="2">
        <f>I19+J19-1</f>
        <v>8</v>
      </c>
      <c r="L19" s="6" t="str">
        <f>IF(H19="neutral","—",IF(K19&gt;=5,IF(H19="warm","El Niño","La Niña"),IF(ROW()+J19-1=920,IF(H19="warm","El Niño (ongoing)","La Niña (ongoing)"),"—")))</f>
        <v>El Niño</v>
      </c>
      <c r="M19" s="2" t="inlineStr">
        <is>
          <t xml:space="preserve">1950/51</t>
        </is>
      </c>
    </row>
    <row r="20">
      <c r="A20" s="2" t="inlineStr">
        <is>
          <t xml:space="preserve">1951-07</t>
        </is>
      </c>
      <c r="B20" s="2">
        <v>1951</v>
      </c>
      <c r="C20" s="2">
        <v>7</v>
      </c>
      <c r="D20" s="2" t="inlineStr">
        <is>
          <t xml:space="preserve">JJA</t>
        </is>
      </c>
      <c r="E20" t="inlineStr">
        <is>
          <t xml:space="preserve">Jun 1951 – Aug 1951</t>
        </is>
      </c>
      <c r="F20" s="3">
        <v>0.71</v>
      </c>
      <c r="G20" s="4">
        <f>ROUND(F20,1)</f>
        <v>0.7</v>
      </c>
      <c r="H20" s="2" t="str">
        <f>IF(G20&gt;=0.5,"warm",IF(G20&lt;=-0.5,"cold","neutral"))</f>
        <v>warm</v>
      </c>
      <c r="I20" s="2">
        <f>IF(H20=H19,I19+1,1)</f>
        <v>2</v>
      </c>
      <c r="J20" s="2">
        <f>IF(H20=H21,J21+1,1)</f>
        <v>7</v>
      </c>
      <c r="K20" s="2">
        <f>I20+J20-1</f>
        <v>8</v>
      </c>
      <c r="L20" s="6" t="str">
        <f>IF(H20="neutral","—",IF(K20&gt;=5,IF(H20="warm","El Niño","La Niña"),IF(ROW()+J20-1=920,IF(H20="warm","El Niño (ongoing)","La Niña (ongoing)"),"—")))</f>
        <v>El Niño</v>
      </c>
      <c r="M20" s="2" t="inlineStr">
        <is>
          <t xml:space="preserve">1951/52</t>
        </is>
      </c>
    </row>
    <row r="21">
      <c r="A21" s="2" t="inlineStr">
        <is>
          <t xml:space="preserve">1951-08</t>
        </is>
      </c>
      <c r="B21" s="2">
        <v>1951</v>
      </c>
      <c r="C21" s="2">
        <v>8</v>
      </c>
      <c r="D21" s="2" t="inlineStr">
        <is>
          <t xml:space="preserve">JAS</t>
        </is>
      </c>
      <c r="E21" t="inlineStr">
        <is>
          <t xml:space="preserve">Jul 1951 – Sep 1951</t>
        </is>
      </c>
      <c r="F21" s="3">
        <v>0.9</v>
      </c>
      <c r="G21" s="4">
        <f>ROUND(F21,1)</f>
        <v>0.9</v>
      </c>
      <c r="H21" s="2" t="str">
        <f>IF(G21&gt;=0.5,"warm",IF(G21&lt;=-0.5,"cold","neutral"))</f>
        <v>warm</v>
      </c>
      <c r="I21" s="2">
        <f>IF(H21=H20,I20+1,1)</f>
        <v>3</v>
      </c>
      <c r="J21" s="2">
        <f>IF(H21=H22,J22+1,1)</f>
        <v>6</v>
      </c>
      <c r="K21" s="2">
        <f>I21+J21-1</f>
        <v>8</v>
      </c>
      <c r="L21" s="6" t="str">
        <f>IF(H21="neutral","—",IF(K21&gt;=5,IF(H21="warm","El Niño","La Niña"),IF(ROW()+J21-1=920,IF(H21="warm","El Niño (ongoing)","La Niña (ongoing)"),"—")))</f>
        <v>El Niño</v>
      </c>
      <c r="M21" s="2" t="inlineStr">
        <is>
          <t xml:space="preserve">1951/52</t>
        </is>
      </c>
    </row>
    <row r="22">
      <c r="A22" s="2" t="inlineStr">
        <is>
          <t xml:space="preserve">1951-09</t>
        </is>
      </c>
      <c r="B22" s="2">
        <v>1951</v>
      </c>
      <c r="C22" s="2">
        <v>9</v>
      </c>
      <c r="D22" s="2" t="inlineStr">
        <is>
          <t xml:space="preserve">ASO</t>
        </is>
      </c>
      <c r="E22" t="inlineStr">
        <is>
          <t xml:space="preserve">Aug 1951 – Oct 1951</t>
        </is>
      </c>
      <c r="F22" s="3">
        <v>1.02</v>
      </c>
      <c r="G22" s="4">
        <f>ROUND(F22,1)</f>
        <v>1.0</v>
      </c>
      <c r="H22" s="2" t="str">
        <f>IF(G22&gt;=0.5,"warm",IF(G22&lt;=-0.5,"cold","neutral"))</f>
        <v>warm</v>
      </c>
      <c r="I22" s="2">
        <f>IF(H22=H21,I21+1,1)</f>
        <v>4</v>
      </c>
      <c r="J22" s="2">
        <f>IF(H22=H23,J23+1,1)</f>
        <v>5</v>
      </c>
      <c r="K22" s="2">
        <f>I22+J22-1</f>
        <v>8</v>
      </c>
      <c r="L22" s="6" t="str">
        <f>IF(H22="neutral","—",IF(K22&gt;=5,IF(H22="warm","El Niño","La Niña"),IF(ROW()+J22-1=920,IF(H22="warm","El Niño (ongoing)","La Niña (ongoing)"),"—")))</f>
        <v>El Niño</v>
      </c>
      <c r="M22" s="2" t="inlineStr">
        <is>
          <t xml:space="preserve">1951/52</t>
        </is>
      </c>
    </row>
    <row r="23">
      <c r="A23" s="2" t="inlineStr">
        <is>
          <t xml:space="preserve">1951-10</t>
        </is>
      </c>
      <c r="B23" s="2">
        <v>1951</v>
      </c>
      <c r="C23" s="2">
        <v>10</v>
      </c>
      <c r="D23" s="2" t="inlineStr">
        <is>
          <t xml:space="preserve">SON</t>
        </is>
      </c>
      <c r="E23" t="inlineStr">
        <is>
          <t xml:space="preserve">Sep 1951 – Nov 1951</t>
        </is>
      </c>
      <c r="F23" s="3">
        <v>1.03</v>
      </c>
      <c r="G23" s="4">
        <f>ROUND(F23,1)</f>
        <v>1.0</v>
      </c>
      <c r="H23" s="2" t="str">
        <f>IF(G23&gt;=0.5,"warm",IF(G23&lt;=-0.5,"cold","neutral"))</f>
        <v>warm</v>
      </c>
      <c r="I23" s="2">
        <f>IF(H23=H22,I22+1,1)</f>
        <v>5</v>
      </c>
      <c r="J23" s="2">
        <f>IF(H23=H24,J24+1,1)</f>
        <v>4</v>
      </c>
      <c r="K23" s="2">
        <f>I23+J23-1</f>
        <v>8</v>
      </c>
      <c r="L23" s="6" t="str">
        <f>IF(H23="neutral","—",IF(K23&gt;=5,IF(H23="warm","El Niño","La Niña"),IF(ROW()+J23-1=920,IF(H23="warm","El Niño (ongoing)","La Niña (ongoing)"),"—")))</f>
        <v>El Niño</v>
      </c>
      <c r="M23" s="2" t="inlineStr">
        <is>
          <t xml:space="preserve">1951/52</t>
        </is>
      </c>
    </row>
    <row r="24">
      <c r="A24" s="2" t="inlineStr">
        <is>
          <t xml:space="preserve">1951-11</t>
        </is>
      </c>
      <c r="B24" s="2">
        <v>1951</v>
      </c>
      <c r="C24" s="2">
        <v>11</v>
      </c>
      <c r="D24" s="2" t="inlineStr">
        <is>
          <t xml:space="preserve">OND</t>
        </is>
      </c>
      <c r="E24" t="inlineStr">
        <is>
          <t xml:space="preserve">Oct 1951 – Dec 1951</t>
        </is>
      </c>
      <c r="F24" s="3">
        <v>0.96</v>
      </c>
      <c r="G24" s="4">
        <f>ROUND(F24,1)</f>
        <v>1.0</v>
      </c>
      <c r="H24" s="2" t="str">
        <f>IF(G24&gt;=0.5,"warm",IF(G24&lt;=-0.5,"cold","neutral"))</f>
        <v>warm</v>
      </c>
      <c r="I24" s="2">
        <f>IF(H24=H23,I23+1,1)</f>
        <v>6</v>
      </c>
      <c r="J24" s="2">
        <f>IF(H24=H25,J25+1,1)</f>
        <v>3</v>
      </c>
      <c r="K24" s="2">
        <f>I24+J24-1</f>
        <v>8</v>
      </c>
      <c r="L24" s="6" t="str">
        <f>IF(H24="neutral","—",IF(K24&gt;=5,IF(H24="warm","El Niño","La Niña"),IF(ROW()+J24-1=920,IF(H24="warm","El Niño (ongoing)","La Niña (ongoing)"),"—")))</f>
        <v>El Niño</v>
      </c>
      <c r="M24" s="2" t="inlineStr">
        <is>
          <t xml:space="preserve">1951/52</t>
        </is>
      </c>
    </row>
    <row r="25">
      <c r="A25" s="2" t="inlineStr">
        <is>
          <t xml:space="preserve">1951-12</t>
        </is>
      </c>
      <c r="B25" s="2">
        <v>1951</v>
      </c>
      <c r="C25" s="2">
        <v>12</v>
      </c>
      <c r="D25" s="2" t="inlineStr">
        <is>
          <t xml:space="preserve">NDJ</t>
        </is>
      </c>
      <c r="E25" t="inlineStr">
        <is>
          <t xml:space="preserve">Nov 1951 – Jan 1952</t>
        </is>
      </c>
      <c r="F25" s="3">
        <v>0.71</v>
      </c>
      <c r="G25" s="4">
        <f>ROUND(F25,1)</f>
        <v>0.7</v>
      </c>
      <c r="H25" s="2" t="str">
        <f>IF(G25&gt;=0.5,"warm",IF(G25&lt;=-0.5,"cold","neutral"))</f>
        <v>warm</v>
      </c>
      <c r="I25" s="2">
        <f>IF(H25=H24,I24+1,1)</f>
        <v>7</v>
      </c>
      <c r="J25" s="2">
        <f>IF(H25=H26,J26+1,1)</f>
        <v>2</v>
      </c>
      <c r="K25" s="2">
        <f>I25+J25-1</f>
        <v>8</v>
      </c>
      <c r="L25" s="6" t="str">
        <f>IF(H25="neutral","—",IF(K25&gt;=5,IF(H25="warm","El Niño","La Niña"),IF(ROW()+J25-1=920,IF(H25="warm","El Niño (ongoing)","La Niña (ongoing)"),"—")))</f>
        <v>El Niño</v>
      </c>
      <c r="M25" s="2" t="inlineStr">
        <is>
          <t xml:space="preserve">1951/52</t>
        </is>
      </c>
    </row>
    <row r="26">
      <c r="A26" s="2" t="inlineStr">
        <is>
          <t xml:space="preserve">1952-01</t>
        </is>
      </c>
      <c r="B26" s="2">
        <v>1952</v>
      </c>
      <c r="C26" s="2">
        <v>1</v>
      </c>
      <c r="D26" s="2" t="inlineStr">
        <is>
          <t xml:space="preserve">DJF</t>
        </is>
      </c>
      <c r="E26" t="inlineStr">
        <is>
          <t xml:space="preserve">Dec 1951 – Feb 1952</t>
        </is>
      </c>
      <c r="F26" s="3">
        <v>0.52</v>
      </c>
      <c r="G26" s="4">
        <f>ROUND(F26,1)</f>
        <v>0.5</v>
      </c>
      <c r="H26" s="2" t="str">
        <f>IF(G26&gt;=0.5,"warm",IF(G26&lt;=-0.5,"cold","neutral"))</f>
        <v>warm</v>
      </c>
      <c r="I26" s="2">
        <f>IF(H26=H25,I25+1,1)</f>
        <v>8</v>
      </c>
      <c r="J26" s="2">
        <f>IF(H26=H27,J27+1,1)</f>
        <v>1</v>
      </c>
      <c r="K26" s="2">
        <f>I26+J26-1</f>
        <v>8</v>
      </c>
      <c r="L26" s="6" t="str">
        <f>IF(H26="neutral","—",IF(K26&gt;=5,IF(H26="warm","El Niño","La Niña"),IF(ROW()+J26-1=920,IF(H26="warm","El Niño (ongoing)","La Niña (ongoing)"),"—")))</f>
        <v>El Niño</v>
      </c>
      <c r="M26" s="2" t="inlineStr">
        <is>
          <t xml:space="preserve">1951/52</t>
        </is>
      </c>
    </row>
    <row r="27">
      <c r="A27" s="2" t="inlineStr">
        <is>
          <t xml:space="preserve">1952-02</t>
        </is>
      </c>
      <c r="B27" s="2">
        <v>1952</v>
      </c>
      <c r="C27" s="2">
        <v>2</v>
      </c>
      <c r="D27" s="2" t="inlineStr">
        <is>
          <t xml:space="preserve">JFM</t>
        </is>
      </c>
      <c r="E27" t="inlineStr">
        <is>
          <t xml:space="preserve">Jan 1952 – Mar 1952</t>
        </is>
      </c>
      <c r="F27" s="3">
        <v>0.27</v>
      </c>
      <c r="G27" s="4">
        <f>ROUND(F27,1)</f>
        <v>0.3</v>
      </c>
      <c r="H27" s="2" t="str">
        <f>IF(G27&gt;=0.5,"warm",IF(G27&lt;=-0.5,"cold","neutral"))</f>
        <v>neutral</v>
      </c>
      <c r="I27" s="2">
        <f>IF(H27=H26,I26+1,1)</f>
        <v>1</v>
      </c>
      <c r="J27" s="2">
        <f>IF(H27=H28,J28+1,1)</f>
        <v>5</v>
      </c>
      <c r="K27" s="2">
        <f>I27+J27-1</f>
        <v>5</v>
      </c>
      <c r="L27" s="2" t="str">
        <f>IF(H27="neutral","—",IF(K27&gt;=5,IF(H27="warm","El Niño","La Niña"),IF(ROW()+J27-1=920,IF(H27="warm","El Niño (ongoing)","La Niña (ongoing)"),"—")))</f>
        <v>—</v>
      </c>
      <c r="M27" s="2" t="inlineStr">
        <is>
          <t xml:space="preserve">1951/52</t>
        </is>
      </c>
    </row>
    <row r="28">
      <c r="A28" s="2" t="inlineStr">
        <is>
          <t xml:space="preserve">1952-03</t>
        </is>
      </c>
      <c r="B28" s="2">
        <v>1952</v>
      </c>
      <c r="C28" s="2">
        <v>3</v>
      </c>
      <c r="D28" s="2" t="inlineStr">
        <is>
          <t xml:space="preserve">FMA</t>
        </is>
      </c>
      <c r="E28" t="inlineStr">
        <is>
          <t xml:space="preserve">Feb 1952 – Apr 1952</t>
        </is>
      </c>
      <c r="F28" s="3">
        <v>0.33</v>
      </c>
      <c r="G28" s="4">
        <f>ROUND(F28,1)</f>
        <v>0.3</v>
      </c>
      <c r="H28" s="2" t="str">
        <f>IF(G28&gt;=0.5,"warm",IF(G28&lt;=-0.5,"cold","neutral"))</f>
        <v>neutral</v>
      </c>
      <c r="I28" s="2">
        <f>IF(H28=H27,I27+1,1)</f>
        <v>2</v>
      </c>
      <c r="J28" s="2">
        <f>IF(H28=H29,J29+1,1)</f>
        <v>4</v>
      </c>
      <c r="K28" s="2">
        <f>I28+J28-1</f>
        <v>5</v>
      </c>
      <c r="L28" s="2" t="str">
        <f>IF(H28="neutral","—",IF(K28&gt;=5,IF(H28="warm","El Niño","La Niña"),IF(ROW()+J28-1=920,IF(H28="warm","El Niño (ongoing)","La Niña (ongoing)"),"—")))</f>
        <v>—</v>
      </c>
      <c r="M28" s="2" t="inlineStr">
        <is>
          <t xml:space="preserve">1951/52</t>
        </is>
      </c>
    </row>
    <row r="29">
      <c r="A29" s="2" t="inlineStr">
        <is>
          <t xml:space="preserve">1952-04</t>
        </is>
      </c>
      <c r="B29" s="2">
        <v>1952</v>
      </c>
      <c r="C29" s="2">
        <v>4</v>
      </c>
      <c r="D29" s="2" t="inlineStr">
        <is>
          <t xml:space="preserve">MAM</t>
        </is>
      </c>
      <c r="E29" t="inlineStr">
        <is>
          <t xml:space="preserve">Mar 1952 – May 1952</t>
        </is>
      </c>
      <c r="F29" s="3">
        <v>0.18</v>
      </c>
      <c r="G29" s="4">
        <f>ROUND(F29,1)</f>
        <v>0.2</v>
      </c>
      <c r="H29" s="2" t="str">
        <f>IF(G29&gt;=0.5,"warm",IF(G29&lt;=-0.5,"cold","neutral"))</f>
        <v>neutral</v>
      </c>
      <c r="I29" s="2">
        <f>IF(H29=H28,I28+1,1)</f>
        <v>3</v>
      </c>
      <c r="J29" s="2">
        <f>IF(H29=H30,J30+1,1)</f>
        <v>3</v>
      </c>
      <c r="K29" s="2">
        <f>I29+J29-1</f>
        <v>5</v>
      </c>
      <c r="L29" s="2" t="str">
        <f>IF(H29="neutral","—",IF(K29&gt;=5,IF(H29="warm","El Niño","La Niña"),IF(ROW()+J29-1=920,IF(H29="warm","El Niño (ongoing)","La Niña (ongoing)"),"—")))</f>
        <v>—</v>
      </c>
      <c r="M29" s="2" t="inlineStr">
        <is>
          <t xml:space="preserve">1951/52</t>
        </is>
      </c>
    </row>
    <row r="30">
      <c r="A30" s="2" t="inlineStr">
        <is>
          <t xml:space="preserve">1952-05</t>
        </is>
      </c>
      <c r="B30" s="2">
        <v>1952</v>
      </c>
      <c r="C30" s="2">
        <v>5</v>
      </c>
      <c r="D30" s="2" t="inlineStr">
        <is>
          <t xml:space="preserve">AMJ</t>
        </is>
      </c>
      <c r="E30" t="inlineStr">
        <is>
          <t xml:space="preserve">Apr 1952 – Jun 1952</t>
        </is>
      </c>
      <c r="F30" s="3">
        <v>-0.07</v>
      </c>
      <c r="G30" s="4">
        <f>ROUND(F30,1)</f>
        <v>-0.1</v>
      </c>
      <c r="H30" s="2" t="str">
        <f>IF(G30&gt;=0.5,"warm",IF(G30&lt;=-0.5,"cold","neutral"))</f>
        <v>neutral</v>
      </c>
      <c r="I30" s="2">
        <f>IF(H30=H29,I29+1,1)</f>
        <v>4</v>
      </c>
      <c r="J30" s="2">
        <f>IF(H30=H31,J31+1,1)</f>
        <v>2</v>
      </c>
      <c r="K30" s="2">
        <f>I30+J30-1</f>
        <v>5</v>
      </c>
      <c r="L30" s="2" t="str">
        <f>IF(H30="neutral","—",IF(K30&gt;=5,IF(H30="warm","El Niño","La Niña"),IF(ROW()+J30-1=920,IF(H30="warm","El Niño (ongoing)","La Niña (ongoing)"),"—")))</f>
        <v>—</v>
      </c>
      <c r="M30" s="2" t="inlineStr">
        <is>
          <t xml:space="preserve">1951/52</t>
        </is>
      </c>
    </row>
    <row r="31">
      <c r="A31" s="2" t="inlineStr">
        <is>
          <t xml:space="preserve">1952-06</t>
        </is>
      </c>
      <c r="B31" s="2">
        <v>1952</v>
      </c>
      <c r="C31" s="2">
        <v>6</v>
      </c>
      <c r="D31" s="2" t="inlineStr">
        <is>
          <t xml:space="preserve">MJJ</t>
        </is>
      </c>
      <c r="E31" t="inlineStr">
        <is>
          <t xml:space="preserve">May 1952 – Jul 1952</t>
        </is>
      </c>
      <c r="F31" s="3">
        <v>-0.44</v>
      </c>
      <c r="G31" s="4">
        <f>ROUND(F31,1)</f>
        <v>-0.4</v>
      </c>
      <c r="H31" s="2" t="str">
        <f>IF(G31&gt;=0.5,"warm",IF(G31&lt;=-0.5,"cold","neutral"))</f>
        <v>neutral</v>
      </c>
      <c r="I31" s="2">
        <f>IF(H31=H30,I30+1,1)</f>
        <v>5</v>
      </c>
      <c r="J31" s="2">
        <f>IF(H31=H32,J32+1,1)</f>
        <v>1</v>
      </c>
      <c r="K31" s="2">
        <f>I31+J31-1</f>
        <v>5</v>
      </c>
      <c r="L31" s="2" t="str">
        <f>IF(H31="neutral","—",IF(K31&gt;=5,IF(H31="warm","El Niño","La Niña"),IF(ROW()+J31-1=920,IF(H31="warm","El Niño (ongoing)","La Niña (ongoing)"),"—")))</f>
        <v>—</v>
      </c>
      <c r="M31" s="2" t="inlineStr">
        <is>
          <t xml:space="preserve">1951/52</t>
        </is>
      </c>
    </row>
    <row r="32">
      <c r="A32" s="2" t="inlineStr">
        <is>
          <t xml:space="preserve">1952-07</t>
        </is>
      </c>
      <c r="B32" s="2">
        <v>1952</v>
      </c>
      <c r="C32" s="2">
        <v>7</v>
      </c>
      <c r="D32" s="2" t="inlineStr">
        <is>
          <t xml:space="preserve">JJA</t>
        </is>
      </c>
      <c r="E32" t="inlineStr">
        <is>
          <t xml:space="preserve">Jun 1952 – Aug 1952</t>
        </is>
      </c>
      <c r="F32" s="3">
        <v>-0.45</v>
      </c>
      <c r="G32" s="4">
        <f>ROUND(F32,1)</f>
        <v>-0.5</v>
      </c>
      <c r="H32" s="2" t="str">
        <f>IF(G32&gt;=0.5,"warm",IF(G32&lt;=-0.5,"cold","neutral"))</f>
        <v>cold</v>
      </c>
      <c r="I32" s="2">
        <f>IF(H32=H31,I31+1,1)</f>
        <v>1</v>
      </c>
      <c r="J32" s="2">
        <f>IF(H32=H33,J33+1,1)</f>
        <v>1</v>
      </c>
      <c r="K32" s="2">
        <f>I32+J32-1</f>
        <v>1</v>
      </c>
      <c r="L32" s="2" t="str">
        <f>IF(H32="neutral","—",IF(K32&gt;=5,IF(H32="warm","El Niño","La Niña"),IF(ROW()+J32-1=920,IF(H32="warm","El Niño (ongoing)","La Niña (ongoing)"),"—")))</f>
        <v>—</v>
      </c>
      <c r="M32" s="2" t="inlineStr">
        <is>
          <t xml:space="preserve">1952/53</t>
        </is>
      </c>
    </row>
    <row r="33">
      <c r="A33" s="2" t="inlineStr">
        <is>
          <t xml:space="preserve">1952-08</t>
        </is>
      </c>
      <c r="B33" s="2">
        <v>1952</v>
      </c>
      <c r="C33" s="2">
        <v>8</v>
      </c>
      <c r="D33" s="2" t="inlineStr">
        <is>
          <t xml:space="preserve">JAS</t>
        </is>
      </c>
      <c r="E33" t="inlineStr">
        <is>
          <t xml:space="preserve">Jul 1952 – Sep 1952</t>
        </is>
      </c>
      <c r="F33" s="3">
        <v>-0.2</v>
      </c>
      <c r="G33" s="4">
        <f>ROUND(F33,1)</f>
        <v>-0.2</v>
      </c>
      <c r="H33" s="2" t="str">
        <f>IF(G33&gt;=0.5,"warm",IF(G33&lt;=-0.5,"cold","neutral"))</f>
        <v>neutral</v>
      </c>
      <c r="I33" s="2">
        <f>IF(H33=H32,I32+1,1)</f>
        <v>1</v>
      </c>
      <c r="J33" s="2">
        <f>IF(H33=H34,J34+1,1)</f>
        <v>6</v>
      </c>
      <c r="K33" s="2">
        <f>I33+J33-1</f>
        <v>6</v>
      </c>
      <c r="L33" s="2" t="str">
        <f>IF(H33="neutral","—",IF(K33&gt;=5,IF(H33="warm","El Niño","La Niña"),IF(ROW()+J33-1=920,IF(H33="warm","El Niño (ongoing)","La Niña (ongoing)"),"—")))</f>
        <v>—</v>
      </c>
      <c r="M33" s="2" t="inlineStr">
        <is>
          <t xml:space="preserve">1952/53</t>
        </is>
      </c>
    </row>
    <row r="34">
      <c r="A34" s="2" t="inlineStr">
        <is>
          <t xml:space="preserve">1952-09</t>
        </is>
      </c>
      <c r="B34" s="2">
        <v>1952</v>
      </c>
      <c r="C34" s="2">
        <v>9</v>
      </c>
      <c r="D34" s="2" t="inlineStr">
        <is>
          <t xml:space="preserve">ASO</t>
        </is>
      </c>
      <c r="E34" t="inlineStr">
        <is>
          <t xml:space="preserve">Aug 1952 – Oct 1952</t>
        </is>
      </c>
      <c r="F34" s="3">
        <v>0.03</v>
      </c>
      <c r="G34" s="4">
        <f>ROUND(F34,1)</f>
        <v>0.0</v>
      </c>
      <c r="H34" s="2" t="str">
        <f>IF(G34&gt;=0.5,"warm",IF(G34&lt;=-0.5,"cold","neutral"))</f>
        <v>neutral</v>
      </c>
      <c r="I34" s="2">
        <f>IF(H34=H33,I33+1,1)</f>
        <v>2</v>
      </c>
      <c r="J34" s="2">
        <f>IF(H34=H35,J35+1,1)</f>
        <v>5</v>
      </c>
      <c r="K34" s="2">
        <f>I34+J34-1</f>
        <v>6</v>
      </c>
      <c r="L34" s="2" t="str">
        <f>IF(H34="neutral","—",IF(K34&gt;=5,IF(H34="warm","El Niño","La Niña"),IF(ROW()+J34-1=920,IF(H34="warm","El Niño (ongoing)","La Niña (ongoing)"),"—")))</f>
        <v>—</v>
      </c>
      <c r="M34" s="2" t="inlineStr">
        <is>
          <t xml:space="preserve">1952/53</t>
        </is>
      </c>
    </row>
    <row r="35">
      <c r="A35" s="2" t="inlineStr">
        <is>
          <t xml:space="preserve">1952-10</t>
        </is>
      </c>
      <c r="B35" s="2">
        <v>1952</v>
      </c>
      <c r="C35" s="2">
        <v>10</v>
      </c>
      <c r="D35" s="2" t="inlineStr">
        <is>
          <t xml:space="preserve">SON</t>
        </is>
      </c>
      <c r="E35" t="inlineStr">
        <is>
          <t xml:space="preserve">Sep 1952 – Nov 1952</t>
        </is>
      </c>
      <c r="F35" s="3">
        <v>0.04</v>
      </c>
      <c r="G35" s="4">
        <f>ROUND(F35,1)</f>
        <v>0.0</v>
      </c>
      <c r="H35" s="2" t="str">
        <f>IF(G35&gt;=0.5,"warm",IF(G35&lt;=-0.5,"cold","neutral"))</f>
        <v>neutral</v>
      </c>
      <c r="I35" s="2">
        <f>IF(H35=H34,I34+1,1)</f>
        <v>3</v>
      </c>
      <c r="J35" s="2">
        <f>IF(H35=H36,J36+1,1)</f>
        <v>4</v>
      </c>
      <c r="K35" s="2">
        <f>I35+J35-1</f>
        <v>6</v>
      </c>
      <c r="L35" s="2" t="str">
        <f>IF(H35="neutral","—",IF(K35&gt;=5,IF(H35="warm","El Niño","La Niña"),IF(ROW()+J35-1=920,IF(H35="warm","El Niño (ongoing)","La Niña (ongoing)"),"—")))</f>
        <v>—</v>
      </c>
      <c r="M35" s="2" t="inlineStr">
        <is>
          <t xml:space="preserve">1952/53</t>
        </is>
      </c>
    </row>
    <row r="36">
      <c r="A36" s="2" t="inlineStr">
        <is>
          <t xml:space="preserve">1952-11</t>
        </is>
      </c>
      <c r="B36" s="2">
        <v>1952</v>
      </c>
      <c r="C36" s="2">
        <v>11</v>
      </c>
      <c r="D36" s="2" t="inlineStr">
        <is>
          <t xml:space="preserve">OND</t>
        </is>
      </c>
      <c r="E36" t="inlineStr">
        <is>
          <t xml:space="preserve">Oct 1952 – Dec 1952</t>
        </is>
      </c>
      <c r="F36" s="3">
        <v>-0.11</v>
      </c>
      <c r="G36" s="4">
        <f>ROUND(F36,1)</f>
        <v>-0.1</v>
      </c>
      <c r="H36" s="2" t="str">
        <f>IF(G36&gt;=0.5,"warm",IF(G36&lt;=-0.5,"cold","neutral"))</f>
        <v>neutral</v>
      </c>
      <c r="I36" s="2">
        <f>IF(H36=H35,I35+1,1)</f>
        <v>4</v>
      </c>
      <c r="J36" s="2">
        <f>IF(H36=H37,J37+1,1)</f>
        <v>3</v>
      </c>
      <c r="K36" s="2">
        <f>I36+J36-1</f>
        <v>6</v>
      </c>
      <c r="L36" s="2" t="str">
        <f>IF(H36="neutral","—",IF(K36&gt;=5,IF(H36="warm","El Niño","La Niña"),IF(ROW()+J36-1=920,IF(H36="warm","El Niño (ongoing)","La Niña (ongoing)"),"—")))</f>
        <v>—</v>
      </c>
      <c r="M36" s="2" t="inlineStr">
        <is>
          <t xml:space="preserve">1952/53</t>
        </is>
      </c>
    </row>
    <row r="37">
      <c r="A37" s="2" t="inlineStr">
        <is>
          <t xml:space="preserve">1952-12</t>
        </is>
      </c>
      <c r="B37" s="2">
        <v>1952</v>
      </c>
      <c r="C37" s="2">
        <v>12</v>
      </c>
      <c r="D37" s="2" t="inlineStr">
        <is>
          <t xml:space="preserve">NDJ</t>
        </is>
      </c>
      <c r="E37" t="inlineStr">
        <is>
          <t xml:space="preserve">Nov 1952 – Jan 1953</t>
        </is>
      </c>
      <c r="F37" s="3">
        <v>0.06</v>
      </c>
      <c r="G37" s="4">
        <f>ROUND(F37,1)</f>
        <v>0.1</v>
      </c>
      <c r="H37" s="2" t="str">
        <f>IF(G37&gt;=0.5,"warm",IF(G37&lt;=-0.5,"cold","neutral"))</f>
        <v>neutral</v>
      </c>
      <c r="I37" s="2">
        <f>IF(H37=H36,I36+1,1)</f>
        <v>5</v>
      </c>
      <c r="J37" s="2">
        <f>IF(H37=H38,J38+1,1)</f>
        <v>2</v>
      </c>
      <c r="K37" s="2">
        <f>I37+J37-1</f>
        <v>6</v>
      </c>
      <c r="L37" s="2" t="str">
        <f>IF(H37="neutral","—",IF(K37&gt;=5,IF(H37="warm","El Niño","La Niña"),IF(ROW()+J37-1=920,IF(H37="warm","El Niño (ongoing)","La Niña (ongoing)"),"—")))</f>
        <v>—</v>
      </c>
      <c r="M37" s="2" t="inlineStr">
        <is>
          <t xml:space="preserve">1952/53</t>
        </is>
      </c>
    </row>
    <row r="38">
      <c r="A38" s="2" t="inlineStr">
        <is>
          <t xml:space="preserve">1953-01</t>
        </is>
      </c>
      <c r="B38" s="2">
        <v>1953</v>
      </c>
      <c r="C38" s="2">
        <v>1</v>
      </c>
      <c r="D38" s="2" t="inlineStr">
        <is>
          <t xml:space="preserve">DJF</t>
        </is>
      </c>
      <c r="E38" t="inlineStr">
        <is>
          <t xml:space="preserve">Dec 1952 – Feb 1953</t>
        </is>
      </c>
      <c r="F38" s="3">
        <v>0.25</v>
      </c>
      <c r="G38" s="4">
        <f>ROUND(F38,1)</f>
        <v>0.3</v>
      </c>
      <c r="H38" s="2" t="str">
        <f>IF(G38&gt;=0.5,"warm",IF(G38&lt;=-0.5,"cold","neutral"))</f>
        <v>neutral</v>
      </c>
      <c r="I38" s="2">
        <f>IF(H38=H37,I37+1,1)</f>
        <v>6</v>
      </c>
      <c r="J38" s="2">
        <f>IF(H38=H39,J39+1,1)</f>
        <v>1</v>
      </c>
      <c r="K38" s="2">
        <f>I38+J38-1</f>
        <v>6</v>
      </c>
      <c r="L38" s="2" t="str">
        <f>IF(H38="neutral","—",IF(K38&gt;=5,IF(H38="warm","El Niño","La Niña"),IF(ROW()+J38-1=920,IF(H38="warm","El Niño (ongoing)","La Niña (ongoing)"),"—")))</f>
        <v>—</v>
      </c>
      <c r="M38" s="2" t="inlineStr">
        <is>
          <t xml:space="preserve">1952/53</t>
        </is>
      </c>
    </row>
    <row r="39">
      <c r="A39" s="2" t="inlineStr">
        <is>
          <t xml:space="preserve">1953-02</t>
        </is>
      </c>
      <c r="B39" s="2">
        <v>1953</v>
      </c>
      <c r="C39" s="2">
        <v>2</v>
      </c>
      <c r="D39" s="2" t="inlineStr">
        <is>
          <t xml:space="preserve">JFM</t>
        </is>
      </c>
      <c r="E39" t="inlineStr">
        <is>
          <t xml:space="preserve">Jan 1953 – Mar 1953</t>
        </is>
      </c>
      <c r="F39" s="3">
        <v>0.5</v>
      </c>
      <c r="G39" s="4">
        <f>ROUND(F39,1)</f>
        <v>0.5</v>
      </c>
      <c r="H39" s="2" t="str">
        <f>IF(G39&gt;=0.5,"warm",IF(G39&lt;=-0.5,"cold","neutral"))</f>
        <v>warm</v>
      </c>
      <c r="I39" s="2">
        <f>IF(H39=H38,I38+1,1)</f>
        <v>1</v>
      </c>
      <c r="J39" s="2">
        <f>IF(H39=H40,J40+1,1)</f>
        <v>11</v>
      </c>
      <c r="K39" s="2">
        <f>I39+J39-1</f>
        <v>11</v>
      </c>
      <c r="L39" s="6" t="str">
        <f>IF(H39="neutral","—",IF(K39&gt;=5,IF(H39="warm","El Niño","La Niña"),IF(ROW()+J39-1=920,IF(H39="warm","El Niño (ongoing)","La Niña (ongoing)"),"—")))</f>
        <v>El Niño</v>
      </c>
      <c r="M39" s="2" t="inlineStr">
        <is>
          <t xml:space="preserve">1952/53</t>
        </is>
      </c>
    </row>
    <row r="40">
      <c r="A40" s="2" t="inlineStr">
        <is>
          <t xml:space="preserve">1953-03</t>
        </is>
      </c>
      <c r="B40" s="2">
        <v>1953</v>
      </c>
      <c r="C40" s="2">
        <v>3</v>
      </c>
      <c r="D40" s="2" t="inlineStr">
        <is>
          <t xml:space="preserve">FMA</t>
        </is>
      </c>
      <c r="E40" t="inlineStr">
        <is>
          <t xml:space="preserve">Feb 1953 – Apr 1953</t>
        </is>
      </c>
      <c r="F40" s="3">
        <v>0.48</v>
      </c>
      <c r="G40" s="4">
        <f>ROUND(F40,1)</f>
        <v>0.5</v>
      </c>
      <c r="H40" s="2" t="str">
        <f>IF(G40&gt;=0.5,"warm",IF(G40&lt;=-0.5,"cold","neutral"))</f>
        <v>warm</v>
      </c>
      <c r="I40" s="2">
        <f>IF(H40=H39,I39+1,1)</f>
        <v>2</v>
      </c>
      <c r="J40" s="2">
        <f>IF(H40=H41,J41+1,1)</f>
        <v>10</v>
      </c>
      <c r="K40" s="2">
        <f>I40+J40-1</f>
        <v>11</v>
      </c>
      <c r="L40" s="6" t="str">
        <f>IF(H40="neutral","—",IF(K40&gt;=5,IF(H40="warm","El Niño","La Niña"),IF(ROW()+J40-1=920,IF(H40="warm","El Niño (ongoing)","La Niña (ongoing)"),"—")))</f>
        <v>El Niño</v>
      </c>
      <c r="M40" s="2" t="inlineStr">
        <is>
          <t xml:space="preserve">1952/53</t>
        </is>
      </c>
    </row>
    <row r="41">
      <c r="A41" s="2" t="inlineStr">
        <is>
          <t xml:space="preserve">1953-04</t>
        </is>
      </c>
      <c r="B41" s="2">
        <v>1953</v>
      </c>
      <c r="C41" s="2">
        <v>4</v>
      </c>
      <c r="D41" s="2" t="inlineStr">
        <is>
          <t xml:space="preserve">MAM</t>
        </is>
      </c>
      <c r="E41" t="inlineStr">
        <is>
          <t xml:space="preserve">Mar 1953 – May 1953</t>
        </is>
      </c>
      <c r="F41" s="3">
        <v>0.56</v>
      </c>
      <c r="G41" s="4">
        <f>ROUND(F41,1)</f>
        <v>0.6</v>
      </c>
      <c r="H41" s="2" t="str">
        <f>IF(G41&gt;=0.5,"warm",IF(G41&lt;=-0.5,"cold","neutral"))</f>
        <v>warm</v>
      </c>
      <c r="I41" s="2">
        <f>IF(H41=H40,I40+1,1)</f>
        <v>3</v>
      </c>
      <c r="J41" s="2">
        <f>IF(H41=H42,J42+1,1)</f>
        <v>9</v>
      </c>
      <c r="K41" s="2">
        <f>I41+J41-1</f>
        <v>11</v>
      </c>
      <c r="L41" s="6" t="str">
        <f>IF(H41="neutral","—",IF(K41&gt;=5,IF(H41="warm","El Niño","La Niña"),IF(ROW()+J41-1=920,IF(H41="warm","El Niño (ongoing)","La Niña (ongoing)"),"—")))</f>
        <v>El Niño</v>
      </c>
      <c r="M41" s="2" t="inlineStr">
        <is>
          <t xml:space="preserve">1952/53</t>
        </is>
      </c>
    </row>
    <row r="42">
      <c r="A42" s="2" t="inlineStr">
        <is>
          <t xml:space="preserve">1953-05</t>
        </is>
      </c>
      <c r="B42" s="2">
        <v>1953</v>
      </c>
      <c r="C42" s="2">
        <v>5</v>
      </c>
      <c r="D42" s="2" t="inlineStr">
        <is>
          <t xml:space="preserve">AMJ</t>
        </is>
      </c>
      <c r="E42" t="inlineStr">
        <is>
          <t xml:space="preserve">Apr 1953 – Jun 1953</t>
        </is>
      </c>
      <c r="F42" s="3">
        <v>0.77</v>
      </c>
      <c r="G42" s="4">
        <f>ROUND(F42,1)</f>
        <v>0.8</v>
      </c>
      <c r="H42" s="2" t="str">
        <f>IF(G42&gt;=0.5,"warm",IF(G42&lt;=-0.5,"cold","neutral"))</f>
        <v>warm</v>
      </c>
      <c r="I42" s="2">
        <f>IF(H42=H41,I41+1,1)</f>
        <v>4</v>
      </c>
      <c r="J42" s="2">
        <f>IF(H42=H43,J43+1,1)</f>
        <v>8</v>
      </c>
      <c r="K42" s="2">
        <f>I42+J42-1</f>
        <v>11</v>
      </c>
      <c r="L42" s="6" t="str">
        <f>IF(H42="neutral","—",IF(K42&gt;=5,IF(H42="warm","El Niño","La Niña"),IF(ROW()+J42-1=920,IF(H42="warm","El Niño (ongoing)","La Niña (ongoing)"),"—")))</f>
        <v>El Niño</v>
      </c>
      <c r="M42" s="2" t="inlineStr">
        <is>
          <t xml:space="preserve">1952/53</t>
        </is>
      </c>
    </row>
    <row r="43">
      <c r="A43" s="2" t="inlineStr">
        <is>
          <t xml:space="preserve">1953-06</t>
        </is>
      </c>
      <c r="B43" s="2">
        <v>1953</v>
      </c>
      <c r="C43" s="2">
        <v>6</v>
      </c>
      <c r="D43" s="2" t="inlineStr">
        <is>
          <t xml:space="preserve">MJJ</t>
        </is>
      </c>
      <c r="E43" t="inlineStr">
        <is>
          <t xml:space="preserve">May 1953 – Jul 1953</t>
        </is>
      </c>
      <c r="F43" s="3">
        <v>0.74</v>
      </c>
      <c r="G43" s="4">
        <f>ROUND(F43,1)</f>
        <v>0.7</v>
      </c>
      <c r="H43" s="2" t="str">
        <f>IF(G43&gt;=0.5,"warm",IF(G43&lt;=-0.5,"cold","neutral"))</f>
        <v>warm</v>
      </c>
      <c r="I43" s="2">
        <f>IF(H43=H42,I42+1,1)</f>
        <v>5</v>
      </c>
      <c r="J43" s="2">
        <f>IF(H43=H44,J44+1,1)</f>
        <v>7</v>
      </c>
      <c r="K43" s="2">
        <f>I43+J43-1</f>
        <v>11</v>
      </c>
      <c r="L43" s="6" t="str">
        <f>IF(H43="neutral","—",IF(K43&gt;=5,IF(H43="warm","El Niño","La Niña"),IF(ROW()+J43-1=920,IF(H43="warm","El Niño (ongoing)","La Niña (ongoing)"),"—")))</f>
        <v>El Niño</v>
      </c>
      <c r="M43" s="2" t="inlineStr">
        <is>
          <t xml:space="preserve">1952/53</t>
        </is>
      </c>
    </row>
    <row r="44">
      <c r="A44" s="2" t="inlineStr">
        <is>
          <t xml:space="preserve">1953-07</t>
        </is>
      </c>
      <c r="B44" s="2">
        <v>1953</v>
      </c>
      <c r="C44" s="2">
        <v>7</v>
      </c>
      <c r="D44" s="2" t="inlineStr">
        <is>
          <t xml:space="preserve">JJA</t>
        </is>
      </c>
      <c r="E44" t="inlineStr">
        <is>
          <t xml:space="preserve">Jun 1953 – Aug 1953</t>
        </is>
      </c>
      <c r="F44" s="3">
        <v>0.63</v>
      </c>
      <c r="G44" s="4">
        <f>ROUND(F44,1)</f>
        <v>0.6</v>
      </c>
      <c r="H44" s="2" t="str">
        <f>IF(G44&gt;=0.5,"warm",IF(G44&lt;=-0.5,"cold","neutral"))</f>
        <v>warm</v>
      </c>
      <c r="I44" s="2">
        <f>IF(H44=H43,I43+1,1)</f>
        <v>6</v>
      </c>
      <c r="J44" s="2">
        <f>IF(H44=H45,J45+1,1)</f>
        <v>6</v>
      </c>
      <c r="K44" s="2">
        <f>I44+J44-1</f>
        <v>11</v>
      </c>
      <c r="L44" s="6" t="str">
        <f>IF(H44="neutral","—",IF(K44&gt;=5,IF(H44="warm","El Niño","La Niña"),IF(ROW()+J44-1=920,IF(H44="warm","El Niño (ongoing)","La Niña (ongoing)"),"—")))</f>
        <v>El Niño</v>
      </c>
      <c r="M44" s="2" t="inlineStr">
        <is>
          <t xml:space="preserve">1953/54</t>
        </is>
      </c>
    </row>
    <row r="45">
      <c r="A45" s="2" t="inlineStr">
        <is>
          <t xml:space="preserve">1953-08</t>
        </is>
      </c>
      <c r="B45" s="2">
        <v>1953</v>
      </c>
      <c r="C45" s="2">
        <v>8</v>
      </c>
      <c r="D45" s="2" t="inlineStr">
        <is>
          <t xml:space="preserve">JAS</t>
        </is>
      </c>
      <c r="E45" t="inlineStr">
        <is>
          <t xml:space="preserve">Jul 1953 – Sep 1953</t>
        </is>
      </c>
      <c r="F45" s="3">
        <v>0.68</v>
      </c>
      <c r="G45" s="4">
        <f>ROUND(F45,1)</f>
        <v>0.7</v>
      </c>
      <c r="H45" s="2" t="str">
        <f>IF(G45&gt;=0.5,"warm",IF(G45&lt;=-0.5,"cold","neutral"))</f>
        <v>warm</v>
      </c>
      <c r="I45" s="2">
        <f>IF(H45=H44,I44+1,1)</f>
        <v>7</v>
      </c>
      <c r="J45" s="2">
        <f>IF(H45=H46,J46+1,1)</f>
        <v>5</v>
      </c>
      <c r="K45" s="2">
        <f>I45+J45-1</f>
        <v>11</v>
      </c>
      <c r="L45" s="6" t="str">
        <f>IF(H45="neutral","—",IF(K45&gt;=5,IF(H45="warm","El Niño","La Niña"),IF(ROW()+J45-1=920,IF(H45="warm","El Niño (ongoing)","La Niña (ongoing)"),"—")))</f>
        <v>El Niño</v>
      </c>
      <c r="M45" s="2" t="inlineStr">
        <is>
          <t xml:space="preserve">1953/54</t>
        </is>
      </c>
    </row>
    <row r="46">
      <c r="A46" s="2" t="inlineStr">
        <is>
          <t xml:space="preserve">1953-09</t>
        </is>
      </c>
      <c r="B46" s="2">
        <v>1953</v>
      </c>
      <c r="C46" s="2">
        <v>9</v>
      </c>
      <c r="D46" s="2" t="inlineStr">
        <is>
          <t xml:space="preserve">ASO</t>
        </is>
      </c>
      <c r="E46" t="inlineStr">
        <is>
          <t xml:space="preserve">Aug 1953 – Oct 1953</t>
        </is>
      </c>
      <c r="F46" s="3">
        <v>0.59</v>
      </c>
      <c r="G46" s="4">
        <f>ROUND(F46,1)</f>
        <v>0.6</v>
      </c>
      <c r="H46" s="2" t="str">
        <f>IF(G46&gt;=0.5,"warm",IF(G46&lt;=-0.5,"cold","neutral"))</f>
        <v>warm</v>
      </c>
      <c r="I46" s="2">
        <f>IF(H46=H45,I45+1,1)</f>
        <v>8</v>
      </c>
      <c r="J46" s="2">
        <f>IF(H46=H47,J47+1,1)</f>
        <v>4</v>
      </c>
      <c r="K46" s="2">
        <f>I46+J46-1</f>
        <v>11</v>
      </c>
      <c r="L46" s="6" t="str">
        <f>IF(H46="neutral","—",IF(K46&gt;=5,IF(H46="warm","El Niño","La Niña"),IF(ROW()+J46-1=920,IF(H46="warm","El Niño (ongoing)","La Niña (ongoing)"),"—")))</f>
        <v>El Niño</v>
      </c>
      <c r="M46" s="2" t="inlineStr">
        <is>
          <t xml:space="preserve">1953/54</t>
        </is>
      </c>
    </row>
    <row r="47">
      <c r="A47" s="2" t="inlineStr">
        <is>
          <t xml:space="preserve">1953-10</t>
        </is>
      </c>
      <c r="B47" s="2">
        <v>1953</v>
      </c>
      <c r="C47" s="2">
        <v>10</v>
      </c>
      <c r="D47" s="2" t="inlineStr">
        <is>
          <t xml:space="preserve">SON</t>
        </is>
      </c>
      <c r="E47" t="inlineStr">
        <is>
          <t xml:space="preserve">Sep 1953 – Nov 1953</t>
        </is>
      </c>
      <c r="F47" s="3">
        <v>0.78</v>
      </c>
      <c r="G47" s="4">
        <f>ROUND(F47,1)</f>
        <v>0.8</v>
      </c>
      <c r="H47" s="2" t="str">
        <f>IF(G47&gt;=0.5,"warm",IF(G47&lt;=-0.5,"cold","neutral"))</f>
        <v>warm</v>
      </c>
      <c r="I47" s="2">
        <f>IF(H47=H46,I46+1,1)</f>
        <v>9</v>
      </c>
      <c r="J47" s="2">
        <f>IF(H47=H48,J48+1,1)</f>
        <v>3</v>
      </c>
      <c r="K47" s="2">
        <f>I47+J47-1</f>
        <v>11</v>
      </c>
      <c r="L47" s="6" t="str">
        <f>IF(H47="neutral","—",IF(K47&gt;=5,IF(H47="warm","El Niño","La Niña"),IF(ROW()+J47-1=920,IF(H47="warm","El Niño (ongoing)","La Niña (ongoing)"),"—")))</f>
        <v>El Niño</v>
      </c>
      <c r="M47" s="2" t="inlineStr">
        <is>
          <t xml:space="preserve">1953/54</t>
        </is>
      </c>
    </row>
    <row r="48">
      <c r="A48" s="2" t="inlineStr">
        <is>
          <t xml:space="preserve">1953-11</t>
        </is>
      </c>
      <c r="B48" s="2">
        <v>1953</v>
      </c>
      <c r="C48" s="2">
        <v>11</v>
      </c>
      <c r="D48" s="2" t="inlineStr">
        <is>
          <t xml:space="preserve">OND</t>
        </is>
      </c>
      <c r="E48" t="inlineStr">
        <is>
          <t xml:space="preserve">Oct 1953 – Dec 1953</t>
        </is>
      </c>
      <c r="F48" s="3">
        <v>0.52</v>
      </c>
      <c r="G48" s="4">
        <f>ROUND(F48,1)</f>
        <v>0.5</v>
      </c>
      <c r="H48" s="2" t="str">
        <f>IF(G48&gt;=0.5,"warm",IF(G48&lt;=-0.5,"cold","neutral"))</f>
        <v>warm</v>
      </c>
      <c r="I48" s="2">
        <f>IF(H48=H47,I47+1,1)</f>
        <v>10</v>
      </c>
      <c r="J48" s="2">
        <f>IF(H48=H49,J49+1,1)</f>
        <v>2</v>
      </c>
      <c r="K48" s="2">
        <f>I48+J48-1</f>
        <v>11</v>
      </c>
      <c r="L48" s="6" t="str">
        <f>IF(H48="neutral","—",IF(K48&gt;=5,IF(H48="warm","El Niño","La Niña"),IF(ROW()+J48-1=920,IF(H48="warm","El Niño (ongoing)","La Niña (ongoing)"),"—")))</f>
        <v>El Niño</v>
      </c>
      <c r="M48" s="2" t="inlineStr">
        <is>
          <t xml:space="preserve">1953/54</t>
        </is>
      </c>
    </row>
    <row r="49">
      <c r="A49" s="2" t="inlineStr">
        <is>
          <t xml:space="preserve">1953-12</t>
        </is>
      </c>
      <c r="B49" s="2">
        <v>1953</v>
      </c>
      <c r="C49" s="2">
        <v>12</v>
      </c>
      <c r="D49" s="2" t="inlineStr">
        <is>
          <t xml:space="preserve">NDJ</t>
        </is>
      </c>
      <c r="E49" t="inlineStr">
        <is>
          <t xml:space="preserve">Nov 1953 – Jan 1954</t>
        </is>
      </c>
      <c r="F49" s="3">
        <v>0.56</v>
      </c>
      <c r="G49" s="4">
        <f>ROUND(F49,1)</f>
        <v>0.6</v>
      </c>
      <c r="H49" s="2" t="str">
        <f>IF(G49&gt;=0.5,"warm",IF(G49&lt;=-0.5,"cold","neutral"))</f>
        <v>warm</v>
      </c>
      <c r="I49" s="2">
        <f>IF(H49=H48,I48+1,1)</f>
        <v>11</v>
      </c>
      <c r="J49" s="2">
        <f>IF(H49=H50,J50+1,1)</f>
        <v>1</v>
      </c>
      <c r="K49" s="2">
        <f>I49+J49-1</f>
        <v>11</v>
      </c>
      <c r="L49" s="6" t="str">
        <f>IF(H49="neutral","—",IF(K49&gt;=5,IF(H49="warm","El Niño","La Niña"),IF(ROW()+J49-1=920,IF(H49="warm","El Niño (ongoing)","La Niña (ongoing)"),"—")))</f>
        <v>El Niño</v>
      </c>
      <c r="M49" s="2" t="inlineStr">
        <is>
          <t xml:space="preserve">1953/54</t>
        </is>
      </c>
    </row>
    <row r="50">
      <c r="A50" s="2" t="inlineStr">
        <is>
          <t xml:space="preserve">1954-01</t>
        </is>
      </c>
      <c r="B50" s="2">
        <v>1954</v>
      </c>
      <c r="C50" s="2">
        <v>1</v>
      </c>
      <c r="D50" s="2" t="inlineStr">
        <is>
          <t xml:space="preserve">DJF</t>
        </is>
      </c>
      <c r="E50" t="inlineStr">
        <is>
          <t xml:space="preserve">Dec 1953 – Feb 1954</t>
        </is>
      </c>
      <c r="F50" s="3">
        <v>0.41</v>
      </c>
      <c r="G50" s="4">
        <f>ROUND(F50,1)</f>
        <v>0.4</v>
      </c>
      <c r="H50" s="2" t="str">
        <f>IF(G50&gt;=0.5,"warm",IF(G50&lt;=-0.5,"cold","neutral"))</f>
        <v>neutral</v>
      </c>
      <c r="I50" s="2">
        <f>IF(H50=H49,I49+1,1)</f>
        <v>1</v>
      </c>
      <c r="J50" s="2">
        <f>IF(H50=H51,J51+1,1)</f>
        <v>4</v>
      </c>
      <c r="K50" s="2">
        <f>I50+J50-1</f>
        <v>4</v>
      </c>
      <c r="L50" s="2" t="str">
        <f>IF(H50="neutral","—",IF(K50&gt;=5,IF(H50="warm","El Niño","La Niña"),IF(ROW()+J50-1=920,IF(H50="warm","El Niño (ongoing)","La Niña (ongoing)"),"—")))</f>
        <v>—</v>
      </c>
      <c r="M50" s="2" t="inlineStr">
        <is>
          <t xml:space="preserve">1953/54</t>
        </is>
      </c>
    </row>
    <row r="51">
      <c r="A51" s="2" t="inlineStr">
        <is>
          <t xml:space="preserve">1954-02</t>
        </is>
      </c>
      <c r="B51" s="2">
        <v>1954</v>
      </c>
      <c r="C51" s="2">
        <v>2</v>
      </c>
      <c r="D51" s="2" t="inlineStr">
        <is>
          <t xml:space="preserve">JFM</t>
        </is>
      </c>
      <c r="E51" t="inlineStr">
        <is>
          <t xml:space="preserve">Jan 1954 – Mar 1954</t>
        </is>
      </c>
      <c r="F51" s="3">
        <v>0.35</v>
      </c>
      <c r="G51" s="4">
        <f>ROUND(F51,1)</f>
        <v>0.4</v>
      </c>
      <c r="H51" s="2" t="str">
        <f>IF(G51&gt;=0.5,"warm",IF(G51&lt;=-0.5,"cold","neutral"))</f>
        <v>neutral</v>
      </c>
      <c r="I51" s="2">
        <f>IF(H51=H50,I50+1,1)</f>
        <v>2</v>
      </c>
      <c r="J51" s="2">
        <f>IF(H51=H52,J52+1,1)</f>
        <v>3</v>
      </c>
      <c r="K51" s="2">
        <f>I51+J51-1</f>
        <v>4</v>
      </c>
      <c r="L51" s="2" t="str">
        <f>IF(H51="neutral","—",IF(K51&gt;=5,IF(H51="warm","El Niño","La Niña"),IF(ROW()+J51-1=920,IF(H51="warm","El Niño (ongoing)","La Niña (ongoing)"),"—")))</f>
        <v>—</v>
      </c>
      <c r="M51" s="2" t="inlineStr">
        <is>
          <t xml:space="preserve">1953/54</t>
        </is>
      </c>
    </row>
    <row r="52">
      <c r="A52" s="2" t="inlineStr">
        <is>
          <t xml:space="preserve">1954-03</t>
        </is>
      </c>
      <c r="B52" s="2">
        <v>1954</v>
      </c>
      <c r="C52" s="2">
        <v>3</v>
      </c>
      <c r="D52" s="2" t="inlineStr">
        <is>
          <t xml:space="preserve">FMA</t>
        </is>
      </c>
      <c r="E52" t="inlineStr">
        <is>
          <t xml:space="preserve">Feb 1954 – Apr 1954</t>
        </is>
      </c>
      <c r="F52" s="3">
        <v>0.01</v>
      </c>
      <c r="G52" s="4">
        <f>ROUND(F52,1)</f>
        <v>0.0</v>
      </c>
      <c r="H52" s="2" t="str">
        <f>IF(G52&gt;=0.5,"warm",IF(G52&lt;=-0.5,"cold","neutral"))</f>
        <v>neutral</v>
      </c>
      <c r="I52" s="2">
        <f>IF(H52=H51,I51+1,1)</f>
        <v>3</v>
      </c>
      <c r="J52" s="2">
        <f>IF(H52=H53,J53+1,1)</f>
        <v>2</v>
      </c>
      <c r="K52" s="2">
        <f>I52+J52-1</f>
        <v>4</v>
      </c>
      <c r="L52" s="2" t="str">
        <f>IF(H52="neutral","—",IF(K52&gt;=5,IF(H52="warm","El Niño","La Niña"),IF(ROW()+J52-1=920,IF(H52="warm","El Niño (ongoing)","La Niña (ongoing)"),"—")))</f>
        <v>—</v>
      </c>
      <c r="M52" s="2" t="inlineStr">
        <is>
          <t xml:space="preserve">1953/54</t>
        </is>
      </c>
    </row>
    <row r="53">
      <c r="A53" s="2" t="inlineStr">
        <is>
          <t xml:space="preserve">1954-04</t>
        </is>
      </c>
      <c r="B53" s="2">
        <v>1954</v>
      </c>
      <c r="C53" s="2">
        <v>4</v>
      </c>
      <c r="D53" s="2" t="inlineStr">
        <is>
          <t xml:space="preserve">MAM</t>
        </is>
      </c>
      <c r="E53" t="inlineStr">
        <is>
          <t xml:space="preserve">Mar 1954 – May 1954</t>
        </is>
      </c>
      <c r="F53" s="3">
        <v>-0.27</v>
      </c>
      <c r="G53" s="4">
        <f>ROUND(F53,1)</f>
        <v>-0.3</v>
      </c>
      <c r="H53" s="2" t="str">
        <f>IF(G53&gt;=0.5,"warm",IF(G53&lt;=-0.5,"cold","neutral"))</f>
        <v>neutral</v>
      </c>
      <c r="I53" s="2">
        <f>IF(H53=H52,I52+1,1)</f>
        <v>4</v>
      </c>
      <c r="J53" s="2">
        <f>IF(H53=H54,J54+1,1)</f>
        <v>1</v>
      </c>
      <c r="K53" s="2">
        <f>I53+J53-1</f>
        <v>4</v>
      </c>
      <c r="L53" s="2" t="str">
        <f>IF(H53="neutral","—",IF(K53&gt;=5,IF(H53="warm","El Niño","La Niña"),IF(ROW()+J53-1=920,IF(H53="warm","El Niño (ongoing)","La Niña (ongoing)"),"—")))</f>
        <v>—</v>
      </c>
      <c r="M53" s="2" t="inlineStr">
        <is>
          <t xml:space="preserve">1953/54</t>
        </is>
      </c>
    </row>
    <row r="54">
      <c r="A54" s="2" t="inlineStr">
        <is>
          <t xml:space="preserve">1954-05</t>
        </is>
      </c>
      <c r="B54" s="2">
        <v>1954</v>
      </c>
      <c r="C54" s="2">
        <v>5</v>
      </c>
      <c r="D54" s="2" t="inlineStr">
        <is>
          <t xml:space="preserve">AMJ</t>
        </is>
      </c>
      <c r="E54" t="inlineStr">
        <is>
          <t xml:space="preserve">Apr 1954 – Jun 1954</t>
        </is>
      </c>
      <c r="F54" s="3">
        <v>-0.48</v>
      </c>
      <c r="G54" s="4">
        <f>ROUND(F54,1)</f>
        <v>-0.5</v>
      </c>
      <c r="H54" s="2" t="str">
        <f>IF(G54&gt;=0.5,"warm",IF(G54&lt;=-0.5,"cold","neutral"))</f>
        <v>cold</v>
      </c>
      <c r="I54" s="2">
        <f>IF(H54=H53,I53+1,1)</f>
        <v>1</v>
      </c>
      <c r="J54" s="2">
        <f>IF(H54=H55,J55+1,1)</f>
        <v>6</v>
      </c>
      <c r="K54" s="2">
        <f>I54+J54-1</f>
        <v>6</v>
      </c>
      <c r="L54" s="5" t="str">
        <f>IF(H54="neutral","—",IF(K54&gt;=5,IF(H54="warm","El Niño","La Niña"),IF(ROW()+J54-1=920,IF(H54="warm","El Niño (ongoing)","La Niña (ongoing)"),"—")))</f>
        <v>La Niña</v>
      </c>
      <c r="M54" s="2" t="inlineStr">
        <is>
          <t xml:space="preserve">1953/54</t>
        </is>
      </c>
    </row>
    <row r="55">
      <c r="A55" s="2" t="inlineStr">
        <is>
          <t xml:space="preserve">1954-06</t>
        </is>
      </c>
      <c r="B55" s="2">
        <v>1954</v>
      </c>
      <c r="C55" s="2">
        <v>6</v>
      </c>
      <c r="D55" s="2" t="inlineStr">
        <is>
          <t xml:space="preserve">MJJ</t>
        </is>
      </c>
      <c r="E55" t="inlineStr">
        <is>
          <t xml:space="preserve">May 1954 – Jul 1954</t>
        </is>
      </c>
      <c r="F55" s="3">
        <v>-0.48</v>
      </c>
      <c r="G55" s="4">
        <f>ROUND(F55,1)</f>
        <v>-0.5</v>
      </c>
      <c r="H55" s="2" t="str">
        <f>IF(G55&gt;=0.5,"warm",IF(G55&lt;=-0.5,"cold","neutral"))</f>
        <v>cold</v>
      </c>
      <c r="I55" s="2">
        <f>IF(H55=H54,I54+1,1)</f>
        <v>2</v>
      </c>
      <c r="J55" s="2">
        <f>IF(H55=H56,J56+1,1)</f>
        <v>5</v>
      </c>
      <c r="K55" s="2">
        <f>I55+J55-1</f>
        <v>6</v>
      </c>
      <c r="L55" s="5" t="str">
        <f>IF(H55="neutral","—",IF(K55&gt;=5,IF(H55="warm","El Niño","La Niña"),IF(ROW()+J55-1=920,IF(H55="warm","El Niño (ongoing)","La Niña (ongoing)"),"—")))</f>
        <v>La Niña</v>
      </c>
      <c r="M55" s="2" t="inlineStr">
        <is>
          <t xml:space="preserve">1953/54</t>
        </is>
      </c>
    </row>
    <row r="56">
      <c r="A56" s="2" t="inlineStr">
        <is>
          <t xml:space="preserve">1954-07</t>
        </is>
      </c>
      <c r="B56" s="2">
        <v>1954</v>
      </c>
      <c r="C56" s="2">
        <v>7</v>
      </c>
      <c r="D56" s="2" t="inlineStr">
        <is>
          <t xml:space="preserve">JJA</t>
        </is>
      </c>
      <c r="E56" t="inlineStr">
        <is>
          <t xml:space="preserve">Jun 1954 – Aug 1954</t>
        </is>
      </c>
      <c r="F56" s="3">
        <v>-0.67</v>
      </c>
      <c r="G56" s="4">
        <f>ROUND(F56,1)</f>
        <v>-0.7</v>
      </c>
      <c r="H56" s="2" t="str">
        <f>IF(G56&gt;=0.5,"warm",IF(G56&lt;=-0.5,"cold","neutral"))</f>
        <v>cold</v>
      </c>
      <c r="I56" s="2">
        <f>IF(H56=H55,I55+1,1)</f>
        <v>3</v>
      </c>
      <c r="J56" s="2">
        <f>IF(H56=H57,J57+1,1)</f>
        <v>4</v>
      </c>
      <c r="K56" s="2">
        <f>I56+J56-1</f>
        <v>6</v>
      </c>
      <c r="L56" s="5" t="str">
        <f>IF(H56="neutral","—",IF(K56&gt;=5,IF(H56="warm","El Niño","La Niña"),IF(ROW()+J56-1=920,IF(H56="warm","El Niño (ongoing)","La Niña (ongoing)"),"—")))</f>
        <v>La Niña</v>
      </c>
      <c r="M56" s="2" t="inlineStr">
        <is>
          <t xml:space="preserve">1954/55</t>
        </is>
      </c>
    </row>
    <row r="57">
      <c r="A57" s="2" t="inlineStr">
        <is>
          <t xml:space="preserve">1954-08</t>
        </is>
      </c>
      <c r="B57" s="2">
        <v>1954</v>
      </c>
      <c r="C57" s="2">
        <v>8</v>
      </c>
      <c r="D57" s="2" t="inlineStr">
        <is>
          <t xml:space="preserve">JAS</t>
        </is>
      </c>
      <c r="E57" t="inlineStr">
        <is>
          <t xml:space="preserve">Jul 1954 – Sep 1954</t>
        </is>
      </c>
      <c r="F57" s="3">
        <v>-0.83</v>
      </c>
      <c r="G57" s="4">
        <f>ROUND(F57,1)</f>
        <v>-0.8</v>
      </c>
      <c r="H57" s="2" t="str">
        <f>IF(G57&gt;=0.5,"warm",IF(G57&lt;=-0.5,"cold","neutral"))</f>
        <v>cold</v>
      </c>
      <c r="I57" s="2">
        <f>IF(H57=H56,I56+1,1)</f>
        <v>4</v>
      </c>
      <c r="J57" s="2">
        <f>IF(H57=H58,J58+1,1)</f>
        <v>3</v>
      </c>
      <c r="K57" s="2">
        <f>I57+J57-1</f>
        <v>6</v>
      </c>
      <c r="L57" s="5" t="str">
        <f>IF(H57="neutral","—",IF(K57&gt;=5,IF(H57="warm","El Niño","La Niña"),IF(ROW()+J57-1=920,IF(H57="warm","El Niño (ongoing)","La Niña (ongoing)"),"—")))</f>
        <v>La Niña</v>
      </c>
      <c r="M57" s="2" t="inlineStr">
        <is>
          <t xml:space="preserve">1954/55</t>
        </is>
      </c>
    </row>
    <row r="58">
      <c r="A58" s="2" t="inlineStr">
        <is>
          <t xml:space="preserve">1954-09</t>
        </is>
      </c>
      <c r="B58" s="2">
        <v>1954</v>
      </c>
      <c r="C58" s="2">
        <v>9</v>
      </c>
      <c r="D58" s="2" t="inlineStr">
        <is>
          <t xml:space="preserve">ASO</t>
        </is>
      </c>
      <c r="E58" t="inlineStr">
        <is>
          <t xml:space="preserve">Aug 1954 – Oct 1954</t>
        </is>
      </c>
      <c r="F58" s="3">
        <v>-0.73</v>
      </c>
      <c r="G58" s="4">
        <f>ROUND(F58,1)</f>
        <v>-0.7</v>
      </c>
      <c r="H58" s="2" t="str">
        <f>IF(G58&gt;=0.5,"warm",IF(G58&lt;=-0.5,"cold","neutral"))</f>
        <v>cold</v>
      </c>
      <c r="I58" s="2">
        <f>IF(H58=H57,I57+1,1)</f>
        <v>5</v>
      </c>
      <c r="J58" s="2">
        <f>IF(H58=H59,J59+1,1)</f>
        <v>2</v>
      </c>
      <c r="K58" s="2">
        <f>I58+J58-1</f>
        <v>6</v>
      </c>
      <c r="L58" s="5" t="str">
        <f>IF(H58="neutral","—",IF(K58&gt;=5,IF(H58="warm","El Niño","La Niña"),IF(ROW()+J58-1=920,IF(H58="warm","El Niño (ongoing)","La Niña (ongoing)"),"—")))</f>
        <v>La Niña</v>
      </c>
      <c r="M58" s="2" t="inlineStr">
        <is>
          <t xml:space="preserve">1954/55</t>
        </is>
      </c>
    </row>
    <row r="59">
      <c r="A59" s="2" t="inlineStr">
        <is>
          <t xml:space="preserve">1954-10</t>
        </is>
      </c>
      <c r="B59" s="2">
        <v>1954</v>
      </c>
      <c r="C59" s="2">
        <v>10</v>
      </c>
      <c r="D59" s="2" t="inlineStr">
        <is>
          <t xml:space="preserve">SON</t>
        </is>
      </c>
      <c r="E59" t="inlineStr">
        <is>
          <t xml:space="preserve">Sep 1954 – Nov 1954</t>
        </is>
      </c>
      <c r="F59" s="3">
        <v>-0.52</v>
      </c>
      <c r="G59" s="4">
        <f>ROUND(F59,1)</f>
        <v>-0.5</v>
      </c>
      <c r="H59" s="2" t="str">
        <f>IF(G59&gt;=0.5,"warm",IF(G59&lt;=-0.5,"cold","neutral"))</f>
        <v>cold</v>
      </c>
      <c r="I59" s="2">
        <f>IF(H59=H58,I58+1,1)</f>
        <v>6</v>
      </c>
      <c r="J59" s="2">
        <f>IF(H59=H60,J60+1,1)</f>
        <v>1</v>
      </c>
      <c r="K59" s="2">
        <f>I59+J59-1</f>
        <v>6</v>
      </c>
      <c r="L59" s="5" t="str">
        <f>IF(H59="neutral","—",IF(K59&gt;=5,IF(H59="warm","El Niño","La Niña"),IF(ROW()+J59-1=920,IF(H59="warm","El Niño (ongoing)","La Niña (ongoing)"),"—")))</f>
        <v>La Niña</v>
      </c>
      <c r="M59" s="2" t="inlineStr">
        <is>
          <t xml:space="preserve">1954/55</t>
        </is>
      </c>
    </row>
    <row r="60">
      <c r="A60" s="2" t="inlineStr">
        <is>
          <t xml:space="preserve">1954-11</t>
        </is>
      </c>
      <c r="B60" s="2">
        <v>1954</v>
      </c>
      <c r="C60" s="2">
        <v>11</v>
      </c>
      <c r="D60" s="2" t="inlineStr">
        <is>
          <t xml:space="preserve">OND</t>
        </is>
      </c>
      <c r="E60" t="inlineStr">
        <is>
          <t xml:space="preserve">Oct 1954 – Dec 1954</t>
        </is>
      </c>
      <c r="F60" s="3">
        <v>-0.4</v>
      </c>
      <c r="G60" s="4">
        <f>ROUND(F60,1)</f>
        <v>-0.4</v>
      </c>
      <c r="H60" s="2" t="str">
        <f>IF(G60&gt;=0.5,"warm",IF(G60&lt;=-0.5,"cold","neutral"))</f>
        <v>neutral</v>
      </c>
      <c r="I60" s="2">
        <f>IF(H60=H59,I59+1,1)</f>
        <v>1</v>
      </c>
      <c r="J60" s="2">
        <f>IF(H60=H61,J61+1,1)</f>
        <v>2</v>
      </c>
      <c r="K60" s="2">
        <f>I60+J60-1</f>
        <v>2</v>
      </c>
      <c r="L60" s="2" t="str">
        <f>IF(H60="neutral","—",IF(K60&gt;=5,IF(H60="warm","El Niño","La Niña"),IF(ROW()+J60-1=920,IF(H60="warm","El Niño (ongoing)","La Niña (ongoing)"),"—")))</f>
        <v>—</v>
      </c>
      <c r="M60" s="2" t="inlineStr">
        <is>
          <t xml:space="preserve">1954/55</t>
        </is>
      </c>
    </row>
    <row r="61">
      <c r="A61" s="2" t="inlineStr">
        <is>
          <t xml:space="preserve">1954-12</t>
        </is>
      </c>
      <c r="B61" s="2">
        <v>1954</v>
      </c>
      <c r="C61" s="2">
        <v>12</v>
      </c>
      <c r="D61" s="2" t="inlineStr">
        <is>
          <t xml:space="preserve">NDJ</t>
        </is>
      </c>
      <c r="E61" t="inlineStr">
        <is>
          <t xml:space="preserve">Nov 1954 – Jan 1955</t>
        </is>
      </c>
      <c r="F61" s="3">
        <v>-0.44</v>
      </c>
      <c r="G61" s="4">
        <f>ROUND(F61,1)</f>
        <v>-0.4</v>
      </c>
      <c r="H61" s="2" t="str">
        <f>IF(G61&gt;=0.5,"warm",IF(G61&lt;=-0.5,"cold","neutral"))</f>
        <v>neutral</v>
      </c>
      <c r="I61" s="2">
        <f>IF(H61=H60,I60+1,1)</f>
        <v>2</v>
      </c>
      <c r="J61" s="2">
        <f>IF(H61=H62,J62+1,1)</f>
        <v>1</v>
      </c>
      <c r="K61" s="2">
        <f>I61+J61-1</f>
        <v>2</v>
      </c>
      <c r="L61" s="2" t="str">
        <f>IF(H61="neutral","—",IF(K61&gt;=5,IF(H61="warm","El Niño","La Niña"),IF(ROW()+J61-1=920,IF(H61="warm","El Niño (ongoing)","La Niña (ongoing)"),"—")))</f>
        <v>—</v>
      </c>
      <c r="M61" s="2" t="inlineStr">
        <is>
          <t xml:space="preserve">1954/55</t>
        </is>
      </c>
    </row>
    <row r="62">
      <c r="A62" s="2" t="inlineStr">
        <is>
          <t xml:space="preserve">1955-01</t>
        </is>
      </c>
      <c r="B62" s="2">
        <v>1955</v>
      </c>
      <c r="C62" s="2">
        <v>1</v>
      </c>
      <c r="D62" s="2" t="inlineStr">
        <is>
          <t xml:space="preserve">DJF</t>
        </is>
      </c>
      <c r="E62" t="inlineStr">
        <is>
          <t xml:space="preserve">Dec 1954 – Feb 1955</t>
        </is>
      </c>
      <c r="F62" s="3">
        <v>-0.5</v>
      </c>
      <c r="G62" s="4">
        <f>ROUND(F62,1)</f>
        <v>-0.5</v>
      </c>
      <c r="H62" s="2" t="str">
        <f>IF(G62&gt;=0.5,"warm",IF(G62&lt;=-0.5,"cold","neutral"))</f>
        <v>cold</v>
      </c>
      <c r="I62" s="2">
        <f>IF(H62=H61,I61+1,1)</f>
        <v>1</v>
      </c>
      <c r="J62" s="2">
        <f>IF(H62=H63,J63+1,1)</f>
        <v>20</v>
      </c>
      <c r="K62" s="2">
        <f>I62+J62-1</f>
        <v>20</v>
      </c>
      <c r="L62" s="5" t="str">
        <f>IF(H62="neutral","—",IF(K62&gt;=5,IF(H62="warm","El Niño","La Niña"),IF(ROW()+J62-1=920,IF(H62="warm","El Niño (ongoing)","La Niña (ongoing)"),"—")))</f>
        <v>La Niña</v>
      </c>
      <c r="M62" s="2" t="inlineStr">
        <is>
          <t xml:space="preserve">1954/55</t>
        </is>
      </c>
    </row>
    <row r="63">
      <c r="A63" s="2" t="inlineStr">
        <is>
          <t xml:space="preserve">1955-02</t>
        </is>
      </c>
      <c r="B63" s="2">
        <v>1955</v>
      </c>
      <c r="C63" s="2">
        <v>2</v>
      </c>
      <c r="D63" s="2" t="inlineStr">
        <is>
          <t xml:space="preserve">JFM</t>
        </is>
      </c>
      <c r="E63" t="inlineStr">
        <is>
          <t xml:space="preserve">Jan 1955 – Mar 1955</t>
        </is>
      </c>
      <c r="F63" s="3">
        <v>-0.48</v>
      </c>
      <c r="G63" s="4">
        <f>ROUND(F63,1)</f>
        <v>-0.5</v>
      </c>
      <c r="H63" s="2" t="str">
        <f>IF(G63&gt;=0.5,"warm",IF(G63&lt;=-0.5,"cold","neutral"))</f>
        <v>cold</v>
      </c>
      <c r="I63" s="2">
        <f>IF(H63=H62,I62+1,1)</f>
        <v>2</v>
      </c>
      <c r="J63" s="2">
        <f>IF(H63=H64,J64+1,1)</f>
        <v>19</v>
      </c>
      <c r="K63" s="2">
        <f>I63+J63-1</f>
        <v>20</v>
      </c>
      <c r="L63" s="5" t="str">
        <f>IF(H63="neutral","—",IF(K63&gt;=5,IF(H63="warm","El Niño","La Niña"),IF(ROW()+J63-1=920,IF(H63="warm","El Niño (ongoing)","La Niña (ongoing)"),"—")))</f>
        <v>La Niña</v>
      </c>
      <c r="M63" s="2" t="inlineStr">
        <is>
          <t xml:space="preserve">1954/55</t>
        </is>
      </c>
    </row>
    <row r="64">
      <c r="A64" s="2" t="inlineStr">
        <is>
          <t xml:space="preserve">1955-03</t>
        </is>
      </c>
      <c r="B64" s="2">
        <v>1955</v>
      </c>
      <c r="C64" s="2">
        <v>3</v>
      </c>
      <c r="D64" s="2" t="inlineStr">
        <is>
          <t xml:space="preserve">FMA</t>
        </is>
      </c>
      <c r="E64" t="inlineStr">
        <is>
          <t xml:space="preserve">Feb 1955 – Apr 1955</t>
        </is>
      </c>
      <c r="F64" s="3">
        <v>-0.58</v>
      </c>
      <c r="G64" s="4">
        <f>ROUND(F64,1)</f>
        <v>-0.6</v>
      </c>
      <c r="H64" s="2" t="str">
        <f>IF(G64&gt;=0.5,"warm",IF(G64&lt;=-0.5,"cold","neutral"))</f>
        <v>cold</v>
      </c>
      <c r="I64" s="2">
        <f>IF(H64=H63,I63+1,1)</f>
        <v>3</v>
      </c>
      <c r="J64" s="2">
        <f>IF(H64=H65,J65+1,1)</f>
        <v>18</v>
      </c>
      <c r="K64" s="2">
        <f>I64+J64-1</f>
        <v>20</v>
      </c>
      <c r="L64" s="5" t="str">
        <f>IF(H64="neutral","—",IF(K64&gt;=5,IF(H64="warm","El Niño","La Niña"),IF(ROW()+J64-1=920,IF(H64="warm","El Niño (ongoing)","La Niña (ongoing)"),"—")))</f>
        <v>La Niña</v>
      </c>
      <c r="M64" s="2" t="inlineStr">
        <is>
          <t xml:space="preserve">1954/55</t>
        </is>
      </c>
    </row>
    <row r="65">
      <c r="A65" s="2" t="inlineStr">
        <is>
          <t xml:space="preserve">1955-04</t>
        </is>
      </c>
      <c r="B65" s="2">
        <v>1955</v>
      </c>
      <c r="C65" s="2">
        <v>4</v>
      </c>
      <c r="D65" s="2" t="inlineStr">
        <is>
          <t xml:space="preserve">MAM</t>
        </is>
      </c>
      <c r="E65" t="inlineStr">
        <is>
          <t xml:space="preserve">Mar 1955 – May 1955</t>
        </is>
      </c>
      <c r="F65" s="3">
        <v>-0.76</v>
      </c>
      <c r="G65" s="4">
        <f>ROUND(F65,1)</f>
        <v>-0.8</v>
      </c>
      <c r="H65" s="2" t="str">
        <f>IF(G65&gt;=0.5,"warm",IF(G65&lt;=-0.5,"cold","neutral"))</f>
        <v>cold</v>
      </c>
      <c r="I65" s="2">
        <f>IF(H65=H64,I64+1,1)</f>
        <v>4</v>
      </c>
      <c r="J65" s="2">
        <f>IF(H65=H66,J66+1,1)</f>
        <v>17</v>
      </c>
      <c r="K65" s="2">
        <f>I65+J65-1</f>
        <v>20</v>
      </c>
      <c r="L65" s="5" t="str">
        <f>IF(H65="neutral","—",IF(K65&gt;=5,IF(H65="warm","El Niño","La Niña"),IF(ROW()+J65-1=920,IF(H65="warm","El Niño (ongoing)","La Niña (ongoing)"),"—")))</f>
        <v>La Niña</v>
      </c>
      <c r="M65" s="2" t="inlineStr">
        <is>
          <t xml:space="preserve">1954/55</t>
        </is>
      </c>
    </row>
    <row r="66">
      <c r="A66" s="2" t="inlineStr">
        <is>
          <t xml:space="preserve">1955-05</t>
        </is>
      </c>
      <c r="B66" s="2">
        <v>1955</v>
      </c>
      <c r="C66" s="2">
        <v>5</v>
      </c>
      <c r="D66" s="2" t="inlineStr">
        <is>
          <t xml:space="preserve">AMJ</t>
        </is>
      </c>
      <c r="E66" t="inlineStr">
        <is>
          <t xml:space="preserve">Apr 1955 – Jun 1955</t>
        </is>
      </c>
      <c r="F66" s="3">
        <v>-0.78</v>
      </c>
      <c r="G66" s="4">
        <f>ROUND(F66,1)</f>
        <v>-0.8</v>
      </c>
      <c r="H66" s="2" t="str">
        <f>IF(G66&gt;=0.5,"warm",IF(G66&lt;=-0.5,"cold","neutral"))</f>
        <v>cold</v>
      </c>
      <c r="I66" s="2">
        <f>IF(H66=H65,I65+1,1)</f>
        <v>5</v>
      </c>
      <c r="J66" s="2">
        <f>IF(H66=H67,J67+1,1)</f>
        <v>16</v>
      </c>
      <c r="K66" s="2">
        <f>I66+J66-1</f>
        <v>20</v>
      </c>
      <c r="L66" s="5" t="str">
        <f>IF(H66="neutral","—",IF(K66&gt;=5,IF(H66="warm","El Niño","La Niña"),IF(ROW()+J66-1=920,IF(H66="warm","El Niño (ongoing)","La Niña (ongoing)"),"—")))</f>
        <v>La Niña</v>
      </c>
      <c r="M66" s="2" t="inlineStr">
        <is>
          <t xml:space="preserve">1954/55</t>
        </is>
      </c>
    </row>
    <row r="67">
      <c r="A67" s="2" t="inlineStr">
        <is>
          <t xml:space="preserve">1955-06</t>
        </is>
      </c>
      <c r="B67" s="2">
        <v>1955</v>
      </c>
      <c r="C67" s="2">
        <v>6</v>
      </c>
      <c r="D67" s="2" t="inlineStr">
        <is>
          <t xml:space="preserve">MJJ</t>
        </is>
      </c>
      <c r="E67" t="inlineStr">
        <is>
          <t xml:space="preserve">May 1955 – Jul 1955</t>
        </is>
      </c>
      <c r="F67" s="3">
        <v>-0.88</v>
      </c>
      <c r="G67" s="4">
        <f>ROUND(F67,1)</f>
        <v>-0.9</v>
      </c>
      <c r="H67" s="2" t="str">
        <f>IF(G67&gt;=0.5,"warm",IF(G67&lt;=-0.5,"cold","neutral"))</f>
        <v>cold</v>
      </c>
      <c r="I67" s="2">
        <f>IF(H67=H66,I66+1,1)</f>
        <v>6</v>
      </c>
      <c r="J67" s="2">
        <f>IF(H67=H68,J68+1,1)</f>
        <v>15</v>
      </c>
      <c r="K67" s="2">
        <f>I67+J67-1</f>
        <v>20</v>
      </c>
      <c r="L67" s="5" t="str">
        <f>IF(H67="neutral","—",IF(K67&gt;=5,IF(H67="warm","El Niño","La Niña"),IF(ROW()+J67-1=920,IF(H67="warm","El Niño (ongoing)","La Niña (ongoing)"),"—")))</f>
        <v>La Niña</v>
      </c>
      <c r="M67" s="2" t="inlineStr">
        <is>
          <t xml:space="preserve">1954/55</t>
        </is>
      </c>
    </row>
    <row r="68">
      <c r="A68" s="2" t="inlineStr">
        <is>
          <t xml:space="preserve">1955-07</t>
        </is>
      </c>
      <c r="B68" s="2">
        <v>1955</v>
      </c>
      <c r="C68" s="2">
        <v>7</v>
      </c>
      <c r="D68" s="2" t="inlineStr">
        <is>
          <t xml:space="preserve">JJA</t>
        </is>
      </c>
      <c r="E68" t="inlineStr">
        <is>
          <t xml:space="preserve">Jun 1955 – Aug 1955</t>
        </is>
      </c>
      <c r="F68" s="3">
        <v>-0.72</v>
      </c>
      <c r="G68" s="4">
        <f>ROUND(F68,1)</f>
        <v>-0.7</v>
      </c>
      <c r="H68" s="2" t="str">
        <f>IF(G68&gt;=0.5,"warm",IF(G68&lt;=-0.5,"cold","neutral"))</f>
        <v>cold</v>
      </c>
      <c r="I68" s="2">
        <f>IF(H68=H67,I67+1,1)</f>
        <v>7</v>
      </c>
      <c r="J68" s="2">
        <f>IF(H68=H69,J69+1,1)</f>
        <v>14</v>
      </c>
      <c r="K68" s="2">
        <f>I68+J68-1</f>
        <v>20</v>
      </c>
      <c r="L68" s="5" t="str">
        <f>IF(H68="neutral","—",IF(K68&gt;=5,IF(H68="warm","El Niño","La Niña"),IF(ROW()+J68-1=920,IF(H68="warm","El Niño (ongoing)","La Niña (ongoing)"),"—")))</f>
        <v>La Niña</v>
      </c>
      <c r="M68" s="2" t="inlineStr">
        <is>
          <t xml:space="preserve">1955/56</t>
        </is>
      </c>
    </row>
    <row r="69">
      <c r="A69" s="2" t="inlineStr">
        <is>
          <t xml:space="preserve">1955-08</t>
        </is>
      </c>
      <c r="B69" s="2">
        <v>1955</v>
      </c>
      <c r="C69" s="2">
        <v>8</v>
      </c>
      <c r="D69" s="2" t="inlineStr">
        <is>
          <t xml:space="preserve">JAS</t>
        </is>
      </c>
      <c r="E69" t="inlineStr">
        <is>
          <t xml:space="preserve">Jul 1955 – Sep 1955</t>
        </is>
      </c>
      <c r="F69" s="3">
        <v>-0.92</v>
      </c>
      <c r="G69" s="4">
        <f>ROUND(F69,1)</f>
        <v>-0.9</v>
      </c>
      <c r="H69" s="2" t="str">
        <f>IF(G69&gt;=0.5,"warm",IF(G69&lt;=-0.5,"cold","neutral"))</f>
        <v>cold</v>
      </c>
      <c r="I69" s="2">
        <f>IF(H69=H68,I68+1,1)</f>
        <v>8</v>
      </c>
      <c r="J69" s="2">
        <f>IF(H69=H70,J70+1,1)</f>
        <v>13</v>
      </c>
      <c r="K69" s="2">
        <f>I69+J69-1</f>
        <v>20</v>
      </c>
      <c r="L69" s="5" t="str">
        <f>IF(H69="neutral","—",IF(K69&gt;=5,IF(H69="warm","El Niño","La Niña"),IF(ROW()+J69-1=920,IF(H69="warm","El Niño (ongoing)","La Niña (ongoing)"),"—")))</f>
        <v>La Niña</v>
      </c>
      <c r="M69" s="2" t="inlineStr">
        <is>
          <t xml:space="preserve">1955/56</t>
        </is>
      </c>
    </row>
    <row r="70">
      <c r="A70" s="2" t="inlineStr">
        <is>
          <t xml:space="preserve">1955-09</t>
        </is>
      </c>
      <c r="B70" s="2">
        <v>1955</v>
      </c>
      <c r="C70" s="2">
        <v>9</v>
      </c>
      <c r="D70" s="2" t="inlineStr">
        <is>
          <t xml:space="preserve">ASO</t>
        </is>
      </c>
      <c r="E70" t="inlineStr">
        <is>
          <t xml:space="preserve">Aug 1955 – Oct 1955</t>
        </is>
      </c>
      <c r="F70" s="3">
        <v>-1.11</v>
      </c>
      <c r="G70" s="4">
        <f>ROUND(F70,1)</f>
        <v>-1.1</v>
      </c>
      <c r="H70" s="2" t="str">
        <f>IF(G70&gt;=0.5,"warm",IF(G70&lt;=-0.5,"cold","neutral"))</f>
        <v>cold</v>
      </c>
      <c r="I70" s="2">
        <f>IF(H70=H69,I69+1,1)</f>
        <v>9</v>
      </c>
      <c r="J70" s="2">
        <f>IF(H70=H71,J71+1,1)</f>
        <v>12</v>
      </c>
      <c r="K70" s="2">
        <f>I70+J70-1</f>
        <v>20</v>
      </c>
      <c r="L70" s="5" t="str">
        <f>IF(H70="neutral","—",IF(K70&gt;=5,IF(H70="warm","El Niño","La Niña"),IF(ROW()+J70-1=920,IF(H70="warm","El Niño (ongoing)","La Niña (ongoing)"),"—")))</f>
        <v>La Niña</v>
      </c>
      <c r="M70" s="2" t="inlineStr">
        <is>
          <t xml:space="preserve">1955/56</t>
        </is>
      </c>
    </row>
    <row r="71">
      <c r="A71" s="2" t="inlineStr">
        <is>
          <t xml:space="preserve">1955-10</t>
        </is>
      </c>
      <c r="B71" s="2">
        <v>1955</v>
      </c>
      <c r="C71" s="2">
        <v>10</v>
      </c>
      <c r="D71" s="2" t="inlineStr">
        <is>
          <t xml:space="preserve">SON</t>
        </is>
      </c>
      <c r="E71" t="inlineStr">
        <is>
          <t xml:space="preserve">Sep 1955 – Nov 1955</t>
        </is>
      </c>
      <c r="F71" s="3">
        <v>-1.44</v>
      </c>
      <c r="G71" s="4">
        <f>ROUND(F71,1)</f>
        <v>-1.4</v>
      </c>
      <c r="H71" s="2" t="str">
        <f>IF(G71&gt;=0.5,"warm",IF(G71&lt;=-0.5,"cold","neutral"))</f>
        <v>cold</v>
      </c>
      <c r="I71" s="2">
        <f>IF(H71=H70,I70+1,1)</f>
        <v>10</v>
      </c>
      <c r="J71" s="2">
        <f>IF(H71=H72,J72+1,1)</f>
        <v>11</v>
      </c>
      <c r="K71" s="2">
        <f>I71+J71-1</f>
        <v>20</v>
      </c>
      <c r="L71" s="5" t="str">
        <f>IF(H71="neutral","—",IF(K71&gt;=5,IF(H71="warm","El Niño","La Niña"),IF(ROW()+J71-1=920,IF(H71="warm","El Niño (ongoing)","La Niña (ongoing)"),"—")))</f>
        <v>La Niña</v>
      </c>
      <c r="M71" s="2" t="inlineStr">
        <is>
          <t xml:space="preserve">1955/56</t>
        </is>
      </c>
    </row>
    <row r="72">
      <c r="A72" s="2" t="inlineStr">
        <is>
          <t xml:space="preserve">1955-11</t>
        </is>
      </c>
      <c r="B72" s="2">
        <v>1955</v>
      </c>
      <c r="C72" s="2">
        <v>11</v>
      </c>
      <c r="D72" s="2" t="inlineStr">
        <is>
          <t xml:space="preserve">OND</t>
        </is>
      </c>
      <c r="E72" t="inlineStr">
        <is>
          <t xml:space="preserve">Oct 1955 – Dec 1955</t>
        </is>
      </c>
      <c r="F72" s="3">
        <v>-1.59</v>
      </c>
      <c r="G72" s="4">
        <f>ROUND(F72,1)</f>
        <v>-1.6</v>
      </c>
      <c r="H72" s="2" t="str">
        <f>IF(G72&gt;=0.5,"warm",IF(G72&lt;=-0.5,"cold","neutral"))</f>
        <v>cold</v>
      </c>
      <c r="I72" s="2">
        <f>IF(H72=H71,I71+1,1)</f>
        <v>11</v>
      </c>
      <c r="J72" s="2">
        <f>IF(H72=H73,J73+1,1)</f>
        <v>10</v>
      </c>
      <c r="K72" s="2">
        <f>I72+J72-1</f>
        <v>20</v>
      </c>
      <c r="L72" s="5" t="str">
        <f>IF(H72="neutral","—",IF(K72&gt;=5,IF(H72="warm","El Niño","La Niña"),IF(ROW()+J72-1=920,IF(H72="warm","El Niño (ongoing)","La Niña (ongoing)"),"—")))</f>
        <v>La Niña</v>
      </c>
      <c r="M72" s="2" t="inlineStr">
        <is>
          <t xml:space="preserve">1955/56</t>
        </is>
      </c>
    </row>
    <row r="73">
      <c r="A73" s="2" t="inlineStr">
        <is>
          <t xml:space="preserve">1955-12</t>
        </is>
      </c>
      <c r="B73" s="2">
        <v>1955</v>
      </c>
      <c r="C73" s="2">
        <v>12</v>
      </c>
      <c r="D73" s="2" t="inlineStr">
        <is>
          <t xml:space="preserve">NDJ</t>
        </is>
      </c>
      <c r="E73" t="inlineStr">
        <is>
          <t xml:space="preserve">Nov 1955 – Jan 1956</t>
        </is>
      </c>
      <c r="F73" s="3">
        <v>-1.51</v>
      </c>
      <c r="G73" s="4">
        <f>ROUND(F73,1)</f>
        <v>-1.5</v>
      </c>
      <c r="H73" s="2" t="str">
        <f>IF(G73&gt;=0.5,"warm",IF(G73&lt;=-0.5,"cold","neutral"))</f>
        <v>cold</v>
      </c>
      <c r="I73" s="2">
        <f>IF(H73=H72,I72+1,1)</f>
        <v>12</v>
      </c>
      <c r="J73" s="2">
        <f>IF(H73=H74,J74+1,1)</f>
        <v>9</v>
      </c>
      <c r="K73" s="2">
        <f>I73+J73-1</f>
        <v>20</v>
      </c>
      <c r="L73" s="5" t="str">
        <f>IF(H73="neutral","—",IF(K73&gt;=5,IF(H73="warm","El Niño","La Niña"),IF(ROW()+J73-1=920,IF(H73="warm","El Niño (ongoing)","La Niña (ongoing)"),"—")))</f>
        <v>La Niña</v>
      </c>
      <c r="M73" s="2" t="inlineStr">
        <is>
          <t xml:space="preserve">1955/56</t>
        </is>
      </c>
    </row>
    <row r="74">
      <c r="A74" s="2" t="inlineStr">
        <is>
          <t xml:space="preserve">1956-01</t>
        </is>
      </c>
      <c r="B74" s="2">
        <v>1956</v>
      </c>
      <c r="C74" s="2">
        <v>1</v>
      </c>
      <c r="D74" s="2" t="inlineStr">
        <is>
          <t xml:space="preserve">DJF</t>
        </is>
      </c>
      <c r="E74" t="inlineStr">
        <is>
          <t xml:space="preserve">Dec 1955 – Feb 1956</t>
        </is>
      </c>
      <c r="F74" s="3">
        <v>-1.17</v>
      </c>
      <c r="G74" s="4">
        <f>ROUND(F74,1)</f>
        <v>-1.2</v>
      </c>
      <c r="H74" s="2" t="str">
        <f>IF(G74&gt;=0.5,"warm",IF(G74&lt;=-0.5,"cold","neutral"))</f>
        <v>cold</v>
      </c>
      <c r="I74" s="2">
        <f>IF(H74=H73,I73+1,1)</f>
        <v>13</v>
      </c>
      <c r="J74" s="2">
        <f>IF(H74=H75,J75+1,1)</f>
        <v>8</v>
      </c>
      <c r="K74" s="2">
        <f>I74+J74-1</f>
        <v>20</v>
      </c>
      <c r="L74" s="5" t="str">
        <f>IF(H74="neutral","—",IF(K74&gt;=5,IF(H74="warm","El Niño","La Niña"),IF(ROW()+J74-1=920,IF(H74="warm","El Niño (ongoing)","La Niña (ongoing)"),"—")))</f>
        <v>La Niña</v>
      </c>
      <c r="M74" s="2" t="inlineStr">
        <is>
          <t xml:space="preserve">1955/56</t>
        </is>
      </c>
    </row>
    <row r="75">
      <c r="A75" s="2" t="inlineStr">
        <is>
          <t xml:space="preserve">1956-02</t>
        </is>
      </c>
      <c r="B75" s="2">
        <v>1956</v>
      </c>
      <c r="C75" s="2">
        <v>2</v>
      </c>
      <c r="D75" s="2" t="inlineStr">
        <is>
          <t xml:space="preserve">JFM</t>
        </is>
      </c>
      <c r="E75" t="inlineStr">
        <is>
          <t xml:space="preserve">Jan 1956 – Mar 1956</t>
        </is>
      </c>
      <c r="F75" s="3">
        <v>-0.81</v>
      </c>
      <c r="G75" s="4">
        <f>ROUND(F75,1)</f>
        <v>-0.8</v>
      </c>
      <c r="H75" s="2" t="str">
        <f>IF(G75&gt;=0.5,"warm",IF(G75&lt;=-0.5,"cold","neutral"))</f>
        <v>cold</v>
      </c>
      <c r="I75" s="2">
        <f>IF(H75=H74,I74+1,1)</f>
        <v>14</v>
      </c>
      <c r="J75" s="2">
        <f>IF(H75=H76,J76+1,1)</f>
        <v>7</v>
      </c>
      <c r="K75" s="2">
        <f>I75+J75-1</f>
        <v>20</v>
      </c>
      <c r="L75" s="5" t="str">
        <f>IF(H75="neutral","—",IF(K75&gt;=5,IF(H75="warm","El Niño","La Niña"),IF(ROW()+J75-1=920,IF(H75="warm","El Niño (ongoing)","La Niña (ongoing)"),"—")))</f>
        <v>La Niña</v>
      </c>
      <c r="M75" s="2" t="inlineStr">
        <is>
          <t xml:space="preserve">1955/56</t>
        </is>
      </c>
    </row>
    <row r="76">
      <c r="A76" s="2" t="inlineStr">
        <is>
          <t xml:space="preserve">1956-03</t>
        </is>
      </c>
      <c r="B76" s="2">
        <v>1956</v>
      </c>
      <c r="C76" s="2">
        <v>3</v>
      </c>
      <c r="D76" s="2" t="inlineStr">
        <is>
          <t xml:space="preserve">FMA</t>
        </is>
      </c>
      <c r="E76" t="inlineStr">
        <is>
          <t xml:space="preserve">Feb 1956 – Apr 1956</t>
        </is>
      </c>
      <c r="F76" s="3">
        <v>-0.57</v>
      </c>
      <c r="G76" s="4">
        <f>ROUND(F76,1)</f>
        <v>-0.6</v>
      </c>
      <c r="H76" s="2" t="str">
        <f>IF(G76&gt;=0.5,"warm",IF(G76&lt;=-0.5,"cold","neutral"))</f>
        <v>cold</v>
      </c>
      <c r="I76" s="2">
        <f>IF(H76=H75,I75+1,1)</f>
        <v>15</v>
      </c>
      <c r="J76" s="2">
        <f>IF(H76=H77,J77+1,1)</f>
        <v>6</v>
      </c>
      <c r="K76" s="2">
        <f>I76+J76-1</f>
        <v>20</v>
      </c>
      <c r="L76" s="5" t="str">
        <f>IF(H76="neutral","—",IF(K76&gt;=5,IF(H76="warm","El Niño","La Niña"),IF(ROW()+J76-1=920,IF(H76="warm","El Niño (ongoing)","La Niña (ongoing)"),"—")))</f>
        <v>La Niña</v>
      </c>
      <c r="M76" s="2" t="inlineStr">
        <is>
          <t xml:space="preserve">1955/56</t>
        </is>
      </c>
    </row>
    <row r="77">
      <c r="A77" s="2" t="inlineStr">
        <is>
          <t xml:space="preserve">1956-04</t>
        </is>
      </c>
      <c r="B77" s="2">
        <v>1956</v>
      </c>
      <c r="C77" s="2">
        <v>4</v>
      </c>
      <c r="D77" s="2" t="inlineStr">
        <is>
          <t xml:space="preserve">MAM</t>
        </is>
      </c>
      <c r="E77" t="inlineStr">
        <is>
          <t xml:space="preserve">Mar 1956 – May 1956</t>
        </is>
      </c>
      <c r="F77" s="3">
        <v>-0.51</v>
      </c>
      <c r="G77" s="4">
        <f>ROUND(F77,1)</f>
        <v>-0.5</v>
      </c>
      <c r="H77" s="2" t="str">
        <f>IF(G77&gt;=0.5,"warm",IF(G77&lt;=-0.5,"cold","neutral"))</f>
        <v>cold</v>
      </c>
      <c r="I77" s="2">
        <f>IF(H77=H76,I76+1,1)</f>
        <v>16</v>
      </c>
      <c r="J77" s="2">
        <f>IF(H77=H78,J78+1,1)</f>
        <v>5</v>
      </c>
      <c r="K77" s="2">
        <f>I77+J77-1</f>
        <v>20</v>
      </c>
      <c r="L77" s="5" t="str">
        <f>IF(H77="neutral","—",IF(K77&gt;=5,IF(H77="warm","El Niño","La Niña"),IF(ROW()+J77-1=920,IF(H77="warm","El Niño (ongoing)","La Niña (ongoing)"),"—")))</f>
        <v>La Niña</v>
      </c>
      <c r="M77" s="2" t="inlineStr">
        <is>
          <t xml:space="preserve">1955/56</t>
        </is>
      </c>
    </row>
    <row r="78">
      <c r="A78" s="2" t="inlineStr">
        <is>
          <t xml:space="preserve">1956-05</t>
        </is>
      </c>
      <c r="B78" s="2">
        <v>1956</v>
      </c>
      <c r="C78" s="2">
        <v>5</v>
      </c>
      <c r="D78" s="2" t="inlineStr">
        <is>
          <t xml:space="preserve">AMJ</t>
        </is>
      </c>
      <c r="E78" t="inlineStr">
        <is>
          <t xml:space="preserve">Apr 1956 – Jun 1956</t>
        </is>
      </c>
      <c r="F78" s="3">
        <v>-0.49</v>
      </c>
      <c r="G78" s="4">
        <f>ROUND(F78,1)</f>
        <v>-0.5</v>
      </c>
      <c r="H78" s="2" t="str">
        <f>IF(G78&gt;=0.5,"warm",IF(G78&lt;=-0.5,"cold","neutral"))</f>
        <v>cold</v>
      </c>
      <c r="I78" s="2">
        <f>IF(H78=H77,I77+1,1)</f>
        <v>17</v>
      </c>
      <c r="J78" s="2">
        <f>IF(H78=H79,J79+1,1)</f>
        <v>4</v>
      </c>
      <c r="K78" s="2">
        <f>I78+J78-1</f>
        <v>20</v>
      </c>
      <c r="L78" s="5" t="str">
        <f>IF(H78="neutral","—",IF(K78&gt;=5,IF(H78="warm","El Niño","La Niña"),IF(ROW()+J78-1=920,IF(H78="warm","El Niño (ongoing)","La Niña (ongoing)"),"—")))</f>
        <v>La Niña</v>
      </c>
      <c r="M78" s="2" t="inlineStr">
        <is>
          <t xml:space="preserve">1955/56</t>
        </is>
      </c>
    </row>
    <row r="79">
      <c r="A79" s="2" t="inlineStr">
        <is>
          <t xml:space="preserve">1956-06</t>
        </is>
      </c>
      <c r="B79" s="2">
        <v>1956</v>
      </c>
      <c r="C79" s="2">
        <v>6</v>
      </c>
      <c r="D79" s="2" t="inlineStr">
        <is>
          <t xml:space="preserve">MJJ</t>
        </is>
      </c>
      <c r="E79" t="inlineStr">
        <is>
          <t xml:space="preserve">May 1956 – Jul 1956</t>
        </is>
      </c>
      <c r="F79" s="3">
        <v>-0.47</v>
      </c>
      <c r="G79" s="4">
        <f>ROUND(F79,1)</f>
        <v>-0.5</v>
      </c>
      <c r="H79" s="2" t="str">
        <f>IF(G79&gt;=0.5,"warm",IF(G79&lt;=-0.5,"cold","neutral"))</f>
        <v>cold</v>
      </c>
      <c r="I79" s="2">
        <f>IF(H79=H78,I78+1,1)</f>
        <v>18</v>
      </c>
      <c r="J79" s="2">
        <f>IF(H79=H80,J80+1,1)</f>
        <v>3</v>
      </c>
      <c r="K79" s="2">
        <f>I79+J79-1</f>
        <v>20</v>
      </c>
      <c r="L79" s="5" t="str">
        <f>IF(H79="neutral","—",IF(K79&gt;=5,IF(H79="warm","El Niño","La Niña"),IF(ROW()+J79-1=920,IF(H79="warm","El Niño (ongoing)","La Niña (ongoing)"),"—")))</f>
        <v>La Niña</v>
      </c>
      <c r="M79" s="2" t="inlineStr">
        <is>
          <t xml:space="preserve">1955/56</t>
        </is>
      </c>
    </row>
    <row r="80">
      <c r="A80" s="2" t="inlineStr">
        <is>
          <t xml:space="preserve">1956-07</t>
        </is>
      </c>
      <c r="B80" s="2">
        <v>1956</v>
      </c>
      <c r="C80" s="2">
        <v>7</v>
      </c>
      <c r="D80" s="2" t="inlineStr">
        <is>
          <t xml:space="preserve">JJA</t>
        </is>
      </c>
      <c r="E80" t="inlineStr">
        <is>
          <t xml:space="preserve">Jun 1956 – Aug 1956</t>
        </is>
      </c>
      <c r="F80" s="3">
        <v>-0.55</v>
      </c>
      <c r="G80" s="4">
        <f>ROUND(F80,1)</f>
        <v>-0.6</v>
      </c>
      <c r="H80" s="2" t="str">
        <f>IF(G80&gt;=0.5,"warm",IF(G80&lt;=-0.5,"cold","neutral"))</f>
        <v>cold</v>
      </c>
      <c r="I80" s="2">
        <f>IF(H80=H79,I79+1,1)</f>
        <v>19</v>
      </c>
      <c r="J80" s="2">
        <f>IF(H80=H81,J81+1,1)</f>
        <v>2</v>
      </c>
      <c r="K80" s="2">
        <f>I80+J80-1</f>
        <v>20</v>
      </c>
      <c r="L80" s="5" t="str">
        <f>IF(H80="neutral","—",IF(K80&gt;=5,IF(H80="warm","El Niño","La Niña"),IF(ROW()+J80-1=920,IF(H80="warm","El Niño (ongoing)","La Niña (ongoing)"),"—")))</f>
        <v>La Niña</v>
      </c>
      <c r="M80" s="2" t="inlineStr">
        <is>
          <t xml:space="preserve">1956/57</t>
        </is>
      </c>
    </row>
    <row r="81">
      <c r="A81" s="2" t="inlineStr">
        <is>
          <t xml:space="preserve">1956-08</t>
        </is>
      </c>
      <c r="B81" s="2">
        <v>1956</v>
      </c>
      <c r="C81" s="2">
        <v>8</v>
      </c>
      <c r="D81" s="2" t="inlineStr">
        <is>
          <t xml:space="preserve">JAS</t>
        </is>
      </c>
      <c r="E81" t="inlineStr">
        <is>
          <t xml:space="preserve">Jul 1956 – Sep 1956</t>
        </is>
      </c>
      <c r="F81" s="3">
        <v>-0.52</v>
      </c>
      <c r="G81" s="4">
        <f>ROUND(F81,1)</f>
        <v>-0.5</v>
      </c>
      <c r="H81" s="2" t="str">
        <f>IF(G81&gt;=0.5,"warm",IF(G81&lt;=-0.5,"cold","neutral"))</f>
        <v>cold</v>
      </c>
      <c r="I81" s="2">
        <f>IF(H81=H80,I80+1,1)</f>
        <v>20</v>
      </c>
      <c r="J81" s="2">
        <f>IF(H81=H82,J82+1,1)</f>
        <v>1</v>
      </c>
      <c r="K81" s="2">
        <f>I81+J81-1</f>
        <v>20</v>
      </c>
      <c r="L81" s="5" t="str">
        <f>IF(H81="neutral","—",IF(K81&gt;=5,IF(H81="warm","El Niño","La Niña"),IF(ROW()+J81-1=920,IF(H81="warm","El Niño (ongoing)","La Niña (ongoing)"),"—")))</f>
        <v>La Niña</v>
      </c>
      <c r="M81" s="2" t="inlineStr">
        <is>
          <t xml:space="preserve">1956/57</t>
        </is>
      </c>
    </row>
    <row r="82">
      <c r="A82" s="2" t="inlineStr">
        <is>
          <t xml:space="preserve">1956-09</t>
        </is>
      </c>
      <c r="B82" s="2">
        <v>1956</v>
      </c>
      <c r="C82" s="2">
        <v>9</v>
      </c>
      <c r="D82" s="2" t="inlineStr">
        <is>
          <t xml:space="preserve">ASO</t>
        </is>
      </c>
      <c r="E82" t="inlineStr">
        <is>
          <t xml:space="preserve">Aug 1956 – Oct 1956</t>
        </is>
      </c>
      <c r="F82" s="3">
        <v>-0.43</v>
      </c>
      <c r="G82" s="4">
        <f>ROUND(F82,1)</f>
        <v>-0.4</v>
      </c>
      <c r="H82" s="2" t="str">
        <f>IF(G82&gt;=0.5,"warm",IF(G82&lt;=-0.5,"cold","neutral"))</f>
        <v>neutral</v>
      </c>
      <c r="I82" s="2">
        <f>IF(H82=H81,I81+1,1)</f>
        <v>1</v>
      </c>
      <c r="J82" s="2">
        <f>IF(H82=H83,J83+1,1)</f>
        <v>7</v>
      </c>
      <c r="K82" s="2">
        <f>I82+J82-1</f>
        <v>7</v>
      </c>
      <c r="L82" s="2" t="str">
        <f>IF(H82="neutral","—",IF(K82&gt;=5,IF(H82="warm","El Niño","La Niña"),IF(ROW()+J82-1=920,IF(H82="warm","El Niño (ongoing)","La Niña (ongoing)"),"—")))</f>
        <v>—</v>
      </c>
      <c r="M82" s="2" t="inlineStr">
        <is>
          <t xml:space="preserve">1956/57</t>
        </is>
      </c>
    </row>
    <row r="83">
      <c r="A83" s="2" t="inlineStr">
        <is>
          <t xml:space="preserve">1956-10</t>
        </is>
      </c>
      <c r="B83" s="2">
        <v>1956</v>
      </c>
      <c r="C83" s="2">
        <v>10</v>
      </c>
      <c r="D83" s="2" t="inlineStr">
        <is>
          <t xml:space="preserve">SON</t>
        </is>
      </c>
      <c r="E83" t="inlineStr">
        <is>
          <t xml:space="preserve">Sep 1956 – Nov 1956</t>
        </is>
      </c>
      <c r="F83" s="3">
        <v>-0.39</v>
      </c>
      <c r="G83" s="4">
        <f>ROUND(F83,1)</f>
        <v>-0.4</v>
      </c>
      <c r="H83" s="2" t="str">
        <f>IF(G83&gt;=0.5,"warm",IF(G83&lt;=-0.5,"cold","neutral"))</f>
        <v>neutral</v>
      </c>
      <c r="I83" s="2">
        <f>IF(H83=H82,I82+1,1)</f>
        <v>2</v>
      </c>
      <c r="J83" s="2">
        <f>IF(H83=H84,J84+1,1)</f>
        <v>6</v>
      </c>
      <c r="K83" s="2">
        <f>I83+J83-1</f>
        <v>7</v>
      </c>
      <c r="L83" s="2" t="str">
        <f>IF(H83="neutral","—",IF(K83&gt;=5,IF(H83="warm","El Niño","La Niña"),IF(ROW()+J83-1=920,IF(H83="warm","El Niño (ongoing)","La Niña (ongoing)"),"—")))</f>
        <v>—</v>
      </c>
      <c r="M83" s="2" t="inlineStr">
        <is>
          <t xml:space="preserve">1956/57</t>
        </is>
      </c>
    </row>
    <row r="84">
      <c r="A84" s="2" t="inlineStr">
        <is>
          <t xml:space="preserve">1956-11</t>
        </is>
      </c>
      <c r="B84" s="2">
        <v>1956</v>
      </c>
      <c r="C84" s="2">
        <v>11</v>
      </c>
      <c r="D84" s="2" t="inlineStr">
        <is>
          <t xml:space="preserve">OND</t>
        </is>
      </c>
      <c r="E84" t="inlineStr">
        <is>
          <t xml:space="preserve">Oct 1956 – Dec 1956</t>
        </is>
      </c>
      <c r="F84" s="3">
        <v>-0.37</v>
      </c>
      <c r="G84" s="4">
        <f>ROUND(F84,1)</f>
        <v>-0.4</v>
      </c>
      <c r="H84" s="2" t="str">
        <f>IF(G84&gt;=0.5,"warm",IF(G84&lt;=-0.5,"cold","neutral"))</f>
        <v>neutral</v>
      </c>
      <c r="I84" s="2">
        <f>IF(H84=H83,I83+1,1)</f>
        <v>3</v>
      </c>
      <c r="J84" s="2">
        <f>IF(H84=H85,J85+1,1)</f>
        <v>5</v>
      </c>
      <c r="K84" s="2">
        <f>I84+J84-1</f>
        <v>7</v>
      </c>
      <c r="L84" s="2" t="str">
        <f>IF(H84="neutral","—",IF(K84&gt;=5,IF(H84="warm","El Niño","La Niña"),IF(ROW()+J84-1=920,IF(H84="warm","El Niño (ongoing)","La Niña (ongoing)"),"—")))</f>
        <v>—</v>
      </c>
      <c r="M84" s="2" t="inlineStr">
        <is>
          <t xml:space="preserve">1956/57</t>
        </is>
      </c>
    </row>
    <row r="85">
      <c r="A85" s="2" t="inlineStr">
        <is>
          <t xml:space="preserve">1956-12</t>
        </is>
      </c>
      <c r="B85" s="2">
        <v>1956</v>
      </c>
      <c r="C85" s="2">
        <v>12</v>
      </c>
      <c r="D85" s="2" t="inlineStr">
        <is>
          <t xml:space="preserve">NDJ</t>
        </is>
      </c>
      <c r="E85" t="inlineStr">
        <is>
          <t xml:space="preserve">Nov 1956 – Jan 1957</t>
        </is>
      </c>
      <c r="F85" s="3">
        <v>-0.39</v>
      </c>
      <c r="G85" s="4">
        <f>ROUND(F85,1)</f>
        <v>-0.4</v>
      </c>
      <c r="H85" s="2" t="str">
        <f>IF(G85&gt;=0.5,"warm",IF(G85&lt;=-0.5,"cold","neutral"))</f>
        <v>neutral</v>
      </c>
      <c r="I85" s="2">
        <f>IF(H85=H84,I84+1,1)</f>
        <v>4</v>
      </c>
      <c r="J85" s="2">
        <f>IF(H85=H86,J86+1,1)</f>
        <v>4</v>
      </c>
      <c r="K85" s="2">
        <f>I85+J85-1</f>
        <v>7</v>
      </c>
      <c r="L85" s="2" t="str">
        <f>IF(H85="neutral","—",IF(K85&gt;=5,IF(H85="warm","El Niño","La Niña"),IF(ROW()+J85-1=920,IF(H85="warm","El Niño (ongoing)","La Niña (ongoing)"),"—")))</f>
        <v>—</v>
      </c>
      <c r="M85" s="2" t="inlineStr">
        <is>
          <t xml:space="preserve">1956/57</t>
        </is>
      </c>
    </row>
    <row r="86">
      <c r="A86" s="2" t="inlineStr">
        <is>
          <t xml:space="preserve">1957-01</t>
        </is>
      </c>
      <c r="B86" s="2">
        <v>1957</v>
      </c>
      <c r="C86" s="2">
        <v>1</v>
      </c>
      <c r="D86" s="2" t="inlineStr">
        <is>
          <t xml:space="preserve">DJF</t>
        </is>
      </c>
      <c r="E86" t="inlineStr">
        <is>
          <t xml:space="preserve">Dec 1956 – Feb 1957</t>
        </is>
      </c>
      <c r="F86" s="3">
        <v>-0.27</v>
      </c>
      <c r="G86" s="4">
        <f>ROUND(F86,1)</f>
        <v>-0.3</v>
      </c>
      <c r="H86" s="2" t="str">
        <f>IF(G86&gt;=0.5,"warm",IF(G86&lt;=-0.5,"cold","neutral"))</f>
        <v>neutral</v>
      </c>
      <c r="I86" s="2">
        <f>IF(H86=H85,I85+1,1)</f>
        <v>5</v>
      </c>
      <c r="J86" s="2">
        <f>IF(H86=H87,J87+1,1)</f>
        <v>3</v>
      </c>
      <c r="K86" s="2">
        <f>I86+J86-1</f>
        <v>7</v>
      </c>
      <c r="L86" s="2" t="str">
        <f>IF(H86="neutral","—",IF(K86&gt;=5,IF(H86="warm","El Niño","La Niña"),IF(ROW()+J86-1=920,IF(H86="warm","El Niño (ongoing)","La Niña (ongoing)"),"—")))</f>
        <v>—</v>
      </c>
      <c r="M86" s="2" t="inlineStr">
        <is>
          <t xml:space="preserve">1956/57</t>
        </is>
      </c>
    </row>
    <row r="87">
      <c r="A87" s="2" t="inlineStr">
        <is>
          <t xml:space="preserve">1957-02</t>
        </is>
      </c>
      <c r="B87" s="2">
        <v>1957</v>
      </c>
      <c r="C87" s="2">
        <v>2</v>
      </c>
      <c r="D87" s="2" t="inlineStr">
        <is>
          <t xml:space="preserve">JFM</t>
        </is>
      </c>
      <c r="E87" t="inlineStr">
        <is>
          <t xml:space="preserve">Jan 1957 – Mar 1957</t>
        </is>
      </c>
      <c r="F87" s="3">
        <v>-0.06</v>
      </c>
      <c r="G87" s="4">
        <f>ROUND(F87,1)</f>
        <v>-0.1</v>
      </c>
      <c r="H87" s="2" t="str">
        <f>IF(G87&gt;=0.5,"warm",IF(G87&lt;=-0.5,"cold","neutral"))</f>
        <v>neutral</v>
      </c>
      <c r="I87" s="2">
        <f>IF(H87=H86,I86+1,1)</f>
        <v>6</v>
      </c>
      <c r="J87" s="2">
        <f>IF(H87=H88,J88+1,1)</f>
        <v>2</v>
      </c>
      <c r="K87" s="2">
        <f>I87+J87-1</f>
        <v>7</v>
      </c>
      <c r="L87" s="2" t="str">
        <f>IF(H87="neutral","—",IF(K87&gt;=5,IF(H87="warm","El Niño","La Niña"),IF(ROW()+J87-1=920,IF(H87="warm","El Niño (ongoing)","La Niña (ongoing)"),"—")))</f>
        <v>—</v>
      </c>
      <c r="M87" s="2" t="inlineStr">
        <is>
          <t xml:space="preserve">1956/57</t>
        </is>
      </c>
    </row>
    <row r="88">
      <c r="A88" s="2" t="inlineStr">
        <is>
          <t xml:space="preserve">1957-03</t>
        </is>
      </c>
      <c r="B88" s="2">
        <v>1957</v>
      </c>
      <c r="C88" s="2">
        <v>3</v>
      </c>
      <c r="D88" s="2" t="inlineStr">
        <is>
          <t xml:space="preserve">FMA</t>
        </is>
      </c>
      <c r="E88" t="inlineStr">
        <is>
          <t xml:space="preserve">Feb 1957 – Apr 1957</t>
        </is>
      </c>
      <c r="F88" s="3">
        <v>0.26</v>
      </c>
      <c r="G88" s="4">
        <f>ROUND(F88,1)</f>
        <v>0.3</v>
      </c>
      <c r="H88" s="2" t="str">
        <f>IF(G88&gt;=0.5,"warm",IF(G88&lt;=-0.5,"cold","neutral"))</f>
        <v>neutral</v>
      </c>
      <c r="I88" s="2">
        <f>IF(H88=H87,I87+1,1)</f>
        <v>7</v>
      </c>
      <c r="J88" s="2">
        <f>IF(H88=H89,J89+1,1)</f>
        <v>1</v>
      </c>
      <c r="K88" s="2">
        <f>I88+J88-1</f>
        <v>7</v>
      </c>
      <c r="L88" s="2" t="str">
        <f>IF(H88="neutral","—",IF(K88&gt;=5,IF(H88="warm","El Niño","La Niña"),IF(ROW()+J88-1=920,IF(H88="warm","El Niño (ongoing)","La Niña (ongoing)"),"—")))</f>
        <v>—</v>
      </c>
      <c r="M88" s="2" t="inlineStr">
        <is>
          <t xml:space="preserve">1956/57</t>
        </is>
      </c>
    </row>
    <row r="89">
      <c r="A89" s="2" t="inlineStr">
        <is>
          <t xml:space="preserve">1957-04</t>
        </is>
      </c>
      <c r="B89" s="2">
        <v>1957</v>
      </c>
      <c r="C89" s="2">
        <v>4</v>
      </c>
      <c r="D89" s="2" t="inlineStr">
        <is>
          <t xml:space="preserve">MAM</t>
        </is>
      </c>
      <c r="E89" t="inlineStr">
        <is>
          <t xml:space="preserve">Mar 1957 – May 1957</t>
        </is>
      </c>
      <c r="F89" s="3">
        <v>0.63</v>
      </c>
      <c r="G89" s="4">
        <f>ROUND(F89,1)</f>
        <v>0.6</v>
      </c>
      <c r="H89" s="2" t="str">
        <f>IF(G89&gt;=0.5,"warm",IF(G89&lt;=-0.5,"cold","neutral"))</f>
        <v>warm</v>
      </c>
      <c r="I89" s="2">
        <f>IF(H89=H88,I88+1,1)</f>
        <v>1</v>
      </c>
      <c r="J89" s="2">
        <f>IF(H89=H90,J90+1,1)</f>
        <v>15</v>
      </c>
      <c r="K89" s="2">
        <f>I89+J89-1</f>
        <v>15</v>
      </c>
      <c r="L89" s="6" t="str">
        <f>IF(H89="neutral","—",IF(K89&gt;=5,IF(H89="warm","El Niño","La Niña"),IF(ROW()+J89-1=920,IF(H89="warm","El Niño (ongoing)","La Niña (ongoing)"),"—")))</f>
        <v>El Niño</v>
      </c>
      <c r="M89" s="2" t="inlineStr">
        <is>
          <t xml:space="preserve">1956/57</t>
        </is>
      </c>
    </row>
    <row r="90">
      <c r="A90" s="2" t="inlineStr">
        <is>
          <t xml:space="preserve">1957-05</t>
        </is>
      </c>
      <c r="B90" s="2">
        <v>1957</v>
      </c>
      <c r="C90" s="2">
        <v>5</v>
      </c>
      <c r="D90" s="2" t="inlineStr">
        <is>
          <t xml:space="preserve">AMJ</t>
        </is>
      </c>
      <c r="E90" t="inlineStr">
        <is>
          <t xml:space="preserve">Apr 1957 – Jun 1957</t>
        </is>
      </c>
      <c r="F90" s="3">
        <v>0.72</v>
      </c>
      <c r="G90" s="4">
        <f>ROUND(F90,1)</f>
        <v>0.7</v>
      </c>
      <c r="H90" s="2" t="str">
        <f>IF(G90&gt;=0.5,"warm",IF(G90&lt;=-0.5,"cold","neutral"))</f>
        <v>warm</v>
      </c>
      <c r="I90" s="2">
        <f>IF(H90=H89,I89+1,1)</f>
        <v>2</v>
      </c>
      <c r="J90" s="2">
        <f>IF(H90=H91,J91+1,1)</f>
        <v>14</v>
      </c>
      <c r="K90" s="2">
        <f>I90+J90-1</f>
        <v>15</v>
      </c>
      <c r="L90" s="6" t="str">
        <f>IF(H90="neutral","—",IF(K90&gt;=5,IF(H90="warm","El Niño","La Niña"),IF(ROW()+J90-1=920,IF(H90="warm","El Niño (ongoing)","La Niña (ongoing)"),"—")))</f>
        <v>El Niño</v>
      </c>
      <c r="M90" s="2" t="inlineStr">
        <is>
          <t xml:space="preserve">1956/57</t>
        </is>
      </c>
    </row>
    <row r="91">
      <c r="A91" s="2" t="inlineStr">
        <is>
          <t xml:space="preserve">1957-06</t>
        </is>
      </c>
      <c r="B91" s="2">
        <v>1957</v>
      </c>
      <c r="C91" s="2">
        <v>6</v>
      </c>
      <c r="D91" s="2" t="inlineStr">
        <is>
          <t xml:space="preserve">MJJ</t>
        </is>
      </c>
      <c r="E91" t="inlineStr">
        <is>
          <t xml:space="preserve">May 1957 – Jul 1957</t>
        </is>
      </c>
      <c r="F91" s="3">
        <v>0.82</v>
      </c>
      <c r="G91" s="4">
        <f>ROUND(F91,1)</f>
        <v>0.8</v>
      </c>
      <c r="H91" s="2" t="str">
        <f>IF(G91&gt;=0.5,"warm",IF(G91&lt;=-0.5,"cold","neutral"))</f>
        <v>warm</v>
      </c>
      <c r="I91" s="2">
        <f>IF(H91=H90,I90+1,1)</f>
        <v>3</v>
      </c>
      <c r="J91" s="2">
        <f>IF(H91=H92,J92+1,1)</f>
        <v>13</v>
      </c>
      <c r="K91" s="2">
        <f>I91+J91-1</f>
        <v>15</v>
      </c>
      <c r="L91" s="6" t="str">
        <f>IF(H91="neutral","—",IF(K91&gt;=5,IF(H91="warm","El Niño","La Niña"),IF(ROW()+J91-1=920,IF(H91="warm","El Niño (ongoing)","La Niña (ongoing)"),"—")))</f>
        <v>El Niño</v>
      </c>
      <c r="M91" s="2" t="inlineStr">
        <is>
          <t xml:space="preserve">1956/57</t>
        </is>
      </c>
    </row>
    <row r="92">
      <c r="A92" s="2" t="inlineStr">
        <is>
          <t xml:space="preserve">1957-07</t>
        </is>
      </c>
      <c r="B92" s="2">
        <v>1957</v>
      </c>
      <c r="C92" s="2">
        <v>7</v>
      </c>
      <c r="D92" s="2" t="inlineStr">
        <is>
          <t xml:space="preserve">JJA</t>
        </is>
      </c>
      <c r="E92" t="inlineStr">
        <is>
          <t xml:space="preserve">Jun 1957 – Aug 1957</t>
        </is>
      </c>
      <c r="F92" s="3">
        <v>0.96</v>
      </c>
      <c r="G92" s="4">
        <f>ROUND(F92,1)</f>
        <v>1.0</v>
      </c>
      <c r="H92" s="2" t="str">
        <f>IF(G92&gt;=0.5,"warm",IF(G92&lt;=-0.5,"cold","neutral"))</f>
        <v>warm</v>
      </c>
      <c r="I92" s="2">
        <f>IF(H92=H91,I91+1,1)</f>
        <v>4</v>
      </c>
      <c r="J92" s="2">
        <f>IF(H92=H93,J93+1,1)</f>
        <v>12</v>
      </c>
      <c r="K92" s="2">
        <f>I92+J92-1</f>
        <v>15</v>
      </c>
      <c r="L92" s="6" t="str">
        <f>IF(H92="neutral","—",IF(K92&gt;=5,IF(H92="warm","El Niño","La Niña"),IF(ROW()+J92-1=920,IF(H92="warm","El Niño (ongoing)","La Niña (ongoing)"),"—")))</f>
        <v>El Niño</v>
      </c>
      <c r="M92" s="2" t="inlineStr">
        <is>
          <t xml:space="preserve">1957/58</t>
        </is>
      </c>
    </row>
    <row r="93">
      <c r="A93" s="2" t="inlineStr">
        <is>
          <t xml:space="preserve">1957-08</t>
        </is>
      </c>
      <c r="B93" s="2">
        <v>1957</v>
      </c>
      <c r="C93" s="2">
        <v>8</v>
      </c>
      <c r="D93" s="2" t="inlineStr">
        <is>
          <t xml:space="preserve">JAS</t>
        </is>
      </c>
      <c r="E93" t="inlineStr">
        <is>
          <t xml:space="preserve">Jul 1957 – Sep 1957</t>
        </is>
      </c>
      <c r="F93" s="3">
        <v>1.03</v>
      </c>
      <c r="G93" s="4">
        <f>ROUND(F93,1)</f>
        <v>1.0</v>
      </c>
      <c r="H93" s="2" t="str">
        <f>IF(G93&gt;=0.5,"warm",IF(G93&lt;=-0.5,"cold","neutral"))</f>
        <v>warm</v>
      </c>
      <c r="I93" s="2">
        <f>IF(H93=H92,I92+1,1)</f>
        <v>5</v>
      </c>
      <c r="J93" s="2">
        <f>IF(H93=H94,J94+1,1)</f>
        <v>11</v>
      </c>
      <c r="K93" s="2">
        <f>I93+J93-1</f>
        <v>15</v>
      </c>
      <c r="L93" s="6" t="str">
        <f>IF(H93="neutral","—",IF(K93&gt;=5,IF(H93="warm","El Niño","La Niña"),IF(ROW()+J93-1=920,IF(H93="warm","El Niño (ongoing)","La Niña (ongoing)"),"—")))</f>
        <v>El Niño</v>
      </c>
      <c r="M93" s="2" t="inlineStr">
        <is>
          <t xml:space="preserve">1957/58</t>
        </is>
      </c>
    </row>
    <row r="94">
      <c r="A94" s="2" t="inlineStr">
        <is>
          <t xml:space="preserve">1957-09</t>
        </is>
      </c>
      <c r="B94" s="2">
        <v>1957</v>
      </c>
      <c r="C94" s="2">
        <v>9</v>
      </c>
      <c r="D94" s="2" t="inlineStr">
        <is>
          <t xml:space="preserve">ASO</t>
        </is>
      </c>
      <c r="E94" t="inlineStr">
        <is>
          <t xml:space="preserve">Aug 1957 – Oct 1957</t>
        </is>
      </c>
      <c r="F94" s="3">
        <v>1.12</v>
      </c>
      <c r="G94" s="4">
        <f>ROUND(F94,1)</f>
        <v>1.1</v>
      </c>
      <c r="H94" s="2" t="str">
        <f>IF(G94&gt;=0.5,"warm",IF(G94&lt;=-0.5,"cold","neutral"))</f>
        <v>warm</v>
      </c>
      <c r="I94" s="2">
        <f>IF(H94=H93,I93+1,1)</f>
        <v>6</v>
      </c>
      <c r="J94" s="2">
        <f>IF(H94=H95,J95+1,1)</f>
        <v>10</v>
      </c>
      <c r="K94" s="2">
        <f>I94+J94-1</f>
        <v>15</v>
      </c>
      <c r="L94" s="6" t="str">
        <f>IF(H94="neutral","—",IF(K94&gt;=5,IF(H94="warm","El Niño","La Niña"),IF(ROW()+J94-1=920,IF(H94="warm","El Niño (ongoing)","La Niña (ongoing)"),"—")))</f>
        <v>El Niño</v>
      </c>
      <c r="M94" s="2" t="inlineStr">
        <is>
          <t xml:space="preserve">1957/58</t>
        </is>
      </c>
    </row>
    <row r="95">
      <c r="A95" s="2" t="inlineStr">
        <is>
          <t xml:space="preserve">1957-10</t>
        </is>
      </c>
      <c r="B95" s="2">
        <v>1957</v>
      </c>
      <c r="C95" s="2">
        <v>10</v>
      </c>
      <c r="D95" s="2" t="inlineStr">
        <is>
          <t xml:space="preserve">SON</t>
        </is>
      </c>
      <c r="E95" t="inlineStr">
        <is>
          <t xml:space="preserve">Sep 1957 – Nov 1957</t>
        </is>
      </c>
      <c r="F95" s="3">
        <v>1.15</v>
      </c>
      <c r="G95" s="4">
        <f>ROUND(F95,1)</f>
        <v>1.2</v>
      </c>
      <c r="H95" s="2" t="str">
        <f>IF(G95&gt;=0.5,"warm",IF(G95&lt;=-0.5,"cold","neutral"))</f>
        <v>warm</v>
      </c>
      <c r="I95" s="2">
        <f>IF(H95=H94,I94+1,1)</f>
        <v>7</v>
      </c>
      <c r="J95" s="2">
        <f>IF(H95=H96,J96+1,1)</f>
        <v>9</v>
      </c>
      <c r="K95" s="2">
        <f>I95+J95-1</f>
        <v>15</v>
      </c>
      <c r="L95" s="6" t="str">
        <f>IF(H95="neutral","—",IF(K95&gt;=5,IF(H95="warm","El Niño","La Niña"),IF(ROW()+J95-1=920,IF(H95="warm","El Niño (ongoing)","La Niña (ongoing)"),"—")))</f>
        <v>El Niño</v>
      </c>
      <c r="M95" s="2" t="inlineStr">
        <is>
          <t xml:space="preserve">1957/58</t>
        </is>
      </c>
    </row>
    <row r="96">
      <c r="A96" s="2" t="inlineStr">
        <is>
          <t xml:space="preserve">1957-11</t>
        </is>
      </c>
      <c r="B96" s="2">
        <v>1957</v>
      </c>
      <c r="C96" s="2">
        <v>11</v>
      </c>
      <c r="D96" s="2" t="inlineStr">
        <is>
          <t xml:space="preserve">OND</t>
        </is>
      </c>
      <c r="E96" t="inlineStr">
        <is>
          <t xml:space="preserve">Oct 1957 – Dec 1957</t>
        </is>
      </c>
      <c r="F96" s="3">
        <v>1.39</v>
      </c>
      <c r="G96" s="4">
        <f>ROUND(F96,1)</f>
        <v>1.4</v>
      </c>
      <c r="H96" s="2" t="str">
        <f>IF(G96&gt;=0.5,"warm",IF(G96&lt;=-0.5,"cold","neutral"))</f>
        <v>warm</v>
      </c>
      <c r="I96" s="2">
        <f>IF(H96=H95,I95+1,1)</f>
        <v>8</v>
      </c>
      <c r="J96" s="2">
        <f>IF(H96=H97,J97+1,1)</f>
        <v>8</v>
      </c>
      <c r="K96" s="2">
        <f>I96+J96-1</f>
        <v>15</v>
      </c>
      <c r="L96" s="6" t="str">
        <f>IF(H96="neutral","—",IF(K96&gt;=5,IF(H96="warm","El Niño","La Niña"),IF(ROW()+J96-1=920,IF(H96="warm","El Niño (ongoing)","La Niña (ongoing)"),"—")))</f>
        <v>El Niño</v>
      </c>
      <c r="M96" s="2" t="inlineStr">
        <is>
          <t xml:space="preserve">1957/58</t>
        </is>
      </c>
    </row>
    <row r="97">
      <c r="A97" s="2" t="inlineStr">
        <is>
          <t xml:space="preserve">1957-12</t>
        </is>
      </c>
      <c r="B97" s="2">
        <v>1957</v>
      </c>
      <c r="C97" s="2">
        <v>12</v>
      </c>
      <c r="D97" s="2" t="inlineStr">
        <is>
          <t xml:space="preserve">NDJ</t>
        </is>
      </c>
      <c r="E97" t="inlineStr">
        <is>
          <t xml:space="preserve">Nov 1957 – Jan 1958</t>
        </is>
      </c>
      <c r="F97" s="3">
        <v>1.62</v>
      </c>
      <c r="G97" s="4">
        <f>ROUND(F97,1)</f>
        <v>1.6</v>
      </c>
      <c r="H97" s="2" t="str">
        <f>IF(G97&gt;=0.5,"warm",IF(G97&lt;=-0.5,"cold","neutral"))</f>
        <v>warm</v>
      </c>
      <c r="I97" s="2">
        <f>IF(H97=H96,I96+1,1)</f>
        <v>9</v>
      </c>
      <c r="J97" s="2">
        <f>IF(H97=H98,J98+1,1)</f>
        <v>7</v>
      </c>
      <c r="K97" s="2">
        <f>I97+J97-1</f>
        <v>15</v>
      </c>
      <c r="L97" s="6" t="str">
        <f>IF(H97="neutral","—",IF(K97&gt;=5,IF(H97="warm","El Niño","La Niña"),IF(ROW()+J97-1=920,IF(H97="warm","El Niño (ongoing)","La Niña (ongoing)"),"—")))</f>
        <v>El Niño</v>
      </c>
      <c r="M97" s="2" t="inlineStr">
        <is>
          <t xml:space="preserve">1957/58</t>
        </is>
      </c>
    </row>
    <row r="98">
      <c r="A98" s="2" t="inlineStr">
        <is>
          <t xml:space="preserve">1958-01</t>
        </is>
      </c>
      <c r="B98" s="2">
        <v>1958</v>
      </c>
      <c r="C98" s="2">
        <v>1</v>
      </c>
      <c r="D98" s="2" t="inlineStr">
        <is>
          <t xml:space="preserve">DJF</t>
        </is>
      </c>
      <c r="E98" t="inlineStr">
        <is>
          <t xml:space="preserve">Dec 1957 – Feb 1958</t>
        </is>
      </c>
      <c r="F98" s="3">
        <v>1.69</v>
      </c>
      <c r="G98" s="4">
        <f>ROUND(F98,1)</f>
        <v>1.7</v>
      </c>
      <c r="H98" s="2" t="str">
        <f>IF(G98&gt;=0.5,"warm",IF(G98&lt;=-0.5,"cold","neutral"))</f>
        <v>warm</v>
      </c>
      <c r="I98" s="2">
        <f>IF(H98=H97,I97+1,1)</f>
        <v>10</v>
      </c>
      <c r="J98" s="2">
        <f>IF(H98=H99,J99+1,1)</f>
        <v>6</v>
      </c>
      <c r="K98" s="2">
        <f>I98+J98-1</f>
        <v>15</v>
      </c>
      <c r="L98" s="6" t="str">
        <f>IF(H98="neutral","—",IF(K98&gt;=5,IF(H98="warm","El Niño","La Niña"),IF(ROW()+J98-1=920,IF(H98="warm","El Niño (ongoing)","La Niña (ongoing)"),"—")))</f>
        <v>El Niño</v>
      </c>
      <c r="M98" s="2" t="inlineStr">
        <is>
          <t xml:space="preserve">1957/58</t>
        </is>
      </c>
    </row>
    <row r="99">
      <c r="A99" s="2" t="inlineStr">
        <is>
          <t xml:space="preserve">1958-02</t>
        </is>
      </c>
      <c r="B99" s="2">
        <v>1958</v>
      </c>
      <c r="C99" s="2">
        <v>2</v>
      </c>
      <c r="D99" s="2" t="inlineStr">
        <is>
          <t xml:space="preserve">JFM</t>
        </is>
      </c>
      <c r="E99" t="inlineStr">
        <is>
          <t xml:space="preserve">Jan 1958 – Mar 1958</t>
        </is>
      </c>
      <c r="F99" s="3">
        <v>1.59</v>
      </c>
      <c r="G99" s="4">
        <f>ROUND(F99,1)</f>
        <v>1.6</v>
      </c>
      <c r="H99" s="2" t="str">
        <f>IF(G99&gt;=0.5,"warm",IF(G99&lt;=-0.5,"cold","neutral"))</f>
        <v>warm</v>
      </c>
      <c r="I99" s="2">
        <f>IF(H99=H98,I98+1,1)</f>
        <v>11</v>
      </c>
      <c r="J99" s="2">
        <f>IF(H99=H100,J100+1,1)</f>
        <v>5</v>
      </c>
      <c r="K99" s="2">
        <f>I99+J99-1</f>
        <v>15</v>
      </c>
      <c r="L99" s="6" t="str">
        <f>IF(H99="neutral","—",IF(K99&gt;=5,IF(H99="warm","El Niño","La Niña"),IF(ROW()+J99-1=920,IF(H99="warm","El Niño (ongoing)","La Niña (ongoing)"),"—")))</f>
        <v>El Niño</v>
      </c>
      <c r="M99" s="2" t="inlineStr">
        <is>
          <t xml:space="preserve">1957/58</t>
        </is>
      </c>
    </row>
    <row r="100">
      <c r="A100" s="2" t="inlineStr">
        <is>
          <t xml:space="preserve">1958-03</t>
        </is>
      </c>
      <c r="B100" s="2">
        <v>1958</v>
      </c>
      <c r="C100" s="2">
        <v>3</v>
      </c>
      <c r="D100" s="2" t="inlineStr">
        <is>
          <t xml:space="preserve">FMA</t>
        </is>
      </c>
      <c r="E100" t="inlineStr">
        <is>
          <t xml:space="preserve">Feb 1958 – Apr 1958</t>
        </is>
      </c>
      <c r="F100" s="3">
        <v>1.17</v>
      </c>
      <c r="G100" s="4">
        <f>ROUND(F100,1)</f>
        <v>1.2</v>
      </c>
      <c r="H100" s="2" t="str">
        <f>IF(G100&gt;=0.5,"warm",IF(G100&lt;=-0.5,"cold","neutral"))</f>
        <v>warm</v>
      </c>
      <c r="I100" s="2">
        <f>IF(H100=H99,I99+1,1)</f>
        <v>12</v>
      </c>
      <c r="J100" s="2">
        <f>IF(H100=H101,J101+1,1)</f>
        <v>4</v>
      </c>
      <c r="K100" s="2">
        <f>I100+J100-1</f>
        <v>15</v>
      </c>
      <c r="L100" s="6" t="str">
        <f>IF(H100="neutral","—",IF(K100&gt;=5,IF(H100="warm","El Niño","La Niña"),IF(ROW()+J100-1=920,IF(H100="warm","El Niño (ongoing)","La Niña (ongoing)"),"—")))</f>
        <v>El Niño</v>
      </c>
      <c r="M100" s="2" t="inlineStr">
        <is>
          <t xml:space="preserve">1957/58</t>
        </is>
      </c>
    </row>
    <row r="101">
      <c r="A101" s="2" t="inlineStr">
        <is>
          <t xml:space="preserve">1958-04</t>
        </is>
      </c>
      <c r="B101" s="2">
        <v>1958</v>
      </c>
      <c r="C101" s="2">
        <v>4</v>
      </c>
      <c r="D101" s="2" t="inlineStr">
        <is>
          <t xml:space="preserve">MAM</t>
        </is>
      </c>
      <c r="E101" t="inlineStr">
        <is>
          <t xml:space="preserve">Mar 1958 – May 1958</t>
        </is>
      </c>
      <c r="F101" s="3">
        <v>0.84</v>
      </c>
      <c r="G101" s="4">
        <f>ROUND(F101,1)</f>
        <v>0.8</v>
      </c>
      <c r="H101" s="2" t="str">
        <f>IF(G101&gt;=0.5,"warm",IF(G101&lt;=-0.5,"cold","neutral"))</f>
        <v>warm</v>
      </c>
      <c r="I101" s="2">
        <f>IF(H101=H100,I100+1,1)</f>
        <v>13</v>
      </c>
      <c r="J101" s="2">
        <f>IF(H101=H102,J102+1,1)</f>
        <v>3</v>
      </c>
      <c r="K101" s="2">
        <f>I101+J101-1</f>
        <v>15</v>
      </c>
      <c r="L101" s="6" t="str">
        <f>IF(H101="neutral","—",IF(K101&gt;=5,IF(H101="warm","El Niño","La Niña"),IF(ROW()+J101-1=920,IF(H101="warm","El Niño (ongoing)","La Niña (ongoing)"),"—")))</f>
        <v>El Niño</v>
      </c>
      <c r="M101" s="2" t="inlineStr">
        <is>
          <t xml:space="preserve">1957/58</t>
        </is>
      </c>
    </row>
    <row r="102">
      <c r="A102" s="2" t="inlineStr">
        <is>
          <t xml:space="preserve">1958-05</t>
        </is>
      </c>
      <c r="B102" s="2">
        <v>1958</v>
      </c>
      <c r="C102" s="2">
        <v>5</v>
      </c>
      <c r="D102" s="2" t="inlineStr">
        <is>
          <t xml:space="preserve">AMJ</t>
        </is>
      </c>
      <c r="E102" t="inlineStr">
        <is>
          <t xml:space="preserve">Apr 1958 – Jun 1958</t>
        </is>
      </c>
      <c r="F102" s="3">
        <v>0.57</v>
      </c>
      <c r="G102" s="4">
        <f>ROUND(F102,1)</f>
        <v>0.6</v>
      </c>
      <c r="H102" s="2" t="str">
        <f>IF(G102&gt;=0.5,"warm",IF(G102&lt;=-0.5,"cold","neutral"))</f>
        <v>warm</v>
      </c>
      <c r="I102" s="2">
        <f>IF(H102=H101,I101+1,1)</f>
        <v>14</v>
      </c>
      <c r="J102" s="2">
        <f>IF(H102=H103,J103+1,1)</f>
        <v>2</v>
      </c>
      <c r="K102" s="2">
        <f>I102+J102-1</f>
        <v>15</v>
      </c>
      <c r="L102" s="6" t="str">
        <f>IF(H102="neutral","—",IF(K102&gt;=5,IF(H102="warm","El Niño","La Niña"),IF(ROW()+J102-1=920,IF(H102="warm","El Niño (ongoing)","La Niña (ongoing)"),"—")))</f>
        <v>El Niño</v>
      </c>
      <c r="M102" s="2" t="inlineStr">
        <is>
          <t xml:space="preserve">1957/58</t>
        </is>
      </c>
    </row>
    <row r="103">
      <c r="A103" s="2" t="inlineStr">
        <is>
          <t xml:space="preserve">1958-06</t>
        </is>
      </c>
      <c r="B103" s="2">
        <v>1958</v>
      </c>
      <c r="C103" s="2">
        <v>6</v>
      </c>
      <c r="D103" s="2" t="inlineStr">
        <is>
          <t xml:space="preserve">MJJ</t>
        </is>
      </c>
      <c r="E103" t="inlineStr">
        <is>
          <t xml:space="preserve">May 1958 – Jul 1958</t>
        </is>
      </c>
      <c r="F103" s="3">
        <v>0.49</v>
      </c>
      <c r="G103" s="4">
        <f>ROUND(F103,1)</f>
        <v>0.5</v>
      </c>
      <c r="H103" s="2" t="str">
        <f>IF(G103&gt;=0.5,"warm",IF(G103&lt;=-0.5,"cold","neutral"))</f>
        <v>warm</v>
      </c>
      <c r="I103" s="2">
        <f>IF(H103=H102,I102+1,1)</f>
        <v>15</v>
      </c>
      <c r="J103" s="2">
        <f>IF(H103=H104,J104+1,1)</f>
        <v>1</v>
      </c>
      <c r="K103" s="2">
        <f>I103+J103-1</f>
        <v>15</v>
      </c>
      <c r="L103" s="6" t="str">
        <f>IF(H103="neutral","—",IF(K103&gt;=5,IF(H103="warm","El Niño","La Niña"),IF(ROW()+J103-1=920,IF(H103="warm","El Niño (ongoing)","La Niña (ongoing)"),"—")))</f>
        <v>El Niño</v>
      </c>
      <c r="M103" s="2" t="inlineStr">
        <is>
          <t xml:space="preserve">1957/58</t>
        </is>
      </c>
    </row>
    <row r="104">
      <c r="A104" s="2" t="inlineStr">
        <is>
          <t xml:space="preserve">1958-07</t>
        </is>
      </c>
      <c r="B104" s="2">
        <v>1958</v>
      </c>
      <c r="C104" s="2">
        <v>7</v>
      </c>
      <c r="D104" s="2" t="inlineStr">
        <is>
          <t xml:space="preserve">JJA</t>
        </is>
      </c>
      <c r="E104" t="inlineStr">
        <is>
          <t xml:space="preserve">Jun 1958 – Aug 1958</t>
        </is>
      </c>
      <c r="F104" s="3">
        <v>0.43</v>
      </c>
      <c r="G104" s="4">
        <f>ROUND(F104,1)</f>
        <v>0.4</v>
      </c>
      <c r="H104" s="2" t="str">
        <f>IF(G104&gt;=0.5,"warm",IF(G104&lt;=-0.5,"cold","neutral"))</f>
        <v>neutral</v>
      </c>
      <c r="I104" s="2">
        <f>IF(H104=H103,I103+1,1)</f>
        <v>1</v>
      </c>
      <c r="J104" s="2">
        <f>IF(H104=H105,J105+1,1)</f>
        <v>5</v>
      </c>
      <c r="K104" s="2">
        <f>I104+J104-1</f>
        <v>5</v>
      </c>
      <c r="L104" s="2" t="str">
        <f>IF(H104="neutral","—",IF(K104&gt;=5,IF(H104="warm","El Niño","La Niña"),IF(ROW()+J104-1=920,IF(H104="warm","El Niño (ongoing)","La Niña (ongoing)"),"—")))</f>
        <v>—</v>
      </c>
      <c r="M104" s="2" t="inlineStr">
        <is>
          <t xml:space="preserve">1958/59</t>
        </is>
      </c>
    </row>
    <row r="105">
      <c r="A105" s="2" t="inlineStr">
        <is>
          <t xml:space="preserve">1958-08</t>
        </is>
      </c>
      <c r="B105" s="2">
        <v>1958</v>
      </c>
      <c r="C105" s="2">
        <v>8</v>
      </c>
      <c r="D105" s="2" t="inlineStr">
        <is>
          <t xml:space="preserve">JAS</t>
        </is>
      </c>
      <c r="E105" t="inlineStr">
        <is>
          <t xml:space="preserve">Jul 1958 – Sep 1958</t>
        </is>
      </c>
      <c r="F105" s="3">
        <v>0.32</v>
      </c>
      <c r="G105" s="4">
        <f>ROUND(F105,1)</f>
        <v>0.3</v>
      </c>
      <c r="H105" s="2" t="str">
        <f>IF(G105&gt;=0.5,"warm",IF(G105&lt;=-0.5,"cold","neutral"))</f>
        <v>neutral</v>
      </c>
      <c r="I105" s="2">
        <f>IF(H105=H104,I104+1,1)</f>
        <v>2</v>
      </c>
      <c r="J105" s="2">
        <f>IF(H105=H106,J106+1,1)</f>
        <v>4</v>
      </c>
      <c r="K105" s="2">
        <f>I105+J105-1</f>
        <v>5</v>
      </c>
      <c r="L105" s="2" t="str">
        <f>IF(H105="neutral","—",IF(K105&gt;=5,IF(H105="warm","El Niño","La Niña"),IF(ROW()+J105-1=920,IF(H105="warm","El Niño (ongoing)","La Niña (ongoing)"),"—")))</f>
        <v>—</v>
      </c>
      <c r="M105" s="2" t="inlineStr">
        <is>
          <t xml:space="preserve">1958/59</t>
        </is>
      </c>
    </row>
    <row r="106">
      <c r="A106" s="2" t="inlineStr">
        <is>
          <t xml:space="preserve">1958-09</t>
        </is>
      </c>
      <c r="B106" s="2">
        <v>1958</v>
      </c>
      <c r="C106" s="2">
        <v>9</v>
      </c>
      <c r="D106" s="2" t="inlineStr">
        <is>
          <t xml:space="preserve">ASO</t>
        </is>
      </c>
      <c r="E106" t="inlineStr">
        <is>
          <t xml:space="preserve">Aug 1958 – Oct 1958</t>
        </is>
      </c>
      <c r="F106" s="3">
        <v>0.28</v>
      </c>
      <c r="G106" s="4">
        <f>ROUND(F106,1)</f>
        <v>0.3</v>
      </c>
      <c r="H106" s="2" t="str">
        <f>IF(G106&gt;=0.5,"warm",IF(G106&lt;=-0.5,"cold","neutral"))</f>
        <v>neutral</v>
      </c>
      <c r="I106" s="2">
        <f>IF(H106=H105,I105+1,1)</f>
        <v>3</v>
      </c>
      <c r="J106" s="2">
        <f>IF(H106=H107,J107+1,1)</f>
        <v>3</v>
      </c>
      <c r="K106" s="2">
        <f>I106+J106-1</f>
        <v>5</v>
      </c>
      <c r="L106" s="2" t="str">
        <f>IF(H106="neutral","—",IF(K106&gt;=5,IF(H106="warm","El Niño","La Niña"),IF(ROW()+J106-1=920,IF(H106="warm","El Niño (ongoing)","La Niña (ongoing)"),"—")))</f>
        <v>—</v>
      </c>
      <c r="M106" s="2" t="inlineStr">
        <is>
          <t xml:space="preserve">1958/59</t>
        </is>
      </c>
    </row>
    <row r="107">
      <c r="A107" s="2" t="inlineStr">
        <is>
          <t xml:space="preserve">1958-10</t>
        </is>
      </c>
      <c r="B107" s="2">
        <v>1958</v>
      </c>
      <c r="C107" s="2">
        <v>10</v>
      </c>
      <c r="D107" s="2" t="inlineStr">
        <is>
          <t xml:space="preserve">SON</t>
        </is>
      </c>
      <c r="E107" t="inlineStr">
        <is>
          <t xml:space="preserve">Sep 1958 – Nov 1958</t>
        </is>
      </c>
      <c r="F107" s="3">
        <v>0.3</v>
      </c>
      <c r="G107" s="4">
        <f>ROUND(F107,1)</f>
        <v>0.3</v>
      </c>
      <c r="H107" s="2" t="str">
        <f>IF(G107&gt;=0.5,"warm",IF(G107&lt;=-0.5,"cold","neutral"))</f>
        <v>neutral</v>
      </c>
      <c r="I107" s="2">
        <f>IF(H107=H106,I106+1,1)</f>
        <v>4</v>
      </c>
      <c r="J107" s="2">
        <f>IF(H107=H108,J108+1,1)</f>
        <v>2</v>
      </c>
      <c r="K107" s="2">
        <f>I107+J107-1</f>
        <v>5</v>
      </c>
      <c r="L107" s="2" t="str">
        <f>IF(H107="neutral","—",IF(K107&gt;=5,IF(H107="warm","El Niño","La Niña"),IF(ROW()+J107-1=920,IF(H107="warm","El Niño (ongoing)","La Niña (ongoing)"),"—")))</f>
        <v>—</v>
      </c>
      <c r="M107" s="2" t="inlineStr">
        <is>
          <t xml:space="preserve">1958/59</t>
        </is>
      </c>
    </row>
    <row r="108">
      <c r="A108" s="2" t="inlineStr">
        <is>
          <t xml:space="preserve">1958-11</t>
        </is>
      </c>
      <c r="B108" s="2">
        <v>1958</v>
      </c>
      <c r="C108" s="2">
        <v>11</v>
      </c>
      <c r="D108" s="2" t="inlineStr">
        <is>
          <t xml:space="preserve">OND</t>
        </is>
      </c>
      <c r="E108" t="inlineStr">
        <is>
          <t xml:space="preserve">Oct 1958 – Dec 1958</t>
        </is>
      </c>
      <c r="F108" s="3">
        <v>0.36</v>
      </c>
      <c r="G108" s="4">
        <f>ROUND(F108,1)</f>
        <v>0.4</v>
      </c>
      <c r="H108" s="2" t="str">
        <f>IF(G108&gt;=0.5,"warm",IF(G108&lt;=-0.5,"cold","neutral"))</f>
        <v>neutral</v>
      </c>
      <c r="I108" s="2">
        <f>IF(H108=H107,I107+1,1)</f>
        <v>5</v>
      </c>
      <c r="J108" s="2">
        <f>IF(H108=H109,J109+1,1)</f>
        <v>1</v>
      </c>
      <c r="K108" s="2">
        <f>I108+J108-1</f>
        <v>5</v>
      </c>
      <c r="L108" s="2" t="str">
        <f>IF(H108="neutral","—",IF(K108&gt;=5,IF(H108="warm","El Niño","La Niña"),IF(ROW()+J108-1=920,IF(H108="warm","El Niño (ongoing)","La Niña (ongoing)"),"—")))</f>
        <v>—</v>
      </c>
      <c r="M108" s="2" t="inlineStr">
        <is>
          <t xml:space="preserve">1958/59</t>
        </is>
      </c>
    </row>
    <row r="109">
      <c r="A109" s="2" t="inlineStr">
        <is>
          <t xml:space="preserve">1958-12</t>
        </is>
      </c>
      <c r="B109" s="2">
        <v>1958</v>
      </c>
      <c r="C109" s="2">
        <v>12</v>
      </c>
      <c r="D109" s="2" t="inlineStr">
        <is>
          <t xml:space="preserve">NDJ</t>
        </is>
      </c>
      <c r="E109" t="inlineStr">
        <is>
          <t xml:space="preserve">Nov 1958 – Jan 1959</t>
        </is>
      </c>
      <c r="F109" s="3">
        <v>0.56</v>
      </c>
      <c r="G109" s="4">
        <f>ROUND(F109,1)</f>
        <v>0.6</v>
      </c>
      <c r="H109" s="2" t="str">
        <f>IF(G109&gt;=0.5,"warm",IF(G109&lt;=-0.5,"cold","neutral"))</f>
        <v>warm</v>
      </c>
      <c r="I109" s="2">
        <f>IF(H109=H108,I108+1,1)</f>
        <v>1</v>
      </c>
      <c r="J109" s="2">
        <f>IF(H109=H110,J110+1,1)</f>
        <v>4</v>
      </c>
      <c r="K109" s="2">
        <f>I109+J109-1</f>
        <v>4</v>
      </c>
      <c r="L109" s="2" t="str">
        <f>IF(H109="neutral","—",IF(K109&gt;=5,IF(H109="warm","El Niño","La Niña"),IF(ROW()+J109-1=920,IF(H109="warm","El Niño (ongoing)","La Niña (ongoing)"),"—")))</f>
        <v>—</v>
      </c>
      <c r="M109" s="2" t="inlineStr">
        <is>
          <t xml:space="preserve">1958/59</t>
        </is>
      </c>
    </row>
    <row r="110">
      <c r="A110" s="2" t="inlineStr">
        <is>
          <t xml:space="preserve">1959-01</t>
        </is>
      </c>
      <c r="B110" s="2">
        <v>1959</v>
      </c>
      <c r="C110" s="2">
        <v>1</v>
      </c>
      <c r="D110" s="2" t="inlineStr">
        <is>
          <t xml:space="preserve">DJF</t>
        </is>
      </c>
      <c r="E110" t="inlineStr">
        <is>
          <t xml:space="preserve">Dec 1958 – Feb 1959</t>
        </is>
      </c>
      <c r="F110" s="3">
        <v>0.6</v>
      </c>
      <c r="G110" s="4">
        <f>ROUND(F110,1)</f>
        <v>0.6</v>
      </c>
      <c r="H110" s="2" t="str">
        <f>IF(G110&gt;=0.5,"warm",IF(G110&lt;=-0.5,"cold","neutral"))</f>
        <v>warm</v>
      </c>
      <c r="I110" s="2">
        <f>IF(H110=H109,I109+1,1)</f>
        <v>2</v>
      </c>
      <c r="J110" s="2">
        <f>IF(H110=H111,J111+1,1)</f>
        <v>3</v>
      </c>
      <c r="K110" s="2">
        <f>I110+J110-1</f>
        <v>4</v>
      </c>
      <c r="L110" s="2" t="str">
        <f>IF(H110="neutral","—",IF(K110&gt;=5,IF(H110="warm","El Niño","La Niña"),IF(ROW()+J110-1=920,IF(H110="warm","El Niño (ongoing)","La Niña (ongoing)"),"—")))</f>
        <v>—</v>
      </c>
      <c r="M110" s="2" t="inlineStr">
        <is>
          <t xml:space="preserve">1958/59</t>
        </is>
      </c>
    </row>
    <row r="111">
      <c r="A111" s="2" t="inlineStr">
        <is>
          <t xml:space="preserve">1959-02</t>
        </is>
      </c>
      <c r="B111" s="2">
        <v>1959</v>
      </c>
      <c r="C111" s="2">
        <v>2</v>
      </c>
      <c r="D111" s="2" t="inlineStr">
        <is>
          <t xml:space="preserve">JFM</t>
        </is>
      </c>
      <c r="E111" t="inlineStr">
        <is>
          <t xml:space="preserve">Jan 1959 – Mar 1959</t>
        </is>
      </c>
      <c r="F111" s="3">
        <v>0.64</v>
      </c>
      <c r="G111" s="4">
        <f>ROUND(F111,1)</f>
        <v>0.6</v>
      </c>
      <c r="H111" s="2" t="str">
        <f>IF(G111&gt;=0.5,"warm",IF(G111&lt;=-0.5,"cold","neutral"))</f>
        <v>warm</v>
      </c>
      <c r="I111" s="2">
        <f>IF(H111=H110,I110+1,1)</f>
        <v>3</v>
      </c>
      <c r="J111" s="2">
        <f>IF(H111=H112,J112+1,1)</f>
        <v>2</v>
      </c>
      <c r="K111" s="2">
        <f>I111+J111-1</f>
        <v>4</v>
      </c>
      <c r="L111" s="2" t="str">
        <f>IF(H111="neutral","—",IF(K111&gt;=5,IF(H111="warm","El Niño","La Niña"),IF(ROW()+J111-1=920,IF(H111="warm","El Niño (ongoing)","La Niña (ongoing)"),"—")))</f>
        <v>—</v>
      </c>
      <c r="M111" s="2" t="inlineStr">
        <is>
          <t xml:space="preserve">1958/59</t>
        </is>
      </c>
    </row>
    <row r="112">
      <c r="A112" s="2" t="inlineStr">
        <is>
          <t xml:space="preserve">1959-03</t>
        </is>
      </c>
      <c r="B112" s="2">
        <v>1959</v>
      </c>
      <c r="C112" s="2">
        <v>3</v>
      </c>
      <c r="D112" s="2" t="inlineStr">
        <is>
          <t xml:space="preserve">FMA</t>
        </is>
      </c>
      <c r="E112" t="inlineStr">
        <is>
          <t xml:space="preserve">Feb 1959 – Apr 1959</t>
        </is>
      </c>
      <c r="F112" s="3">
        <v>0.48</v>
      </c>
      <c r="G112" s="4">
        <f>ROUND(F112,1)</f>
        <v>0.5</v>
      </c>
      <c r="H112" s="2" t="str">
        <f>IF(G112&gt;=0.5,"warm",IF(G112&lt;=-0.5,"cold","neutral"))</f>
        <v>warm</v>
      </c>
      <c r="I112" s="2">
        <f>IF(H112=H111,I111+1,1)</f>
        <v>4</v>
      </c>
      <c r="J112" s="2">
        <f>IF(H112=H113,J113+1,1)</f>
        <v>1</v>
      </c>
      <c r="K112" s="2">
        <f>I112+J112-1</f>
        <v>4</v>
      </c>
      <c r="L112" s="2" t="str">
        <f>IF(H112="neutral","—",IF(K112&gt;=5,IF(H112="warm","El Niño","La Niña"),IF(ROW()+J112-1=920,IF(H112="warm","El Niño (ongoing)","La Niña (ongoing)"),"—")))</f>
        <v>—</v>
      </c>
      <c r="M112" s="2" t="inlineStr">
        <is>
          <t xml:space="preserve">1958/59</t>
        </is>
      </c>
    </row>
    <row r="113">
      <c r="A113" s="2" t="inlineStr">
        <is>
          <t xml:space="preserve">1959-04</t>
        </is>
      </c>
      <c r="B113" s="2">
        <v>1959</v>
      </c>
      <c r="C113" s="2">
        <v>4</v>
      </c>
      <c r="D113" s="2" t="inlineStr">
        <is>
          <t xml:space="preserve">MAM</t>
        </is>
      </c>
      <c r="E113" t="inlineStr">
        <is>
          <t xml:space="preserve">Mar 1959 – May 1959</t>
        </is>
      </c>
      <c r="F113" s="3">
        <v>0.39</v>
      </c>
      <c r="G113" s="4">
        <f>ROUND(F113,1)</f>
        <v>0.4</v>
      </c>
      <c r="H113" s="2" t="str">
        <f>IF(G113&gt;=0.5,"warm",IF(G113&lt;=-0.5,"cold","neutral"))</f>
        <v>neutral</v>
      </c>
      <c r="I113" s="2">
        <f>IF(H113=H112,I112+1,1)</f>
        <v>1</v>
      </c>
      <c r="J113" s="2">
        <f>IF(H113=H114,J114+1,1)</f>
        <v>50</v>
      </c>
      <c r="K113" s="2">
        <f>I113+J113-1</f>
        <v>50</v>
      </c>
      <c r="L113" s="2" t="str">
        <f>IF(H113="neutral","—",IF(K113&gt;=5,IF(H113="warm","El Niño","La Niña"),IF(ROW()+J113-1=920,IF(H113="warm","El Niño (ongoing)","La Niña (ongoing)"),"—")))</f>
        <v>—</v>
      </c>
      <c r="M113" s="2" t="inlineStr">
        <is>
          <t xml:space="preserve">1958/59</t>
        </is>
      </c>
    </row>
    <row r="114">
      <c r="A114" s="2" t="inlineStr">
        <is>
          <t xml:space="preserve">1959-05</t>
        </is>
      </c>
      <c r="B114" s="2">
        <v>1959</v>
      </c>
      <c r="C114" s="2">
        <v>5</v>
      </c>
      <c r="D114" s="2" t="inlineStr">
        <is>
          <t xml:space="preserve">AMJ</t>
        </is>
      </c>
      <c r="E114" t="inlineStr">
        <is>
          <t xml:space="preserve">Apr 1959 – Jun 1959</t>
        </is>
      </c>
      <c r="F114" s="3">
        <v>0.24</v>
      </c>
      <c r="G114" s="4">
        <f>ROUND(F114,1)</f>
        <v>0.2</v>
      </c>
      <c r="H114" s="2" t="str">
        <f>IF(G114&gt;=0.5,"warm",IF(G114&lt;=-0.5,"cold","neutral"))</f>
        <v>neutral</v>
      </c>
      <c r="I114" s="2">
        <f>IF(H114=H113,I113+1,1)</f>
        <v>2</v>
      </c>
      <c r="J114" s="2">
        <f>IF(H114=H115,J115+1,1)</f>
        <v>49</v>
      </c>
      <c r="K114" s="2">
        <f>I114+J114-1</f>
        <v>50</v>
      </c>
      <c r="L114" s="2" t="str">
        <f>IF(H114="neutral","—",IF(K114&gt;=5,IF(H114="warm","El Niño","La Niña"),IF(ROW()+J114-1=920,IF(H114="warm","El Niño (ongoing)","La Niña (ongoing)"),"—")))</f>
        <v>—</v>
      </c>
      <c r="M114" s="2" t="inlineStr">
        <is>
          <t xml:space="preserve">1958/59</t>
        </is>
      </c>
    </row>
    <row r="115">
      <c r="A115" s="2" t="inlineStr">
        <is>
          <t xml:space="preserve">1959-06</t>
        </is>
      </c>
      <c r="B115" s="2">
        <v>1959</v>
      </c>
      <c r="C115" s="2">
        <v>6</v>
      </c>
      <c r="D115" s="2" t="inlineStr">
        <is>
          <t xml:space="preserve">MJJ</t>
        </is>
      </c>
      <c r="E115" t="inlineStr">
        <is>
          <t xml:space="preserve">May 1959 – Jul 1959</t>
        </is>
      </c>
      <c r="F115" s="3">
        <v>0.02</v>
      </c>
      <c r="G115" s="4">
        <f>ROUND(F115,1)</f>
        <v>0.0</v>
      </c>
      <c r="H115" s="2" t="str">
        <f>IF(G115&gt;=0.5,"warm",IF(G115&lt;=-0.5,"cold","neutral"))</f>
        <v>neutral</v>
      </c>
      <c r="I115" s="2">
        <f>IF(H115=H114,I114+1,1)</f>
        <v>3</v>
      </c>
      <c r="J115" s="2">
        <f>IF(H115=H116,J116+1,1)</f>
        <v>48</v>
      </c>
      <c r="K115" s="2">
        <f>I115+J115-1</f>
        <v>50</v>
      </c>
      <c r="L115" s="2" t="str">
        <f>IF(H115="neutral","—",IF(K115&gt;=5,IF(H115="warm","El Niño","La Niña"),IF(ROW()+J115-1=920,IF(H115="warm","El Niño (ongoing)","La Niña (ongoing)"),"—")))</f>
        <v>—</v>
      </c>
      <c r="M115" s="2" t="inlineStr">
        <is>
          <t xml:space="preserve">1958/59</t>
        </is>
      </c>
    </row>
    <row r="116">
      <c r="A116" s="2" t="inlineStr">
        <is>
          <t xml:space="preserve">1959-07</t>
        </is>
      </c>
      <c r="B116" s="2">
        <v>1959</v>
      </c>
      <c r="C116" s="2">
        <v>7</v>
      </c>
      <c r="D116" s="2" t="inlineStr">
        <is>
          <t xml:space="preserve">JJA</t>
        </is>
      </c>
      <c r="E116" t="inlineStr">
        <is>
          <t xml:space="preserve">Jun 1959 – Aug 1959</t>
        </is>
      </c>
      <c r="F116" s="3">
        <v>-0.19</v>
      </c>
      <c r="G116" s="4">
        <f>ROUND(F116,1)</f>
        <v>-0.2</v>
      </c>
      <c r="H116" s="2" t="str">
        <f>IF(G116&gt;=0.5,"warm",IF(G116&lt;=-0.5,"cold","neutral"))</f>
        <v>neutral</v>
      </c>
      <c r="I116" s="2">
        <f>IF(H116=H115,I115+1,1)</f>
        <v>4</v>
      </c>
      <c r="J116" s="2">
        <f>IF(H116=H117,J117+1,1)</f>
        <v>47</v>
      </c>
      <c r="K116" s="2">
        <f>I116+J116-1</f>
        <v>50</v>
      </c>
      <c r="L116" s="2" t="str">
        <f>IF(H116="neutral","—",IF(K116&gt;=5,IF(H116="warm","El Niño","La Niña"),IF(ROW()+J116-1=920,IF(H116="warm","El Niño (ongoing)","La Niña (ongoing)"),"—")))</f>
        <v>—</v>
      </c>
      <c r="M116" s="2" t="inlineStr">
        <is>
          <t xml:space="preserve">1959/60</t>
        </is>
      </c>
    </row>
    <row r="117">
      <c r="A117" s="2" t="inlineStr">
        <is>
          <t xml:space="preserve">1959-08</t>
        </is>
      </c>
      <c r="B117" s="2">
        <v>1959</v>
      </c>
      <c r="C117" s="2">
        <v>8</v>
      </c>
      <c r="D117" s="2" t="inlineStr">
        <is>
          <t xml:space="preserve">JAS</t>
        </is>
      </c>
      <c r="E117" t="inlineStr">
        <is>
          <t xml:space="preserve">Jul 1959 – Sep 1959</t>
        </is>
      </c>
      <c r="F117" s="3">
        <v>-0.23</v>
      </c>
      <c r="G117" s="4">
        <f>ROUND(F117,1)</f>
        <v>-0.2</v>
      </c>
      <c r="H117" s="2" t="str">
        <f>IF(G117&gt;=0.5,"warm",IF(G117&lt;=-0.5,"cold","neutral"))</f>
        <v>neutral</v>
      </c>
      <c r="I117" s="2">
        <f>IF(H117=H116,I116+1,1)</f>
        <v>5</v>
      </c>
      <c r="J117" s="2">
        <f>IF(H117=H118,J118+1,1)</f>
        <v>46</v>
      </c>
      <c r="K117" s="2">
        <f>I117+J117-1</f>
        <v>50</v>
      </c>
      <c r="L117" s="2" t="str">
        <f>IF(H117="neutral","—",IF(K117&gt;=5,IF(H117="warm","El Niño","La Niña"),IF(ROW()+J117-1=920,IF(H117="warm","El Niño (ongoing)","La Niña (ongoing)"),"—")))</f>
        <v>—</v>
      </c>
      <c r="M117" s="2" t="inlineStr">
        <is>
          <t xml:space="preserve">1959/60</t>
        </is>
      </c>
    </row>
    <row r="118">
      <c r="A118" s="2" t="inlineStr">
        <is>
          <t xml:space="preserve">1959-09</t>
        </is>
      </c>
      <c r="B118" s="2">
        <v>1959</v>
      </c>
      <c r="C118" s="2">
        <v>9</v>
      </c>
      <c r="D118" s="2" t="inlineStr">
        <is>
          <t xml:space="preserve">ASO</t>
        </is>
      </c>
      <c r="E118" t="inlineStr">
        <is>
          <t xml:space="preserve">Aug 1959 – Oct 1959</t>
        </is>
      </c>
      <c r="F118" s="3">
        <v>-0.04</v>
      </c>
      <c r="G118" s="4">
        <f>ROUND(F118,1)</f>
        <v>-0.0</v>
      </c>
      <c r="H118" s="2" t="str">
        <f>IF(G118&gt;=0.5,"warm",IF(G118&lt;=-0.5,"cold","neutral"))</f>
        <v>neutral</v>
      </c>
      <c r="I118" s="2">
        <f>IF(H118=H117,I117+1,1)</f>
        <v>6</v>
      </c>
      <c r="J118" s="2">
        <f>IF(H118=H119,J119+1,1)</f>
        <v>45</v>
      </c>
      <c r="K118" s="2">
        <f>I118+J118-1</f>
        <v>50</v>
      </c>
      <c r="L118" s="2" t="str">
        <f>IF(H118="neutral","—",IF(K118&gt;=5,IF(H118="warm","El Niño","La Niña"),IF(ROW()+J118-1=920,IF(H118="warm","El Niño (ongoing)","La Niña (ongoing)"),"—")))</f>
        <v>—</v>
      </c>
      <c r="M118" s="2" t="inlineStr">
        <is>
          <t xml:space="preserve">1959/60</t>
        </is>
      </c>
    </row>
    <row r="119">
      <c r="A119" s="2" t="inlineStr">
        <is>
          <t xml:space="preserve">1959-10</t>
        </is>
      </c>
      <c r="B119" s="2">
        <v>1959</v>
      </c>
      <c r="C119" s="2">
        <v>10</v>
      </c>
      <c r="D119" s="2" t="inlineStr">
        <is>
          <t xml:space="preserve">SON</t>
        </is>
      </c>
      <c r="E119" t="inlineStr">
        <is>
          <t xml:space="preserve">Sep 1959 – Nov 1959</t>
        </is>
      </c>
      <c r="F119" s="3">
        <v>0.11</v>
      </c>
      <c r="G119" s="4">
        <f>ROUND(F119,1)</f>
        <v>0.1</v>
      </c>
      <c r="H119" s="2" t="str">
        <f>IF(G119&gt;=0.5,"warm",IF(G119&lt;=-0.5,"cold","neutral"))</f>
        <v>neutral</v>
      </c>
      <c r="I119" s="2">
        <f>IF(H119=H118,I118+1,1)</f>
        <v>7</v>
      </c>
      <c r="J119" s="2">
        <f>IF(H119=H120,J120+1,1)</f>
        <v>44</v>
      </c>
      <c r="K119" s="2">
        <f>I119+J119-1</f>
        <v>50</v>
      </c>
      <c r="L119" s="2" t="str">
        <f>IF(H119="neutral","—",IF(K119&gt;=5,IF(H119="warm","El Niño","La Niña"),IF(ROW()+J119-1=920,IF(H119="warm","El Niño (ongoing)","La Niña (ongoing)"),"—")))</f>
        <v>—</v>
      </c>
      <c r="M119" s="2" t="inlineStr">
        <is>
          <t xml:space="preserve">1959/60</t>
        </is>
      </c>
    </row>
    <row r="120">
      <c r="A120" s="2" t="inlineStr">
        <is>
          <t xml:space="preserve">1959-11</t>
        </is>
      </c>
      <c r="B120" s="2">
        <v>1959</v>
      </c>
      <c r="C120" s="2">
        <v>11</v>
      </c>
      <c r="D120" s="2" t="inlineStr">
        <is>
          <t xml:space="preserve">OND</t>
        </is>
      </c>
      <c r="E120" t="inlineStr">
        <is>
          <t xml:space="preserve">Oct 1959 – Dec 1959</t>
        </is>
      </c>
      <c r="F120" s="3">
        <v>0.23</v>
      </c>
      <c r="G120" s="4">
        <f>ROUND(F120,1)</f>
        <v>0.2</v>
      </c>
      <c r="H120" s="2" t="str">
        <f>IF(G120&gt;=0.5,"warm",IF(G120&lt;=-0.5,"cold","neutral"))</f>
        <v>neutral</v>
      </c>
      <c r="I120" s="2">
        <f>IF(H120=H119,I119+1,1)</f>
        <v>8</v>
      </c>
      <c r="J120" s="2">
        <f>IF(H120=H121,J121+1,1)</f>
        <v>43</v>
      </c>
      <c r="K120" s="2">
        <f>I120+J120-1</f>
        <v>50</v>
      </c>
      <c r="L120" s="2" t="str">
        <f>IF(H120="neutral","—",IF(K120&gt;=5,IF(H120="warm","El Niño","La Niña"),IF(ROW()+J120-1=920,IF(H120="warm","El Niño (ongoing)","La Niña (ongoing)"),"—")))</f>
        <v>—</v>
      </c>
      <c r="M120" s="2" t="inlineStr">
        <is>
          <t xml:space="preserve">1959/60</t>
        </is>
      </c>
    </row>
    <row r="121">
      <c r="A121" s="2" t="inlineStr">
        <is>
          <t xml:space="preserve">1959-12</t>
        </is>
      </c>
      <c r="B121" s="2">
        <v>1959</v>
      </c>
      <c r="C121" s="2">
        <v>12</v>
      </c>
      <c r="D121" s="2" t="inlineStr">
        <is>
          <t xml:space="preserve">NDJ</t>
        </is>
      </c>
      <c r="E121" t="inlineStr">
        <is>
          <t xml:space="preserve">Nov 1959 – Jan 1960</t>
        </is>
      </c>
      <c r="F121" s="3">
        <v>0.14</v>
      </c>
      <c r="G121" s="4">
        <f>ROUND(F121,1)</f>
        <v>0.1</v>
      </c>
      <c r="H121" s="2" t="str">
        <f>IF(G121&gt;=0.5,"warm",IF(G121&lt;=-0.5,"cold","neutral"))</f>
        <v>neutral</v>
      </c>
      <c r="I121" s="2">
        <f>IF(H121=H120,I120+1,1)</f>
        <v>9</v>
      </c>
      <c r="J121" s="2">
        <f>IF(H121=H122,J122+1,1)</f>
        <v>42</v>
      </c>
      <c r="K121" s="2">
        <f>I121+J121-1</f>
        <v>50</v>
      </c>
      <c r="L121" s="2" t="str">
        <f>IF(H121="neutral","—",IF(K121&gt;=5,IF(H121="warm","El Niño","La Niña"),IF(ROW()+J121-1=920,IF(H121="warm","El Niño (ongoing)","La Niña (ongoing)"),"—")))</f>
        <v>—</v>
      </c>
      <c r="M121" s="2" t="inlineStr">
        <is>
          <t xml:space="preserve">1959/60</t>
        </is>
      </c>
    </row>
    <row r="122">
      <c r="A122" s="2" t="inlineStr">
        <is>
          <t xml:space="preserve">1960-01</t>
        </is>
      </c>
      <c r="B122" s="2">
        <v>1960</v>
      </c>
      <c r="C122" s="2">
        <v>1</v>
      </c>
      <c r="D122" s="2" t="inlineStr">
        <is>
          <t xml:space="preserve">DJF</t>
        </is>
      </c>
      <c r="E122" t="inlineStr">
        <is>
          <t xml:space="preserve">Dec 1959 – Feb 1960</t>
        </is>
      </c>
      <c r="F122" s="3">
        <v>0.02</v>
      </c>
      <c r="G122" s="4">
        <f>ROUND(F122,1)</f>
        <v>0.0</v>
      </c>
      <c r="H122" s="2" t="str">
        <f>IF(G122&gt;=0.5,"warm",IF(G122&lt;=-0.5,"cold","neutral"))</f>
        <v>neutral</v>
      </c>
      <c r="I122" s="2">
        <f>IF(H122=H121,I121+1,1)</f>
        <v>10</v>
      </c>
      <c r="J122" s="2">
        <f>IF(H122=H123,J123+1,1)</f>
        <v>41</v>
      </c>
      <c r="K122" s="2">
        <f>I122+J122-1</f>
        <v>50</v>
      </c>
      <c r="L122" s="2" t="str">
        <f>IF(H122="neutral","—",IF(K122&gt;=5,IF(H122="warm","El Niño","La Niña"),IF(ROW()+J122-1=920,IF(H122="warm","El Niño (ongoing)","La Niña (ongoing)"),"—")))</f>
        <v>—</v>
      </c>
      <c r="M122" s="2" t="inlineStr">
        <is>
          <t xml:space="preserve">1959/60</t>
        </is>
      </c>
    </row>
    <row r="123">
      <c r="A123" s="2" t="inlineStr">
        <is>
          <t xml:space="preserve">1960-02</t>
        </is>
      </c>
      <c r="B123" s="2">
        <v>1960</v>
      </c>
      <c r="C123" s="2">
        <v>2</v>
      </c>
      <c r="D123" s="2" t="inlineStr">
        <is>
          <t xml:space="preserve">JFM</t>
        </is>
      </c>
      <c r="E123" t="inlineStr">
        <is>
          <t xml:space="preserve">Jan 1960 – Mar 1960</t>
        </is>
      </c>
      <c r="F123" s="3">
        <v>0.03</v>
      </c>
      <c r="G123" s="4">
        <f>ROUND(F123,1)</f>
        <v>0.0</v>
      </c>
      <c r="H123" s="2" t="str">
        <f>IF(G123&gt;=0.5,"warm",IF(G123&lt;=-0.5,"cold","neutral"))</f>
        <v>neutral</v>
      </c>
      <c r="I123" s="2">
        <f>IF(H123=H122,I122+1,1)</f>
        <v>11</v>
      </c>
      <c r="J123" s="2">
        <f>IF(H123=H124,J124+1,1)</f>
        <v>40</v>
      </c>
      <c r="K123" s="2">
        <f>I123+J123-1</f>
        <v>50</v>
      </c>
      <c r="L123" s="2" t="str">
        <f>IF(H123="neutral","—",IF(K123&gt;=5,IF(H123="warm","El Niño","La Niña"),IF(ROW()+J123-1=920,IF(H123="warm","El Niño (ongoing)","La Niña (ongoing)"),"—")))</f>
        <v>—</v>
      </c>
      <c r="M123" s="2" t="inlineStr">
        <is>
          <t xml:space="preserve">1959/60</t>
        </is>
      </c>
    </row>
    <row r="124">
      <c r="A124" s="2" t="inlineStr">
        <is>
          <t xml:space="preserve">1960-03</t>
        </is>
      </c>
      <c r="B124" s="2">
        <v>1960</v>
      </c>
      <c r="C124" s="2">
        <v>3</v>
      </c>
      <c r="D124" s="2" t="inlineStr">
        <is>
          <t xml:space="preserve">FMA</t>
        </is>
      </c>
      <c r="E124" t="inlineStr">
        <is>
          <t xml:space="preserve">Feb 1960 – Apr 1960</t>
        </is>
      </c>
      <c r="F124" s="3">
        <v>0.06</v>
      </c>
      <c r="G124" s="4">
        <f>ROUND(F124,1)</f>
        <v>0.1</v>
      </c>
      <c r="H124" s="2" t="str">
        <f>IF(G124&gt;=0.5,"warm",IF(G124&lt;=-0.5,"cold","neutral"))</f>
        <v>neutral</v>
      </c>
      <c r="I124" s="2">
        <f>IF(H124=H123,I123+1,1)</f>
        <v>12</v>
      </c>
      <c r="J124" s="2">
        <f>IF(H124=H125,J125+1,1)</f>
        <v>39</v>
      </c>
      <c r="K124" s="2">
        <f>I124+J124-1</f>
        <v>50</v>
      </c>
      <c r="L124" s="2" t="str">
        <f>IF(H124="neutral","—",IF(K124&gt;=5,IF(H124="warm","El Niño","La Niña"),IF(ROW()+J124-1=920,IF(H124="warm","El Niño (ongoing)","La Niña (ongoing)"),"—")))</f>
        <v>—</v>
      </c>
      <c r="M124" s="2" t="inlineStr">
        <is>
          <t xml:space="preserve">1959/60</t>
        </is>
      </c>
    </row>
    <row r="125">
      <c r="A125" s="2" t="inlineStr">
        <is>
          <t xml:space="preserve">1960-04</t>
        </is>
      </c>
      <c r="B125" s="2">
        <v>1960</v>
      </c>
      <c r="C125" s="2">
        <v>4</v>
      </c>
      <c r="D125" s="2" t="inlineStr">
        <is>
          <t xml:space="preserve">MAM</t>
        </is>
      </c>
      <c r="E125" t="inlineStr">
        <is>
          <t xml:space="preserve">Mar 1960 – May 1960</t>
        </is>
      </c>
      <c r="F125" s="3">
        <v>0.17</v>
      </c>
      <c r="G125" s="4">
        <f>ROUND(F125,1)</f>
        <v>0.2</v>
      </c>
      <c r="H125" s="2" t="str">
        <f>IF(G125&gt;=0.5,"warm",IF(G125&lt;=-0.5,"cold","neutral"))</f>
        <v>neutral</v>
      </c>
      <c r="I125" s="2">
        <f>IF(H125=H124,I124+1,1)</f>
        <v>13</v>
      </c>
      <c r="J125" s="2">
        <f>IF(H125=H126,J126+1,1)</f>
        <v>38</v>
      </c>
      <c r="K125" s="2">
        <f>I125+J125-1</f>
        <v>50</v>
      </c>
      <c r="L125" s="2" t="str">
        <f>IF(H125="neutral","—",IF(K125&gt;=5,IF(H125="warm","El Niño","La Niña"),IF(ROW()+J125-1=920,IF(H125="warm","El Niño (ongoing)","La Niña (ongoing)"),"—")))</f>
        <v>—</v>
      </c>
      <c r="M125" s="2" t="inlineStr">
        <is>
          <t xml:space="preserve">1959/60</t>
        </is>
      </c>
    </row>
    <row r="126">
      <c r="A126" s="2" t="inlineStr">
        <is>
          <t xml:space="preserve">1960-05</t>
        </is>
      </c>
      <c r="B126" s="2">
        <v>1960</v>
      </c>
      <c r="C126" s="2">
        <v>5</v>
      </c>
      <c r="D126" s="2" t="inlineStr">
        <is>
          <t xml:space="preserve">AMJ</t>
        </is>
      </c>
      <c r="E126" t="inlineStr">
        <is>
          <t xml:space="preserve">Apr 1960 – Jun 1960</t>
        </is>
      </c>
      <c r="F126" s="3">
        <v>0.04</v>
      </c>
      <c r="G126" s="4">
        <f>ROUND(F126,1)</f>
        <v>0.0</v>
      </c>
      <c r="H126" s="2" t="str">
        <f>IF(G126&gt;=0.5,"warm",IF(G126&lt;=-0.5,"cold","neutral"))</f>
        <v>neutral</v>
      </c>
      <c r="I126" s="2">
        <f>IF(H126=H125,I125+1,1)</f>
        <v>14</v>
      </c>
      <c r="J126" s="2">
        <f>IF(H126=H127,J127+1,1)</f>
        <v>37</v>
      </c>
      <c r="K126" s="2">
        <f>I126+J126-1</f>
        <v>50</v>
      </c>
      <c r="L126" s="2" t="str">
        <f>IF(H126="neutral","—",IF(K126&gt;=5,IF(H126="warm","El Niño","La Niña"),IF(ROW()+J126-1=920,IF(H126="warm","El Niño (ongoing)","La Niña (ongoing)"),"—")))</f>
        <v>—</v>
      </c>
      <c r="M126" s="2" t="inlineStr">
        <is>
          <t xml:space="preserve">1959/60</t>
        </is>
      </c>
    </row>
    <row r="127">
      <c r="A127" s="2" t="inlineStr">
        <is>
          <t xml:space="preserve">1960-06</t>
        </is>
      </c>
      <c r="B127" s="2">
        <v>1960</v>
      </c>
      <c r="C127" s="2">
        <v>6</v>
      </c>
      <c r="D127" s="2" t="inlineStr">
        <is>
          <t xml:space="preserve">MJJ</t>
        </is>
      </c>
      <c r="E127" t="inlineStr">
        <is>
          <t xml:space="preserve">May 1960 – Jul 1960</t>
        </is>
      </c>
      <c r="F127" s="3">
        <v>0.0</v>
      </c>
      <c r="G127" s="4">
        <f>ROUND(F127,1)</f>
        <v>0.0</v>
      </c>
      <c r="H127" s="2" t="str">
        <f>IF(G127&gt;=0.5,"warm",IF(G127&lt;=-0.5,"cold","neutral"))</f>
        <v>neutral</v>
      </c>
      <c r="I127" s="2">
        <f>IF(H127=H126,I126+1,1)</f>
        <v>15</v>
      </c>
      <c r="J127" s="2">
        <f>IF(H127=H128,J128+1,1)</f>
        <v>36</v>
      </c>
      <c r="K127" s="2">
        <f>I127+J127-1</f>
        <v>50</v>
      </c>
      <c r="L127" s="2" t="str">
        <f>IF(H127="neutral","—",IF(K127&gt;=5,IF(H127="warm","El Niño","La Niña"),IF(ROW()+J127-1=920,IF(H127="warm","El Niño (ongoing)","La Niña (ongoing)"),"—")))</f>
        <v>—</v>
      </c>
      <c r="M127" s="2" t="inlineStr">
        <is>
          <t xml:space="preserve">1959/60</t>
        </is>
      </c>
    </row>
    <row r="128">
      <c r="A128" s="2" t="inlineStr">
        <is>
          <t xml:space="preserve">1960-07</t>
        </is>
      </c>
      <c r="B128" s="2">
        <v>1960</v>
      </c>
      <c r="C128" s="2">
        <v>7</v>
      </c>
      <c r="D128" s="2" t="inlineStr">
        <is>
          <t xml:space="preserve">JJA</t>
        </is>
      </c>
      <c r="E128" t="inlineStr">
        <is>
          <t xml:space="preserve">Jun 1960 – Aug 1960</t>
        </is>
      </c>
      <c r="F128" s="3">
        <v>0.01</v>
      </c>
      <c r="G128" s="4">
        <f>ROUND(F128,1)</f>
        <v>0.0</v>
      </c>
      <c r="H128" s="2" t="str">
        <f>IF(G128&gt;=0.5,"warm",IF(G128&lt;=-0.5,"cold","neutral"))</f>
        <v>neutral</v>
      </c>
      <c r="I128" s="2">
        <f>IF(H128=H127,I127+1,1)</f>
        <v>16</v>
      </c>
      <c r="J128" s="2">
        <f>IF(H128=H129,J129+1,1)</f>
        <v>35</v>
      </c>
      <c r="K128" s="2">
        <f>I128+J128-1</f>
        <v>50</v>
      </c>
      <c r="L128" s="2" t="str">
        <f>IF(H128="neutral","—",IF(K128&gt;=5,IF(H128="warm","El Niño","La Niña"),IF(ROW()+J128-1=920,IF(H128="warm","El Niño (ongoing)","La Niña (ongoing)"),"—")))</f>
        <v>—</v>
      </c>
      <c r="M128" s="2" t="inlineStr">
        <is>
          <t xml:space="preserve">1960/61</t>
        </is>
      </c>
    </row>
    <row r="129">
      <c r="A129" s="2" t="inlineStr">
        <is>
          <t xml:space="preserve">1960-08</t>
        </is>
      </c>
      <c r="B129" s="2">
        <v>1960</v>
      </c>
      <c r="C129" s="2">
        <v>8</v>
      </c>
      <c r="D129" s="2" t="inlineStr">
        <is>
          <t xml:space="preserve">JAS</t>
        </is>
      </c>
      <c r="E129" t="inlineStr">
        <is>
          <t xml:space="preserve">Jul 1960 – Sep 1960</t>
        </is>
      </c>
      <c r="F129" s="3">
        <v>0.15</v>
      </c>
      <c r="G129" s="4">
        <f>ROUND(F129,1)</f>
        <v>0.2</v>
      </c>
      <c r="H129" s="2" t="str">
        <f>IF(G129&gt;=0.5,"warm",IF(G129&lt;=-0.5,"cold","neutral"))</f>
        <v>neutral</v>
      </c>
      <c r="I129" s="2">
        <f>IF(H129=H128,I128+1,1)</f>
        <v>17</v>
      </c>
      <c r="J129" s="2">
        <f>IF(H129=H130,J130+1,1)</f>
        <v>34</v>
      </c>
      <c r="K129" s="2">
        <f>I129+J129-1</f>
        <v>50</v>
      </c>
      <c r="L129" s="2" t="str">
        <f>IF(H129="neutral","—",IF(K129&gt;=5,IF(H129="warm","El Niño","La Niña"),IF(ROW()+J129-1=920,IF(H129="warm","El Niño (ongoing)","La Niña (ongoing)"),"—")))</f>
        <v>—</v>
      </c>
      <c r="M129" s="2" t="inlineStr">
        <is>
          <t xml:space="preserve">1960/61</t>
        </is>
      </c>
    </row>
    <row r="130">
      <c r="A130" s="2" t="inlineStr">
        <is>
          <t xml:space="preserve">1960-09</t>
        </is>
      </c>
      <c r="B130" s="2">
        <v>1960</v>
      </c>
      <c r="C130" s="2">
        <v>9</v>
      </c>
      <c r="D130" s="2" t="inlineStr">
        <is>
          <t xml:space="preserve">ASO</t>
        </is>
      </c>
      <c r="E130" t="inlineStr">
        <is>
          <t xml:space="preserve">Aug 1960 – Oct 1960</t>
        </is>
      </c>
      <c r="F130" s="3">
        <v>0.19</v>
      </c>
      <c r="G130" s="4">
        <f>ROUND(F130,1)</f>
        <v>0.2</v>
      </c>
      <c r="H130" s="2" t="str">
        <f>IF(G130&gt;=0.5,"warm",IF(G130&lt;=-0.5,"cold","neutral"))</f>
        <v>neutral</v>
      </c>
      <c r="I130" s="2">
        <f>IF(H130=H129,I129+1,1)</f>
        <v>18</v>
      </c>
      <c r="J130" s="2">
        <f>IF(H130=H131,J131+1,1)</f>
        <v>33</v>
      </c>
      <c r="K130" s="2">
        <f>I130+J130-1</f>
        <v>50</v>
      </c>
      <c r="L130" s="2" t="str">
        <f>IF(H130="neutral","—",IF(K130&gt;=5,IF(H130="warm","El Niño","La Niña"),IF(ROW()+J130-1=920,IF(H130="warm","El Niño (ongoing)","La Niña (ongoing)"),"—")))</f>
        <v>—</v>
      </c>
      <c r="M130" s="2" t="inlineStr">
        <is>
          <t xml:space="preserve">1960/61</t>
        </is>
      </c>
    </row>
    <row r="131">
      <c r="A131" s="2" t="inlineStr">
        <is>
          <t xml:space="preserve">1960-10</t>
        </is>
      </c>
      <c r="B131" s="2">
        <v>1960</v>
      </c>
      <c r="C131" s="2">
        <v>10</v>
      </c>
      <c r="D131" s="2" t="inlineStr">
        <is>
          <t xml:space="preserve">SON</t>
        </is>
      </c>
      <c r="E131" t="inlineStr">
        <is>
          <t xml:space="preserve">Sep 1960 – Nov 1960</t>
        </is>
      </c>
      <c r="F131" s="3">
        <v>0.08</v>
      </c>
      <c r="G131" s="4">
        <f>ROUND(F131,1)</f>
        <v>0.1</v>
      </c>
      <c r="H131" s="2" t="str">
        <f>IF(G131&gt;=0.5,"warm",IF(G131&lt;=-0.5,"cold","neutral"))</f>
        <v>neutral</v>
      </c>
      <c r="I131" s="2">
        <f>IF(H131=H130,I130+1,1)</f>
        <v>19</v>
      </c>
      <c r="J131" s="2">
        <f>IF(H131=H132,J132+1,1)</f>
        <v>32</v>
      </c>
      <c r="K131" s="2">
        <f>I131+J131-1</f>
        <v>50</v>
      </c>
      <c r="L131" s="2" t="str">
        <f>IF(H131="neutral","—",IF(K131&gt;=5,IF(H131="warm","El Niño","La Niña"),IF(ROW()+J131-1=920,IF(H131="warm","El Niño (ongoing)","La Niña (ongoing)"),"—")))</f>
        <v>—</v>
      </c>
      <c r="M131" s="2" t="inlineStr">
        <is>
          <t xml:space="preserve">1960/61</t>
        </is>
      </c>
    </row>
    <row r="132">
      <c r="A132" s="2" t="inlineStr">
        <is>
          <t xml:space="preserve">1960-11</t>
        </is>
      </c>
      <c r="B132" s="2">
        <v>1960</v>
      </c>
      <c r="C132" s="2">
        <v>11</v>
      </c>
      <c r="D132" s="2" t="inlineStr">
        <is>
          <t xml:space="preserve">OND</t>
        </is>
      </c>
      <c r="E132" t="inlineStr">
        <is>
          <t xml:space="preserve">Oct 1960 – Dec 1960</t>
        </is>
      </c>
      <c r="F132" s="3">
        <v>-0.07</v>
      </c>
      <c r="G132" s="4">
        <f>ROUND(F132,1)</f>
        <v>-0.1</v>
      </c>
      <c r="H132" s="2" t="str">
        <f>IF(G132&gt;=0.5,"warm",IF(G132&lt;=-0.5,"cold","neutral"))</f>
        <v>neutral</v>
      </c>
      <c r="I132" s="2">
        <f>IF(H132=H131,I131+1,1)</f>
        <v>20</v>
      </c>
      <c r="J132" s="2">
        <f>IF(H132=H133,J133+1,1)</f>
        <v>31</v>
      </c>
      <c r="K132" s="2">
        <f>I132+J132-1</f>
        <v>50</v>
      </c>
      <c r="L132" s="2" t="str">
        <f>IF(H132="neutral","—",IF(K132&gt;=5,IF(H132="warm","El Niño","La Niña"),IF(ROW()+J132-1=920,IF(H132="warm","El Niño (ongoing)","La Niña (ongoing)"),"—")))</f>
        <v>—</v>
      </c>
      <c r="M132" s="2" t="inlineStr">
        <is>
          <t xml:space="preserve">1960/61</t>
        </is>
      </c>
    </row>
    <row r="133">
      <c r="A133" s="2" t="inlineStr">
        <is>
          <t xml:space="preserve">1960-12</t>
        </is>
      </c>
      <c r="B133" s="2">
        <v>1960</v>
      </c>
      <c r="C133" s="2">
        <v>12</v>
      </c>
      <c r="D133" s="2" t="inlineStr">
        <is>
          <t xml:space="preserve">NDJ</t>
        </is>
      </c>
      <c r="E133" t="inlineStr">
        <is>
          <t xml:space="preserve">Nov 1960 – Jan 1961</t>
        </is>
      </c>
      <c r="F133" s="3">
        <v>-0.07</v>
      </c>
      <c r="G133" s="4">
        <f>ROUND(F133,1)</f>
        <v>-0.1</v>
      </c>
      <c r="H133" s="2" t="str">
        <f>IF(G133&gt;=0.5,"warm",IF(G133&lt;=-0.5,"cold","neutral"))</f>
        <v>neutral</v>
      </c>
      <c r="I133" s="2">
        <f>IF(H133=H132,I132+1,1)</f>
        <v>21</v>
      </c>
      <c r="J133" s="2">
        <f>IF(H133=H134,J134+1,1)</f>
        <v>30</v>
      </c>
      <c r="K133" s="2">
        <f>I133+J133-1</f>
        <v>50</v>
      </c>
      <c r="L133" s="2" t="str">
        <f>IF(H133="neutral","—",IF(K133&gt;=5,IF(H133="warm","El Niño","La Niña"),IF(ROW()+J133-1=920,IF(H133="warm","El Niño (ongoing)","La Niña (ongoing)"),"—")))</f>
        <v>—</v>
      </c>
      <c r="M133" s="2" t="inlineStr">
        <is>
          <t xml:space="preserve">1960/61</t>
        </is>
      </c>
    </row>
    <row r="134">
      <c r="A134" s="2" t="inlineStr">
        <is>
          <t xml:space="preserve">1961-01</t>
        </is>
      </c>
      <c r="B134" s="2">
        <v>1961</v>
      </c>
      <c r="C134" s="2">
        <v>1</v>
      </c>
      <c r="D134" s="2" t="inlineStr">
        <is>
          <t xml:space="preserve">DJF</t>
        </is>
      </c>
      <c r="E134" t="inlineStr">
        <is>
          <t xml:space="preserve">Dec 1960 – Feb 1961</t>
        </is>
      </c>
      <c r="F134" s="3">
        <v>0.0</v>
      </c>
      <c r="G134" s="4">
        <f>ROUND(F134,1)</f>
        <v>0.0</v>
      </c>
      <c r="H134" s="2" t="str">
        <f>IF(G134&gt;=0.5,"warm",IF(G134&lt;=-0.5,"cold","neutral"))</f>
        <v>neutral</v>
      </c>
      <c r="I134" s="2">
        <f>IF(H134=H133,I133+1,1)</f>
        <v>22</v>
      </c>
      <c r="J134" s="2">
        <f>IF(H134=H135,J135+1,1)</f>
        <v>29</v>
      </c>
      <c r="K134" s="2">
        <f>I134+J134-1</f>
        <v>50</v>
      </c>
      <c r="L134" s="2" t="str">
        <f>IF(H134="neutral","—",IF(K134&gt;=5,IF(H134="warm","El Niño","La Niña"),IF(ROW()+J134-1=920,IF(H134="warm","El Niño (ongoing)","La Niña (ongoing)"),"—")))</f>
        <v>—</v>
      </c>
      <c r="M134" s="2" t="inlineStr">
        <is>
          <t xml:space="preserve">1960/61</t>
        </is>
      </c>
    </row>
    <row r="135">
      <c r="A135" s="2" t="inlineStr">
        <is>
          <t xml:space="preserve">1961-02</t>
        </is>
      </c>
      <c r="B135" s="2">
        <v>1961</v>
      </c>
      <c r="C135" s="2">
        <v>2</v>
      </c>
      <c r="D135" s="2" t="inlineStr">
        <is>
          <t xml:space="preserve">JFM</t>
        </is>
      </c>
      <c r="E135" t="inlineStr">
        <is>
          <t xml:space="preserve">Jan 1961 – Mar 1961</t>
        </is>
      </c>
      <c r="F135" s="3">
        <v>0.03</v>
      </c>
      <c r="G135" s="4">
        <f>ROUND(F135,1)</f>
        <v>0.0</v>
      </c>
      <c r="H135" s="2" t="str">
        <f>IF(G135&gt;=0.5,"warm",IF(G135&lt;=-0.5,"cold","neutral"))</f>
        <v>neutral</v>
      </c>
      <c r="I135" s="2">
        <f>IF(H135=H134,I134+1,1)</f>
        <v>23</v>
      </c>
      <c r="J135" s="2">
        <f>IF(H135=H136,J136+1,1)</f>
        <v>28</v>
      </c>
      <c r="K135" s="2">
        <f>I135+J135-1</f>
        <v>50</v>
      </c>
      <c r="L135" s="2" t="str">
        <f>IF(H135="neutral","—",IF(K135&gt;=5,IF(H135="warm","El Niño","La Niña"),IF(ROW()+J135-1=920,IF(H135="warm","El Niño (ongoing)","La Niña (ongoing)"),"—")))</f>
        <v>—</v>
      </c>
      <c r="M135" s="2" t="inlineStr">
        <is>
          <t xml:space="preserve">1960/61</t>
        </is>
      </c>
    </row>
    <row r="136">
      <c r="A136" s="2" t="inlineStr">
        <is>
          <t xml:space="preserve">1961-03</t>
        </is>
      </c>
      <c r="B136" s="2">
        <v>1961</v>
      </c>
      <c r="C136" s="2">
        <v>3</v>
      </c>
      <c r="D136" s="2" t="inlineStr">
        <is>
          <t xml:space="preserve">FMA</t>
        </is>
      </c>
      <c r="E136" t="inlineStr">
        <is>
          <t xml:space="preserve">Feb 1961 – Apr 1961</t>
        </is>
      </c>
      <c r="F136" s="3">
        <v>0.01</v>
      </c>
      <c r="G136" s="4">
        <f>ROUND(F136,1)</f>
        <v>0.0</v>
      </c>
      <c r="H136" s="2" t="str">
        <f>IF(G136&gt;=0.5,"warm",IF(G136&lt;=-0.5,"cold","neutral"))</f>
        <v>neutral</v>
      </c>
      <c r="I136" s="2">
        <f>IF(H136=H135,I135+1,1)</f>
        <v>24</v>
      </c>
      <c r="J136" s="2">
        <f>IF(H136=H137,J137+1,1)</f>
        <v>27</v>
      </c>
      <c r="K136" s="2">
        <f>I136+J136-1</f>
        <v>50</v>
      </c>
      <c r="L136" s="2" t="str">
        <f>IF(H136="neutral","—",IF(K136&gt;=5,IF(H136="warm","El Niño","La Niña"),IF(ROW()+J136-1=920,IF(H136="warm","El Niño (ongoing)","La Niña (ongoing)"),"—")))</f>
        <v>—</v>
      </c>
      <c r="M136" s="2" t="inlineStr">
        <is>
          <t xml:space="preserve">1960/61</t>
        </is>
      </c>
    </row>
    <row r="137">
      <c r="A137" s="2" t="inlineStr">
        <is>
          <t xml:space="preserve">1961-04</t>
        </is>
      </c>
      <c r="B137" s="2">
        <v>1961</v>
      </c>
      <c r="C137" s="2">
        <v>4</v>
      </c>
      <c r="D137" s="2" t="inlineStr">
        <is>
          <t xml:space="preserve">MAM</t>
        </is>
      </c>
      <c r="E137" t="inlineStr">
        <is>
          <t xml:space="preserve">Mar 1961 – May 1961</t>
        </is>
      </c>
      <c r="F137" s="3">
        <v>0.05</v>
      </c>
      <c r="G137" s="4">
        <f>ROUND(F137,1)</f>
        <v>0.1</v>
      </c>
      <c r="H137" s="2" t="str">
        <f>IF(G137&gt;=0.5,"warm",IF(G137&lt;=-0.5,"cold","neutral"))</f>
        <v>neutral</v>
      </c>
      <c r="I137" s="2">
        <f>IF(H137=H136,I136+1,1)</f>
        <v>25</v>
      </c>
      <c r="J137" s="2">
        <f>IF(H137=H138,J138+1,1)</f>
        <v>26</v>
      </c>
      <c r="K137" s="2">
        <f>I137+J137-1</f>
        <v>50</v>
      </c>
      <c r="L137" s="2" t="str">
        <f>IF(H137="neutral","—",IF(K137&gt;=5,IF(H137="warm","El Niño","La Niña"),IF(ROW()+J137-1=920,IF(H137="warm","El Niño (ongoing)","La Niña (ongoing)"),"—")))</f>
        <v>—</v>
      </c>
      <c r="M137" s="2" t="inlineStr">
        <is>
          <t xml:space="preserve">1960/61</t>
        </is>
      </c>
    </row>
    <row r="138">
      <c r="A138" s="2" t="inlineStr">
        <is>
          <t xml:space="preserve">1961-05</t>
        </is>
      </c>
      <c r="B138" s="2">
        <v>1961</v>
      </c>
      <c r="C138" s="2">
        <v>5</v>
      </c>
      <c r="D138" s="2" t="inlineStr">
        <is>
          <t xml:space="preserve">AMJ</t>
        </is>
      </c>
      <c r="E138" t="inlineStr">
        <is>
          <t xml:space="preserve">Apr 1961 – Jun 1961</t>
        </is>
      </c>
      <c r="F138" s="3">
        <v>0.22</v>
      </c>
      <c r="G138" s="4">
        <f>ROUND(F138,1)</f>
        <v>0.2</v>
      </c>
      <c r="H138" s="2" t="str">
        <f>IF(G138&gt;=0.5,"warm",IF(G138&lt;=-0.5,"cold","neutral"))</f>
        <v>neutral</v>
      </c>
      <c r="I138" s="2">
        <f>IF(H138=H137,I137+1,1)</f>
        <v>26</v>
      </c>
      <c r="J138" s="2">
        <f>IF(H138=H139,J139+1,1)</f>
        <v>25</v>
      </c>
      <c r="K138" s="2">
        <f>I138+J138-1</f>
        <v>50</v>
      </c>
      <c r="L138" s="2" t="str">
        <f>IF(H138="neutral","—",IF(K138&gt;=5,IF(H138="warm","El Niño","La Niña"),IF(ROW()+J138-1=920,IF(H138="warm","El Niño (ongoing)","La Niña (ongoing)"),"—")))</f>
        <v>—</v>
      </c>
      <c r="M138" s="2" t="inlineStr">
        <is>
          <t xml:space="preserve">1960/61</t>
        </is>
      </c>
    </row>
    <row r="139">
      <c r="A139" s="2" t="inlineStr">
        <is>
          <t xml:space="preserve">1961-06</t>
        </is>
      </c>
      <c r="B139" s="2">
        <v>1961</v>
      </c>
      <c r="C139" s="2">
        <v>6</v>
      </c>
      <c r="D139" s="2" t="inlineStr">
        <is>
          <t xml:space="preserve">MJJ</t>
        </is>
      </c>
      <c r="E139" t="inlineStr">
        <is>
          <t xml:space="preserve">May 1961 – Jul 1961</t>
        </is>
      </c>
      <c r="F139" s="3">
        <v>0.22</v>
      </c>
      <c r="G139" s="4">
        <f>ROUND(F139,1)</f>
        <v>0.2</v>
      </c>
      <c r="H139" s="2" t="str">
        <f>IF(G139&gt;=0.5,"warm",IF(G139&lt;=-0.5,"cold","neutral"))</f>
        <v>neutral</v>
      </c>
      <c r="I139" s="2">
        <f>IF(H139=H138,I138+1,1)</f>
        <v>27</v>
      </c>
      <c r="J139" s="2">
        <f>IF(H139=H140,J140+1,1)</f>
        <v>24</v>
      </c>
      <c r="K139" s="2">
        <f>I139+J139-1</f>
        <v>50</v>
      </c>
      <c r="L139" s="2" t="str">
        <f>IF(H139="neutral","—",IF(K139&gt;=5,IF(H139="warm","El Niño","La Niña"),IF(ROW()+J139-1=920,IF(H139="warm","El Niño (ongoing)","La Niña (ongoing)"),"—")))</f>
        <v>—</v>
      </c>
      <c r="M139" s="2" t="inlineStr">
        <is>
          <t xml:space="preserve">1960/61</t>
        </is>
      </c>
    </row>
    <row r="140">
      <c r="A140" s="2" t="inlineStr">
        <is>
          <t xml:space="preserve">1961-07</t>
        </is>
      </c>
      <c r="B140" s="2">
        <v>1961</v>
      </c>
      <c r="C140" s="2">
        <v>7</v>
      </c>
      <c r="D140" s="2" t="inlineStr">
        <is>
          <t xml:space="preserve">JJA</t>
        </is>
      </c>
      <c r="E140" t="inlineStr">
        <is>
          <t xml:space="preserve">Jun 1961 – Aug 1961</t>
        </is>
      </c>
      <c r="F140" s="3">
        <v>0.08</v>
      </c>
      <c r="G140" s="4">
        <f>ROUND(F140,1)</f>
        <v>0.1</v>
      </c>
      <c r="H140" s="2" t="str">
        <f>IF(G140&gt;=0.5,"warm",IF(G140&lt;=-0.5,"cold","neutral"))</f>
        <v>neutral</v>
      </c>
      <c r="I140" s="2">
        <f>IF(H140=H139,I139+1,1)</f>
        <v>28</v>
      </c>
      <c r="J140" s="2">
        <f>IF(H140=H141,J141+1,1)</f>
        <v>23</v>
      </c>
      <c r="K140" s="2">
        <f>I140+J140-1</f>
        <v>50</v>
      </c>
      <c r="L140" s="2" t="str">
        <f>IF(H140="neutral","—",IF(K140&gt;=5,IF(H140="warm","El Niño","La Niña"),IF(ROW()+J140-1=920,IF(H140="warm","El Niño (ongoing)","La Niña (ongoing)"),"—")))</f>
        <v>—</v>
      </c>
      <c r="M140" s="2" t="inlineStr">
        <is>
          <t xml:space="preserve">1961/62</t>
        </is>
      </c>
    </row>
    <row r="141">
      <c r="A141" s="2" t="inlineStr">
        <is>
          <t xml:space="preserve">1961-08</t>
        </is>
      </c>
      <c r="B141" s="2">
        <v>1961</v>
      </c>
      <c r="C141" s="2">
        <v>8</v>
      </c>
      <c r="D141" s="2" t="inlineStr">
        <is>
          <t xml:space="preserve">JAS</t>
        </is>
      </c>
      <c r="E141" t="inlineStr">
        <is>
          <t xml:space="preserve">Jul 1961 – Sep 1961</t>
        </is>
      </c>
      <c r="F141" s="3">
        <v>-0.2</v>
      </c>
      <c r="G141" s="4">
        <f>ROUND(F141,1)</f>
        <v>-0.2</v>
      </c>
      <c r="H141" s="2" t="str">
        <f>IF(G141&gt;=0.5,"warm",IF(G141&lt;=-0.5,"cold","neutral"))</f>
        <v>neutral</v>
      </c>
      <c r="I141" s="2">
        <f>IF(H141=H140,I140+1,1)</f>
        <v>29</v>
      </c>
      <c r="J141" s="2">
        <f>IF(H141=H142,J142+1,1)</f>
        <v>22</v>
      </c>
      <c r="K141" s="2">
        <f>I141+J141-1</f>
        <v>50</v>
      </c>
      <c r="L141" s="2" t="str">
        <f>IF(H141="neutral","—",IF(K141&gt;=5,IF(H141="warm","El Niño","La Niña"),IF(ROW()+J141-1=920,IF(H141="warm","El Niño (ongoing)","La Niña (ongoing)"),"—")))</f>
        <v>—</v>
      </c>
      <c r="M141" s="2" t="inlineStr">
        <is>
          <t xml:space="preserve">1961/62</t>
        </is>
      </c>
    </row>
    <row r="142">
      <c r="A142" s="2" t="inlineStr">
        <is>
          <t xml:space="preserve">1961-09</t>
        </is>
      </c>
      <c r="B142" s="2">
        <v>1961</v>
      </c>
      <c r="C142" s="2">
        <v>9</v>
      </c>
      <c r="D142" s="2" t="inlineStr">
        <is>
          <t xml:space="preserve">ASO</t>
        </is>
      </c>
      <c r="E142" t="inlineStr">
        <is>
          <t xml:space="preserve">Aug 1961 – Oct 1961</t>
        </is>
      </c>
      <c r="F142" s="3">
        <v>-0.32</v>
      </c>
      <c r="G142" s="4">
        <f>ROUND(F142,1)</f>
        <v>-0.3</v>
      </c>
      <c r="H142" s="2" t="str">
        <f>IF(G142&gt;=0.5,"warm",IF(G142&lt;=-0.5,"cold","neutral"))</f>
        <v>neutral</v>
      </c>
      <c r="I142" s="2">
        <f>IF(H142=H141,I141+1,1)</f>
        <v>30</v>
      </c>
      <c r="J142" s="2">
        <f>IF(H142=H143,J143+1,1)</f>
        <v>21</v>
      </c>
      <c r="K142" s="2">
        <f>I142+J142-1</f>
        <v>50</v>
      </c>
      <c r="L142" s="2" t="str">
        <f>IF(H142="neutral","—",IF(K142&gt;=5,IF(H142="warm","El Niño","La Niña"),IF(ROW()+J142-1=920,IF(H142="warm","El Niño (ongoing)","La Niña (ongoing)"),"—")))</f>
        <v>—</v>
      </c>
      <c r="M142" s="2" t="inlineStr">
        <is>
          <t xml:space="preserve">1961/62</t>
        </is>
      </c>
    </row>
    <row r="143">
      <c r="A143" s="2" t="inlineStr">
        <is>
          <t xml:space="preserve">1961-10</t>
        </is>
      </c>
      <c r="B143" s="2">
        <v>1961</v>
      </c>
      <c r="C143" s="2">
        <v>10</v>
      </c>
      <c r="D143" s="2" t="inlineStr">
        <is>
          <t xml:space="preserve">SON</t>
        </is>
      </c>
      <c r="E143" t="inlineStr">
        <is>
          <t xml:space="preserve">Sep 1961 – Nov 1961</t>
        </is>
      </c>
      <c r="F143" s="3">
        <v>-0.22</v>
      </c>
      <c r="G143" s="4">
        <f>ROUND(F143,1)</f>
        <v>-0.2</v>
      </c>
      <c r="H143" s="2" t="str">
        <f>IF(G143&gt;=0.5,"warm",IF(G143&lt;=-0.5,"cold","neutral"))</f>
        <v>neutral</v>
      </c>
      <c r="I143" s="2">
        <f>IF(H143=H142,I142+1,1)</f>
        <v>31</v>
      </c>
      <c r="J143" s="2">
        <f>IF(H143=H144,J144+1,1)</f>
        <v>20</v>
      </c>
      <c r="K143" s="2">
        <f>I143+J143-1</f>
        <v>50</v>
      </c>
      <c r="L143" s="2" t="str">
        <f>IF(H143="neutral","—",IF(K143&gt;=5,IF(H143="warm","El Niño","La Niña"),IF(ROW()+J143-1=920,IF(H143="warm","El Niño (ongoing)","La Niña (ongoing)"),"—")))</f>
        <v>—</v>
      </c>
      <c r="M143" s="2" t="inlineStr">
        <is>
          <t xml:space="preserve">1961/62</t>
        </is>
      </c>
    </row>
    <row r="144">
      <c r="A144" s="2" t="inlineStr">
        <is>
          <t xml:space="preserve">1961-11</t>
        </is>
      </c>
      <c r="B144" s="2">
        <v>1961</v>
      </c>
      <c r="C144" s="2">
        <v>11</v>
      </c>
      <c r="D144" s="2" t="inlineStr">
        <is>
          <t xml:space="preserve">OND</t>
        </is>
      </c>
      <c r="E144" t="inlineStr">
        <is>
          <t xml:space="preserve">Oct 1961 – Dec 1961</t>
        </is>
      </c>
      <c r="F144" s="3">
        <v>-0.11</v>
      </c>
      <c r="G144" s="4">
        <f>ROUND(F144,1)</f>
        <v>-0.1</v>
      </c>
      <c r="H144" s="2" t="str">
        <f>IF(G144&gt;=0.5,"warm",IF(G144&lt;=-0.5,"cold","neutral"))</f>
        <v>neutral</v>
      </c>
      <c r="I144" s="2">
        <f>IF(H144=H143,I143+1,1)</f>
        <v>32</v>
      </c>
      <c r="J144" s="2">
        <f>IF(H144=H145,J145+1,1)</f>
        <v>19</v>
      </c>
      <c r="K144" s="2">
        <f>I144+J144-1</f>
        <v>50</v>
      </c>
      <c r="L144" s="2" t="str">
        <f>IF(H144="neutral","—",IF(K144&gt;=5,IF(H144="warm","El Niño","La Niña"),IF(ROW()+J144-1=920,IF(H144="warm","El Niño (ongoing)","La Niña (ongoing)"),"—")))</f>
        <v>—</v>
      </c>
      <c r="M144" s="2" t="inlineStr">
        <is>
          <t xml:space="preserve">1961/62</t>
        </is>
      </c>
    </row>
    <row r="145">
      <c r="A145" s="2" t="inlineStr">
        <is>
          <t xml:space="preserve">1961-12</t>
        </is>
      </c>
      <c r="B145" s="2">
        <v>1961</v>
      </c>
      <c r="C145" s="2">
        <v>12</v>
      </c>
      <c r="D145" s="2" t="inlineStr">
        <is>
          <t xml:space="preserve">NDJ</t>
        </is>
      </c>
      <c r="E145" t="inlineStr">
        <is>
          <t xml:space="preserve">Nov 1961 – Jan 1962</t>
        </is>
      </c>
      <c r="F145" s="3">
        <v>-0.05</v>
      </c>
      <c r="G145" s="4">
        <f>ROUND(F145,1)</f>
        <v>-0.1</v>
      </c>
      <c r="H145" s="2" t="str">
        <f>IF(G145&gt;=0.5,"warm",IF(G145&lt;=-0.5,"cold","neutral"))</f>
        <v>neutral</v>
      </c>
      <c r="I145" s="2">
        <f>IF(H145=H144,I144+1,1)</f>
        <v>33</v>
      </c>
      <c r="J145" s="2">
        <f>IF(H145=H146,J146+1,1)</f>
        <v>18</v>
      </c>
      <c r="K145" s="2">
        <f>I145+J145-1</f>
        <v>50</v>
      </c>
      <c r="L145" s="2" t="str">
        <f>IF(H145="neutral","—",IF(K145&gt;=5,IF(H145="warm","El Niño","La Niña"),IF(ROW()+J145-1=920,IF(H145="warm","El Niño (ongoing)","La Niña (ongoing)"),"—")))</f>
        <v>—</v>
      </c>
      <c r="M145" s="2" t="inlineStr">
        <is>
          <t xml:space="preserve">1961/62</t>
        </is>
      </c>
    </row>
    <row r="146">
      <c r="A146" s="2" t="inlineStr">
        <is>
          <t xml:space="preserve">1962-01</t>
        </is>
      </c>
      <c r="B146" s="2">
        <v>1962</v>
      </c>
      <c r="C146" s="2">
        <v>1</v>
      </c>
      <c r="D146" s="2" t="inlineStr">
        <is>
          <t xml:space="preserve">DJF</t>
        </is>
      </c>
      <c r="E146" t="inlineStr">
        <is>
          <t xml:space="preserve">Dec 1961 – Feb 1962</t>
        </is>
      </c>
      <c r="F146" s="3">
        <v>-0.16</v>
      </c>
      <c r="G146" s="4">
        <f>ROUND(F146,1)</f>
        <v>-0.2</v>
      </c>
      <c r="H146" s="2" t="str">
        <f>IF(G146&gt;=0.5,"warm",IF(G146&lt;=-0.5,"cold","neutral"))</f>
        <v>neutral</v>
      </c>
      <c r="I146" s="2">
        <f>IF(H146=H145,I145+1,1)</f>
        <v>34</v>
      </c>
      <c r="J146" s="2">
        <f>IF(H146=H147,J147+1,1)</f>
        <v>17</v>
      </c>
      <c r="K146" s="2">
        <f>I146+J146-1</f>
        <v>50</v>
      </c>
      <c r="L146" s="2" t="str">
        <f>IF(H146="neutral","—",IF(K146&gt;=5,IF(H146="warm","El Niño","La Niña"),IF(ROW()+J146-1=920,IF(H146="warm","El Niño (ongoing)","La Niña (ongoing)"),"—")))</f>
        <v>—</v>
      </c>
      <c r="M146" s="2" t="inlineStr">
        <is>
          <t xml:space="preserve">1961/62</t>
        </is>
      </c>
    </row>
    <row r="147">
      <c r="A147" s="2" t="inlineStr">
        <is>
          <t xml:space="preserve">1962-02</t>
        </is>
      </c>
      <c r="B147" s="2">
        <v>1962</v>
      </c>
      <c r="C147" s="2">
        <v>2</v>
      </c>
      <c r="D147" s="2" t="inlineStr">
        <is>
          <t xml:space="preserve">JFM</t>
        </is>
      </c>
      <c r="E147" t="inlineStr">
        <is>
          <t xml:space="preserve">Jan 1962 – Mar 1962</t>
        </is>
      </c>
      <c r="F147" s="3">
        <v>-0.17</v>
      </c>
      <c r="G147" s="4">
        <f>ROUND(F147,1)</f>
        <v>-0.2</v>
      </c>
      <c r="H147" s="2" t="str">
        <f>IF(G147&gt;=0.5,"warm",IF(G147&lt;=-0.5,"cold","neutral"))</f>
        <v>neutral</v>
      </c>
      <c r="I147" s="2">
        <f>IF(H147=H146,I146+1,1)</f>
        <v>35</v>
      </c>
      <c r="J147" s="2">
        <f>IF(H147=H148,J148+1,1)</f>
        <v>16</v>
      </c>
      <c r="K147" s="2">
        <f>I147+J147-1</f>
        <v>50</v>
      </c>
      <c r="L147" s="2" t="str">
        <f>IF(H147="neutral","—",IF(K147&gt;=5,IF(H147="warm","El Niño","La Niña"),IF(ROW()+J147-1=920,IF(H147="warm","El Niño (ongoing)","La Niña (ongoing)"),"—")))</f>
        <v>—</v>
      </c>
      <c r="M147" s="2" t="inlineStr">
        <is>
          <t xml:space="preserve">1961/62</t>
        </is>
      </c>
    </row>
    <row r="148">
      <c r="A148" s="2" t="inlineStr">
        <is>
          <t xml:space="preserve">1962-03</t>
        </is>
      </c>
      <c r="B148" s="2">
        <v>1962</v>
      </c>
      <c r="C148" s="2">
        <v>3</v>
      </c>
      <c r="D148" s="2" t="inlineStr">
        <is>
          <t xml:space="preserve">FMA</t>
        </is>
      </c>
      <c r="E148" t="inlineStr">
        <is>
          <t xml:space="preserve">Feb 1962 – Apr 1962</t>
        </is>
      </c>
      <c r="F148" s="3">
        <v>-0.15</v>
      </c>
      <c r="G148" s="4">
        <f>ROUND(F148,1)</f>
        <v>-0.2</v>
      </c>
      <c r="H148" s="2" t="str">
        <f>IF(G148&gt;=0.5,"warm",IF(G148&lt;=-0.5,"cold","neutral"))</f>
        <v>neutral</v>
      </c>
      <c r="I148" s="2">
        <f>IF(H148=H147,I147+1,1)</f>
        <v>36</v>
      </c>
      <c r="J148" s="2">
        <f>IF(H148=H149,J149+1,1)</f>
        <v>15</v>
      </c>
      <c r="K148" s="2">
        <f>I148+J148-1</f>
        <v>50</v>
      </c>
      <c r="L148" s="2" t="str">
        <f>IF(H148="neutral","—",IF(K148&gt;=5,IF(H148="warm","El Niño","La Niña"),IF(ROW()+J148-1=920,IF(H148="warm","El Niño (ongoing)","La Niña (ongoing)"),"—")))</f>
        <v>—</v>
      </c>
      <c r="M148" s="2" t="inlineStr">
        <is>
          <t xml:space="preserve">1961/62</t>
        </is>
      </c>
    </row>
    <row r="149">
      <c r="A149" s="2" t="inlineStr">
        <is>
          <t xml:space="preserve">1962-04</t>
        </is>
      </c>
      <c r="B149" s="2">
        <v>1962</v>
      </c>
      <c r="C149" s="2">
        <v>4</v>
      </c>
      <c r="D149" s="2" t="inlineStr">
        <is>
          <t xml:space="preserve">MAM</t>
        </is>
      </c>
      <c r="E149" t="inlineStr">
        <is>
          <t xml:space="preserve">Mar 1962 – May 1962</t>
        </is>
      </c>
      <c r="F149" s="3">
        <v>-0.2</v>
      </c>
      <c r="G149" s="4">
        <f>ROUND(F149,1)</f>
        <v>-0.2</v>
      </c>
      <c r="H149" s="2" t="str">
        <f>IF(G149&gt;=0.5,"warm",IF(G149&lt;=-0.5,"cold","neutral"))</f>
        <v>neutral</v>
      </c>
      <c r="I149" s="2">
        <f>IF(H149=H148,I148+1,1)</f>
        <v>37</v>
      </c>
      <c r="J149" s="2">
        <f>IF(H149=H150,J150+1,1)</f>
        <v>14</v>
      </c>
      <c r="K149" s="2">
        <f>I149+J149-1</f>
        <v>50</v>
      </c>
      <c r="L149" s="2" t="str">
        <f>IF(H149="neutral","—",IF(K149&gt;=5,IF(H149="warm","El Niño","La Niña"),IF(ROW()+J149-1=920,IF(H149="warm","El Niño (ongoing)","La Niña (ongoing)"),"—")))</f>
        <v>—</v>
      </c>
      <c r="M149" s="2" t="inlineStr">
        <is>
          <t xml:space="preserve">1961/62</t>
        </is>
      </c>
    </row>
    <row r="150">
      <c r="A150" s="2" t="inlineStr">
        <is>
          <t xml:space="preserve">1962-05</t>
        </is>
      </c>
      <c r="B150" s="2">
        <v>1962</v>
      </c>
      <c r="C150" s="2">
        <v>5</v>
      </c>
      <c r="D150" s="2" t="inlineStr">
        <is>
          <t xml:space="preserve">AMJ</t>
        </is>
      </c>
      <c r="E150" t="inlineStr">
        <is>
          <t xml:space="preserve">Apr 1962 – Jun 1962</t>
        </is>
      </c>
      <c r="F150" s="3">
        <v>-0.19</v>
      </c>
      <c r="G150" s="4">
        <f>ROUND(F150,1)</f>
        <v>-0.2</v>
      </c>
      <c r="H150" s="2" t="str">
        <f>IF(G150&gt;=0.5,"warm",IF(G150&lt;=-0.5,"cold","neutral"))</f>
        <v>neutral</v>
      </c>
      <c r="I150" s="2">
        <f>IF(H150=H149,I149+1,1)</f>
        <v>38</v>
      </c>
      <c r="J150" s="2">
        <f>IF(H150=H151,J151+1,1)</f>
        <v>13</v>
      </c>
      <c r="K150" s="2">
        <f>I150+J150-1</f>
        <v>50</v>
      </c>
      <c r="L150" s="2" t="str">
        <f>IF(H150="neutral","—",IF(K150&gt;=5,IF(H150="warm","El Niño","La Niña"),IF(ROW()+J150-1=920,IF(H150="warm","El Niño (ongoing)","La Niña (ongoing)"),"—")))</f>
        <v>—</v>
      </c>
      <c r="M150" s="2" t="inlineStr">
        <is>
          <t xml:space="preserve">1961/62</t>
        </is>
      </c>
    </row>
    <row r="151">
      <c r="A151" s="2" t="inlineStr">
        <is>
          <t xml:space="preserve">1962-06</t>
        </is>
      </c>
      <c r="B151" s="2">
        <v>1962</v>
      </c>
      <c r="C151" s="2">
        <v>6</v>
      </c>
      <c r="D151" s="2" t="inlineStr">
        <is>
          <t xml:space="preserve">MJJ</t>
        </is>
      </c>
      <c r="E151" t="inlineStr">
        <is>
          <t xml:space="preserve">May 1962 – Jul 1962</t>
        </is>
      </c>
      <c r="F151" s="3">
        <v>-0.13</v>
      </c>
      <c r="G151" s="4">
        <f>ROUND(F151,1)</f>
        <v>-0.1</v>
      </c>
      <c r="H151" s="2" t="str">
        <f>IF(G151&gt;=0.5,"warm",IF(G151&lt;=-0.5,"cold","neutral"))</f>
        <v>neutral</v>
      </c>
      <c r="I151" s="2">
        <f>IF(H151=H150,I150+1,1)</f>
        <v>39</v>
      </c>
      <c r="J151" s="2">
        <f>IF(H151=H152,J152+1,1)</f>
        <v>12</v>
      </c>
      <c r="K151" s="2">
        <f>I151+J151-1</f>
        <v>50</v>
      </c>
      <c r="L151" s="2" t="str">
        <f>IF(H151="neutral","—",IF(K151&gt;=5,IF(H151="warm","El Niño","La Niña"),IF(ROW()+J151-1=920,IF(H151="warm","El Niño (ongoing)","La Niña (ongoing)"),"—")))</f>
        <v>—</v>
      </c>
      <c r="M151" s="2" t="inlineStr">
        <is>
          <t xml:space="preserve">1961/62</t>
        </is>
      </c>
    </row>
    <row r="152">
      <c r="A152" s="2" t="inlineStr">
        <is>
          <t xml:space="preserve">1962-07</t>
        </is>
      </c>
      <c r="B152" s="2">
        <v>1962</v>
      </c>
      <c r="C152" s="2">
        <v>7</v>
      </c>
      <c r="D152" s="2" t="inlineStr">
        <is>
          <t xml:space="preserve">JJA</t>
        </is>
      </c>
      <c r="E152" t="inlineStr">
        <is>
          <t xml:space="preserve">Jun 1962 – Aug 1962</t>
        </is>
      </c>
      <c r="F152" s="3">
        <v>0.0</v>
      </c>
      <c r="G152" s="4">
        <f>ROUND(F152,1)</f>
        <v>0.0</v>
      </c>
      <c r="H152" s="2" t="str">
        <f>IF(G152&gt;=0.5,"warm",IF(G152&lt;=-0.5,"cold","neutral"))</f>
        <v>neutral</v>
      </c>
      <c r="I152" s="2">
        <f>IF(H152=H151,I151+1,1)</f>
        <v>40</v>
      </c>
      <c r="J152" s="2">
        <f>IF(H152=H153,J153+1,1)</f>
        <v>11</v>
      </c>
      <c r="K152" s="2">
        <f>I152+J152-1</f>
        <v>50</v>
      </c>
      <c r="L152" s="2" t="str">
        <f>IF(H152="neutral","—",IF(K152&gt;=5,IF(H152="warm","El Niño","La Niña"),IF(ROW()+J152-1=920,IF(H152="warm","El Niño (ongoing)","La Niña (ongoing)"),"—")))</f>
        <v>—</v>
      </c>
      <c r="M152" s="2" t="inlineStr">
        <is>
          <t xml:space="preserve">1962/63</t>
        </is>
      </c>
    </row>
    <row r="153">
      <c r="A153" s="2" t="inlineStr">
        <is>
          <t xml:space="preserve">1962-08</t>
        </is>
      </c>
      <c r="B153" s="2">
        <v>1962</v>
      </c>
      <c r="C153" s="2">
        <v>8</v>
      </c>
      <c r="D153" s="2" t="inlineStr">
        <is>
          <t xml:space="preserve">JAS</t>
        </is>
      </c>
      <c r="E153" t="inlineStr">
        <is>
          <t xml:space="preserve">Jul 1962 – Sep 1962</t>
        </is>
      </c>
      <c r="F153" s="3">
        <v>-0.1</v>
      </c>
      <c r="G153" s="4">
        <f>ROUND(F153,1)</f>
        <v>-0.1</v>
      </c>
      <c r="H153" s="2" t="str">
        <f>IF(G153&gt;=0.5,"warm",IF(G153&lt;=-0.5,"cold","neutral"))</f>
        <v>neutral</v>
      </c>
      <c r="I153" s="2">
        <f>IF(H153=H152,I152+1,1)</f>
        <v>41</v>
      </c>
      <c r="J153" s="2">
        <f>IF(H153=H154,J154+1,1)</f>
        <v>10</v>
      </c>
      <c r="K153" s="2">
        <f>I153+J153-1</f>
        <v>50</v>
      </c>
      <c r="L153" s="2" t="str">
        <f>IF(H153="neutral","—",IF(K153&gt;=5,IF(H153="warm","El Niño","La Niña"),IF(ROW()+J153-1=920,IF(H153="warm","El Niño (ongoing)","La Niña (ongoing)"),"—")))</f>
        <v>—</v>
      </c>
      <c r="M153" s="2" t="inlineStr">
        <is>
          <t xml:space="preserve">1962/63</t>
        </is>
      </c>
    </row>
    <row r="154">
      <c r="A154" s="2" t="inlineStr">
        <is>
          <t xml:space="preserve">1962-09</t>
        </is>
      </c>
      <c r="B154" s="2">
        <v>1962</v>
      </c>
      <c r="C154" s="2">
        <v>9</v>
      </c>
      <c r="D154" s="2" t="inlineStr">
        <is>
          <t xml:space="preserve">ASO</t>
        </is>
      </c>
      <c r="E154" t="inlineStr">
        <is>
          <t xml:space="preserve">Aug 1962 – Oct 1962</t>
        </is>
      </c>
      <c r="F154" s="3">
        <v>-0.16</v>
      </c>
      <c r="G154" s="4">
        <f>ROUND(F154,1)</f>
        <v>-0.2</v>
      </c>
      <c r="H154" s="2" t="str">
        <f>IF(G154&gt;=0.5,"warm",IF(G154&lt;=-0.5,"cold","neutral"))</f>
        <v>neutral</v>
      </c>
      <c r="I154" s="2">
        <f>IF(H154=H153,I153+1,1)</f>
        <v>42</v>
      </c>
      <c r="J154" s="2">
        <f>IF(H154=H155,J155+1,1)</f>
        <v>9</v>
      </c>
      <c r="K154" s="2">
        <f>I154+J154-1</f>
        <v>50</v>
      </c>
      <c r="L154" s="2" t="str">
        <f>IF(H154="neutral","—",IF(K154&gt;=5,IF(H154="warm","El Niño","La Niña"),IF(ROW()+J154-1=920,IF(H154="warm","El Niño (ongoing)","La Niña (ongoing)"),"—")))</f>
        <v>—</v>
      </c>
      <c r="M154" s="2" t="inlineStr">
        <is>
          <t xml:space="preserve">1962/63</t>
        </is>
      </c>
    </row>
    <row r="155">
      <c r="A155" s="2" t="inlineStr">
        <is>
          <t xml:space="preserve">1962-10</t>
        </is>
      </c>
      <c r="B155" s="2">
        <v>1962</v>
      </c>
      <c r="C155" s="2">
        <v>10</v>
      </c>
      <c r="D155" s="2" t="inlineStr">
        <is>
          <t xml:space="preserve">SON</t>
        </is>
      </c>
      <c r="E155" t="inlineStr">
        <is>
          <t xml:space="preserve">Sep 1962 – Nov 1962</t>
        </is>
      </c>
      <c r="F155" s="3">
        <v>-0.25</v>
      </c>
      <c r="G155" s="4">
        <f>ROUND(F155,1)</f>
        <v>-0.3</v>
      </c>
      <c r="H155" s="2" t="str">
        <f>IF(G155&gt;=0.5,"warm",IF(G155&lt;=-0.5,"cold","neutral"))</f>
        <v>neutral</v>
      </c>
      <c r="I155" s="2">
        <f>IF(H155=H154,I154+1,1)</f>
        <v>43</v>
      </c>
      <c r="J155" s="2">
        <f>IF(H155=H156,J156+1,1)</f>
        <v>8</v>
      </c>
      <c r="K155" s="2">
        <f>I155+J155-1</f>
        <v>50</v>
      </c>
      <c r="L155" s="2" t="str">
        <f>IF(H155="neutral","—",IF(K155&gt;=5,IF(H155="warm","El Niño","La Niña"),IF(ROW()+J155-1=920,IF(H155="warm","El Niño (ongoing)","La Niña (ongoing)"),"—")))</f>
        <v>—</v>
      </c>
      <c r="M155" s="2" t="inlineStr">
        <is>
          <t xml:space="preserve">1962/63</t>
        </is>
      </c>
    </row>
    <row r="156">
      <c r="A156" s="2" t="inlineStr">
        <is>
          <t xml:space="preserve">1962-11</t>
        </is>
      </c>
      <c r="B156" s="2">
        <v>1962</v>
      </c>
      <c r="C156" s="2">
        <v>11</v>
      </c>
      <c r="D156" s="2" t="inlineStr">
        <is>
          <t xml:space="preserve">OND</t>
        </is>
      </c>
      <c r="E156" t="inlineStr">
        <is>
          <t xml:space="preserve">Oct 1962 – Dec 1962</t>
        </is>
      </c>
      <c r="F156" s="3">
        <v>-0.25</v>
      </c>
      <c r="G156" s="4">
        <f>ROUND(F156,1)</f>
        <v>-0.3</v>
      </c>
      <c r="H156" s="2" t="str">
        <f>IF(G156&gt;=0.5,"warm",IF(G156&lt;=-0.5,"cold","neutral"))</f>
        <v>neutral</v>
      </c>
      <c r="I156" s="2">
        <f>IF(H156=H155,I155+1,1)</f>
        <v>44</v>
      </c>
      <c r="J156" s="2">
        <f>IF(H156=H157,J157+1,1)</f>
        <v>7</v>
      </c>
      <c r="K156" s="2">
        <f>I156+J156-1</f>
        <v>50</v>
      </c>
      <c r="L156" s="2" t="str">
        <f>IF(H156="neutral","—",IF(K156&gt;=5,IF(H156="warm","El Niño","La Niña"),IF(ROW()+J156-1=920,IF(H156="warm","El Niño (ongoing)","La Niña (ongoing)"),"—")))</f>
        <v>—</v>
      </c>
      <c r="M156" s="2" t="inlineStr">
        <is>
          <t xml:space="preserve">1962/63</t>
        </is>
      </c>
    </row>
    <row r="157">
      <c r="A157" s="2" t="inlineStr">
        <is>
          <t xml:space="preserve">1962-12</t>
        </is>
      </c>
      <c r="B157" s="2">
        <v>1962</v>
      </c>
      <c r="C157" s="2">
        <v>12</v>
      </c>
      <c r="D157" s="2" t="inlineStr">
        <is>
          <t xml:space="preserve">NDJ</t>
        </is>
      </c>
      <c r="E157" t="inlineStr">
        <is>
          <t xml:space="preserve">Nov 1962 – Jan 1963</t>
        </is>
      </c>
      <c r="F157" s="3">
        <v>-0.32</v>
      </c>
      <c r="G157" s="4">
        <f>ROUND(F157,1)</f>
        <v>-0.3</v>
      </c>
      <c r="H157" s="2" t="str">
        <f>IF(G157&gt;=0.5,"warm",IF(G157&lt;=-0.5,"cold","neutral"))</f>
        <v>neutral</v>
      </c>
      <c r="I157" s="2">
        <f>IF(H157=H156,I156+1,1)</f>
        <v>45</v>
      </c>
      <c r="J157" s="2">
        <f>IF(H157=H158,J158+1,1)</f>
        <v>6</v>
      </c>
      <c r="K157" s="2">
        <f>I157+J157-1</f>
        <v>50</v>
      </c>
      <c r="L157" s="2" t="str">
        <f>IF(H157="neutral","—",IF(K157&gt;=5,IF(H157="warm","El Niño","La Niña"),IF(ROW()+J157-1=920,IF(H157="warm","El Niño (ongoing)","La Niña (ongoing)"),"—")))</f>
        <v>—</v>
      </c>
      <c r="M157" s="2" t="inlineStr">
        <is>
          <t xml:space="preserve">1962/63</t>
        </is>
      </c>
    </row>
    <row r="158">
      <c r="A158" s="2" t="inlineStr">
        <is>
          <t xml:space="preserve">1963-01</t>
        </is>
      </c>
      <c r="B158" s="2">
        <v>1963</v>
      </c>
      <c r="C158" s="2">
        <v>1</v>
      </c>
      <c r="D158" s="2" t="inlineStr">
        <is>
          <t xml:space="preserve">DJF</t>
        </is>
      </c>
      <c r="E158" t="inlineStr">
        <is>
          <t xml:space="preserve">Dec 1962 – Feb 1963</t>
        </is>
      </c>
      <c r="F158" s="3">
        <v>-0.33</v>
      </c>
      <c r="G158" s="4">
        <f>ROUND(F158,1)</f>
        <v>-0.3</v>
      </c>
      <c r="H158" s="2" t="str">
        <f>IF(G158&gt;=0.5,"warm",IF(G158&lt;=-0.5,"cold","neutral"))</f>
        <v>neutral</v>
      </c>
      <c r="I158" s="2">
        <f>IF(H158=H157,I157+1,1)</f>
        <v>46</v>
      </c>
      <c r="J158" s="2">
        <f>IF(H158=H159,J159+1,1)</f>
        <v>5</v>
      </c>
      <c r="K158" s="2">
        <f>I158+J158-1</f>
        <v>50</v>
      </c>
      <c r="L158" s="2" t="str">
        <f>IF(H158="neutral","—",IF(K158&gt;=5,IF(H158="warm","El Niño","La Niña"),IF(ROW()+J158-1=920,IF(H158="warm","El Niño (ongoing)","La Niña (ongoing)"),"—")))</f>
        <v>—</v>
      </c>
      <c r="M158" s="2" t="inlineStr">
        <is>
          <t xml:space="preserve">1962/63</t>
        </is>
      </c>
    </row>
    <row r="159">
      <c r="A159" s="2" t="inlineStr">
        <is>
          <t xml:space="preserve">1963-02</t>
        </is>
      </c>
      <c r="B159" s="2">
        <v>1963</v>
      </c>
      <c r="C159" s="2">
        <v>2</v>
      </c>
      <c r="D159" s="2" t="inlineStr">
        <is>
          <t xml:space="preserve">JFM</t>
        </is>
      </c>
      <c r="E159" t="inlineStr">
        <is>
          <t xml:space="preserve">Jan 1963 – Mar 1963</t>
        </is>
      </c>
      <c r="F159" s="3">
        <v>-0.17</v>
      </c>
      <c r="G159" s="4">
        <f>ROUND(F159,1)</f>
        <v>-0.2</v>
      </c>
      <c r="H159" s="2" t="str">
        <f>IF(G159&gt;=0.5,"warm",IF(G159&lt;=-0.5,"cold","neutral"))</f>
        <v>neutral</v>
      </c>
      <c r="I159" s="2">
        <f>IF(H159=H158,I158+1,1)</f>
        <v>47</v>
      </c>
      <c r="J159" s="2">
        <f>IF(H159=H160,J160+1,1)</f>
        <v>4</v>
      </c>
      <c r="K159" s="2">
        <f>I159+J159-1</f>
        <v>50</v>
      </c>
      <c r="L159" s="2" t="str">
        <f>IF(H159="neutral","—",IF(K159&gt;=5,IF(H159="warm","El Niño","La Niña"),IF(ROW()+J159-1=920,IF(H159="warm","El Niño (ongoing)","La Niña (ongoing)"),"—")))</f>
        <v>—</v>
      </c>
      <c r="M159" s="2" t="inlineStr">
        <is>
          <t xml:space="preserve">1962/63</t>
        </is>
      </c>
    </row>
    <row r="160">
      <c r="A160" s="2" t="inlineStr">
        <is>
          <t xml:space="preserve">1963-03</t>
        </is>
      </c>
      <c r="B160" s="2">
        <v>1963</v>
      </c>
      <c r="C160" s="2">
        <v>3</v>
      </c>
      <c r="D160" s="2" t="inlineStr">
        <is>
          <t xml:space="preserve">FMA</t>
        </is>
      </c>
      <c r="E160" t="inlineStr">
        <is>
          <t xml:space="preserve">Feb 1963 – Apr 1963</t>
        </is>
      </c>
      <c r="F160" s="3">
        <v>0.01</v>
      </c>
      <c r="G160" s="4">
        <f>ROUND(F160,1)</f>
        <v>0.0</v>
      </c>
      <c r="H160" s="2" t="str">
        <f>IF(G160&gt;=0.5,"warm",IF(G160&lt;=-0.5,"cold","neutral"))</f>
        <v>neutral</v>
      </c>
      <c r="I160" s="2">
        <f>IF(H160=H159,I159+1,1)</f>
        <v>48</v>
      </c>
      <c r="J160" s="2">
        <f>IF(H160=H161,J161+1,1)</f>
        <v>3</v>
      </c>
      <c r="K160" s="2">
        <f>I160+J160-1</f>
        <v>50</v>
      </c>
      <c r="L160" s="2" t="str">
        <f>IF(H160="neutral","—",IF(K160&gt;=5,IF(H160="warm","El Niño","La Niña"),IF(ROW()+J160-1=920,IF(H160="warm","El Niño (ongoing)","La Niña (ongoing)"),"—")))</f>
        <v>—</v>
      </c>
      <c r="M160" s="2" t="inlineStr">
        <is>
          <t xml:space="preserve">1962/63</t>
        </is>
      </c>
    </row>
    <row r="161">
      <c r="A161" s="2" t="inlineStr">
        <is>
          <t xml:space="preserve">1963-04</t>
        </is>
      </c>
      <c r="B161" s="2">
        <v>1963</v>
      </c>
      <c r="C161" s="2">
        <v>4</v>
      </c>
      <c r="D161" s="2" t="inlineStr">
        <is>
          <t xml:space="preserve">MAM</t>
        </is>
      </c>
      <c r="E161" t="inlineStr">
        <is>
          <t xml:space="preserve">Mar 1963 – May 1963</t>
        </is>
      </c>
      <c r="F161" s="3">
        <v>0.13</v>
      </c>
      <c r="G161" s="4">
        <f>ROUND(F161,1)</f>
        <v>0.1</v>
      </c>
      <c r="H161" s="2" t="str">
        <f>IF(G161&gt;=0.5,"warm",IF(G161&lt;=-0.5,"cold","neutral"))</f>
        <v>neutral</v>
      </c>
      <c r="I161" s="2">
        <f>IF(H161=H160,I160+1,1)</f>
        <v>49</v>
      </c>
      <c r="J161" s="2">
        <f>IF(H161=H162,J162+1,1)</f>
        <v>2</v>
      </c>
      <c r="K161" s="2">
        <f>I161+J161-1</f>
        <v>50</v>
      </c>
      <c r="L161" s="2" t="str">
        <f>IF(H161="neutral","—",IF(K161&gt;=5,IF(H161="warm","El Niño","La Niña"),IF(ROW()+J161-1=920,IF(H161="warm","El Niño (ongoing)","La Niña (ongoing)"),"—")))</f>
        <v>—</v>
      </c>
      <c r="M161" s="2" t="inlineStr">
        <is>
          <t xml:space="preserve">1962/63</t>
        </is>
      </c>
    </row>
    <row r="162">
      <c r="A162" s="2" t="inlineStr">
        <is>
          <t xml:space="preserve">1963-05</t>
        </is>
      </c>
      <c r="B162" s="2">
        <v>1963</v>
      </c>
      <c r="C162" s="2">
        <v>5</v>
      </c>
      <c r="D162" s="2" t="inlineStr">
        <is>
          <t xml:space="preserve">AMJ</t>
        </is>
      </c>
      <c r="E162" t="inlineStr">
        <is>
          <t xml:space="preserve">Apr 1963 – Jun 1963</t>
        </is>
      </c>
      <c r="F162" s="3">
        <v>0.12</v>
      </c>
      <c r="G162" s="4">
        <f>ROUND(F162,1)</f>
        <v>0.1</v>
      </c>
      <c r="H162" s="2" t="str">
        <f>IF(G162&gt;=0.5,"warm",IF(G162&lt;=-0.5,"cold","neutral"))</f>
        <v>neutral</v>
      </c>
      <c r="I162" s="2">
        <f>IF(H162=H161,I161+1,1)</f>
        <v>50</v>
      </c>
      <c r="J162" s="2">
        <f>IF(H162=H163,J163+1,1)</f>
        <v>1</v>
      </c>
      <c r="K162" s="2">
        <f>I162+J162-1</f>
        <v>50</v>
      </c>
      <c r="L162" s="2" t="str">
        <f>IF(H162="neutral","—",IF(K162&gt;=5,IF(H162="warm","El Niño","La Niña"),IF(ROW()+J162-1=920,IF(H162="warm","El Niño (ongoing)","La Niña (ongoing)"),"—")))</f>
        <v>—</v>
      </c>
      <c r="M162" s="2" t="inlineStr">
        <is>
          <t xml:space="preserve">1962/63</t>
        </is>
      </c>
    </row>
    <row r="163">
      <c r="A163" s="2" t="inlineStr">
        <is>
          <t xml:space="preserve">1963-06</t>
        </is>
      </c>
      <c r="B163" s="2">
        <v>1963</v>
      </c>
      <c r="C163" s="2">
        <v>6</v>
      </c>
      <c r="D163" s="2" t="inlineStr">
        <is>
          <t xml:space="preserve">MJJ</t>
        </is>
      </c>
      <c r="E163" t="inlineStr">
        <is>
          <t xml:space="preserve">May 1963 – Jul 1963</t>
        </is>
      </c>
      <c r="F163" s="3">
        <v>0.45</v>
      </c>
      <c r="G163" s="4">
        <f>ROUND(F163,1)</f>
        <v>0.5</v>
      </c>
      <c r="H163" s="2" t="str">
        <f>IF(G163&gt;=0.5,"warm",IF(G163&lt;=-0.5,"cold","neutral"))</f>
        <v>warm</v>
      </c>
      <c r="I163" s="2">
        <f>IF(H163=H162,I162+1,1)</f>
        <v>1</v>
      </c>
      <c r="J163" s="2">
        <f>IF(H163=H164,J164+1,1)</f>
        <v>9</v>
      </c>
      <c r="K163" s="2">
        <f>I163+J163-1</f>
        <v>9</v>
      </c>
      <c r="L163" s="6" t="str">
        <f>IF(H163="neutral","—",IF(K163&gt;=5,IF(H163="warm","El Niño","La Niña"),IF(ROW()+J163-1=920,IF(H163="warm","El Niño (ongoing)","La Niña (ongoing)"),"—")))</f>
        <v>El Niño</v>
      </c>
      <c r="M163" s="2" t="inlineStr">
        <is>
          <t xml:space="preserve">1962/63</t>
        </is>
      </c>
    </row>
    <row r="164">
      <c r="A164" s="2" t="inlineStr">
        <is>
          <t xml:space="preserve">1963-07</t>
        </is>
      </c>
      <c r="B164" s="2">
        <v>1963</v>
      </c>
      <c r="C164" s="2">
        <v>7</v>
      </c>
      <c r="D164" s="2" t="inlineStr">
        <is>
          <t xml:space="preserve">JJA</t>
        </is>
      </c>
      <c r="E164" t="inlineStr">
        <is>
          <t xml:space="preserve">Jun 1963 – Aug 1963</t>
        </is>
      </c>
      <c r="F164" s="3">
        <v>0.76</v>
      </c>
      <c r="G164" s="4">
        <f>ROUND(F164,1)</f>
        <v>0.8</v>
      </c>
      <c r="H164" s="2" t="str">
        <f>IF(G164&gt;=0.5,"warm",IF(G164&lt;=-0.5,"cold","neutral"))</f>
        <v>warm</v>
      </c>
      <c r="I164" s="2">
        <f>IF(H164=H163,I163+1,1)</f>
        <v>2</v>
      </c>
      <c r="J164" s="2">
        <f>IF(H164=H165,J165+1,1)</f>
        <v>8</v>
      </c>
      <c r="K164" s="2">
        <f>I164+J164-1</f>
        <v>9</v>
      </c>
      <c r="L164" s="6" t="str">
        <f>IF(H164="neutral","—",IF(K164&gt;=5,IF(H164="warm","El Niño","La Niña"),IF(ROW()+J164-1=920,IF(H164="warm","El Niño (ongoing)","La Niña (ongoing)"),"—")))</f>
        <v>El Niño</v>
      </c>
      <c r="M164" s="2" t="inlineStr">
        <is>
          <t xml:space="preserve">1963/64</t>
        </is>
      </c>
    </row>
    <row r="165">
      <c r="A165" s="2" t="inlineStr">
        <is>
          <t xml:space="preserve">1963-08</t>
        </is>
      </c>
      <c r="B165" s="2">
        <v>1963</v>
      </c>
      <c r="C165" s="2">
        <v>8</v>
      </c>
      <c r="D165" s="2" t="inlineStr">
        <is>
          <t xml:space="preserve">JAS</t>
        </is>
      </c>
      <c r="E165" t="inlineStr">
        <is>
          <t xml:space="preserve">Jul 1963 – Sep 1963</t>
        </is>
      </c>
      <c r="F165" s="3">
        <v>1.09</v>
      </c>
      <c r="G165" s="4">
        <f>ROUND(F165,1)</f>
        <v>1.1</v>
      </c>
      <c r="H165" s="2" t="str">
        <f>IF(G165&gt;=0.5,"warm",IF(G165&lt;=-0.5,"cold","neutral"))</f>
        <v>warm</v>
      </c>
      <c r="I165" s="2">
        <f>IF(H165=H164,I164+1,1)</f>
        <v>3</v>
      </c>
      <c r="J165" s="2">
        <f>IF(H165=H166,J166+1,1)</f>
        <v>7</v>
      </c>
      <c r="K165" s="2">
        <f>I165+J165-1</f>
        <v>9</v>
      </c>
      <c r="L165" s="6" t="str">
        <f>IF(H165="neutral","—",IF(K165&gt;=5,IF(H165="warm","El Niño","La Niña"),IF(ROW()+J165-1=920,IF(H165="warm","El Niño (ongoing)","La Niña (ongoing)"),"—")))</f>
        <v>El Niño</v>
      </c>
      <c r="M165" s="2" t="inlineStr">
        <is>
          <t xml:space="preserve">1963/64</t>
        </is>
      </c>
    </row>
    <row r="166">
      <c r="A166" s="2" t="inlineStr">
        <is>
          <t xml:space="preserve">1963-09</t>
        </is>
      </c>
      <c r="B166" s="2">
        <v>1963</v>
      </c>
      <c r="C166" s="2">
        <v>9</v>
      </c>
      <c r="D166" s="2" t="inlineStr">
        <is>
          <t xml:space="preserve">ASO</t>
        </is>
      </c>
      <c r="E166" t="inlineStr">
        <is>
          <t xml:space="preserve">Aug 1963 – Oct 1963</t>
        </is>
      </c>
      <c r="F166" s="3">
        <v>1.09</v>
      </c>
      <c r="G166" s="4">
        <f>ROUND(F166,1)</f>
        <v>1.1</v>
      </c>
      <c r="H166" s="2" t="str">
        <f>IF(G166&gt;=0.5,"warm",IF(G166&lt;=-0.5,"cold","neutral"))</f>
        <v>warm</v>
      </c>
      <c r="I166" s="2">
        <f>IF(H166=H165,I165+1,1)</f>
        <v>4</v>
      </c>
      <c r="J166" s="2">
        <f>IF(H166=H167,J167+1,1)</f>
        <v>6</v>
      </c>
      <c r="K166" s="2">
        <f>I166+J166-1</f>
        <v>9</v>
      </c>
      <c r="L166" s="6" t="str">
        <f>IF(H166="neutral","—",IF(K166&gt;=5,IF(H166="warm","El Niño","La Niña"),IF(ROW()+J166-1=920,IF(H166="warm","El Niño (ongoing)","La Niña (ongoing)"),"—")))</f>
        <v>El Niño</v>
      </c>
      <c r="M166" s="2" t="inlineStr">
        <is>
          <t xml:space="preserve">1963/64</t>
        </is>
      </c>
    </row>
    <row r="167">
      <c r="A167" s="2" t="inlineStr">
        <is>
          <t xml:space="preserve">1963-10</t>
        </is>
      </c>
      <c r="B167" s="2">
        <v>1963</v>
      </c>
      <c r="C167" s="2">
        <v>10</v>
      </c>
      <c r="D167" s="2" t="inlineStr">
        <is>
          <t xml:space="preserve">SON</t>
        </is>
      </c>
      <c r="E167" t="inlineStr">
        <is>
          <t xml:space="preserve">Sep 1963 – Nov 1963</t>
        </is>
      </c>
      <c r="F167" s="3">
        <v>1.13</v>
      </c>
      <c r="G167" s="4">
        <f>ROUND(F167,1)</f>
        <v>1.1</v>
      </c>
      <c r="H167" s="2" t="str">
        <f>IF(G167&gt;=0.5,"warm",IF(G167&lt;=-0.5,"cold","neutral"))</f>
        <v>warm</v>
      </c>
      <c r="I167" s="2">
        <f>IF(H167=H166,I166+1,1)</f>
        <v>5</v>
      </c>
      <c r="J167" s="2">
        <f>IF(H167=H168,J168+1,1)</f>
        <v>5</v>
      </c>
      <c r="K167" s="2">
        <f>I167+J167-1</f>
        <v>9</v>
      </c>
      <c r="L167" s="6" t="str">
        <f>IF(H167="neutral","—",IF(K167&gt;=5,IF(H167="warm","El Niño","La Niña"),IF(ROW()+J167-1=920,IF(H167="warm","El Niño (ongoing)","La Niña (ongoing)"),"—")))</f>
        <v>El Niño</v>
      </c>
      <c r="M167" s="2" t="inlineStr">
        <is>
          <t xml:space="preserve">1963/64</t>
        </is>
      </c>
    </row>
    <row r="168">
      <c r="A168" s="2" t="inlineStr">
        <is>
          <t xml:space="preserve">1963-11</t>
        </is>
      </c>
      <c r="B168" s="2">
        <v>1963</v>
      </c>
      <c r="C168" s="2">
        <v>11</v>
      </c>
      <c r="D168" s="2" t="inlineStr">
        <is>
          <t xml:space="preserve">OND</t>
        </is>
      </c>
      <c r="E168" t="inlineStr">
        <is>
          <t xml:space="preserve">Oct 1963 – Dec 1963</t>
        </is>
      </c>
      <c r="F168" s="3">
        <v>1.19</v>
      </c>
      <c r="G168" s="4">
        <f>ROUND(F168,1)</f>
        <v>1.2</v>
      </c>
      <c r="H168" s="2" t="str">
        <f>IF(G168&gt;=0.5,"warm",IF(G168&lt;=-0.5,"cold","neutral"))</f>
        <v>warm</v>
      </c>
      <c r="I168" s="2">
        <f>IF(H168=H167,I167+1,1)</f>
        <v>6</v>
      </c>
      <c r="J168" s="2">
        <f>IF(H168=H169,J169+1,1)</f>
        <v>4</v>
      </c>
      <c r="K168" s="2">
        <f>I168+J168-1</f>
        <v>9</v>
      </c>
      <c r="L168" s="6" t="str">
        <f>IF(H168="neutral","—",IF(K168&gt;=5,IF(H168="warm","El Niño","La Niña"),IF(ROW()+J168-1=920,IF(H168="warm","El Niño (ongoing)","La Niña (ongoing)"),"—")))</f>
        <v>El Niño</v>
      </c>
      <c r="M168" s="2" t="inlineStr">
        <is>
          <t xml:space="preserve">1963/64</t>
        </is>
      </c>
    </row>
    <row r="169">
      <c r="A169" s="2" t="inlineStr">
        <is>
          <t xml:space="preserve">1963-12</t>
        </is>
      </c>
      <c r="B169" s="2">
        <v>1963</v>
      </c>
      <c r="C169" s="2">
        <v>12</v>
      </c>
      <c r="D169" s="2" t="inlineStr">
        <is>
          <t xml:space="preserve">NDJ</t>
        </is>
      </c>
      <c r="E169" t="inlineStr">
        <is>
          <t xml:space="preserve">Nov 1963 – Jan 1964</t>
        </is>
      </c>
      <c r="F169" s="3">
        <v>1.13</v>
      </c>
      <c r="G169" s="4">
        <f>ROUND(F169,1)</f>
        <v>1.1</v>
      </c>
      <c r="H169" s="2" t="str">
        <f>IF(G169&gt;=0.5,"warm",IF(G169&lt;=-0.5,"cold","neutral"))</f>
        <v>warm</v>
      </c>
      <c r="I169" s="2">
        <f>IF(H169=H168,I168+1,1)</f>
        <v>7</v>
      </c>
      <c r="J169" s="2">
        <f>IF(H169=H170,J170+1,1)</f>
        <v>3</v>
      </c>
      <c r="K169" s="2">
        <f>I169+J169-1</f>
        <v>9</v>
      </c>
      <c r="L169" s="6" t="str">
        <f>IF(H169="neutral","—",IF(K169&gt;=5,IF(H169="warm","El Niño","La Niña"),IF(ROW()+J169-1=920,IF(H169="warm","El Niño (ongoing)","La Niña (ongoing)"),"—")))</f>
        <v>El Niño</v>
      </c>
      <c r="M169" s="2" t="inlineStr">
        <is>
          <t xml:space="preserve">1963/64</t>
        </is>
      </c>
    </row>
    <row r="170">
      <c r="A170" s="2" t="inlineStr">
        <is>
          <t xml:space="preserve">1964-01</t>
        </is>
      </c>
      <c r="B170" s="2">
        <v>1964</v>
      </c>
      <c r="C170" s="2">
        <v>1</v>
      </c>
      <c r="D170" s="2" t="inlineStr">
        <is>
          <t xml:space="preserve">DJF</t>
        </is>
      </c>
      <c r="E170" t="inlineStr">
        <is>
          <t xml:space="preserve">Dec 1963 – Feb 1964</t>
        </is>
      </c>
      <c r="F170" s="3">
        <v>0.95</v>
      </c>
      <c r="G170" s="4">
        <f>ROUND(F170,1)</f>
        <v>1.0</v>
      </c>
      <c r="H170" s="2" t="str">
        <f>IF(G170&gt;=0.5,"warm",IF(G170&lt;=-0.5,"cold","neutral"))</f>
        <v>warm</v>
      </c>
      <c r="I170" s="2">
        <f>IF(H170=H169,I169+1,1)</f>
        <v>8</v>
      </c>
      <c r="J170" s="2">
        <f>IF(H170=H171,J171+1,1)</f>
        <v>2</v>
      </c>
      <c r="K170" s="2">
        <f>I170+J170-1</f>
        <v>9</v>
      </c>
      <c r="L170" s="6" t="str">
        <f>IF(H170="neutral","—",IF(K170&gt;=5,IF(H170="warm","El Niño","La Niña"),IF(ROW()+J170-1=920,IF(H170="warm","El Niño (ongoing)","La Niña (ongoing)"),"—")))</f>
        <v>El Niño</v>
      </c>
      <c r="M170" s="2" t="inlineStr">
        <is>
          <t xml:space="preserve">1963/64</t>
        </is>
      </c>
    </row>
    <row r="171">
      <c r="A171" s="2" t="inlineStr">
        <is>
          <t xml:space="preserve">1964-02</t>
        </is>
      </c>
      <c r="B171" s="2">
        <v>1964</v>
      </c>
      <c r="C171" s="2">
        <v>2</v>
      </c>
      <c r="D171" s="2" t="inlineStr">
        <is>
          <t xml:space="preserve">JFM</t>
        </is>
      </c>
      <c r="E171" t="inlineStr">
        <is>
          <t xml:space="preserve">Jan 1964 – Mar 1964</t>
        </is>
      </c>
      <c r="F171" s="3">
        <v>0.52</v>
      </c>
      <c r="G171" s="4">
        <f>ROUND(F171,1)</f>
        <v>0.5</v>
      </c>
      <c r="H171" s="2" t="str">
        <f>IF(G171&gt;=0.5,"warm",IF(G171&lt;=-0.5,"cold","neutral"))</f>
        <v>warm</v>
      </c>
      <c r="I171" s="2">
        <f>IF(H171=H170,I170+1,1)</f>
        <v>9</v>
      </c>
      <c r="J171" s="2">
        <f>IF(H171=H172,J172+1,1)</f>
        <v>1</v>
      </c>
      <c r="K171" s="2">
        <f>I171+J171-1</f>
        <v>9</v>
      </c>
      <c r="L171" s="6" t="str">
        <f>IF(H171="neutral","—",IF(K171&gt;=5,IF(H171="warm","El Niño","La Niña"),IF(ROW()+J171-1=920,IF(H171="warm","El Niño (ongoing)","La Niña (ongoing)"),"—")))</f>
        <v>El Niño</v>
      </c>
      <c r="M171" s="2" t="inlineStr">
        <is>
          <t xml:space="preserve">1963/64</t>
        </is>
      </c>
    </row>
    <row r="172">
      <c r="A172" s="2" t="inlineStr">
        <is>
          <t xml:space="preserve">1964-03</t>
        </is>
      </c>
      <c r="B172" s="2">
        <v>1964</v>
      </c>
      <c r="C172" s="2">
        <v>3</v>
      </c>
      <c r="D172" s="2" t="inlineStr">
        <is>
          <t xml:space="preserve">FMA</t>
        </is>
      </c>
      <c r="E172" t="inlineStr">
        <is>
          <t xml:space="preserve">Feb 1964 – Apr 1964</t>
        </is>
      </c>
      <c r="F172" s="3">
        <v>0.06</v>
      </c>
      <c r="G172" s="4">
        <f>ROUND(F172,1)</f>
        <v>0.1</v>
      </c>
      <c r="H172" s="2" t="str">
        <f>IF(G172&gt;=0.5,"warm",IF(G172&lt;=-0.5,"cold","neutral"))</f>
        <v>neutral</v>
      </c>
      <c r="I172" s="2">
        <f>IF(H172=H171,I171+1,1)</f>
        <v>1</v>
      </c>
      <c r="J172" s="2">
        <f>IF(H172=H173,J173+1,1)</f>
        <v>2</v>
      </c>
      <c r="K172" s="2">
        <f>I172+J172-1</f>
        <v>2</v>
      </c>
      <c r="L172" s="2" t="str">
        <f>IF(H172="neutral","—",IF(K172&gt;=5,IF(H172="warm","El Niño","La Niña"),IF(ROW()+J172-1=920,IF(H172="warm","El Niño (ongoing)","La Niña (ongoing)"),"—")))</f>
        <v>—</v>
      </c>
      <c r="M172" s="2" t="inlineStr">
        <is>
          <t xml:space="preserve">1963/64</t>
        </is>
      </c>
    </row>
    <row r="173">
      <c r="A173" s="2" t="inlineStr">
        <is>
          <t xml:space="preserve">1964-04</t>
        </is>
      </c>
      <c r="B173" s="2">
        <v>1964</v>
      </c>
      <c r="C173" s="2">
        <v>4</v>
      </c>
      <c r="D173" s="2" t="inlineStr">
        <is>
          <t xml:space="preserve">MAM</t>
        </is>
      </c>
      <c r="E173" t="inlineStr">
        <is>
          <t xml:space="preserve">Mar 1964 – May 1964</t>
        </is>
      </c>
      <c r="F173" s="3">
        <v>-0.35</v>
      </c>
      <c r="G173" s="4">
        <f>ROUND(F173,1)</f>
        <v>-0.4</v>
      </c>
      <c r="H173" s="2" t="str">
        <f>IF(G173&gt;=0.5,"warm",IF(G173&lt;=-0.5,"cold","neutral"))</f>
        <v>neutral</v>
      </c>
      <c r="I173" s="2">
        <f>IF(H173=H172,I172+1,1)</f>
        <v>2</v>
      </c>
      <c r="J173" s="2">
        <f>IF(H173=H174,J174+1,1)</f>
        <v>1</v>
      </c>
      <c r="K173" s="2">
        <f>I173+J173-1</f>
        <v>2</v>
      </c>
      <c r="L173" s="2" t="str">
        <f>IF(H173="neutral","—",IF(K173&gt;=5,IF(H173="warm","El Niño","La Niña"),IF(ROW()+J173-1=920,IF(H173="warm","El Niño (ongoing)","La Niña (ongoing)"),"—")))</f>
        <v>—</v>
      </c>
      <c r="M173" s="2" t="inlineStr">
        <is>
          <t xml:space="preserve">1963/64</t>
        </is>
      </c>
    </row>
    <row r="174">
      <c r="A174" s="2" t="inlineStr">
        <is>
          <t xml:space="preserve">1964-05</t>
        </is>
      </c>
      <c r="B174" s="2">
        <v>1964</v>
      </c>
      <c r="C174" s="2">
        <v>5</v>
      </c>
      <c r="D174" s="2" t="inlineStr">
        <is>
          <t xml:space="preserve">AMJ</t>
        </is>
      </c>
      <c r="E174" t="inlineStr">
        <is>
          <t xml:space="preserve">Apr 1964 – Jun 1964</t>
        </is>
      </c>
      <c r="F174" s="3">
        <v>-0.6</v>
      </c>
      <c r="G174" s="4">
        <f>ROUND(F174,1)</f>
        <v>-0.6</v>
      </c>
      <c r="H174" s="2" t="str">
        <f>IF(G174&gt;=0.5,"warm",IF(G174&lt;=-0.5,"cold","neutral"))</f>
        <v>cold</v>
      </c>
      <c r="I174" s="2">
        <f>IF(H174=H173,I173+1,1)</f>
        <v>1</v>
      </c>
      <c r="J174" s="2">
        <f>IF(H174=H175,J175+1,1)</f>
        <v>9</v>
      </c>
      <c r="K174" s="2">
        <f>I174+J174-1</f>
        <v>9</v>
      </c>
      <c r="L174" s="5" t="str">
        <f>IF(H174="neutral","—",IF(K174&gt;=5,IF(H174="warm","El Niño","La Niña"),IF(ROW()+J174-1=920,IF(H174="warm","El Niño (ongoing)","La Niña (ongoing)"),"—")))</f>
        <v>La Niña</v>
      </c>
      <c r="M174" s="2" t="inlineStr">
        <is>
          <t xml:space="preserve">1963/64</t>
        </is>
      </c>
    </row>
    <row r="175">
      <c r="A175" s="2" t="inlineStr">
        <is>
          <t xml:space="preserve">1964-06</t>
        </is>
      </c>
      <c r="B175" s="2">
        <v>1964</v>
      </c>
      <c r="C175" s="2">
        <v>6</v>
      </c>
      <c r="D175" s="2" t="inlineStr">
        <is>
          <t xml:space="preserve">MJJ</t>
        </is>
      </c>
      <c r="E175" t="inlineStr">
        <is>
          <t xml:space="preserve">May 1964 – Jul 1964</t>
        </is>
      </c>
      <c r="F175" s="3">
        <v>-0.66</v>
      </c>
      <c r="G175" s="4">
        <f>ROUND(F175,1)</f>
        <v>-0.7</v>
      </c>
      <c r="H175" s="2" t="str">
        <f>IF(G175&gt;=0.5,"warm",IF(G175&lt;=-0.5,"cold","neutral"))</f>
        <v>cold</v>
      </c>
      <c r="I175" s="2">
        <f>IF(H175=H174,I174+1,1)</f>
        <v>2</v>
      </c>
      <c r="J175" s="2">
        <f>IF(H175=H176,J176+1,1)</f>
        <v>8</v>
      </c>
      <c r="K175" s="2">
        <f>I175+J175-1</f>
        <v>9</v>
      </c>
      <c r="L175" s="5" t="str">
        <f>IF(H175="neutral","—",IF(K175&gt;=5,IF(H175="warm","El Niño","La Niña"),IF(ROW()+J175-1=920,IF(H175="warm","El Niño (ongoing)","La Niña (ongoing)"),"—")))</f>
        <v>La Niña</v>
      </c>
      <c r="M175" s="2" t="inlineStr">
        <is>
          <t xml:space="preserve">1963/64</t>
        </is>
      </c>
    </row>
    <row r="176">
      <c r="A176" s="2" t="inlineStr">
        <is>
          <t xml:space="preserve">1964-07</t>
        </is>
      </c>
      <c r="B176" s="2">
        <v>1964</v>
      </c>
      <c r="C176" s="2">
        <v>7</v>
      </c>
      <c r="D176" s="2" t="inlineStr">
        <is>
          <t xml:space="preserve">JJA</t>
        </is>
      </c>
      <c r="E176" t="inlineStr">
        <is>
          <t xml:space="preserve">Jun 1964 – Aug 1964</t>
        </is>
      </c>
      <c r="F176" s="3">
        <v>-0.67</v>
      </c>
      <c r="G176" s="4">
        <f>ROUND(F176,1)</f>
        <v>-0.7</v>
      </c>
      <c r="H176" s="2" t="str">
        <f>IF(G176&gt;=0.5,"warm",IF(G176&lt;=-0.5,"cold","neutral"))</f>
        <v>cold</v>
      </c>
      <c r="I176" s="2">
        <f>IF(H176=H175,I175+1,1)</f>
        <v>3</v>
      </c>
      <c r="J176" s="2">
        <f>IF(H176=H177,J177+1,1)</f>
        <v>7</v>
      </c>
      <c r="K176" s="2">
        <f>I176+J176-1</f>
        <v>9</v>
      </c>
      <c r="L176" s="5" t="str">
        <f>IF(H176="neutral","—",IF(K176&gt;=5,IF(H176="warm","El Niño","La Niña"),IF(ROW()+J176-1=920,IF(H176="warm","El Niño (ongoing)","La Niña (ongoing)"),"—")))</f>
        <v>La Niña</v>
      </c>
      <c r="M176" s="2" t="inlineStr">
        <is>
          <t xml:space="preserve">1964/65</t>
        </is>
      </c>
    </row>
    <row r="177">
      <c r="A177" s="2" t="inlineStr">
        <is>
          <t xml:space="preserve">1964-08</t>
        </is>
      </c>
      <c r="B177" s="2">
        <v>1964</v>
      </c>
      <c r="C177" s="2">
        <v>8</v>
      </c>
      <c r="D177" s="2" t="inlineStr">
        <is>
          <t xml:space="preserve">JAS</t>
        </is>
      </c>
      <c r="E177" t="inlineStr">
        <is>
          <t xml:space="preserve">Jul 1964 – Sep 1964</t>
        </is>
      </c>
      <c r="F177" s="3">
        <v>-0.7</v>
      </c>
      <c r="G177" s="4">
        <f>ROUND(F177,1)</f>
        <v>-0.7</v>
      </c>
      <c r="H177" s="2" t="str">
        <f>IF(G177&gt;=0.5,"warm",IF(G177&lt;=-0.5,"cold","neutral"))</f>
        <v>cold</v>
      </c>
      <c r="I177" s="2">
        <f>IF(H177=H176,I176+1,1)</f>
        <v>4</v>
      </c>
      <c r="J177" s="2">
        <f>IF(H177=H178,J178+1,1)</f>
        <v>6</v>
      </c>
      <c r="K177" s="2">
        <f>I177+J177-1</f>
        <v>9</v>
      </c>
      <c r="L177" s="5" t="str">
        <f>IF(H177="neutral","—",IF(K177&gt;=5,IF(H177="warm","El Niño","La Niña"),IF(ROW()+J177-1=920,IF(H177="warm","El Niño (ongoing)","La Niña (ongoing)"),"—")))</f>
        <v>La Niña</v>
      </c>
      <c r="M177" s="2" t="inlineStr">
        <is>
          <t xml:space="preserve">1964/65</t>
        </is>
      </c>
    </row>
    <row r="178">
      <c r="A178" s="2" t="inlineStr">
        <is>
          <t xml:space="preserve">1964-09</t>
        </is>
      </c>
      <c r="B178" s="2">
        <v>1964</v>
      </c>
      <c r="C178" s="2">
        <v>9</v>
      </c>
      <c r="D178" s="2" t="inlineStr">
        <is>
          <t xml:space="preserve">ASO</t>
        </is>
      </c>
      <c r="E178" t="inlineStr">
        <is>
          <t xml:space="preserve">Aug 1964 – Oct 1964</t>
        </is>
      </c>
      <c r="F178" s="3">
        <v>-0.72</v>
      </c>
      <c r="G178" s="4">
        <f>ROUND(F178,1)</f>
        <v>-0.7</v>
      </c>
      <c r="H178" s="2" t="str">
        <f>IF(G178&gt;=0.5,"warm",IF(G178&lt;=-0.5,"cold","neutral"))</f>
        <v>cold</v>
      </c>
      <c r="I178" s="2">
        <f>IF(H178=H177,I177+1,1)</f>
        <v>5</v>
      </c>
      <c r="J178" s="2">
        <f>IF(H178=H179,J179+1,1)</f>
        <v>5</v>
      </c>
      <c r="K178" s="2">
        <f>I178+J178-1</f>
        <v>9</v>
      </c>
      <c r="L178" s="5" t="str">
        <f>IF(H178="neutral","—",IF(K178&gt;=5,IF(H178="warm","El Niño","La Niña"),IF(ROW()+J178-1=920,IF(H178="warm","El Niño (ongoing)","La Niña (ongoing)"),"—")))</f>
        <v>La Niña</v>
      </c>
      <c r="M178" s="2" t="inlineStr">
        <is>
          <t xml:space="preserve">1964/65</t>
        </is>
      </c>
    </row>
    <row r="179">
      <c r="A179" s="2" t="inlineStr">
        <is>
          <t xml:space="preserve">1964-10</t>
        </is>
      </c>
      <c r="B179" s="2">
        <v>1964</v>
      </c>
      <c r="C179" s="2">
        <v>10</v>
      </c>
      <c r="D179" s="2" t="inlineStr">
        <is>
          <t xml:space="preserve">SON</t>
        </is>
      </c>
      <c r="E179" t="inlineStr">
        <is>
          <t xml:space="preserve">Sep 1964 – Nov 1964</t>
        </is>
      </c>
      <c r="F179" s="3">
        <v>-0.8</v>
      </c>
      <c r="G179" s="4">
        <f>ROUND(F179,1)</f>
        <v>-0.8</v>
      </c>
      <c r="H179" s="2" t="str">
        <f>IF(G179&gt;=0.5,"warm",IF(G179&lt;=-0.5,"cold","neutral"))</f>
        <v>cold</v>
      </c>
      <c r="I179" s="2">
        <f>IF(H179=H178,I178+1,1)</f>
        <v>6</v>
      </c>
      <c r="J179" s="2">
        <f>IF(H179=H180,J180+1,1)</f>
        <v>4</v>
      </c>
      <c r="K179" s="2">
        <f>I179+J179-1</f>
        <v>9</v>
      </c>
      <c r="L179" s="5" t="str">
        <f>IF(H179="neutral","—",IF(K179&gt;=5,IF(H179="warm","El Niño","La Niña"),IF(ROW()+J179-1=920,IF(H179="warm","El Niño (ongoing)","La Niña (ongoing)"),"—")))</f>
        <v>La Niña</v>
      </c>
      <c r="M179" s="2" t="inlineStr">
        <is>
          <t xml:space="preserve">1964/65</t>
        </is>
      </c>
    </row>
    <row r="180">
      <c r="A180" s="2" t="inlineStr">
        <is>
          <t xml:space="preserve">1964-11</t>
        </is>
      </c>
      <c r="B180" s="2">
        <v>1964</v>
      </c>
      <c r="C180" s="2">
        <v>11</v>
      </c>
      <c r="D180" s="2" t="inlineStr">
        <is>
          <t xml:space="preserve">OND</t>
        </is>
      </c>
      <c r="E180" t="inlineStr">
        <is>
          <t xml:space="preserve">Oct 1964 – Dec 1964</t>
        </is>
      </c>
      <c r="F180" s="3">
        <v>-0.79</v>
      </c>
      <c r="G180" s="4">
        <f>ROUND(F180,1)</f>
        <v>-0.8</v>
      </c>
      <c r="H180" s="2" t="str">
        <f>IF(G180&gt;=0.5,"warm",IF(G180&lt;=-0.5,"cold","neutral"))</f>
        <v>cold</v>
      </c>
      <c r="I180" s="2">
        <f>IF(H180=H179,I179+1,1)</f>
        <v>7</v>
      </c>
      <c r="J180" s="2">
        <f>IF(H180=H181,J181+1,1)</f>
        <v>3</v>
      </c>
      <c r="K180" s="2">
        <f>I180+J180-1</f>
        <v>9</v>
      </c>
      <c r="L180" s="5" t="str">
        <f>IF(H180="neutral","—",IF(K180&gt;=5,IF(H180="warm","El Niño","La Niña"),IF(ROW()+J180-1=920,IF(H180="warm","El Niño (ongoing)","La Niña (ongoing)"),"—")))</f>
        <v>La Niña</v>
      </c>
      <c r="M180" s="2" t="inlineStr">
        <is>
          <t xml:space="preserve">1964/65</t>
        </is>
      </c>
    </row>
    <row r="181">
      <c r="A181" s="2" t="inlineStr">
        <is>
          <t xml:space="preserve">1964-12</t>
        </is>
      </c>
      <c r="B181" s="2">
        <v>1964</v>
      </c>
      <c r="C181" s="2">
        <v>12</v>
      </c>
      <c r="D181" s="2" t="inlineStr">
        <is>
          <t xml:space="preserve">NDJ</t>
        </is>
      </c>
      <c r="E181" t="inlineStr">
        <is>
          <t xml:space="preserve">Nov 1964 – Jan 1965</t>
        </is>
      </c>
      <c r="F181" s="3">
        <v>-0.75</v>
      </c>
      <c r="G181" s="4">
        <f>ROUND(F181,1)</f>
        <v>-0.8</v>
      </c>
      <c r="H181" s="2" t="str">
        <f>IF(G181&gt;=0.5,"warm",IF(G181&lt;=-0.5,"cold","neutral"))</f>
        <v>cold</v>
      </c>
      <c r="I181" s="2">
        <f>IF(H181=H180,I180+1,1)</f>
        <v>8</v>
      </c>
      <c r="J181" s="2">
        <f>IF(H181=H182,J182+1,1)</f>
        <v>2</v>
      </c>
      <c r="K181" s="2">
        <f>I181+J181-1</f>
        <v>9</v>
      </c>
      <c r="L181" s="5" t="str">
        <f>IF(H181="neutral","—",IF(K181&gt;=5,IF(H181="warm","El Niño","La Niña"),IF(ROW()+J181-1=920,IF(H181="warm","El Niño (ongoing)","La Niña (ongoing)"),"—")))</f>
        <v>La Niña</v>
      </c>
      <c r="M181" s="2" t="inlineStr">
        <is>
          <t xml:space="preserve">1964/65</t>
        </is>
      </c>
    </row>
    <row r="182">
      <c r="A182" s="2" t="inlineStr">
        <is>
          <t xml:space="preserve">1965-01</t>
        </is>
      </c>
      <c r="B182" s="2">
        <v>1965</v>
      </c>
      <c r="C182" s="2">
        <v>1</v>
      </c>
      <c r="D182" s="2" t="inlineStr">
        <is>
          <t xml:space="preserve">DJF</t>
        </is>
      </c>
      <c r="E182" t="inlineStr">
        <is>
          <t xml:space="preserve">Dec 1964 – Feb 1965</t>
        </is>
      </c>
      <c r="F182" s="3">
        <v>-0.51</v>
      </c>
      <c r="G182" s="4">
        <f>ROUND(F182,1)</f>
        <v>-0.5</v>
      </c>
      <c r="H182" s="2" t="str">
        <f>IF(G182&gt;=0.5,"warm",IF(G182&lt;=-0.5,"cold","neutral"))</f>
        <v>cold</v>
      </c>
      <c r="I182" s="2">
        <f>IF(H182=H181,I181+1,1)</f>
        <v>9</v>
      </c>
      <c r="J182" s="2">
        <f>IF(H182=H183,J183+1,1)</f>
        <v>1</v>
      </c>
      <c r="K182" s="2">
        <f>I182+J182-1</f>
        <v>9</v>
      </c>
      <c r="L182" s="5" t="str">
        <f>IF(H182="neutral","—",IF(K182&gt;=5,IF(H182="warm","El Niño","La Niña"),IF(ROW()+J182-1=920,IF(H182="warm","El Niño (ongoing)","La Niña (ongoing)"),"—")))</f>
        <v>La Niña</v>
      </c>
      <c r="M182" s="2" t="inlineStr">
        <is>
          <t xml:space="preserve">1964/65</t>
        </is>
      </c>
    </row>
    <row r="183">
      <c r="A183" s="2" t="inlineStr">
        <is>
          <t xml:space="preserve">1965-02</t>
        </is>
      </c>
      <c r="B183" s="2">
        <v>1965</v>
      </c>
      <c r="C183" s="2">
        <v>2</v>
      </c>
      <c r="D183" s="2" t="inlineStr">
        <is>
          <t xml:space="preserve">JFM</t>
        </is>
      </c>
      <c r="E183" t="inlineStr">
        <is>
          <t xml:space="preserve">Jan 1965 – Mar 1965</t>
        </is>
      </c>
      <c r="F183" s="3">
        <v>-0.25</v>
      </c>
      <c r="G183" s="4">
        <f>ROUND(F183,1)</f>
        <v>-0.3</v>
      </c>
      <c r="H183" s="2" t="str">
        <f>IF(G183&gt;=0.5,"warm",IF(G183&lt;=-0.5,"cold","neutral"))</f>
        <v>neutral</v>
      </c>
      <c r="I183" s="2">
        <f>IF(H183=H182,I182+1,1)</f>
        <v>1</v>
      </c>
      <c r="J183" s="2">
        <f>IF(H183=H184,J184+1,1)</f>
        <v>3</v>
      </c>
      <c r="K183" s="2">
        <f>I183+J183-1</f>
        <v>3</v>
      </c>
      <c r="L183" s="2" t="str">
        <f>IF(H183="neutral","—",IF(K183&gt;=5,IF(H183="warm","El Niño","La Niña"),IF(ROW()+J183-1=920,IF(H183="warm","El Niño (ongoing)","La Niña (ongoing)"),"—")))</f>
        <v>—</v>
      </c>
      <c r="M183" s="2" t="inlineStr">
        <is>
          <t xml:space="preserve">1964/65</t>
        </is>
      </c>
    </row>
    <row r="184">
      <c r="A184" s="2" t="inlineStr">
        <is>
          <t xml:space="preserve">1965-03</t>
        </is>
      </c>
      <c r="B184" s="2">
        <v>1965</v>
      </c>
      <c r="C184" s="2">
        <v>3</v>
      </c>
      <c r="D184" s="2" t="inlineStr">
        <is>
          <t xml:space="preserve">FMA</t>
        </is>
      </c>
      <c r="E184" t="inlineStr">
        <is>
          <t xml:space="preserve">Feb 1965 – Apr 1965</t>
        </is>
      </c>
      <c r="F184" s="3">
        <v>-0.04</v>
      </c>
      <c r="G184" s="4">
        <f>ROUND(F184,1)</f>
        <v>-0.0</v>
      </c>
      <c r="H184" s="2" t="str">
        <f>IF(G184&gt;=0.5,"warm",IF(G184&lt;=-0.5,"cold","neutral"))</f>
        <v>neutral</v>
      </c>
      <c r="I184" s="2">
        <f>IF(H184=H183,I183+1,1)</f>
        <v>2</v>
      </c>
      <c r="J184" s="2">
        <f>IF(H184=H185,J185+1,1)</f>
        <v>2</v>
      </c>
      <c r="K184" s="2">
        <f>I184+J184-1</f>
        <v>3</v>
      </c>
      <c r="L184" s="2" t="str">
        <f>IF(H184="neutral","—",IF(K184&gt;=5,IF(H184="warm","El Niño","La Niña"),IF(ROW()+J184-1=920,IF(H184="warm","El Niño (ongoing)","La Niña (ongoing)"),"—")))</f>
        <v>—</v>
      </c>
      <c r="M184" s="2" t="inlineStr">
        <is>
          <t xml:space="preserve">1964/65</t>
        </is>
      </c>
    </row>
    <row r="185">
      <c r="A185" s="2" t="inlineStr">
        <is>
          <t xml:space="preserve">1965-04</t>
        </is>
      </c>
      <c r="B185" s="2">
        <v>1965</v>
      </c>
      <c r="C185" s="2">
        <v>4</v>
      </c>
      <c r="D185" s="2" t="inlineStr">
        <is>
          <t xml:space="preserve">MAM</t>
        </is>
      </c>
      <c r="E185" t="inlineStr">
        <is>
          <t xml:space="preserve">Mar 1965 – May 1965</t>
        </is>
      </c>
      <c r="F185" s="3">
        <v>0.16</v>
      </c>
      <c r="G185" s="4">
        <f>ROUND(F185,1)</f>
        <v>0.2</v>
      </c>
      <c r="H185" s="2" t="str">
        <f>IF(G185&gt;=0.5,"warm",IF(G185&lt;=-0.5,"cold","neutral"))</f>
        <v>neutral</v>
      </c>
      <c r="I185" s="2">
        <f>IF(H185=H184,I184+1,1)</f>
        <v>3</v>
      </c>
      <c r="J185" s="2">
        <f>IF(H185=H186,J186+1,1)</f>
        <v>1</v>
      </c>
      <c r="K185" s="2">
        <f>I185+J185-1</f>
        <v>3</v>
      </c>
      <c r="L185" s="2" t="str">
        <f>IF(H185="neutral","—",IF(K185&gt;=5,IF(H185="warm","El Niño","La Niña"),IF(ROW()+J185-1=920,IF(H185="warm","El Niño (ongoing)","La Niña (ongoing)"),"—")))</f>
        <v>—</v>
      </c>
      <c r="M185" s="2" t="inlineStr">
        <is>
          <t xml:space="preserve">1964/65</t>
        </is>
      </c>
    </row>
    <row r="186">
      <c r="A186" s="2" t="inlineStr">
        <is>
          <t xml:space="preserve">1965-05</t>
        </is>
      </c>
      <c r="B186" s="2">
        <v>1965</v>
      </c>
      <c r="C186" s="2">
        <v>5</v>
      </c>
      <c r="D186" s="2" t="inlineStr">
        <is>
          <t xml:space="preserve">AMJ</t>
        </is>
      </c>
      <c r="E186" t="inlineStr">
        <is>
          <t xml:space="preserve">Apr 1965 – Jun 1965</t>
        </is>
      </c>
      <c r="F186" s="3">
        <v>0.47</v>
      </c>
      <c r="G186" s="4">
        <f>ROUND(F186,1)</f>
        <v>0.5</v>
      </c>
      <c r="H186" s="2" t="str">
        <f>IF(G186&gt;=0.5,"warm",IF(G186&lt;=-0.5,"cold","neutral"))</f>
        <v>warm</v>
      </c>
      <c r="I186" s="2">
        <f>IF(H186=H185,I185+1,1)</f>
        <v>1</v>
      </c>
      <c r="J186" s="2">
        <f>IF(H186=H187,J187+1,1)</f>
        <v>11</v>
      </c>
      <c r="K186" s="2">
        <f>I186+J186-1</f>
        <v>11</v>
      </c>
      <c r="L186" s="6" t="str">
        <f>IF(H186="neutral","—",IF(K186&gt;=5,IF(H186="warm","El Niño","La Niña"),IF(ROW()+J186-1=920,IF(H186="warm","El Niño (ongoing)","La Niña (ongoing)"),"—")))</f>
        <v>El Niño</v>
      </c>
      <c r="M186" s="2" t="inlineStr">
        <is>
          <t xml:space="preserve">1964/65</t>
        </is>
      </c>
    </row>
    <row r="187">
      <c r="A187" s="2" t="inlineStr">
        <is>
          <t xml:space="preserve">1965-06</t>
        </is>
      </c>
      <c r="B187" s="2">
        <v>1965</v>
      </c>
      <c r="C187" s="2">
        <v>6</v>
      </c>
      <c r="D187" s="2" t="inlineStr">
        <is>
          <t xml:space="preserve">MJJ</t>
        </is>
      </c>
      <c r="E187" t="inlineStr">
        <is>
          <t xml:space="preserve">May 1965 – Jul 1965</t>
        </is>
      </c>
      <c r="F187" s="3">
        <v>0.79</v>
      </c>
      <c r="G187" s="4">
        <f>ROUND(F187,1)</f>
        <v>0.8</v>
      </c>
      <c r="H187" s="2" t="str">
        <f>IF(G187&gt;=0.5,"warm",IF(G187&lt;=-0.5,"cold","neutral"))</f>
        <v>warm</v>
      </c>
      <c r="I187" s="2">
        <f>IF(H187=H186,I186+1,1)</f>
        <v>2</v>
      </c>
      <c r="J187" s="2">
        <f>IF(H187=H188,J188+1,1)</f>
        <v>10</v>
      </c>
      <c r="K187" s="2">
        <f>I187+J187-1</f>
        <v>11</v>
      </c>
      <c r="L187" s="6" t="str">
        <f>IF(H187="neutral","—",IF(K187&gt;=5,IF(H187="warm","El Niño","La Niña"),IF(ROW()+J187-1=920,IF(H187="warm","El Niño (ongoing)","La Niña (ongoing)"),"—")))</f>
        <v>El Niño</v>
      </c>
      <c r="M187" s="2" t="inlineStr">
        <is>
          <t xml:space="preserve">1964/65</t>
        </is>
      </c>
    </row>
    <row r="188">
      <c r="A188" s="2" t="inlineStr">
        <is>
          <t xml:space="preserve">1965-07</t>
        </is>
      </c>
      <c r="B188" s="2">
        <v>1965</v>
      </c>
      <c r="C188" s="2">
        <v>7</v>
      </c>
      <c r="D188" s="2" t="inlineStr">
        <is>
          <t xml:space="preserve">JJA</t>
        </is>
      </c>
      <c r="E188" t="inlineStr">
        <is>
          <t xml:space="preserve">Jun 1965 – Aug 1965</t>
        </is>
      </c>
      <c r="F188" s="3">
        <v>1.1</v>
      </c>
      <c r="G188" s="4">
        <f>ROUND(F188,1)</f>
        <v>1.1</v>
      </c>
      <c r="H188" s="2" t="str">
        <f>IF(G188&gt;=0.5,"warm",IF(G188&lt;=-0.5,"cold","neutral"))</f>
        <v>warm</v>
      </c>
      <c r="I188" s="2">
        <f>IF(H188=H187,I187+1,1)</f>
        <v>3</v>
      </c>
      <c r="J188" s="2">
        <f>IF(H188=H189,J189+1,1)</f>
        <v>9</v>
      </c>
      <c r="K188" s="2">
        <f>I188+J188-1</f>
        <v>11</v>
      </c>
      <c r="L188" s="6" t="str">
        <f>IF(H188="neutral","—",IF(K188&gt;=5,IF(H188="warm","El Niño","La Niña"),IF(ROW()+J188-1=920,IF(H188="warm","El Niño (ongoing)","La Niña (ongoing)"),"—")))</f>
        <v>El Niño</v>
      </c>
      <c r="M188" s="2" t="inlineStr">
        <is>
          <t xml:space="preserve">1965/66</t>
        </is>
      </c>
    </row>
    <row r="189">
      <c r="A189" s="2" t="inlineStr">
        <is>
          <t xml:space="preserve">1965-08</t>
        </is>
      </c>
      <c r="B189" s="2">
        <v>1965</v>
      </c>
      <c r="C189" s="2">
        <v>8</v>
      </c>
      <c r="D189" s="2" t="inlineStr">
        <is>
          <t xml:space="preserve">JAS</t>
        </is>
      </c>
      <c r="E189" t="inlineStr">
        <is>
          <t xml:space="preserve">Jul 1965 – Sep 1965</t>
        </is>
      </c>
      <c r="F189" s="3">
        <v>1.27</v>
      </c>
      <c r="G189" s="4">
        <f>ROUND(F189,1)</f>
        <v>1.3</v>
      </c>
      <c r="H189" s="2" t="str">
        <f>IF(G189&gt;=0.5,"warm",IF(G189&lt;=-0.5,"cold","neutral"))</f>
        <v>warm</v>
      </c>
      <c r="I189" s="2">
        <f>IF(H189=H188,I188+1,1)</f>
        <v>4</v>
      </c>
      <c r="J189" s="2">
        <f>IF(H189=H190,J190+1,1)</f>
        <v>8</v>
      </c>
      <c r="K189" s="2">
        <f>I189+J189-1</f>
        <v>11</v>
      </c>
      <c r="L189" s="6" t="str">
        <f>IF(H189="neutral","—",IF(K189&gt;=5,IF(H189="warm","El Niño","La Niña"),IF(ROW()+J189-1=920,IF(H189="warm","El Niño (ongoing)","La Niña (ongoing)"),"—")))</f>
        <v>El Niño</v>
      </c>
      <c r="M189" s="2" t="inlineStr">
        <is>
          <t xml:space="preserve">1965/66</t>
        </is>
      </c>
    </row>
    <row r="190">
      <c r="A190" s="2" t="inlineStr">
        <is>
          <t xml:space="preserve">1965-09</t>
        </is>
      </c>
      <c r="B190" s="2">
        <v>1965</v>
      </c>
      <c r="C190" s="2">
        <v>9</v>
      </c>
      <c r="D190" s="2" t="inlineStr">
        <is>
          <t xml:space="preserve">ASO</t>
        </is>
      </c>
      <c r="E190" t="inlineStr">
        <is>
          <t xml:space="preserve">Aug 1965 – Oct 1965</t>
        </is>
      </c>
      <c r="F190" s="3">
        <v>1.55</v>
      </c>
      <c r="G190" s="4">
        <f>ROUND(F190,1)</f>
        <v>1.6</v>
      </c>
      <c r="H190" s="2" t="str">
        <f>IF(G190&gt;=0.5,"warm",IF(G190&lt;=-0.5,"cold","neutral"))</f>
        <v>warm</v>
      </c>
      <c r="I190" s="2">
        <f>IF(H190=H189,I189+1,1)</f>
        <v>5</v>
      </c>
      <c r="J190" s="2">
        <f>IF(H190=H191,J191+1,1)</f>
        <v>7</v>
      </c>
      <c r="K190" s="2">
        <f>I190+J190-1</f>
        <v>11</v>
      </c>
      <c r="L190" s="6" t="str">
        <f>IF(H190="neutral","—",IF(K190&gt;=5,IF(H190="warm","El Niño","La Niña"),IF(ROW()+J190-1=920,IF(H190="warm","El Niño (ongoing)","La Niña (ongoing)"),"—")))</f>
        <v>El Niño</v>
      </c>
      <c r="M190" s="2" t="inlineStr">
        <is>
          <t xml:space="preserve">1965/66</t>
        </is>
      </c>
    </row>
    <row r="191">
      <c r="A191" s="2" t="inlineStr">
        <is>
          <t xml:space="preserve">1965-10</t>
        </is>
      </c>
      <c r="B191" s="2">
        <v>1965</v>
      </c>
      <c r="C191" s="2">
        <v>10</v>
      </c>
      <c r="D191" s="2" t="inlineStr">
        <is>
          <t xml:space="preserve">SON</t>
        </is>
      </c>
      <c r="E191" t="inlineStr">
        <is>
          <t xml:space="preserve">Sep 1965 – Nov 1965</t>
        </is>
      </c>
      <c r="F191" s="3">
        <v>1.7</v>
      </c>
      <c r="G191" s="4">
        <f>ROUND(F191,1)</f>
        <v>1.7</v>
      </c>
      <c r="H191" s="2" t="str">
        <f>IF(G191&gt;=0.5,"warm",IF(G191&lt;=-0.5,"cold","neutral"))</f>
        <v>warm</v>
      </c>
      <c r="I191" s="2">
        <f>IF(H191=H190,I190+1,1)</f>
        <v>6</v>
      </c>
      <c r="J191" s="2">
        <f>IF(H191=H192,J192+1,1)</f>
        <v>6</v>
      </c>
      <c r="K191" s="2">
        <f>I191+J191-1</f>
        <v>11</v>
      </c>
      <c r="L191" s="6" t="str">
        <f>IF(H191="neutral","—",IF(K191&gt;=5,IF(H191="warm","El Niño","La Niña"),IF(ROW()+J191-1=920,IF(H191="warm","El Niño (ongoing)","La Niña (ongoing)"),"—")))</f>
        <v>El Niño</v>
      </c>
      <c r="M191" s="2" t="inlineStr">
        <is>
          <t xml:space="preserve">1965/66</t>
        </is>
      </c>
    </row>
    <row r="192">
      <c r="A192" s="2" t="inlineStr">
        <is>
          <t xml:space="preserve">1965-11</t>
        </is>
      </c>
      <c r="B192" s="2">
        <v>1965</v>
      </c>
      <c r="C192" s="2">
        <v>11</v>
      </c>
      <c r="D192" s="2" t="inlineStr">
        <is>
          <t xml:space="preserve">OND</t>
        </is>
      </c>
      <c r="E192" t="inlineStr">
        <is>
          <t xml:space="preserve">Oct 1965 – Dec 1965</t>
        </is>
      </c>
      <c r="F192" s="3">
        <v>1.82</v>
      </c>
      <c r="G192" s="4">
        <f>ROUND(F192,1)</f>
        <v>1.8</v>
      </c>
      <c r="H192" s="2" t="str">
        <f>IF(G192&gt;=0.5,"warm",IF(G192&lt;=-0.5,"cold","neutral"))</f>
        <v>warm</v>
      </c>
      <c r="I192" s="2">
        <f>IF(H192=H191,I191+1,1)</f>
        <v>7</v>
      </c>
      <c r="J192" s="2">
        <f>IF(H192=H193,J193+1,1)</f>
        <v>5</v>
      </c>
      <c r="K192" s="2">
        <f>I192+J192-1</f>
        <v>11</v>
      </c>
      <c r="L192" s="6" t="str">
        <f>IF(H192="neutral","—",IF(K192&gt;=5,IF(H192="warm","El Niño","La Niña"),IF(ROW()+J192-1=920,IF(H192="warm","El Niño (ongoing)","La Niña (ongoing)"),"—")))</f>
        <v>El Niño</v>
      </c>
      <c r="M192" s="2" t="inlineStr">
        <is>
          <t xml:space="preserve">1965/66</t>
        </is>
      </c>
    </row>
    <row r="193">
      <c r="A193" s="2" t="inlineStr">
        <is>
          <t xml:space="preserve">1965-12</t>
        </is>
      </c>
      <c r="B193" s="2">
        <v>1965</v>
      </c>
      <c r="C193" s="2">
        <v>12</v>
      </c>
      <c r="D193" s="2" t="inlineStr">
        <is>
          <t xml:space="preserve">NDJ</t>
        </is>
      </c>
      <c r="E193" t="inlineStr">
        <is>
          <t xml:space="preserve">Nov 1965 – Jan 1966</t>
        </is>
      </c>
      <c r="F193" s="3">
        <v>1.6</v>
      </c>
      <c r="G193" s="4">
        <f>ROUND(F193,1)</f>
        <v>1.6</v>
      </c>
      <c r="H193" s="2" t="str">
        <f>IF(G193&gt;=0.5,"warm",IF(G193&lt;=-0.5,"cold","neutral"))</f>
        <v>warm</v>
      </c>
      <c r="I193" s="2">
        <f>IF(H193=H192,I192+1,1)</f>
        <v>8</v>
      </c>
      <c r="J193" s="2">
        <f>IF(H193=H194,J194+1,1)</f>
        <v>4</v>
      </c>
      <c r="K193" s="2">
        <f>I193+J193-1</f>
        <v>11</v>
      </c>
      <c r="L193" s="6" t="str">
        <f>IF(H193="neutral","—",IF(K193&gt;=5,IF(H193="warm","El Niño","La Niña"),IF(ROW()+J193-1=920,IF(H193="warm","El Niño (ongoing)","La Niña (ongoing)"),"—")))</f>
        <v>El Niño</v>
      </c>
      <c r="M193" s="2" t="inlineStr">
        <is>
          <t xml:space="preserve">1965/66</t>
        </is>
      </c>
    </row>
    <row r="194">
      <c r="A194" s="2" t="inlineStr">
        <is>
          <t xml:space="preserve">1966-01</t>
        </is>
      </c>
      <c r="B194" s="2">
        <v>1966</v>
      </c>
      <c r="C194" s="2">
        <v>1</v>
      </c>
      <c r="D194" s="2" t="inlineStr">
        <is>
          <t xml:space="preserve">DJF</t>
        </is>
      </c>
      <c r="E194" t="inlineStr">
        <is>
          <t xml:space="preserve">Dec 1965 – Feb 1966</t>
        </is>
      </c>
      <c r="F194" s="3">
        <v>1.24</v>
      </c>
      <c r="G194" s="4">
        <f>ROUND(F194,1)</f>
        <v>1.2</v>
      </c>
      <c r="H194" s="2" t="str">
        <f>IF(G194&gt;=0.5,"warm",IF(G194&lt;=-0.5,"cold","neutral"))</f>
        <v>warm</v>
      </c>
      <c r="I194" s="2">
        <f>IF(H194=H193,I193+1,1)</f>
        <v>9</v>
      </c>
      <c r="J194" s="2">
        <f>IF(H194=H195,J195+1,1)</f>
        <v>3</v>
      </c>
      <c r="K194" s="2">
        <f>I194+J194-1</f>
        <v>11</v>
      </c>
      <c r="L194" s="6" t="str">
        <f>IF(H194="neutral","—",IF(K194&gt;=5,IF(H194="warm","El Niño","La Niña"),IF(ROW()+J194-1=920,IF(H194="warm","El Niño (ongoing)","La Niña (ongoing)"),"—")))</f>
        <v>El Niño</v>
      </c>
      <c r="M194" s="2" t="inlineStr">
        <is>
          <t xml:space="preserve">1965/66</t>
        </is>
      </c>
    </row>
    <row r="195">
      <c r="A195" s="2" t="inlineStr">
        <is>
          <t xml:space="preserve">1966-02</t>
        </is>
      </c>
      <c r="B195" s="2">
        <v>1966</v>
      </c>
      <c r="C195" s="2">
        <v>2</v>
      </c>
      <c r="D195" s="2" t="inlineStr">
        <is>
          <t xml:space="preserve">JFM</t>
        </is>
      </c>
      <c r="E195" t="inlineStr">
        <is>
          <t xml:space="preserve">Jan 1966 – Mar 1966</t>
        </is>
      </c>
      <c r="F195" s="3">
        <v>0.95</v>
      </c>
      <c r="G195" s="4">
        <f>ROUND(F195,1)</f>
        <v>1.0</v>
      </c>
      <c r="H195" s="2" t="str">
        <f>IF(G195&gt;=0.5,"warm",IF(G195&lt;=-0.5,"cold","neutral"))</f>
        <v>warm</v>
      </c>
      <c r="I195" s="2">
        <f>IF(H195=H194,I194+1,1)</f>
        <v>10</v>
      </c>
      <c r="J195" s="2">
        <f>IF(H195=H196,J196+1,1)</f>
        <v>2</v>
      </c>
      <c r="K195" s="2">
        <f>I195+J195-1</f>
        <v>11</v>
      </c>
      <c r="L195" s="6" t="str">
        <f>IF(H195="neutral","—",IF(K195&gt;=5,IF(H195="warm","El Niño","La Niña"),IF(ROW()+J195-1=920,IF(H195="warm","El Niño (ongoing)","La Niña (ongoing)"),"—")))</f>
        <v>El Niño</v>
      </c>
      <c r="M195" s="2" t="inlineStr">
        <is>
          <t xml:space="preserve">1965/66</t>
        </is>
      </c>
    </row>
    <row r="196">
      <c r="A196" s="2" t="inlineStr">
        <is>
          <t xml:space="preserve">1966-03</t>
        </is>
      </c>
      <c r="B196" s="2">
        <v>1966</v>
      </c>
      <c r="C196" s="2">
        <v>3</v>
      </c>
      <c r="D196" s="2" t="inlineStr">
        <is>
          <t xml:space="preserve">FMA</t>
        </is>
      </c>
      <c r="E196" t="inlineStr">
        <is>
          <t xml:space="preserve">Feb 1966 – Apr 1966</t>
        </is>
      </c>
      <c r="F196" s="3">
        <v>0.76</v>
      </c>
      <c r="G196" s="4">
        <f>ROUND(F196,1)</f>
        <v>0.8</v>
      </c>
      <c r="H196" s="2" t="str">
        <f>IF(G196&gt;=0.5,"warm",IF(G196&lt;=-0.5,"cold","neutral"))</f>
        <v>warm</v>
      </c>
      <c r="I196" s="2">
        <f>IF(H196=H195,I195+1,1)</f>
        <v>11</v>
      </c>
      <c r="J196" s="2">
        <f>IF(H196=H197,J197+1,1)</f>
        <v>1</v>
      </c>
      <c r="K196" s="2">
        <f>I196+J196-1</f>
        <v>11</v>
      </c>
      <c r="L196" s="6" t="str">
        <f>IF(H196="neutral","—",IF(K196&gt;=5,IF(H196="warm","El Niño","La Niña"),IF(ROW()+J196-1=920,IF(H196="warm","El Niño (ongoing)","La Niña (ongoing)"),"—")))</f>
        <v>El Niño</v>
      </c>
      <c r="M196" s="2" t="inlineStr">
        <is>
          <t xml:space="preserve">1965/66</t>
        </is>
      </c>
    </row>
    <row r="197">
      <c r="A197" s="2" t="inlineStr">
        <is>
          <t xml:space="preserve">1966-04</t>
        </is>
      </c>
      <c r="B197" s="2">
        <v>1966</v>
      </c>
      <c r="C197" s="2">
        <v>4</v>
      </c>
      <c r="D197" s="2" t="inlineStr">
        <is>
          <t xml:space="preserve">MAM</t>
        </is>
      </c>
      <c r="E197" t="inlineStr">
        <is>
          <t xml:space="preserve">Mar 1966 – May 1966</t>
        </is>
      </c>
      <c r="F197" s="3">
        <v>0.43</v>
      </c>
      <c r="G197" s="4">
        <f>ROUND(F197,1)</f>
        <v>0.4</v>
      </c>
      <c r="H197" s="2" t="str">
        <f>IF(G197&gt;=0.5,"warm",IF(G197&lt;=-0.5,"cold","neutral"))</f>
        <v>neutral</v>
      </c>
      <c r="I197" s="2">
        <f>IF(H197=H196,I196+1,1)</f>
        <v>1</v>
      </c>
      <c r="J197" s="2">
        <f>IF(H197=H198,J198+1,1)</f>
        <v>9</v>
      </c>
      <c r="K197" s="2">
        <f>I197+J197-1</f>
        <v>9</v>
      </c>
      <c r="L197" s="2" t="str">
        <f>IF(H197="neutral","—",IF(K197&gt;=5,IF(H197="warm","El Niño","La Niña"),IF(ROW()+J197-1=920,IF(H197="warm","El Niño (ongoing)","La Niña (ongoing)"),"—")))</f>
        <v>—</v>
      </c>
      <c r="M197" s="2" t="inlineStr">
        <is>
          <t xml:space="preserve">1965/66</t>
        </is>
      </c>
    </row>
    <row r="198">
      <c r="A198" s="2" t="inlineStr">
        <is>
          <t xml:space="preserve">1966-05</t>
        </is>
      </c>
      <c r="B198" s="2">
        <v>1966</v>
      </c>
      <c r="C198" s="2">
        <v>5</v>
      </c>
      <c r="D198" s="2" t="inlineStr">
        <is>
          <t xml:space="preserve">AMJ</t>
        </is>
      </c>
      <c r="E198" t="inlineStr">
        <is>
          <t xml:space="preserve">Apr 1966 – Jun 1966</t>
        </is>
      </c>
      <c r="F198" s="3">
        <v>0.24</v>
      </c>
      <c r="G198" s="4">
        <f>ROUND(F198,1)</f>
        <v>0.2</v>
      </c>
      <c r="H198" s="2" t="str">
        <f>IF(G198&gt;=0.5,"warm",IF(G198&lt;=-0.5,"cold","neutral"))</f>
        <v>neutral</v>
      </c>
      <c r="I198" s="2">
        <f>IF(H198=H197,I197+1,1)</f>
        <v>2</v>
      </c>
      <c r="J198" s="2">
        <f>IF(H198=H199,J199+1,1)</f>
        <v>8</v>
      </c>
      <c r="K198" s="2">
        <f>I198+J198-1</f>
        <v>9</v>
      </c>
      <c r="L198" s="2" t="str">
        <f>IF(H198="neutral","—",IF(K198&gt;=5,IF(H198="warm","El Niño","La Niña"),IF(ROW()+J198-1=920,IF(H198="warm","El Niño (ongoing)","La Niña (ongoing)"),"—")))</f>
        <v>—</v>
      </c>
      <c r="M198" s="2" t="inlineStr">
        <is>
          <t xml:space="preserve">1965/66</t>
        </is>
      </c>
    </row>
    <row r="199">
      <c r="A199" s="2" t="inlineStr">
        <is>
          <t xml:space="preserve">1966-06</t>
        </is>
      </c>
      <c r="B199" s="2">
        <v>1966</v>
      </c>
      <c r="C199" s="2">
        <v>6</v>
      </c>
      <c r="D199" s="2" t="inlineStr">
        <is>
          <t xml:space="preserve">MJJ</t>
        </is>
      </c>
      <c r="E199" t="inlineStr">
        <is>
          <t xml:space="preserve">May 1966 – Jul 1966</t>
        </is>
      </c>
      <c r="F199" s="3">
        <v>0.18</v>
      </c>
      <c r="G199" s="4">
        <f>ROUND(F199,1)</f>
        <v>0.2</v>
      </c>
      <c r="H199" s="2" t="str">
        <f>IF(G199&gt;=0.5,"warm",IF(G199&lt;=-0.5,"cold","neutral"))</f>
        <v>neutral</v>
      </c>
      <c r="I199" s="2">
        <f>IF(H199=H198,I198+1,1)</f>
        <v>3</v>
      </c>
      <c r="J199" s="2">
        <f>IF(H199=H200,J200+1,1)</f>
        <v>7</v>
      </c>
      <c r="K199" s="2">
        <f>I199+J199-1</f>
        <v>9</v>
      </c>
      <c r="L199" s="2" t="str">
        <f>IF(H199="neutral","—",IF(K199&gt;=5,IF(H199="warm","El Niño","La Niña"),IF(ROW()+J199-1=920,IF(H199="warm","El Niño (ongoing)","La Niña (ongoing)"),"—")))</f>
        <v>—</v>
      </c>
      <c r="M199" s="2" t="inlineStr">
        <is>
          <t xml:space="preserve">1965/66</t>
        </is>
      </c>
    </row>
    <row r="200">
      <c r="A200" s="2" t="inlineStr">
        <is>
          <t xml:space="preserve">1966-07</t>
        </is>
      </c>
      <c r="B200" s="2">
        <v>1966</v>
      </c>
      <c r="C200" s="2">
        <v>7</v>
      </c>
      <c r="D200" s="2" t="inlineStr">
        <is>
          <t xml:space="preserve">JJA</t>
        </is>
      </c>
      <c r="E200" t="inlineStr">
        <is>
          <t xml:space="preserve">Jun 1966 – Aug 1966</t>
        </is>
      </c>
      <c r="F200" s="3">
        <v>0.25</v>
      </c>
      <c r="G200" s="4">
        <f>ROUND(F200,1)</f>
        <v>0.3</v>
      </c>
      <c r="H200" s="2" t="str">
        <f>IF(G200&gt;=0.5,"warm",IF(G200&lt;=-0.5,"cold","neutral"))</f>
        <v>neutral</v>
      </c>
      <c r="I200" s="2">
        <f>IF(H200=H199,I199+1,1)</f>
        <v>4</v>
      </c>
      <c r="J200" s="2">
        <f>IF(H200=H201,J201+1,1)</f>
        <v>6</v>
      </c>
      <c r="K200" s="2">
        <f>I200+J200-1</f>
        <v>9</v>
      </c>
      <c r="L200" s="2" t="str">
        <f>IF(H200="neutral","—",IF(K200&gt;=5,IF(H200="warm","El Niño","La Niña"),IF(ROW()+J200-1=920,IF(H200="warm","El Niño (ongoing)","La Niña (ongoing)"),"—")))</f>
        <v>—</v>
      </c>
      <c r="M200" s="2" t="inlineStr">
        <is>
          <t xml:space="preserve">1966/67</t>
        </is>
      </c>
    </row>
    <row r="201">
      <c r="A201" s="2" t="inlineStr">
        <is>
          <t xml:space="preserve">1966-08</t>
        </is>
      </c>
      <c r="B201" s="2">
        <v>1966</v>
      </c>
      <c r="C201" s="2">
        <v>8</v>
      </c>
      <c r="D201" s="2" t="inlineStr">
        <is>
          <t xml:space="preserve">JAS</t>
        </is>
      </c>
      <c r="E201" t="inlineStr">
        <is>
          <t xml:space="preserve">Jul 1966 – Sep 1966</t>
        </is>
      </c>
      <c r="F201" s="3">
        <v>0.13</v>
      </c>
      <c r="G201" s="4">
        <f>ROUND(F201,1)</f>
        <v>0.1</v>
      </c>
      <c r="H201" s="2" t="str">
        <f>IF(G201&gt;=0.5,"warm",IF(G201&lt;=-0.5,"cold","neutral"))</f>
        <v>neutral</v>
      </c>
      <c r="I201" s="2">
        <f>IF(H201=H200,I200+1,1)</f>
        <v>5</v>
      </c>
      <c r="J201" s="2">
        <f>IF(H201=H202,J202+1,1)</f>
        <v>5</v>
      </c>
      <c r="K201" s="2">
        <f>I201+J201-1</f>
        <v>9</v>
      </c>
      <c r="L201" s="2" t="str">
        <f>IF(H201="neutral","—",IF(K201&gt;=5,IF(H201="warm","El Niño","La Niña"),IF(ROW()+J201-1=920,IF(H201="warm","El Niño (ongoing)","La Niña (ongoing)"),"—")))</f>
        <v>—</v>
      </c>
      <c r="M201" s="2" t="inlineStr">
        <is>
          <t xml:space="preserve">1966/67</t>
        </is>
      </c>
    </row>
    <row r="202">
      <c r="A202" s="2" t="inlineStr">
        <is>
          <t xml:space="preserve">1966-09</t>
        </is>
      </c>
      <c r="B202" s="2">
        <v>1966</v>
      </c>
      <c r="C202" s="2">
        <v>9</v>
      </c>
      <c r="D202" s="2" t="inlineStr">
        <is>
          <t xml:space="preserve">ASO</t>
        </is>
      </c>
      <c r="E202" t="inlineStr">
        <is>
          <t xml:space="preserve">Aug 1966 – Oct 1966</t>
        </is>
      </c>
      <c r="F202" s="3">
        <v>-0.09</v>
      </c>
      <c r="G202" s="4">
        <f>ROUND(F202,1)</f>
        <v>-0.1</v>
      </c>
      <c r="H202" s="2" t="str">
        <f>IF(G202&gt;=0.5,"warm",IF(G202&lt;=-0.5,"cold","neutral"))</f>
        <v>neutral</v>
      </c>
      <c r="I202" s="2">
        <f>IF(H202=H201,I201+1,1)</f>
        <v>6</v>
      </c>
      <c r="J202" s="2">
        <f>IF(H202=H203,J203+1,1)</f>
        <v>4</v>
      </c>
      <c r="K202" s="2">
        <f>I202+J202-1</f>
        <v>9</v>
      </c>
      <c r="L202" s="2" t="str">
        <f>IF(H202="neutral","—",IF(K202&gt;=5,IF(H202="warm","El Niño","La Niña"),IF(ROW()+J202-1=920,IF(H202="warm","El Niño (ongoing)","La Niña (ongoing)"),"—")))</f>
        <v>—</v>
      </c>
      <c r="M202" s="2" t="inlineStr">
        <is>
          <t xml:space="preserve">1966/67</t>
        </is>
      </c>
    </row>
    <row r="203">
      <c r="A203" s="2" t="inlineStr">
        <is>
          <t xml:space="preserve">1966-10</t>
        </is>
      </c>
      <c r="B203" s="2">
        <v>1966</v>
      </c>
      <c r="C203" s="2">
        <v>10</v>
      </c>
      <c r="D203" s="2" t="inlineStr">
        <is>
          <t xml:space="preserve">SON</t>
        </is>
      </c>
      <c r="E203" t="inlineStr">
        <is>
          <t xml:space="preserve">Sep 1966 – Nov 1966</t>
        </is>
      </c>
      <c r="F203" s="3">
        <v>-0.12</v>
      </c>
      <c r="G203" s="4">
        <f>ROUND(F203,1)</f>
        <v>-0.1</v>
      </c>
      <c r="H203" s="2" t="str">
        <f>IF(G203&gt;=0.5,"warm",IF(G203&lt;=-0.5,"cold","neutral"))</f>
        <v>neutral</v>
      </c>
      <c r="I203" s="2">
        <f>IF(H203=H202,I202+1,1)</f>
        <v>7</v>
      </c>
      <c r="J203" s="2">
        <f>IF(H203=H204,J204+1,1)</f>
        <v>3</v>
      </c>
      <c r="K203" s="2">
        <f>I203+J203-1</f>
        <v>9</v>
      </c>
      <c r="L203" s="2" t="str">
        <f>IF(H203="neutral","—",IF(K203&gt;=5,IF(H203="warm","El Niño","La Niña"),IF(ROW()+J203-1=920,IF(H203="warm","El Niño (ongoing)","La Niña (ongoing)"),"—")))</f>
        <v>—</v>
      </c>
      <c r="M203" s="2" t="inlineStr">
        <is>
          <t xml:space="preserve">1966/67</t>
        </is>
      </c>
    </row>
    <row r="204">
      <c r="A204" s="2" t="inlineStr">
        <is>
          <t xml:space="preserve">1966-11</t>
        </is>
      </c>
      <c r="B204" s="2">
        <v>1966</v>
      </c>
      <c r="C204" s="2">
        <v>11</v>
      </c>
      <c r="D204" s="2" t="inlineStr">
        <is>
          <t xml:space="preserve">OND</t>
        </is>
      </c>
      <c r="E204" t="inlineStr">
        <is>
          <t xml:space="preserve">Oct 1966 – Dec 1966</t>
        </is>
      </c>
      <c r="F204" s="3">
        <v>-0.23</v>
      </c>
      <c r="G204" s="4">
        <f>ROUND(F204,1)</f>
        <v>-0.2</v>
      </c>
      <c r="H204" s="2" t="str">
        <f>IF(G204&gt;=0.5,"warm",IF(G204&lt;=-0.5,"cold","neutral"))</f>
        <v>neutral</v>
      </c>
      <c r="I204" s="2">
        <f>IF(H204=H203,I203+1,1)</f>
        <v>8</v>
      </c>
      <c r="J204" s="2">
        <f>IF(H204=H205,J205+1,1)</f>
        <v>2</v>
      </c>
      <c r="K204" s="2">
        <f>I204+J204-1</f>
        <v>9</v>
      </c>
      <c r="L204" s="2" t="str">
        <f>IF(H204="neutral","—",IF(K204&gt;=5,IF(H204="warm","El Niño","La Niña"),IF(ROW()+J204-1=920,IF(H204="warm","El Niño (ongoing)","La Niña (ongoing)"),"—")))</f>
        <v>—</v>
      </c>
      <c r="M204" s="2" t="inlineStr">
        <is>
          <t xml:space="preserve">1966/67</t>
        </is>
      </c>
    </row>
    <row r="205">
      <c r="A205" s="2" t="inlineStr">
        <is>
          <t xml:space="preserve">1966-12</t>
        </is>
      </c>
      <c r="B205" s="2">
        <v>1966</v>
      </c>
      <c r="C205" s="2">
        <v>12</v>
      </c>
      <c r="D205" s="2" t="inlineStr">
        <is>
          <t xml:space="preserve">NDJ</t>
        </is>
      </c>
      <c r="E205" t="inlineStr">
        <is>
          <t xml:space="preserve">Nov 1966 – Jan 1967</t>
        </is>
      </c>
      <c r="F205" s="3">
        <v>-0.35</v>
      </c>
      <c r="G205" s="4">
        <f>ROUND(F205,1)</f>
        <v>-0.4</v>
      </c>
      <c r="H205" s="2" t="str">
        <f>IF(G205&gt;=0.5,"warm",IF(G205&lt;=-0.5,"cold","neutral"))</f>
        <v>neutral</v>
      </c>
      <c r="I205" s="2">
        <f>IF(H205=H204,I204+1,1)</f>
        <v>9</v>
      </c>
      <c r="J205" s="2">
        <f>IF(H205=H206,J206+1,1)</f>
        <v>1</v>
      </c>
      <c r="K205" s="2">
        <f>I205+J205-1</f>
        <v>9</v>
      </c>
      <c r="L205" s="2" t="str">
        <f>IF(H205="neutral","—",IF(K205&gt;=5,IF(H205="warm","El Niño","La Niña"),IF(ROW()+J205-1=920,IF(H205="warm","El Niño (ongoing)","La Niña (ongoing)"),"—")))</f>
        <v>—</v>
      </c>
      <c r="M205" s="2" t="inlineStr">
        <is>
          <t xml:space="preserve">1966/67</t>
        </is>
      </c>
    </row>
    <row r="206">
      <c r="A206" s="2" t="inlineStr">
        <is>
          <t xml:space="preserve">1967-01</t>
        </is>
      </c>
      <c r="B206" s="2">
        <v>1967</v>
      </c>
      <c r="C206" s="2">
        <v>1</v>
      </c>
      <c r="D206" s="2" t="inlineStr">
        <is>
          <t xml:space="preserve">DJF</t>
        </is>
      </c>
      <c r="E206" t="inlineStr">
        <is>
          <t xml:space="preserve">Dec 1966 – Feb 1967</t>
        </is>
      </c>
      <c r="F206" s="3">
        <v>-0.46</v>
      </c>
      <c r="G206" s="4">
        <f>ROUND(F206,1)</f>
        <v>-0.5</v>
      </c>
      <c r="H206" s="2" t="str">
        <f>IF(G206&gt;=0.5,"warm",IF(G206&lt;=-0.5,"cold","neutral"))</f>
        <v>cold</v>
      </c>
      <c r="I206" s="2">
        <f>IF(H206=H205,I205+1,1)</f>
        <v>1</v>
      </c>
      <c r="J206" s="2">
        <f>IF(H206=H207,J207+1,1)</f>
        <v>3</v>
      </c>
      <c r="K206" s="2">
        <f>I206+J206-1</f>
        <v>3</v>
      </c>
      <c r="L206" s="2" t="str">
        <f>IF(H206="neutral","—",IF(K206&gt;=5,IF(H206="warm","El Niño","La Niña"),IF(ROW()+J206-1=920,IF(H206="warm","El Niño (ongoing)","La Niña (ongoing)"),"—")))</f>
        <v>—</v>
      </c>
      <c r="M206" s="2" t="inlineStr">
        <is>
          <t xml:space="preserve">1966/67</t>
        </is>
      </c>
    </row>
    <row r="207">
      <c r="A207" s="2" t="inlineStr">
        <is>
          <t xml:space="preserve">1967-02</t>
        </is>
      </c>
      <c r="B207" s="2">
        <v>1967</v>
      </c>
      <c r="C207" s="2">
        <v>2</v>
      </c>
      <c r="D207" s="2" t="inlineStr">
        <is>
          <t xml:space="preserve">JFM</t>
        </is>
      </c>
      <c r="E207" t="inlineStr">
        <is>
          <t xml:space="preserve">Jan 1967 – Mar 1967</t>
        </is>
      </c>
      <c r="F207" s="3">
        <v>-0.48</v>
      </c>
      <c r="G207" s="4">
        <f>ROUND(F207,1)</f>
        <v>-0.5</v>
      </c>
      <c r="H207" s="2" t="str">
        <f>IF(G207&gt;=0.5,"warm",IF(G207&lt;=-0.5,"cold","neutral"))</f>
        <v>cold</v>
      </c>
      <c r="I207" s="2">
        <f>IF(H207=H206,I206+1,1)</f>
        <v>2</v>
      </c>
      <c r="J207" s="2">
        <f>IF(H207=H208,J208+1,1)</f>
        <v>2</v>
      </c>
      <c r="K207" s="2">
        <f>I207+J207-1</f>
        <v>3</v>
      </c>
      <c r="L207" s="2" t="str">
        <f>IF(H207="neutral","—",IF(K207&gt;=5,IF(H207="warm","El Niño","La Niña"),IF(ROW()+J207-1=920,IF(H207="warm","El Niño (ongoing)","La Niña (ongoing)"),"—")))</f>
        <v>—</v>
      </c>
      <c r="M207" s="2" t="inlineStr">
        <is>
          <t xml:space="preserve">1966/67</t>
        </is>
      </c>
    </row>
    <row r="208">
      <c r="A208" s="2" t="inlineStr">
        <is>
          <t xml:space="preserve">1967-03</t>
        </is>
      </c>
      <c r="B208" s="2">
        <v>1967</v>
      </c>
      <c r="C208" s="2">
        <v>3</v>
      </c>
      <c r="D208" s="2" t="inlineStr">
        <is>
          <t xml:space="preserve">FMA</t>
        </is>
      </c>
      <c r="E208" t="inlineStr">
        <is>
          <t xml:space="preserve">Feb 1967 – Apr 1967</t>
        </is>
      </c>
      <c r="F208" s="3">
        <v>-0.5</v>
      </c>
      <c r="G208" s="4">
        <f>ROUND(F208,1)</f>
        <v>-0.5</v>
      </c>
      <c r="H208" s="2" t="str">
        <f>IF(G208&gt;=0.5,"warm",IF(G208&lt;=-0.5,"cold","neutral"))</f>
        <v>cold</v>
      </c>
      <c r="I208" s="2">
        <f>IF(H208=H207,I207+1,1)</f>
        <v>3</v>
      </c>
      <c r="J208" s="2">
        <f>IF(H208=H209,J209+1,1)</f>
        <v>1</v>
      </c>
      <c r="K208" s="2">
        <f>I208+J208-1</f>
        <v>3</v>
      </c>
      <c r="L208" s="2" t="str">
        <f>IF(H208="neutral","—",IF(K208&gt;=5,IF(H208="warm","El Niño","La Niña"),IF(ROW()+J208-1=920,IF(H208="warm","El Niño (ongoing)","La Niña (ongoing)"),"—")))</f>
        <v>—</v>
      </c>
      <c r="M208" s="2" t="inlineStr">
        <is>
          <t xml:space="preserve">1966/67</t>
        </is>
      </c>
    </row>
    <row r="209">
      <c r="A209" s="2" t="inlineStr">
        <is>
          <t xml:space="preserve">1967-04</t>
        </is>
      </c>
      <c r="B209" s="2">
        <v>1967</v>
      </c>
      <c r="C209" s="2">
        <v>4</v>
      </c>
      <c r="D209" s="2" t="inlineStr">
        <is>
          <t xml:space="preserve">MAM</t>
        </is>
      </c>
      <c r="E209" t="inlineStr">
        <is>
          <t xml:space="preserve">Mar 1967 – May 1967</t>
        </is>
      </c>
      <c r="F209" s="3">
        <v>-0.37</v>
      </c>
      <c r="G209" s="4">
        <f>ROUND(F209,1)</f>
        <v>-0.4</v>
      </c>
      <c r="H209" s="2" t="str">
        <f>IF(G209&gt;=0.5,"warm",IF(G209&lt;=-0.5,"cold","neutral"))</f>
        <v>neutral</v>
      </c>
      <c r="I209" s="2">
        <f>IF(H209=H208,I208+1,1)</f>
        <v>1</v>
      </c>
      <c r="J209" s="2">
        <f>IF(H209=H210,J210+1,1)</f>
        <v>9</v>
      </c>
      <c r="K209" s="2">
        <f>I209+J209-1</f>
        <v>9</v>
      </c>
      <c r="L209" s="2" t="str">
        <f>IF(H209="neutral","—",IF(K209&gt;=5,IF(H209="warm","El Niño","La Niña"),IF(ROW()+J209-1=920,IF(H209="warm","El Niño (ongoing)","La Niña (ongoing)"),"—")))</f>
        <v>—</v>
      </c>
      <c r="M209" s="2" t="inlineStr">
        <is>
          <t xml:space="preserve">1966/67</t>
        </is>
      </c>
    </row>
    <row r="210">
      <c r="A210" s="2" t="inlineStr">
        <is>
          <t xml:space="preserve">1967-05</t>
        </is>
      </c>
      <c r="B210" s="2">
        <v>1967</v>
      </c>
      <c r="C210" s="2">
        <v>5</v>
      </c>
      <c r="D210" s="2" t="inlineStr">
        <is>
          <t xml:space="preserve">AMJ</t>
        </is>
      </c>
      <c r="E210" t="inlineStr">
        <is>
          <t xml:space="preserve">Apr 1967 – Jun 1967</t>
        </is>
      </c>
      <c r="F210" s="3">
        <v>-0.15</v>
      </c>
      <c r="G210" s="4">
        <f>ROUND(F210,1)</f>
        <v>-0.2</v>
      </c>
      <c r="H210" s="2" t="str">
        <f>IF(G210&gt;=0.5,"warm",IF(G210&lt;=-0.5,"cold","neutral"))</f>
        <v>neutral</v>
      </c>
      <c r="I210" s="2">
        <f>IF(H210=H209,I209+1,1)</f>
        <v>2</v>
      </c>
      <c r="J210" s="2">
        <f>IF(H210=H211,J211+1,1)</f>
        <v>8</v>
      </c>
      <c r="K210" s="2">
        <f>I210+J210-1</f>
        <v>9</v>
      </c>
      <c r="L210" s="2" t="str">
        <f>IF(H210="neutral","—",IF(K210&gt;=5,IF(H210="warm","El Niño","La Niña"),IF(ROW()+J210-1=920,IF(H210="warm","El Niño (ongoing)","La Niña (ongoing)"),"—")))</f>
        <v>—</v>
      </c>
      <c r="M210" s="2" t="inlineStr">
        <is>
          <t xml:space="preserve">1966/67</t>
        </is>
      </c>
    </row>
    <row r="211">
      <c r="A211" s="2" t="inlineStr">
        <is>
          <t xml:space="preserve">1967-06</t>
        </is>
      </c>
      <c r="B211" s="2">
        <v>1967</v>
      </c>
      <c r="C211" s="2">
        <v>6</v>
      </c>
      <c r="D211" s="2" t="inlineStr">
        <is>
          <t xml:space="preserve">MJJ</t>
        </is>
      </c>
      <c r="E211" t="inlineStr">
        <is>
          <t xml:space="preserve">May 1967 – Jul 1967</t>
        </is>
      </c>
      <c r="F211" s="3">
        <v>0.05</v>
      </c>
      <c r="G211" s="4">
        <f>ROUND(F211,1)</f>
        <v>0.1</v>
      </c>
      <c r="H211" s="2" t="str">
        <f>IF(G211&gt;=0.5,"warm",IF(G211&lt;=-0.5,"cold","neutral"))</f>
        <v>neutral</v>
      </c>
      <c r="I211" s="2">
        <f>IF(H211=H210,I210+1,1)</f>
        <v>3</v>
      </c>
      <c r="J211" s="2">
        <f>IF(H211=H212,J212+1,1)</f>
        <v>7</v>
      </c>
      <c r="K211" s="2">
        <f>I211+J211-1</f>
        <v>9</v>
      </c>
      <c r="L211" s="2" t="str">
        <f>IF(H211="neutral","—",IF(K211&gt;=5,IF(H211="warm","El Niño","La Niña"),IF(ROW()+J211-1=920,IF(H211="warm","El Niño (ongoing)","La Niña (ongoing)"),"—")))</f>
        <v>—</v>
      </c>
      <c r="M211" s="2" t="inlineStr">
        <is>
          <t xml:space="preserve">1966/67</t>
        </is>
      </c>
    </row>
    <row r="212">
      <c r="A212" s="2" t="inlineStr">
        <is>
          <t xml:space="preserve">1967-07</t>
        </is>
      </c>
      <c r="B212" s="2">
        <v>1967</v>
      </c>
      <c r="C212" s="2">
        <v>7</v>
      </c>
      <c r="D212" s="2" t="inlineStr">
        <is>
          <t xml:space="preserve">JJA</t>
        </is>
      </c>
      <c r="E212" t="inlineStr">
        <is>
          <t xml:space="preserve">Jun 1967 – Aug 1967</t>
        </is>
      </c>
      <c r="F212" s="3">
        <v>-0.02</v>
      </c>
      <c r="G212" s="4">
        <f>ROUND(F212,1)</f>
        <v>-0.0</v>
      </c>
      <c r="H212" s="2" t="str">
        <f>IF(G212&gt;=0.5,"warm",IF(G212&lt;=-0.5,"cold","neutral"))</f>
        <v>neutral</v>
      </c>
      <c r="I212" s="2">
        <f>IF(H212=H211,I211+1,1)</f>
        <v>4</v>
      </c>
      <c r="J212" s="2">
        <f>IF(H212=H213,J213+1,1)</f>
        <v>6</v>
      </c>
      <c r="K212" s="2">
        <f>I212+J212-1</f>
        <v>9</v>
      </c>
      <c r="L212" s="2" t="str">
        <f>IF(H212="neutral","—",IF(K212&gt;=5,IF(H212="warm","El Niño","La Niña"),IF(ROW()+J212-1=920,IF(H212="warm","El Niño (ongoing)","La Niña (ongoing)"),"—")))</f>
        <v>—</v>
      </c>
      <c r="M212" s="2" t="inlineStr">
        <is>
          <t xml:space="preserve">1967/68</t>
        </is>
      </c>
    </row>
    <row r="213">
      <c r="A213" s="2" t="inlineStr">
        <is>
          <t xml:space="preserve">1967-08</t>
        </is>
      </c>
      <c r="B213" s="2">
        <v>1967</v>
      </c>
      <c r="C213" s="2">
        <v>8</v>
      </c>
      <c r="D213" s="2" t="inlineStr">
        <is>
          <t xml:space="preserve">JAS</t>
        </is>
      </c>
      <c r="E213" t="inlineStr">
        <is>
          <t xml:space="preserve">Jul 1967 – Sep 1967</t>
        </is>
      </c>
      <c r="F213" s="3">
        <v>-0.26</v>
      </c>
      <c r="G213" s="4">
        <f>ROUND(F213,1)</f>
        <v>-0.3</v>
      </c>
      <c r="H213" s="2" t="str">
        <f>IF(G213&gt;=0.5,"warm",IF(G213&lt;=-0.5,"cold","neutral"))</f>
        <v>neutral</v>
      </c>
      <c r="I213" s="2">
        <f>IF(H213=H212,I212+1,1)</f>
        <v>5</v>
      </c>
      <c r="J213" s="2">
        <f>IF(H213=H214,J214+1,1)</f>
        <v>5</v>
      </c>
      <c r="K213" s="2">
        <f>I213+J213-1</f>
        <v>9</v>
      </c>
      <c r="L213" s="2" t="str">
        <f>IF(H213="neutral","—",IF(K213&gt;=5,IF(H213="warm","El Niño","La Niña"),IF(ROW()+J213-1=920,IF(H213="warm","El Niño (ongoing)","La Niña (ongoing)"),"—")))</f>
        <v>—</v>
      </c>
      <c r="M213" s="2" t="inlineStr">
        <is>
          <t xml:space="preserve">1967/68</t>
        </is>
      </c>
    </row>
    <row r="214">
      <c r="A214" s="2" t="inlineStr">
        <is>
          <t xml:space="preserve">1967-09</t>
        </is>
      </c>
      <c r="B214" s="2">
        <v>1967</v>
      </c>
      <c r="C214" s="2">
        <v>9</v>
      </c>
      <c r="D214" s="2" t="inlineStr">
        <is>
          <t xml:space="preserve">ASO</t>
        </is>
      </c>
      <c r="E214" t="inlineStr">
        <is>
          <t xml:space="preserve">Aug 1967 – Oct 1967</t>
        </is>
      </c>
      <c r="F214" s="3">
        <v>-0.4</v>
      </c>
      <c r="G214" s="4">
        <f>ROUND(F214,1)</f>
        <v>-0.4</v>
      </c>
      <c r="H214" s="2" t="str">
        <f>IF(G214&gt;=0.5,"warm",IF(G214&lt;=-0.5,"cold","neutral"))</f>
        <v>neutral</v>
      </c>
      <c r="I214" s="2">
        <f>IF(H214=H213,I213+1,1)</f>
        <v>6</v>
      </c>
      <c r="J214" s="2">
        <f>IF(H214=H215,J215+1,1)</f>
        <v>4</v>
      </c>
      <c r="K214" s="2">
        <f>I214+J214-1</f>
        <v>9</v>
      </c>
      <c r="L214" s="2" t="str">
        <f>IF(H214="neutral","—",IF(K214&gt;=5,IF(H214="warm","El Niño","La Niña"),IF(ROW()+J214-1=920,IF(H214="warm","El Niño (ongoing)","La Niña (ongoing)"),"—")))</f>
        <v>—</v>
      </c>
      <c r="M214" s="2" t="inlineStr">
        <is>
          <t xml:space="preserve">1967/68</t>
        </is>
      </c>
    </row>
    <row r="215">
      <c r="A215" s="2" t="inlineStr">
        <is>
          <t xml:space="preserve">1967-10</t>
        </is>
      </c>
      <c r="B215" s="2">
        <v>1967</v>
      </c>
      <c r="C215" s="2">
        <v>10</v>
      </c>
      <c r="D215" s="2" t="inlineStr">
        <is>
          <t xml:space="preserve">SON</t>
        </is>
      </c>
      <c r="E215" t="inlineStr">
        <is>
          <t xml:space="preserve">Sep 1967 – Nov 1967</t>
        </is>
      </c>
      <c r="F215" s="3">
        <v>-0.4</v>
      </c>
      <c r="G215" s="4">
        <f>ROUND(F215,1)</f>
        <v>-0.4</v>
      </c>
      <c r="H215" s="2" t="str">
        <f>IF(G215&gt;=0.5,"warm",IF(G215&lt;=-0.5,"cold","neutral"))</f>
        <v>neutral</v>
      </c>
      <c r="I215" s="2">
        <f>IF(H215=H214,I214+1,1)</f>
        <v>7</v>
      </c>
      <c r="J215" s="2">
        <f>IF(H215=H216,J216+1,1)</f>
        <v>3</v>
      </c>
      <c r="K215" s="2">
        <f>I215+J215-1</f>
        <v>9</v>
      </c>
      <c r="L215" s="2" t="str">
        <f>IF(H215="neutral","—",IF(K215&gt;=5,IF(H215="warm","El Niño","La Niña"),IF(ROW()+J215-1=920,IF(H215="warm","El Niño (ongoing)","La Niña (ongoing)"),"—")))</f>
        <v>—</v>
      </c>
      <c r="M215" s="2" t="inlineStr">
        <is>
          <t xml:space="preserve">1967/68</t>
        </is>
      </c>
    </row>
    <row r="216">
      <c r="A216" s="2" t="inlineStr">
        <is>
          <t xml:space="preserve">1967-11</t>
        </is>
      </c>
      <c r="B216" s="2">
        <v>1967</v>
      </c>
      <c r="C216" s="2">
        <v>11</v>
      </c>
      <c r="D216" s="2" t="inlineStr">
        <is>
          <t xml:space="preserve">OND</t>
        </is>
      </c>
      <c r="E216" t="inlineStr">
        <is>
          <t xml:space="preserve">Oct 1967 – Dec 1967</t>
        </is>
      </c>
      <c r="F216" s="3">
        <v>-0.36</v>
      </c>
      <c r="G216" s="4">
        <f>ROUND(F216,1)</f>
        <v>-0.4</v>
      </c>
      <c r="H216" s="2" t="str">
        <f>IF(G216&gt;=0.5,"warm",IF(G216&lt;=-0.5,"cold","neutral"))</f>
        <v>neutral</v>
      </c>
      <c r="I216" s="2">
        <f>IF(H216=H215,I215+1,1)</f>
        <v>8</v>
      </c>
      <c r="J216" s="2">
        <f>IF(H216=H217,J217+1,1)</f>
        <v>2</v>
      </c>
      <c r="K216" s="2">
        <f>I216+J216-1</f>
        <v>9</v>
      </c>
      <c r="L216" s="2" t="str">
        <f>IF(H216="neutral","—",IF(K216&gt;=5,IF(H216="warm","El Niño","La Niña"),IF(ROW()+J216-1=920,IF(H216="warm","El Niño (ongoing)","La Niña (ongoing)"),"—")))</f>
        <v>—</v>
      </c>
      <c r="M216" s="2" t="inlineStr">
        <is>
          <t xml:space="preserve">1967/68</t>
        </is>
      </c>
    </row>
    <row r="217">
      <c r="A217" s="2" t="inlineStr">
        <is>
          <t xml:space="preserve">1967-12</t>
        </is>
      </c>
      <c r="B217" s="2">
        <v>1967</v>
      </c>
      <c r="C217" s="2">
        <v>12</v>
      </c>
      <c r="D217" s="2" t="inlineStr">
        <is>
          <t xml:space="preserve">NDJ</t>
        </is>
      </c>
      <c r="E217" t="inlineStr">
        <is>
          <t xml:space="preserve">Nov 1967 – Jan 1968</t>
        </is>
      </c>
      <c r="F217" s="3">
        <v>-0.42</v>
      </c>
      <c r="G217" s="4">
        <f>ROUND(F217,1)</f>
        <v>-0.4</v>
      </c>
      <c r="H217" s="2" t="str">
        <f>IF(G217&gt;=0.5,"warm",IF(G217&lt;=-0.5,"cold","neutral"))</f>
        <v>neutral</v>
      </c>
      <c r="I217" s="2">
        <f>IF(H217=H216,I216+1,1)</f>
        <v>9</v>
      </c>
      <c r="J217" s="2">
        <f>IF(H217=H218,J218+1,1)</f>
        <v>1</v>
      </c>
      <c r="K217" s="2">
        <f>I217+J217-1</f>
        <v>9</v>
      </c>
      <c r="L217" s="2" t="str">
        <f>IF(H217="neutral","—",IF(K217&gt;=5,IF(H217="warm","El Niño","La Niña"),IF(ROW()+J217-1=920,IF(H217="warm","El Niño (ongoing)","La Niña (ongoing)"),"—")))</f>
        <v>—</v>
      </c>
      <c r="M217" s="2" t="inlineStr">
        <is>
          <t xml:space="preserve">1967/68</t>
        </is>
      </c>
    </row>
    <row r="218">
      <c r="A218" s="2" t="inlineStr">
        <is>
          <t xml:space="preserve">1968-01</t>
        </is>
      </c>
      <c r="B218" s="2">
        <v>1968</v>
      </c>
      <c r="C218" s="2">
        <v>1</v>
      </c>
      <c r="D218" s="2" t="inlineStr">
        <is>
          <t xml:space="preserve">DJF</t>
        </is>
      </c>
      <c r="E218" t="inlineStr">
        <is>
          <t xml:space="preserve">Dec 1967 – Feb 1968</t>
        </is>
      </c>
      <c r="F218" s="3">
        <v>-0.62</v>
      </c>
      <c r="G218" s="4">
        <f>ROUND(F218,1)</f>
        <v>-0.6</v>
      </c>
      <c r="H218" s="2" t="str">
        <f>IF(G218&gt;=0.5,"warm",IF(G218&lt;=-0.5,"cold","neutral"))</f>
        <v>cold</v>
      </c>
      <c r="I218" s="2">
        <f>IF(H218=H217,I217+1,1)</f>
        <v>1</v>
      </c>
      <c r="J218" s="2">
        <f>IF(H218=H219,J219+1,1)</f>
        <v>4</v>
      </c>
      <c r="K218" s="2">
        <f>I218+J218-1</f>
        <v>4</v>
      </c>
      <c r="L218" s="2" t="str">
        <f>IF(H218="neutral","—",IF(K218&gt;=5,IF(H218="warm","El Niño","La Niña"),IF(ROW()+J218-1=920,IF(H218="warm","El Niño (ongoing)","La Niña (ongoing)"),"—")))</f>
        <v>—</v>
      </c>
      <c r="M218" s="2" t="inlineStr">
        <is>
          <t xml:space="preserve">1967/68</t>
        </is>
      </c>
    </row>
    <row r="219">
      <c r="A219" s="2" t="inlineStr">
        <is>
          <t xml:space="preserve">1968-02</t>
        </is>
      </c>
      <c r="B219" s="2">
        <v>1968</v>
      </c>
      <c r="C219" s="2">
        <v>2</v>
      </c>
      <c r="D219" s="2" t="inlineStr">
        <is>
          <t xml:space="preserve">JFM</t>
        </is>
      </c>
      <c r="E219" t="inlineStr">
        <is>
          <t xml:space="preserve">Jan 1968 – Mar 1968</t>
        </is>
      </c>
      <c r="F219" s="3">
        <v>-0.73</v>
      </c>
      <c r="G219" s="4">
        <f>ROUND(F219,1)</f>
        <v>-0.7</v>
      </c>
      <c r="H219" s="2" t="str">
        <f>IF(G219&gt;=0.5,"warm",IF(G219&lt;=-0.5,"cold","neutral"))</f>
        <v>cold</v>
      </c>
      <c r="I219" s="2">
        <f>IF(H219=H218,I218+1,1)</f>
        <v>2</v>
      </c>
      <c r="J219" s="2">
        <f>IF(H219=H220,J220+1,1)</f>
        <v>3</v>
      </c>
      <c r="K219" s="2">
        <f>I219+J219-1</f>
        <v>4</v>
      </c>
      <c r="L219" s="2" t="str">
        <f>IF(H219="neutral","—",IF(K219&gt;=5,IF(H219="warm","El Niño","La Niña"),IF(ROW()+J219-1=920,IF(H219="warm","El Niño (ongoing)","La Niña (ongoing)"),"—")))</f>
        <v>—</v>
      </c>
      <c r="M219" s="2" t="inlineStr">
        <is>
          <t xml:space="preserve">1967/68</t>
        </is>
      </c>
    </row>
    <row r="220">
      <c r="A220" s="2" t="inlineStr">
        <is>
          <t xml:space="preserve">1968-03</t>
        </is>
      </c>
      <c r="B220" s="2">
        <v>1968</v>
      </c>
      <c r="C220" s="2">
        <v>3</v>
      </c>
      <c r="D220" s="2" t="inlineStr">
        <is>
          <t xml:space="preserve">FMA</t>
        </is>
      </c>
      <c r="E220" t="inlineStr">
        <is>
          <t xml:space="preserve">Feb 1968 – Apr 1968</t>
        </is>
      </c>
      <c r="F220" s="3">
        <v>-0.63</v>
      </c>
      <c r="G220" s="4">
        <f>ROUND(F220,1)</f>
        <v>-0.6</v>
      </c>
      <c r="H220" s="2" t="str">
        <f>IF(G220&gt;=0.5,"warm",IF(G220&lt;=-0.5,"cold","neutral"))</f>
        <v>cold</v>
      </c>
      <c r="I220" s="2">
        <f>IF(H220=H219,I219+1,1)</f>
        <v>3</v>
      </c>
      <c r="J220" s="2">
        <f>IF(H220=H221,J221+1,1)</f>
        <v>2</v>
      </c>
      <c r="K220" s="2">
        <f>I220+J220-1</f>
        <v>4</v>
      </c>
      <c r="L220" s="2" t="str">
        <f>IF(H220="neutral","—",IF(K220&gt;=5,IF(H220="warm","El Niño","La Niña"),IF(ROW()+J220-1=920,IF(H220="warm","El Niño (ongoing)","La Niña (ongoing)"),"—")))</f>
        <v>—</v>
      </c>
      <c r="M220" s="2" t="inlineStr">
        <is>
          <t xml:space="preserve">1967/68</t>
        </is>
      </c>
    </row>
    <row r="221">
      <c r="A221" s="2" t="inlineStr">
        <is>
          <t xml:space="preserve">1968-04</t>
        </is>
      </c>
      <c r="B221" s="2">
        <v>1968</v>
      </c>
      <c r="C221" s="2">
        <v>4</v>
      </c>
      <c r="D221" s="2" t="inlineStr">
        <is>
          <t xml:space="preserve">MAM</t>
        </is>
      </c>
      <c r="E221" t="inlineStr">
        <is>
          <t xml:space="preserve">Mar 1968 – May 1968</t>
        </is>
      </c>
      <c r="F221" s="3">
        <v>-0.48</v>
      </c>
      <c r="G221" s="4">
        <f>ROUND(F221,1)</f>
        <v>-0.5</v>
      </c>
      <c r="H221" s="2" t="str">
        <f>IF(G221&gt;=0.5,"warm",IF(G221&lt;=-0.5,"cold","neutral"))</f>
        <v>cold</v>
      </c>
      <c r="I221" s="2">
        <f>IF(H221=H220,I220+1,1)</f>
        <v>4</v>
      </c>
      <c r="J221" s="2">
        <f>IF(H221=H222,J222+1,1)</f>
        <v>1</v>
      </c>
      <c r="K221" s="2">
        <f>I221+J221-1</f>
        <v>4</v>
      </c>
      <c r="L221" s="2" t="str">
        <f>IF(H221="neutral","—",IF(K221&gt;=5,IF(H221="warm","El Niño","La Niña"),IF(ROW()+J221-1=920,IF(H221="warm","El Niño (ongoing)","La Niña (ongoing)"),"—")))</f>
        <v>—</v>
      </c>
      <c r="M221" s="2" t="inlineStr">
        <is>
          <t xml:space="preserve">1967/68</t>
        </is>
      </c>
    </row>
    <row r="222">
      <c r="A222" s="2" t="inlineStr">
        <is>
          <t xml:space="preserve">1968-05</t>
        </is>
      </c>
      <c r="B222" s="2">
        <v>1968</v>
      </c>
      <c r="C222" s="2">
        <v>5</v>
      </c>
      <c r="D222" s="2" t="inlineStr">
        <is>
          <t xml:space="preserve">AMJ</t>
        </is>
      </c>
      <c r="E222" t="inlineStr">
        <is>
          <t xml:space="preserve">Apr 1968 – Jun 1968</t>
        </is>
      </c>
      <c r="F222" s="3">
        <v>-0.1</v>
      </c>
      <c r="G222" s="4">
        <f>ROUND(F222,1)</f>
        <v>-0.1</v>
      </c>
      <c r="H222" s="2" t="str">
        <f>IF(G222&gt;=0.5,"warm",IF(G222&lt;=-0.5,"cold","neutral"))</f>
        <v>neutral</v>
      </c>
      <c r="I222" s="2">
        <f>IF(H222=H221,I221+1,1)</f>
        <v>1</v>
      </c>
      <c r="J222" s="2">
        <f>IF(H222=H223,J223+1,1)</f>
        <v>5</v>
      </c>
      <c r="K222" s="2">
        <f>I222+J222-1</f>
        <v>5</v>
      </c>
      <c r="L222" s="2" t="str">
        <f>IF(H222="neutral","—",IF(K222&gt;=5,IF(H222="warm","El Niño","La Niña"),IF(ROW()+J222-1=920,IF(H222="warm","El Niño (ongoing)","La Niña (ongoing)"),"—")))</f>
        <v>—</v>
      </c>
      <c r="M222" s="2" t="inlineStr">
        <is>
          <t xml:space="preserve">1967/68</t>
        </is>
      </c>
    </row>
    <row r="223">
      <c r="A223" s="2" t="inlineStr">
        <is>
          <t xml:space="preserve">1968-06</t>
        </is>
      </c>
      <c r="B223" s="2">
        <v>1968</v>
      </c>
      <c r="C223" s="2">
        <v>6</v>
      </c>
      <c r="D223" s="2" t="inlineStr">
        <is>
          <t xml:space="preserve">MJJ</t>
        </is>
      </c>
      <c r="E223" t="inlineStr">
        <is>
          <t xml:space="preserve">May 1968 – Jul 1968</t>
        </is>
      </c>
      <c r="F223" s="3">
        <v>0.17</v>
      </c>
      <c r="G223" s="4">
        <f>ROUND(F223,1)</f>
        <v>0.2</v>
      </c>
      <c r="H223" s="2" t="str">
        <f>IF(G223&gt;=0.5,"warm",IF(G223&lt;=-0.5,"cold","neutral"))</f>
        <v>neutral</v>
      </c>
      <c r="I223" s="2">
        <f>IF(H223=H222,I222+1,1)</f>
        <v>2</v>
      </c>
      <c r="J223" s="2">
        <f>IF(H223=H224,J224+1,1)</f>
        <v>4</v>
      </c>
      <c r="K223" s="2">
        <f>I223+J223-1</f>
        <v>5</v>
      </c>
      <c r="L223" s="2" t="str">
        <f>IF(H223="neutral","—",IF(K223&gt;=5,IF(H223="warm","El Niño","La Niña"),IF(ROW()+J223-1=920,IF(H223="warm","El Niño (ongoing)","La Niña (ongoing)"),"—")))</f>
        <v>—</v>
      </c>
      <c r="M223" s="2" t="inlineStr">
        <is>
          <t xml:space="preserve">1967/68</t>
        </is>
      </c>
    </row>
    <row r="224">
      <c r="A224" s="2" t="inlineStr">
        <is>
          <t xml:space="preserve">1968-07</t>
        </is>
      </c>
      <c r="B224" s="2">
        <v>1968</v>
      </c>
      <c r="C224" s="2">
        <v>7</v>
      </c>
      <c r="D224" s="2" t="inlineStr">
        <is>
          <t xml:space="preserve">JJA</t>
        </is>
      </c>
      <c r="E224" t="inlineStr">
        <is>
          <t xml:space="preserve">Jun 1968 – Aug 1968</t>
        </is>
      </c>
      <c r="F224" s="3">
        <v>0.44</v>
      </c>
      <c r="G224" s="4">
        <f>ROUND(F224,1)</f>
        <v>0.4</v>
      </c>
      <c r="H224" s="2" t="str">
        <f>IF(G224&gt;=0.5,"warm",IF(G224&lt;=-0.5,"cold","neutral"))</f>
        <v>neutral</v>
      </c>
      <c r="I224" s="2">
        <f>IF(H224=H223,I223+1,1)</f>
        <v>3</v>
      </c>
      <c r="J224" s="2">
        <f>IF(H224=H225,J225+1,1)</f>
        <v>3</v>
      </c>
      <c r="K224" s="2">
        <f>I224+J224-1</f>
        <v>5</v>
      </c>
      <c r="L224" s="2" t="str">
        <f>IF(H224="neutral","—",IF(K224&gt;=5,IF(H224="warm","El Niño","La Niña"),IF(ROW()+J224-1=920,IF(H224="warm","El Niño (ongoing)","La Niña (ongoing)"),"—")))</f>
        <v>—</v>
      </c>
      <c r="M224" s="2" t="inlineStr">
        <is>
          <t xml:space="preserve">1968/69</t>
        </is>
      </c>
    </row>
    <row r="225">
      <c r="A225" s="2" t="inlineStr">
        <is>
          <t xml:space="preserve">1968-08</t>
        </is>
      </c>
      <c r="B225" s="2">
        <v>1968</v>
      </c>
      <c r="C225" s="2">
        <v>8</v>
      </c>
      <c r="D225" s="2" t="inlineStr">
        <is>
          <t xml:space="preserve">JAS</t>
        </is>
      </c>
      <c r="E225" t="inlineStr">
        <is>
          <t xml:space="preserve">Jul 1968 – Sep 1968</t>
        </is>
      </c>
      <c r="F225" s="3">
        <v>0.38</v>
      </c>
      <c r="G225" s="4">
        <f>ROUND(F225,1)</f>
        <v>0.4</v>
      </c>
      <c r="H225" s="2" t="str">
        <f>IF(G225&gt;=0.5,"warm",IF(G225&lt;=-0.5,"cold","neutral"))</f>
        <v>neutral</v>
      </c>
      <c r="I225" s="2">
        <f>IF(H225=H224,I224+1,1)</f>
        <v>4</v>
      </c>
      <c r="J225" s="2">
        <f>IF(H225=H226,J226+1,1)</f>
        <v>2</v>
      </c>
      <c r="K225" s="2">
        <f>I225+J225-1</f>
        <v>5</v>
      </c>
      <c r="L225" s="2" t="str">
        <f>IF(H225="neutral","—",IF(K225&gt;=5,IF(H225="warm","El Niño","La Niña"),IF(ROW()+J225-1=920,IF(H225="warm","El Niño (ongoing)","La Niña (ongoing)"),"—")))</f>
        <v>—</v>
      </c>
      <c r="M225" s="2" t="inlineStr">
        <is>
          <t xml:space="preserve">1968/69</t>
        </is>
      </c>
    </row>
    <row r="226">
      <c r="A226" s="2" t="inlineStr">
        <is>
          <t xml:space="preserve">1968-09</t>
        </is>
      </c>
      <c r="B226" s="2">
        <v>1968</v>
      </c>
      <c r="C226" s="2">
        <v>9</v>
      </c>
      <c r="D226" s="2" t="inlineStr">
        <is>
          <t xml:space="preserve">ASO</t>
        </is>
      </c>
      <c r="E226" t="inlineStr">
        <is>
          <t xml:space="preserve">Aug 1968 – Oct 1968</t>
        </is>
      </c>
      <c r="F226" s="3">
        <v>0.34</v>
      </c>
      <c r="G226" s="4">
        <f>ROUND(F226,1)</f>
        <v>0.3</v>
      </c>
      <c r="H226" s="2" t="str">
        <f>IF(G226&gt;=0.5,"warm",IF(G226&lt;=-0.5,"cold","neutral"))</f>
        <v>neutral</v>
      </c>
      <c r="I226" s="2">
        <f>IF(H226=H225,I225+1,1)</f>
        <v>5</v>
      </c>
      <c r="J226" s="2">
        <f>IF(H226=H227,J227+1,1)</f>
        <v>1</v>
      </c>
      <c r="K226" s="2">
        <f>I226+J226-1</f>
        <v>5</v>
      </c>
      <c r="L226" s="2" t="str">
        <f>IF(H226="neutral","—",IF(K226&gt;=5,IF(H226="warm","El Niño","La Niña"),IF(ROW()+J226-1=920,IF(H226="warm","El Niño (ongoing)","La Niña (ongoing)"),"—")))</f>
        <v>—</v>
      </c>
      <c r="M226" s="2" t="inlineStr">
        <is>
          <t xml:space="preserve">1968/69</t>
        </is>
      </c>
    </row>
    <row r="227">
      <c r="A227" s="2" t="inlineStr">
        <is>
          <t xml:space="preserve">1968-10</t>
        </is>
      </c>
      <c r="B227" s="2">
        <v>1968</v>
      </c>
      <c r="C227" s="2">
        <v>10</v>
      </c>
      <c r="D227" s="2" t="inlineStr">
        <is>
          <t xml:space="preserve">SON</t>
        </is>
      </c>
      <c r="E227" t="inlineStr">
        <is>
          <t xml:space="preserve">Sep 1968 – Nov 1968</t>
        </is>
      </c>
      <c r="F227" s="3">
        <v>0.5</v>
      </c>
      <c r="G227" s="4">
        <f>ROUND(F227,1)</f>
        <v>0.5</v>
      </c>
      <c r="H227" s="2" t="str">
        <f>IF(G227&gt;=0.5,"warm",IF(G227&lt;=-0.5,"cold","neutral"))</f>
        <v>warm</v>
      </c>
      <c r="I227" s="2">
        <f>IF(H227=H226,I226+1,1)</f>
        <v>1</v>
      </c>
      <c r="J227" s="2">
        <f>IF(H227=H228,J228+1,1)</f>
        <v>9</v>
      </c>
      <c r="K227" s="2">
        <f>I227+J227-1</f>
        <v>9</v>
      </c>
      <c r="L227" s="6" t="str">
        <f>IF(H227="neutral","—",IF(K227&gt;=5,IF(H227="warm","El Niño","La Niña"),IF(ROW()+J227-1=920,IF(H227="warm","El Niño (ongoing)","La Niña (ongoing)"),"—")))</f>
        <v>El Niño</v>
      </c>
      <c r="M227" s="2" t="inlineStr">
        <is>
          <t xml:space="preserve">1968/69</t>
        </is>
      </c>
    </row>
    <row r="228">
      <c r="A228" s="2" t="inlineStr">
        <is>
          <t xml:space="preserve">1968-11</t>
        </is>
      </c>
      <c r="B228" s="2">
        <v>1968</v>
      </c>
      <c r="C228" s="2">
        <v>11</v>
      </c>
      <c r="D228" s="2" t="inlineStr">
        <is>
          <t xml:space="preserve">OND</t>
        </is>
      </c>
      <c r="E228" t="inlineStr">
        <is>
          <t xml:space="preserve">Oct 1968 – Dec 1968</t>
        </is>
      </c>
      <c r="F228" s="3">
        <v>0.66</v>
      </c>
      <c r="G228" s="4">
        <f>ROUND(F228,1)</f>
        <v>0.7</v>
      </c>
      <c r="H228" s="2" t="str">
        <f>IF(G228&gt;=0.5,"warm",IF(G228&lt;=-0.5,"cold","neutral"))</f>
        <v>warm</v>
      </c>
      <c r="I228" s="2">
        <f>IF(H228=H227,I227+1,1)</f>
        <v>2</v>
      </c>
      <c r="J228" s="2">
        <f>IF(H228=H229,J229+1,1)</f>
        <v>8</v>
      </c>
      <c r="K228" s="2">
        <f>I228+J228-1</f>
        <v>9</v>
      </c>
      <c r="L228" s="6" t="str">
        <f>IF(H228="neutral","—",IF(K228&gt;=5,IF(H228="warm","El Niño","La Niña"),IF(ROW()+J228-1=920,IF(H228="warm","El Niño (ongoing)","La Niña (ongoing)"),"—")))</f>
        <v>El Niño</v>
      </c>
      <c r="M228" s="2" t="inlineStr">
        <is>
          <t xml:space="preserve">1968/69</t>
        </is>
      </c>
    </row>
    <row r="229">
      <c r="A229" s="2" t="inlineStr">
        <is>
          <t xml:space="preserve">1968-12</t>
        </is>
      </c>
      <c r="B229" s="2">
        <v>1968</v>
      </c>
      <c r="C229" s="2">
        <v>12</v>
      </c>
      <c r="D229" s="2" t="inlineStr">
        <is>
          <t xml:space="preserve">NDJ</t>
        </is>
      </c>
      <c r="E229" t="inlineStr">
        <is>
          <t xml:space="preserve">Nov 1968 – Jan 1969</t>
        </is>
      </c>
      <c r="F229" s="3">
        <v>0.93</v>
      </c>
      <c r="G229" s="4">
        <f>ROUND(F229,1)</f>
        <v>0.9</v>
      </c>
      <c r="H229" s="2" t="str">
        <f>IF(G229&gt;=0.5,"warm",IF(G229&lt;=-0.5,"cold","neutral"))</f>
        <v>warm</v>
      </c>
      <c r="I229" s="2">
        <f>IF(H229=H228,I228+1,1)</f>
        <v>3</v>
      </c>
      <c r="J229" s="2">
        <f>IF(H229=H230,J230+1,1)</f>
        <v>7</v>
      </c>
      <c r="K229" s="2">
        <f>I229+J229-1</f>
        <v>9</v>
      </c>
      <c r="L229" s="6" t="str">
        <f>IF(H229="neutral","—",IF(K229&gt;=5,IF(H229="warm","El Niño","La Niña"),IF(ROW()+J229-1=920,IF(H229="warm","El Niño (ongoing)","La Niña (ongoing)"),"—")))</f>
        <v>El Niño</v>
      </c>
      <c r="M229" s="2" t="inlineStr">
        <is>
          <t xml:space="preserve">1968/69</t>
        </is>
      </c>
    </row>
    <row r="230">
      <c r="A230" s="2" t="inlineStr">
        <is>
          <t xml:space="preserve">1969-01</t>
        </is>
      </c>
      <c r="B230" s="2">
        <v>1969</v>
      </c>
      <c r="C230" s="2">
        <v>1</v>
      </c>
      <c r="D230" s="2" t="inlineStr">
        <is>
          <t xml:space="preserve">DJF</t>
        </is>
      </c>
      <c r="E230" t="inlineStr">
        <is>
          <t xml:space="preserve">Dec 1968 – Feb 1969</t>
        </is>
      </c>
      <c r="F230" s="3">
        <v>0.98</v>
      </c>
      <c r="G230" s="4">
        <f>ROUND(F230,1)</f>
        <v>1.0</v>
      </c>
      <c r="H230" s="2" t="str">
        <f>IF(G230&gt;=0.5,"warm",IF(G230&lt;=-0.5,"cold","neutral"))</f>
        <v>warm</v>
      </c>
      <c r="I230" s="2">
        <f>IF(H230=H229,I229+1,1)</f>
        <v>4</v>
      </c>
      <c r="J230" s="2">
        <f>IF(H230=H231,J231+1,1)</f>
        <v>6</v>
      </c>
      <c r="K230" s="2">
        <f>I230+J230-1</f>
        <v>9</v>
      </c>
      <c r="L230" s="6" t="str">
        <f>IF(H230="neutral","—",IF(K230&gt;=5,IF(H230="warm","El Niño","La Niña"),IF(ROW()+J230-1=920,IF(H230="warm","El Niño (ongoing)","La Niña (ongoing)"),"—")))</f>
        <v>El Niño</v>
      </c>
      <c r="M230" s="2" t="inlineStr">
        <is>
          <t xml:space="preserve">1968/69</t>
        </is>
      </c>
    </row>
    <row r="231">
      <c r="A231" s="2" t="inlineStr">
        <is>
          <t xml:space="preserve">1969-02</t>
        </is>
      </c>
      <c r="B231" s="2">
        <v>1969</v>
      </c>
      <c r="C231" s="2">
        <v>2</v>
      </c>
      <c r="D231" s="2" t="inlineStr">
        <is>
          <t xml:space="preserve">JFM</t>
        </is>
      </c>
      <c r="E231" t="inlineStr">
        <is>
          <t xml:space="preserve">Jan 1969 – Mar 1969</t>
        </is>
      </c>
      <c r="F231" s="3">
        <v>0.98</v>
      </c>
      <c r="G231" s="4">
        <f>ROUND(F231,1)</f>
        <v>1.0</v>
      </c>
      <c r="H231" s="2" t="str">
        <f>IF(G231&gt;=0.5,"warm",IF(G231&lt;=-0.5,"cold","neutral"))</f>
        <v>warm</v>
      </c>
      <c r="I231" s="2">
        <f>IF(H231=H230,I230+1,1)</f>
        <v>5</v>
      </c>
      <c r="J231" s="2">
        <f>IF(H231=H232,J232+1,1)</f>
        <v>5</v>
      </c>
      <c r="K231" s="2">
        <f>I231+J231-1</f>
        <v>9</v>
      </c>
      <c r="L231" s="6" t="str">
        <f>IF(H231="neutral","—",IF(K231&gt;=5,IF(H231="warm","El Niño","La Niña"),IF(ROW()+J231-1=920,IF(H231="warm","El Niño (ongoing)","La Niña (ongoing)"),"—")))</f>
        <v>El Niño</v>
      </c>
      <c r="M231" s="2" t="inlineStr">
        <is>
          <t xml:space="preserve">1968/69</t>
        </is>
      </c>
    </row>
    <row r="232">
      <c r="A232" s="2" t="inlineStr">
        <is>
          <t xml:space="preserve">1969-03</t>
        </is>
      </c>
      <c r="B232" s="2">
        <v>1969</v>
      </c>
      <c r="C232" s="2">
        <v>3</v>
      </c>
      <c r="D232" s="2" t="inlineStr">
        <is>
          <t xml:space="preserve">FMA</t>
        </is>
      </c>
      <c r="E232" t="inlineStr">
        <is>
          <t xml:space="preserve">Feb 1969 – Apr 1969</t>
        </is>
      </c>
      <c r="F232" s="3">
        <v>0.77</v>
      </c>
      <c r="G232" s="4">
        <f>ROUND(F232,1)</f>
        <v>0.8</v>
      </c>
      <c r="H232" s="2" t="str">
        <f>IF(G232&gt;=0.5,"warm",IF(G232&lt;=-0.5,"cold","neutral"))</f>
        <v>warm</v>
      </c>
      <c r="I232" s="2">
        <f>IF(H232=H231,I231+1,1)</f>
        <v>6</v>
      </c>
      <c r="J232" s="2">
        <f>IF(H232=H233,J233+1,1)</f>
        <v>4</v>
      </c>
      <c r="K232" s="2">
        <f>I232+J232-1</f>
        <v>9</v>
      </c>
      <c r="L232" s="6" t="str">
        <f>IF(H232="neutral","—",IF(K232&gt;=5,IF(H232="warm","El Niño","La Niña"),IF(ROW()+J232-1=920,IF(H232="warm","El Niño (ongoing)","La Niña (ongoing)"),"—")))</f>
        <v>El Niño</v>
      </c>
      <c r="M232" s="2" t="inlineStr">
        <is>
          <t xml:space="preserve">1968/69</t>
        </is>
      </c>
    </row>
    <row r="233">
      <c r="A233" s="2" t="inlineStr">
        <is>
          <t xml:space="preserve">1969-04</t>
        </is>
      </c>
      <c r="B233" s="2">
        <v>1969</v>
      </c>
      <c r="C233" s="2">
        <v>4</v>
      </c>
      <c r="D233" s="2" t="inlineStr">
        <is>
          <t xml:space="preserve">MAM</t>
        </is>
      </c>
      <c r="E233" t="inlineStr">
        <is>
          <t xml:space="preserve">Mar 1969 – May 1969</t>
        </is>
      </c>
      <c r="F233" s="3">
        <v>0.69</v>
      </c>
      <c r="G233" s="4">
        <f>ROUND(F233,1)</f>
        <v>0.7</v>
      </c>
      <c r="H233" s="2" t="str">
        <f>IF(G233&gt;=0.5,"warm",IF(G233&lt;=-0.5,"cold","neutral"))</f>
        <v>warm</v>
      </c>
      <c r="I233" s="2">
        <f>IF(H233=H232,I232+1,1)</f>
        <v>7</v>
      </c>
      <c r="J233" s="2">
        <f>IF(H233=H234,J234+1,1)</f>
        <v>3</v>
      </c>
      <c r="K233" s="2">
        <f>I233+J233-1</f>
        <v>9</v>
      </c>
      <c r="L233" s="6" t="str">
        <f>IF(H233="neutral","—",IF(K233&gt;=5,IF(H233="warm","El Niño","La Niña"),IF(ROW()+J233-1=920,IF(H233="warm","El Niño (ongoing)","La Niña (ongoing)"),"—")))</f>
        <v>El Niño</v>
      </c>
      <c r="M233" s="2" t="inlineStr">
        <is>
          <t xml:space="preserve">1968/69</t>
        </is>
      </c>
    </row>
    <row r="234">
      <c r="A234" s="2" t="inlineStr">
        <is>
          <t xml:space="preserve">1969-05</t>
        </is>
      </c>
      <c r="B234" s="2">
        <v>1969</v>
      </c>
      <c r="C234" s="2">
        <v>5</v>
      </c>
      <c r="D234" s="2" t="inlineStr">
        <is>
          <t xml:space="preserve">AMJ</t>
        </is>
      </c>
      <c r="E234" t="inlineStr">
        <is>
          <t xml:space="preserve">Apr 1969 – Jun 1969</t>
        </is>
      </c>
      <c r="F234" s="3">
        <v>0.62</v>
      </c>
      <c r="G234" s="4">
        <f>ROUND(F234,1)</f>
        <v>0.6</v>
      </c>
      <c r="H234" s="2" t="str">
        <f>IF(G234&gt;=0.5,"warm",IF(G234&lt;=-0.5,"cold","neutral"))</f>
        <v>warm</v>
      </c>
      <c r="I234" s="2">
        <f>IF(H234=H233,I233+1,1)</f>
        <v>8</v>
      </c>
      <c r="J234" s="2">
        <f>IF(H234=H235,J235+1,1)</f>
        <v>2</v>
      </c>
      <c r="K234" s="2">
        <f>I234+J234-1</f>
        <v>9</v>
      </c>
      <c r="L234" s="6" t="str">
        <f>IF(H234="neutral","—",IF(K234&gt;=5,IF(H234="warm","El Niño","La Niña"),IF(ROW()+J234-1=920,IF(H234="warm","El Niño (ongoing)","La Niña (ongoing)"),"—")))</f>
        <v>El Niño</v>
      </c>
      <c r="M234" s="2" t="inlineStr">
        <is>
          <t xml:space="preserve">1968/69</t>
        </is>
      </c>
    </row>
    <row r="235">
      <c r="A235" s="2" t="inlineStr">
        <is>
          <t xml:space="preserve">1969-06</t>
        </is>
      </c>
      <c r="B235" s="2">
        <v>1969</v>
      </c>
      <c r="C235" s="2">
        <v>6</v>
      </c>
      <c r="D235" s="2" t="inlineStr">
        <is>
          <t xml:space="preserve">MJJ</t>
        </is>
      </c>
      <c r="E235" t="inlineStr">
        <is>
          <t xml:space="preserve">May 1969 – Jul 1969</t>
        </is>
      </c>
      <c r="F235" s="3">
        <v>0.48</v>
      </c>
      <c r="G235" s="4">
        <f>ROUND(F235,1)</f>
        <v>0.5</v>
      </c>
      <c r="H235" s="2" t="str">
        <f>IF(G235&gt;=0.5,"warm",IF(G235&lt;=-0.5,"cold","neutral"))</f>
        <v>warm</v>
      </c>
      <c r="I235" s="2">
        <f>IF(H235=H234,I234+1,1)</f>
        <v>9</v>
      </c>
      <c r="J235" s="2">
        <f>IF(H235=H236,J236+1,1)</f>
        <v>1</v>
      </c>
      <c r="K235" s="2">
        <f>I235+J235-1</f>
        <v>9</v>
      </c>
      <c r="L235" s="6" t="str">
        <f>IF(H235="neutral","—",IF(K235&gt;=5,IF(H235="warm","El Niño","La Niña"),IF(ROW()+J235-1=920,IF(H235="warm","El Niño (ongoing)","La Niña (ongoing)"),"—")))</f>
        <v>El Niño</v>
      </c>
      <c r="M235" s="2" t="inlineStr">
        <is>
          <t xml:space="preserve">1968/69</t>
        </is>
      </c>
    </row>
    <row r="236">
      <c r="A236" s="2" t="inlineStr">
        <is>
          <t xml:space="preserve">1969-07</t>
        </is>
      </c>
      <c r="B236" s="2">
        <v>1969</v>
      </c>
      <c r="C236" s="2">
        <v>7</v>
      </c>
      <c r="D236" s="2" t="inlineStr">
        <is>
          <t xml:space="preserve">JJA</t>
        </is>
      </c>
      <c r="E236" t="inlineStr">
        <is>
          <t xml:space="preserve">Jun 1969 – Aug 1969</t>
        </is>
      </c>
      <c r="F236" s="3">
        <v>0.37</v>
      </c>
      <c r="G236" s="4">
        <f>ROUND(F236,1)</f>
        <v>0.4</v>
      </c>
      <c r="H236" s="2" t="str">
        <f>IF(G236&gt;=0.5,"warm",IF(G236&lt;=-0.5,"cold","neutral"))</f>
        <v>neutral</v>
      </c>
      <c r="I236" s="2">
        <f>IF(H236=H235,I235+1,1)</f>
        <v>1</v>
      </c>
      <c r="J236" s="2">
        <f>IF(H236=H237,J237+1,1)</f>
        <v>2</v>
      </c>
      <c r="K236" s="2">
        <f>I236+J236-1</f>
        <v>2</v>
      </c>
      <c r="L236" s="2" t="str">
        <f>IF(H236="neutral","—",IF(K236&gt;=5,IF(H236="warm","El Niño","La Niña"),IF(ROW()+J236-1=920,IF(H236="warm","El Niño (ongoing)","La Niña (ongoing)"),"—")))</f>
        <v>—</v>
      </c>
      <c r="M236" s="2" t="inlineStr">
        <is>
          <t xml:space="preserve">1969/70</t>
        </is>
      </c>
    </row>
    <row r="237">
      <c r="A237" s="2" t="inlineStr">
        <is>
          <t xml:space="preserve">1969-08</t>
        </is>
      </c>
      <c r="B237" s="2">
        <v>1969</v>
      </c>
      <c r="C237" s="2">
        <v>8</v>
      </c>
      <c r="D237" s="2" t="inlineStr">
        <is>
          <t xml:space="preserve">JAS</t>
        </is>
      </c>
      <c r="E237" t="inlineStr">
        <is>
          <t xml:space="preserve">Jul 1969 – Sep 1969</t>
        </is>
      </c>
      <c r="F237" s="3">
        <v>0.41</v>
      </c>
      <c r="G237" s="4">
        <f>ROUND(F237,1)</f>
        <v>0.4</v>
      </c>
      <c r="H237" s="2" t="str">
        <f>IF(G237&gt;=0.5,"warm",IF(G237&lt;=-0.5,"cold","neutral"))</f>
        <v>neutral</v>
      </c>
      <c r="I237" s="2">
        <f>IF(H237=H236,I236+1,1)</f>
        <v>2</v>
      </c>
      <c r="J237" s="2">
        <f>IF(H237=H238,J238+1,1)</f>
        <v>1</v>
      </c>
      <c r="K237" s="2">
        <f>I237+J237-1</f>
        <v>2</v>
      </c>
      <c r="L237" s="2" t="str">
        <f>IF(H237="neutral","—",IF(K237&gt;=5,IF(H237="warm","El Niño","La Niña"),IF(ROW()+J237-1=920,IF(H237="warm","El Niño (ongoing)","La Niña (ongoing)"),"—")))</f>
        <v>—</v>
      </c>
      <c r="M237" s="2" t="inlineStr">
        <is>
          <t xml:space="preserve">1969/70</t>
        </is>
      </c>
    </row>
    <row r="238">
      <c r="A238" s="2" t="inlineStr">
        <is>
          <t xml:space="preserve">1969-09</t>
        </is>
      </c>
      <c r="B238" s="2">
        <v>1969</v>
      </c>
      <c r="C238" s="2">
        <v>9</v>
      </c>
      <c r="D238" s="2" t="inlineStr">
        <is>
          <t xml:space="preserve">ASO</t>
        </is>
      </c>
      <c r="E238" t="inlineStr">
        <is>
          <t xml:space="preserve">Aug 1969 – Oct 1969</t>
        </is>
      </c>
      <c r="F238" s="3">
        <v>0.61</v>
      </c>
      <c r="G238" s="4">
        <f>ROUND(F238,1)</f>
        <v>0.6</v>
      </c>
      <c r="H238" s="2" t="str">
        <f>IF(G238&gt;=0.5,"warm",IF(G238&lt;=-0.5,"cold","neutral"))</f>
        <v>warm</v>
      </c>
      <c r="I238" s="2">
        <f>IF(H238=H237,I237+1,1)</f>
        <v>1</v>
      </c>
      <c r="J238" s="2">
        <f>IF(H238=H239,J239+1,1)</f>
        <v>5</v>
      </c>
      <c r="K238" s="2">
        <f>I238+J238-1</f>
        <v>5</v>
      </c>
      <c r="L238" s="6" t="str">
        <f>IF(H238="neutral","—",IF(K238&gt;=5,IF(H238="warm","El Niño","La Niña"),IF(ROW()+J238-1=920,IF(H238="warm","El Niño (ongoing)","La Niña (ongoing)"),"—")))</f>
        <v>El Niño</v>
      </c>
      <c r="M238" s="2" t="inlineStr">
        <is>
          <t xml:space="preserve">1969/70</t>
        </is>
      </c>
    </row>
    <row r="239">
      <c r="A239" s="2" t="inlineStr">
        <is>
          <t xml:space="preserve">1969-10</t>
        </is>
      </c>
      <c r="B239" s="2">
        <v>1969</v>
      </c>
      <c r="C239" s="2">
        <v>10</v>
      </c>
      <c r="D239" s="2" t="inlineStr">
        <is>
          <t xml:space="preserve">SON</t>
        </is>
      </c>
      <c r="E239" t="inlineStr">
        <is>
          <t xml:space="preserve">Sep 1969 – Nov 1969</t>
        </is>
      </c>
      <c r="F239" s="3">
        <v>0.71</v>
      </c>
      <c r="G239" s="4">
        <f>ROUND(F239,1)</f>
        <v>0.7</v>
      </c>
      <c r="H239" s="2" t="str">
        <f>IF(G239&gt;=0.5,"warm",IF(G239&lt;=-0.5,"cold","neutral"))</f>
        <v>warm</v>
      </c>
      <c r="I239" s="2">
        <f>IF(H239=H238,I238+1,1)</f>
        <v>2</v>
      </c>
      <c r="J239" s="2">
        <f>IF(H239=H240,J240+1,1)</f>
        <v>4</v>
      </c>
      <c r="K239" s="2">
        <f>I239+J239-1</f>
        <v>5</v>
      </c>
      <c r="L239" s="6" t="str">
        <f>IF(H239="neutral","—",IF(K239&gt;=5,IF(H239="warm","El Niño","La Niña"),IF(ROW()+J239-1=920,IF(H239="warm","El Niño (ongoing)","La Niña (ongoing)"),"—")))</f>
        <v>El Niño</v>
      </c>
      <c r="M239" s="2" t="inlineStr">
        <is>
          <t xml:space="preserve">1969/70</t>
        </is>
      </c>
    </row>
    <row r="240">
      <c r="A240" s="2" t="inlineStr">
        <is>
          <t xml:space="preserve">1969-11</t>
        </is>
      </c>
      <c r="B240" s="2">
        <v>1969</v>
      </c>
      <c r="C240" s="2">
        <v>11</v>
      </c>
      <c r="D240" s="2" t="inlineStr">
        <is>
          <t xml:space="preserve">OND</t>
        </is>
      </c>
      <c r="E240" t="inlineStr">
        <is>
          <t xml:space="preserve">Oct 1969 – Dec 1969</t>
        </is>
      </c>
      <c r="F240" s="3">
        <v>0.81</v>
      </c>
      <c r="G240" s="4">
        <f>ROUND(F240,1)</f>
        <v>0.8</v>
      </c>
      <c r="H240" s="2" t="str">
        <f>IF(G240&gt;=0.5,"warm",IF(G240&lt;=-0.5,"cold","neutral"))</f>
        <v>warm</v>
      </c>
      <c r="I240" s="2">
        <f>IF(H240=H239,I239+1,1)</f>
        <v>3</v>
      </c>
      <c r="J240" s="2">
        <f>IF(H240=H241,J241+1,1)</f>
        <v>3</v>
      </c>
      <c r="K240" s="2">
        <f>I240+J240-1</f>
        <v>5</v>
      </c>
      <c r="L240" s="6" t="str">
        <f>IF(H240="neutral","—",IF(K240&gt;=5,IF(H240="warm","El Niño","La Niña"),IF(ROW()+J240-1=920,IF(H240="warm","El Niño (ongoing)","La Niña (ongoing)"),"—")))</f>
        <v>El Niño</v>
      </c>
      <c r="M240" s="2" t="inlineStr">
        <is>
          <t xml:space="preserve">1969/70</t>
        </is>
      </c>
    </row>
    <row r="241">
      <c r="A241" s="2" t="inlineStr">
        <is>
          <t xml:space="preserve">1969-12</t>
        </is>
      </c>
      <c r="B241" s="2">
        <v>1969</v>
      </c>
      <c r="C241" s="2">
        <v>12</v>
      </c>
      <c r="D241" s="2" t="inlineStr">
        <is>
          <t xml:space="preserve">NDJ</t>
        </is>
      </c>
      <c r="E241" t="inlineStr">
        <is>
          <t xml:space="preserve">Nov 1969 – Jan 1970</t>
        </is>
      </c>
      <c r="F241" s="3">
        <v>0.71</v>
      </c>
      <c r="G241" s="4">
        <f>ROUND(F241,1)</f>
        <v>0.7</v>
      </c>
      <c r="H241" s="2" t="str">
        <f>IF(G241&gt;=0.5,"warm",IF(G241&lt;=-0.5,"cold","neutral"))</f>
        <v>warm</v>
      </c>
      <c r="I241" s="2">
        <f>IF(H241=H240,I240+1,1)</f>
        <v>4</v>
      </c>
      <c r="J241" s="2">
        <f>IF(H241=H242,J242+1,1)</f>
        <v>2</v>
      </c>
      <c r="K241" s="2">
        <f>I241+J241-1</f>
        <v>5</v>
      </c>
      <c r="L241" s="6" t="str">
        <f>IF(H241="neutral","—",IF(K241&gt;=5,IF(H241="warm","El Niño","La Niña"),IF(ROW()+J241-1=920,IF(H241="warm","El Niño (ongoing)","La Niña (ongoing)"),"—")))</f>
        <v>El Niño</v>
      </c>
      <c r="M241" s="2" t="inlineStr">
        <is>
          <t xml:space="preserve">1969/70</t>
        </is>
      </c>
    </row>
    <row r="242">
      <c r="A242" s="2" t="inlineStr">
        <is>
          <t xml:space="preserve">1970-01</t>
        </is>
      </c>
      <c r="B242" s="2">
        <v>1970</v>
      </c>
      <c r="C242" s="2">
        <v>1</v>
      </c>
      <c r="D242" s="2" t="inlineStr">
        <is>
          <t xml:space="preserve">DJF</t>
        </is>
      </c>
      <c r="E242" t="inlineStr">
        <is>
          <t xml:space="preserve">Dec 1969 – Feb 1970</t>
        </is>
      </c>
      <c r="F242" s="3">
        <v>0.46</v>
      </c>
      <c r="G242" s="4">
        <f>ROUND(F242,1)</f>
        <v>0.5</v>
      </c>
      <c r="H242" s="2" t="str">
        <f>IF(G242&gt;=0.5,"warm",IF(G242&lt;=-0.5,"cold","neutral"))</f>
        <v>warm</v>
      </c>
      <c r="I242" s="2">
        <f>IF(H242=H241,I241+1,1)</f>
        <v>5</v>
      </c>
      <c r="J242" s="2">
        <f>IF(H242=H243,J243+1,1)</f>
        <v>1</v>
      </c>
      <c r="K242" s="2">
        <f>I242+J242-1</f>
        <v>5</v>
      </c>
      <c r="L242" s="6" t="str">
        <f>IF(H242="neutral","—",IF(K242&gt;=5,IF(H242="warm","El Niño","La Niña"),IF(ROW()+J242-1=920,IF(H242="warm","El Niño (ongoing)","La Niña (ongoing)"),"—")))</f>
        <v>El Niño</v>
      </c>
      <c r="M242" s="2" t="inlineStr">
        <is>
          <t xml:space="preserve">1969/70</t>
        </is>
      </c>
    </row>
    <row r="243">
      <c r="A243" s="2" t="inlineStr">
        <is>
          <t xml:space="preserve">1970-02</t>
        </is>
      </c>
      <c r="B243" s="2">
        <v>1970</v>
      </c>
      <c r="C243" s="2">
        <v>2</v>
      </c>
      <c r="D243" s="2" t="inlineStr">
        <is>
          <t xml:space="preserve">JFM</t>
        </is>
      </c>
      <c r="E243" t="inlineStr">
        <is>
          <t xml:space="preserve">Jan 1970 – Mar 1970</t>
        </is>
      </c>
      <c r="F243" s="3">
        <v>0.23</v>
      </c>
      <c r="G243" s="4">
        <f>ROUND(F243,1)</f>
        <v>0.2</v>
      </c>
      <c r="H243" s="2" t="str">
        <f>IF(G243&gt;=0.5,"warm",IF(G243&lt;=-0.5,"cold","neutral"))</f>
        <v>neutral</v>
      </c>
      <c r="I243" s="2">
        <f>IF(H243=H242,I242+1,1)</f>
        <v>1</v>
      </c>
      <c r="J243" s="2">
        <f>IF(H243=H244,J244+1,1)</f>
        <v>5</v>
      </c>
      <c r="K243" s="2">
        <f>I243+J243-1</f>
        <v>5</v>
      </c>
      <c r="L243" s="2" t="str">
        <f>IF(H243="neutral","—",IF(K243&gt;=5,IF(H243="warm","El Niño","La Niña"),IF(ROW()+J243-1=920,IF(H243="warm","El Niño (ongoing)","La Niña (ongoing)"),"—")))</f>
        <v>—</v>
      </c>
      <c r="M243" s="2" t="inlineStr">
        <is>
          <t xml:space="preserve">1969/70</t>
        </is>
      </c>
    </row>
    <row r="244">
      <c r="A244" s="2" t="inlineStr">
        <is>
          <t xml:space="preserve">1970-03</t>
        </is>
      </c>
      <c r="B244" s="2">
        <v>1970</v>
      </c>
      <c r="C244" s="2">
        <v>3</v>
      </c>
      <c r="D244" s="2" t="inlineStr">
        <is>
          <t xml:space="preserve">FMA</t>
        </is>
      </c>
      <c r="E244" t="inlineStr">
        <is>
          <t xml:space="preserve">Feb 1970 – Apr 1970</t>
        </is>
      </c>
      <c r="F244" s="3">
        <v>0.23</v>
      </c>
      <c r="G244" s="4">
        <f>ROUND(F244,1)</f>
        <v>0.2</v>
      </c>
      <c r="H244" s="2" t="str">
        <f>IF(G244&gt;=0.5,"warm",IF(G244&lt;=-0.5,"cold","neutral"))</f>
        <v>neutral</v>
      </c>
      <c r="I244" s="2">
        <f>IF(H244=H243,I243+1,1)</f>
        <v>2</v>
      </c>
      <c r="J244" s="2">
        <f>IF(H244=H245,J245+1,1)</f>
        <v>4</v>
      </c>
      <c r="K244" s="2">
        <f>I244+J244-1</f>
        <v>5</v>
      </c>
      <c r="L244" s="2" t="str">
        <f>IF(H244="neutral","—",IF(K244&gt;=5,IF(H244="warm","El Niño","La Niña"),IF(ROW()+J244-1=920,IF(H244="warm","El Niño (ongoing)","La Niña (ongoing)"),"—")))</f>
        <v>—</v>
      </c>
      <c r="M244" s="2" t="inlineStr">
        <is>
          <t xml:space="preserve">1969/70</t>
        </is>
      </c>
    </row>
    <row r="245">
      <c r="A245" s="2" t="inlineStr">
        <is>
          <t xml:space="preserve">1970-04</t>
        </is>
      </c>
      <c r="B245" s="2">
        <v>1970</v>
      </c>
      <c r="C245" s="2">
        <v>4</v>
      </c>
      <c r="D245" s="2" t="inlineStr">
        <is>
          <t xml:space="preserve">MAM</t>
        </is>
      </c>
      <c r="E245" t="inlineStr">
        <is>
          <t xml:space="preserve">Mar 1970 – May 1970</t>
        </is>
      </c>
      <c r="F245" s="3">
        <v>0.28</v>
      </c>
      <c r="G245" s="4">
        <f>ROUND(F245,1)</f>
        <v>0.3</v>
      </c>
      <c r="H245" s="2" t="str">
        <f>IF(G245&gt;=0.5,"warm",IF(G245&lt;=-0.5,"cold","neutral"))</f>
        <v>neutral</v>
      </c>
      <c r="I245" s="2">
        <f>IF(H245=H244,I244+1,1)</f>
        <v>3</v>
      </c>
      <c r="J245" s="2">
        <f>IF(H245=H246,J246+1,1)</f>
        <v>3</v>
      </c>
      <c r="K245" s="2">
        <f>I245+J245-1</f>
        <v>5</v>
      </c>
      <c r="L245" s="2" t="str">
        <f>IF(H245="neutral","—",IF(K245&gt;=5,IF(H245="warm","El Niño","La Niña"),IF(ROW()+J245-1=920,IF(H245="warm","El Niño (ongoing)","La Niña (ongoing)"),"—")))</f>
        <v>—</v>
      </c>
      <c r="M245" s="2" t="inlineStr">
        <is>
          <t xml:space="preserve">1969/70</t>
        </is>
      </c>
    </row>
    <row r="246">
      <c r="A246" s="2" t="inlineStr">
        <is>
          <t xml:space="preserve">1970-05</t>
        </is>
      </c>
      <c r="B246" s="2">
        <v>1970</v>
      </c>
      <c r="C246" s="2">
        <v>5</v>
      </c>
      <c r="D246" s="2" t="inlineStr">
        <is>
          <t xml:space="preserve">AMJ</t>
        </is>
      </c>
      <c r="E246" t="inlineStr">
        <is>
          <t xml:space="preserve">Apr 1970 – Jun 1970</t>
        </is>
      </c>
      <c r="F246" s="3">
        <v>0.11</v>
      </c>
      <c r="G246" s="4">
        <f>ROUND(F246,1)</f>
        <v>0.1</v>
      </c>
      <c r="H246" s="2" t="str">
        <f>IF(G246&gt;=0.5,"warm",IF(G246&lt;=-0.5,"cold","neutral"))</f>
        <v>neutral</v>
      </c>
      <c r="I246" s="2">
        <f>IF(H246=H245,I245+1,1)</f>
        <v>4</v>
      </c>
      <c r="J246" s="2">
        <f>IF(H246=H247,J247+1,1)</f>
        <v>2</v>
      </c>
      <c r="K246" s="2">
        <f>I246+J246-1</f>
        <v>5</v>
      </c>
      <c r="L246" s="2" t="str">
        <f>IF(H246="neutral","—",IF(K246&gt;=5,IF(H246="warm","El Niño","La Niña"),IF(ROW()+J246-1=920,IF(H246="warm","El Niño (ongoing)","La Niña (ongoing)"),"—")))</f>
        <v>—</v>
      </c>
      <c r="M246" s="2" t="inlineStr">
        <is>
          <t xml:space="preserve">1969/70</t>
        </is>
      </c>
    </row>
    <row r="247">
      <c r="A247" s="2" t="inlineStr">
        <is>
          <t xml:space="preserve">1970-06</t>
        </is>
      </c>
      <c r="B247" s="2">
        <v>1970</v>
      </c>
      <c r="C247" s="2">
        <v>6</v>
      </c>
      <c r="D247" s="2" t="inlineStr">
        <is>
          <t xml:space="preserve">MJJ</t>
        </is>
      </c>
      <c r="E247" t="inlineStr">
        <is>
          <t xml:space="preserve">May 1970 – Jul 1970</t>
        </is>
      </c>
      <c r="F247" s="3">
        <v>-0.26</v>
      </c>
      <c r="G247" s="4">
        <f>ROUND(F247,1)</f>
        <v>-0.3</v>
      </c>
      <c r="H247" s="2" t="str">
        <f>IF(G247&gt;=0.5,"warm",IF(G247&lt;=-0.5,"cold","neutral"))</f>
        <v>neutral</v>
      </c>
      <c r="I247" s="2">
        <f>IF(H247=H246,I246+1,1)</f>
        <v>5</v>
      </c>
      <c r="J247" s="2">
        <f>IF(H247=H248,J248+1,1)</f>
        <v>1</v>
      </c>
      <c r="K247" s="2">
        <f>I247+J247-1</f>
        <v>5</v>
      </c>
      <c r="L247" s="2" t="str">
        <f>IF(H247="neutral","—",IF(K247&gt;=5,IF(H247="warm","El Niño","La Niña"),IF(ROW()+J247-1=920,IF(H247="warm","El Niño (ongoing)","La Niña (ongoing)"),"—")))</f>
        <v>—</v>
      </c>
      <c r="M247" s="2" t="inlineStr">
        <is>
          <t xml:space="preserve">1969/70</t>
        </is>
      </c>
    </row>
    <row r="248">
      <c r="A248" s="2" t="inlineStr">
        <is>
          <t xml:space="preserve">1970-07</t>
        </is>
      </c>
      <c r="B248" s="2">
        <v>1970</v>
      </c>
      <c r="C248" s="2">
        <v>7</v>
      </c>
      <c r="D248" s="2" t="inlineStr">
        <is>
          <t xml:space="preserve">JJA</t>
        </is>
      </c>
      <c r="E248" t="inlineStr">
        <is>
          <t xml:space="preserve">Jun 1970 – Aug 1970</t>
        </is>
      </c>
      <c r="F248" s="3">
        <v>-0.55</v>
      </c>
      <c r="G248" s="4">
        <f>ROUND(F248,1)</f>
        <v>-0.6</v>
      </c>
      <c r="H248" s="2" t="str">
        <f>IF(G248&gt;=0.5,"warm",IF(G248&lt;=-0.5,"cold","neutral"))</f>
        <v>cold</v>
      </c>
      <c r="I248" s="2">
        <f>IF(H248=H247,I247+1,1)</f>
        <v>1</v>
      </c>
      <c r="J248" s="2">
        <f>IF(H248=H249,J249+1,1)</f>
        <v>19</v>
      </c>
      <c r="K248" s="2">
        <f>I248+J248-1</f>
        <v>19</v>
      </c>
      <c r="L248" s="5" t="str">
        <f>IF(H248="neutral","—",IF(K248&gt;=5,IF(H248="warm","El Niño","La Niña"),IF(ROW()+J248-1=920,IF(H248="warm","El Niño (ongoing)","La Niña (ongoing)"),"—")))</f>
        <v>La Niña</v>
      </c>
      <c r="M248" s="2" t="inlineStr">
        <is>
          <t xml:space="preserve">1970/71</t>
        </is>
      </c>
    </row>
    <row r="249">
      <c r="A249" s="2" t="inlineStr">
        <is>
          <t xml:space="preserve">1970-08</t>
        </is>
      </c>
      <c r="B249" s="2">
        <v>1970</v>
      </c>
      <c r="C249" s="2">
        <v>8</v>
      </c>
      <c r="D249" s="2" t="inlineStr">
        <is>
          <t xml:space="preserve">JAS</t>
        </is>
      </c>
      <c r="E249" t="inlineStr">
        <is>
          <t xml:space="preserve">Jul 1970 – Sep 1970</t>
        </is>
      </c>
      <c r="F249" s="3">
        <v>-0.72</v>
      </c>
      <c r="G249" s="4">
        <f>ROUND(F249,1)</f>
        <v>-0.7</v>
      </c>
      <c r="H249" s="2" t="str">
        <f>IF(G249&gt;=0.5,"warm",IF(G249&lt;=-0.5,"cold","neutral"))</f>
        <v>cold</v>
      </c>
      <c r="I249" s="2">
        <f>IF(H249=H248,I248+1,1)</f>
        <v>2</v>
      </c>
      <c r="J249" s="2">
        <f>IF(H249=H250,J250+1,1)</f>
        <v>18</v>
      </c>
      <c r="K249" s="2">
        <f>I249+J249-1</f>
        <v>19</v>
      </c>
      <c r="L249" s="5" t="str">
        <f>IF(H249="neutral","—",IF(K249&gt;=5,IF(H249="warm","El Niño","La Niña"),IF(ROW()+J249-1=920,IF(H249="warm","El Niño (ongoing)","La Niña (ongoing)"),"—")))</f>
        <v>La Niña</v>
      </c>
      <c r="M249" s="2" t="inlineStr">
        <is>
          <t xml:space="preserve">1970/71</t>
        </is>
      </c>
    </row>
    <row r="250">
      <c r="A250" s="2" t="inlineStr">
        <is>
          <t xml:space="preserve">1970-09</t>
        </is>
      </c>
      <c r="B250" s="2">
        <v>1970</v>
      </c>
      <c r="C250" s="2">
        <v>9</v>
      </c>
      <c r="D250" s="2" t="inlineStr">
        <is>
          <t xml:space="preserve">ASO</t>
        </is>
      </c>
      <c r="E250" t="inlineStr">
        <is>
          <t xml:space="preserve">Aug 1970 – Oct 1970</t>
        </is>
      </c>
      <c r="F250" s="3">
        <v>-0.69</v>
      </c>
      <c r="G250" s="4">
        <f>ROUND(F250,1)</f>
        <v>-0.7</v>
      </c>
      <c r="H250" s="2" t="str">
        <f>IF(G250&gt;=0.5,"warm",IF(G250&lt;=-0.5,"cold","neutral"))</f>
        <v>cold</v>
      </c>
      <c r="I250" s="2">
        <f>IF(H250=H249,I249+1,1)</f>
        <v>3</v>
      </c>
      <c r="J250" s="2">
        <f>IF(H250=H251,J251+1,1)</f>
        <v>17</v>
      </c>
      <c r="K250" s="2">
        <f>I250+J250-1</f>
        <v>19</v>
      </c>
      <c r="L250" s="5" t="str">
        <f>IF(H250="neutral","—",IF(K250&gt;=5,IF(H250="warm","El Niño","La Niña"),IF(ROW()+J250-1=920,IF(H250="warm","El Niño (ongoing)","La Niña (ongoing)"),"—")))</f>
        <v>La Niña</v>
      </c>
      <c r="M250" s="2" t="inlineStr">
        <is>
          <t xml:space="preserve">1970/71</t>
        </is>
      </c>
    </row>
    <row r="251">
      <c r="A251" s="2" t="inlineStr">
        <is>
          <t xml:space="preserve">1970-10</t>
        </is>
      </c>
      <c r="B251" s="2">
        <v>1970</v>
      </c>
      <c r="C251" s="2">
        <v>10</v>
      </c>
      <c r="D251" s="2" t="inlineStr">
        <is>
          <t xml:space="preserve">SON</t>
        </is>
      </c>
      <c r="E251" t="inlineStr">
        <is>
          <t xml:space="preserve">Sep 1970 – Nov 1970</t>
        </is>
      </c>
      <c r="F251" s="3">
        <v>-0.72</v>
      </c>
      <c r="G251" s="4">
        <f>ROUND(F251,1)</f>
        <v>-0.7</v>
      </c>
      <c r="H251" s="2" t="str">
        <f>IF(G251&gt;=0.5,"warm",IF(G251&lt;=-0.5,"cold","neutral"))</f>
        <v>cold</v>
      </c>
      <c r="I251" s="2">
        <f>IF(H251=H250,I250+1,1)</f>
        <v>4</v>
      </c>
      <c r="J251" s="2">
        <f>IF(H251=H252,J252+1,1)</f>
        <v>16</v>
      </c>
      <c r="K251" s="2">
        <f>I251+J251-1</f>
        <v>19</v>
      </c>
      <c r="L251" s="5" t="str">
        <f>IF(H251="neutral","—",IF(K251&gt;=5,IF(H251="warm","El Niño","La Niña"),IF(ROW()+J251-1=920,IF(H251="warm","El Niño (ongoing)","La Niña (ongoing)"),"—")))</f>
        <v>La Niña</v>
      </c>
      <c r="M251" s="2" t="inlineStr">
        <is>
          <t xml:space="preserve">1970/71</t>
        </is>
      </c>
    </row>
    <row r="252">
      <c r="A252" s="2" t="inlineStr">
        <is>
          <t xml:space="preserve">1970-11</t>
        </is>
      </c>
      <c r="B252" s="2">
        <v>1970</v>
      </c>
      <c r="C252" s="2">
        <v>11</v>
      </c>
      <c r="D252" s="2" t="inlineStr">
        <is>
          <t xml:space="preserve">OND</t>
        </is>
      </c>
      <c r="E252" t="inlineStr">
        <is>
          <t xml:space="preserve">Oct 1970 – Dec 1970</t>
        </is>
      </c>
      <c r="F252" s="3">
        <v>-0.78</v>
      </c>
      <c r="G252" s="4">
        <f>ROUND(F252,1)</f>
        <v>-0.8</v>
      </c>
      <c r="H252" s="2" t="str">
        <f>IF(G252&gt;=0.5,"warm",IF(G252&lt;=-0.5,"cold","neutral"))</f>
        <v>cold</v>
      </c>
      <c r="I252" s="2">
        <f>IF(H252=H251,I251+1,1)</f>
        <v>5</v>
      </c>
      <c r="J252" s="2">
        <f>IF(H252=H253,J253+1,1)</f>
        <v>15</v>
      </c>
      <c r="K252" s="2">
        <f>I252+J252-1</f>
        <v>19</v>
      </c>
      <c r="L252" s="5" t="str">
        <f>IF(H252="neutral","—",IF(K252&gt;=5,IF(H252="warm","El Niño","La Niña"),IF(ROW()+J252-1=920,IF(H252="warm","El Niño (ongoing)","La Niña (ongoing)"),"—")))</f>
        <v>La Niña</v>
      </c>
      <c r="M252" s="2" t="inlineStr">
        <is>
          <t xml:space="preserve">1970/71</t>
        </is>
      </c>
    </row>
    <row r="253">
      <c r="A253" s="2" t="inlineStr">
        <is>
          <t xml:space="preserve">1970-12</t>
        </is>
      </c>
      <c r="B253" s="2">
        <v>1970</v>
      </c>
      <c r="C253" s="2">
        <v>12</v>
      </c>
      <c r="D253" s="2" t="inlineStr">
        <is>
          <t xml:space="preserve">NDJ</t>
        </is>
      </c>
      <c r="E253" t="inlineStr">
        <is>
          <t xml:space="preserve">Nov 1970 – Jan 1971</t>
        </is>
      </c>
      <c r="F253" s="3">
        <v>-1.1</v>
      </c>
      <c r="G253" s="4">
        <f>ROUND(F253,1)</f>
        <v>-1.1</v>
      </c>
      <c r="H253" s="2" t="str">
        <f>IF(G253&gt;=0.5,"warm",IF(G253&lt;=-0.5,"cold","neutral"))</f>
        <v>cold</v>
      </c>
      <c r="I253" s="2">
        <f>IF(H253=H252,I252+1,1)</f>
        <v>6</v>
      </c>
      <c r="J253" s="2">
        <f>IF(H253=H254,J254+1,1)</f>
        <v>14</v>
      </c>
      <c r="K253" s="2">
        <f>I253+J253-1</f>
        <v>19</v>
      </c>
      <c r="L253" s="5" t="str">
        <f>IF(H253="neutral","—",IF(K253&gt;=5,IF(H253="warm","El Niño","La Niña"),IF(ROW()+J253-1=920,IF(H253="warm","El Niño (ongoing)","La Niña (ongoing)"),"—")))</f>
        <v>La Niña</v>
      </c>
      <c r="M253" s="2" t="inlineStr">
        <is>
          <t xml:space="preserve">1970/71</t>
        </is>
      </c>
    </row>
    <row r="254">
      <c r="A254" s="2" t="inlineStr">
        <is>
          <t xml:space="preserve">1971-01</t>
        </is>
      </c>
      <c r="B254" s="2">
        <v>1971</v>
      </c>
      <c r="C254" s="2">
        <v>1</v>
      </c>
      <c r="D254" s="2" t="inlineStr">
        <is>
          <t xml:space="preserve">DJF</t>
        </is>
      </c>
      <c r="E254" t="inlineStr">
        <is>
          <t xml:space="preserve">Dec 1970 – Feb 1971</t>
        </is>
      </c>
      <c r="F254" s="3">
        <v>-1.29</v>
      </c>
      <c r="G254" s="4">
        <f>ROUND(F254,1)</f>
        <v>-1.3</v>
      </c>
      <c r="H254" s="2" t="str">
        <f>IF(G254&gt;=0.5,"warm",IF(G254&lt;=-0.5,"cold","neutral"))</f>
        <v>cold</v>
      </c>
      <c r="I254" s="2">
        <f>IF(H254=H253,I253+1,1)</f>
        <v>7</v>
      </c>
      <c r="J254" s="2">
        <f>IF(H254=H255,J255+1,1)</f>
        <v>13</v>
      </c>
      <c r="K254" s="2">
        <f>I254+J254-1</f>
        <v>19</v>
      </c>
      <c r="L254" s="5" t="str">
        <f>IF(H254="neutral","—",IF(K254&gt;=5,IF(H254="warm","El Niño","La Niña"),IF(ROW()+J254-1=920,IF(H254="warm","El Niño (ongoing)","La Niña (ongoing)"),"—")))</f>
        <v>La Niña</v>
      </c>
      <c r="M254" s="2" t="inlineStr">
        <is>
          <t xml:space="preserve">1970/71</t>
        </is>
      </c>
    </row>
    <row r="255">
      <c r="A255" s="2" t="inlineStr">
        <is>
          <t xml:space="preserve">1971-02</t>
        </is>
      </c>
      <c r="B255" s="2">
        <v>1971</v>
      </c>
      <c r="C255" s="2">
        <v>2</v>
      </c>
      <c r="D255" s="2" t="inlineStr">
        <is>
          <t xml:space="preserve">JFM</t>
        </is>
      </c>
      <c r="E255" t="inlineStr">
        <is>
          <t xml:space="preserve">Jan 1971 – Mar 1971</t>
        </is>
      </c>
      <c r="F255" s="3">
        <v>-1.36</v>
      </c>
      <c r="G255" s="4">
        <f>ROUND(F255,1)</f>
        <v>-1.4</v>
      </c>
      <c r="H255" s="2" t="str">
        <f>IF(G255&gt;=0.5,"warm",IF(G255&lt;=-0.5,"cold","neutral"))</f>
        <v>cold</v>
      </c>
      <c r="I255" s="2">
        <f>IF(H255=H254,I254+1,1)</f>
        <v>8</v>
      </c>
      <c r="J255" s="2">
        <f>IF(H255=H256,J256+1,1)</f>
        <v>12</v>
      </c>
      <c r="K255" s="2">
        <f>I255+J255-1</f>
        <v>19</v>
      </c>
      <c r="L255" s="5" t="str">
        <f>IF(H255="neutral","—",IF(K255&gt;=5,IF(H255="warm","El Niño","La Niña"),IF(ROW()+J255-1=920,IF(H255="warm","El Niño (ongoing)","La Niña (ongoing)"),"—")))</f>
        <v>La Niña</v>
      </c>
      <c r="M255" s="2" t="inlineStr">
        <is>
          <t xml:space="preserve">1970/71</t>
        </is>
      </c>
    </row>
    <row r="256">
      <c r="A256" s="2" t="inlineStr">
        <is>
          <t xml:space="preserve">1971-03</t>
        </is>
      </c>
      <c r="B256" s="2">
        <v>1971</v>
      </c>
      <c r="C256" s="2">
        <v>3</v>
      </c>
      <c r="D256" s="2" t="inlineStr">
        <is>
          <t xml:space="preserve">FMA</t>
        </is>
      </c>
      <c r="E256" t="inlineStr">
        <is>
          <t xml:space="preserve">Feb 1971 – Apr 1971</t>
        </is>
      </c>
      <c r="F256" s="3">
        <v>-1.08</v>
      </c>
      <c r="G256" s="4">
        <f>ROUND(F256,1)</f>
        <v>-1.1</v>
      </c>
      <c r="H256" s="2" t="str">
        <f>IF(G256&gt;=0.5,"warm",IF(G256&lt;=-0.5,"cold","neutral"))</f>
        <v>cold</v>
      </c>
      <c r="I256" s="2">
        <f>IF(H256=H255,I255+1,1)</f>
        <v>9</v>
      </c>
      <c r="J256" s="2">
        <f>IF(H256=H257,J257+1,1)</f>
        <v>11</v>
      </c>
      <c r="K256" s="2">
        <f>I256+J256-1</f>
        <v>19</v>
      </c>
      <c r="L256" s="5" t="str">
        <f>IF(H256="neutral","—",IF(K256&gt;=5,IF(H256="warm","El Niño","La Niña"),IF(ROW()+J256-1=920,IF(H256="warm","El Niño (ongoing)","La Niña (ongoing)"),"—")))</f>
        <v>La Niña</v>
      </c>
      <c r="M256" s="2" t="inlineStr">
        <is>
          <t xml:space="preserve">1970/71</t>
        </is>
      </c>
    </row>
    <row r="257">
      <c r="A257" s="2" t="inlineStr">
        <is>
          <t xml:space="preserve">1971-04</t>
        </is>
      </c>
      <c r="B257" s="2">
        <v>1971</v>
      </c>
      <c r="C257" s="2">
        <v>4</v>
      </c>
      <c r="D257" s="2" t="inlineStr">
        <is>
          <t xml:space="preserve">MAM</t>
        </is>
      </c>
      <c r="E257" t="inlineStr">
        <is>
          <t xml:space="preserve">Mar 1971 – May 1971</t>
        </is>
      </c>
      <c r="F257" s="3">
        <v>-0.81</v>
      </c>
      <c r="G257" s="4">
        <f>ROUND(F257,1)</f>
        <v>-0.8</v>
      </c>
      <c r="H257" s="2" t="str">
        <f>IF(G257&gt;=0.5,"warm",IF(G257&lt;=-0.5,"cold","neutral"))</f>
        <v>cold</v>
      </c>
      <c r="I257" s="2">
        <f>IF(H257=H256,I256+1,1)</f>
        <v>10</v>
      </c>
      <c r="J257" s="2">
        <f>IF(H257=H258,J258+1,1)</f>
        <v>10</v>
      </c>
      <c r="K257" s="2">
        <f>I257+J257-1</f>
        <v>19</v>
      </c>
      <c r="L257" s="5" t="str">
        <f>IF(H257="neutral","—",IF(K257&gt;=5,IF(H257="warm","El Niño","La Niña"),IF(ROW()+J257-1=920,IF(H257="warm","El Niño (ongoing)","La Niña (ongoing)"),"—")))</f>
        <v>La Niña</v>
      </c>
      <c r="M257" s="2" t="inlineStr">
        <is>
          <t xml:space="preserve">1970/71</t>
        </is>
      </c>
    </row>
    <row r="258">
      <c r="A258" s="2" t="inlineStr">
        <is>
          <t xml:space="preserve">1971-05</t>
        </is>
      </c>
      <c r="B258" s="2">
        <v>1971</v>
      </c>
      <c r="C258" s="2">
        <v>5</v>
      </c>
      <c r="D258" s="2" t="inlineStr">
        <is>
          <t xml:space="preserve">AMJ</t>
        </is>
      </c>
      <c r="E258" t="inlineStr">
        <is>
          <t xml:space="preserve">Apr 1971 – Jun 1971</t>
        </is>
      </c>
      <c r="F258" s="3">
        <v>-0.72</v>
      </c>
      <c r="G258" s="4">
        <f>ROUND(F258,1)</f>
        <v>-0.7</v>
      </c>
      <c r="H258" s="2" t="str">
        <f>IF(G258&gt;=0.5,"warm",IF(G258&lt;=-0.5,"cold","neutral"))</f>
        <v>cold</v>
      </c>
      <c r="I258" s="2">
        <f>IF(H258=H257,I257+1,1)</f>
        <v>11</v>
      </c>
      <c r="J258" s="2">
        <f>IF(H258=H259,J259+1,1)</f>
        <v>9</v>
      </c>
      <c r="K258" s="2">
        <f>I258+J258-1</f>
        <v>19</v>
      </c>
      <c r="L258" s="5" t="str">
        <f>IF(H258="neutral","—",IF(K258&gt;=5,IF(H258="warm","El Niño","La Niña"),IF(ROW()+J258-1=920,IF(H258="warm","El Niño (ongoing)","La Niña (ongoing)"),"—")))</f>
        <v>La Niña</v>
      </c>
      <c r="M258" s="2" t="inlineStr">
        <is>
          <t xml:space="preserve">1970/71</t>
        </is>
      </c>
    </row>
    <row r="259">
      <c r="A259" s="2" t="inlineStr">
        <is>
          <t xml:space="preserve">1971-06</t>
        </is>
      </c>
      <c r="B259" s="2">
        <v>1971</v>
      </c>
      <c r="C259" s="2">
        <v>6</v>
      </c>
      <c r="D259" s="2" t="inlineStr">
        <is>
          <t xml:space="preserve">MJJ</t>
        </is>
      </c>
      <c r="E259" t="inlineStr">
        <is>
          <t xml:space="preserve">May 1971 – Jul 1971</t>
        </is>
      </c>
      <c r="F259" s="3">
        <v>-0.69</v>
      </c>
      <c r="G259" s="4">
        <f>ROUND(F259,1)</f>
        <v>-0.7</v>
      </c>
      <c r="H259" s="2" t="str">
        <f>IF(G259&gt;=0.5,"warm",IF(G259&lt;=-0.5,"cold","neutral"))</f>
        <v>cold</v>
      </c>
      <c r="I259" s="2">
        <f>IF(H259=H258,I258+1,1)</f>
        <v>12</v>
      </c>
      <c r="J259" s="2">
        <f>IF(H259=H260,J260+1,1)</f>
        <v>8</v>
      </c>
      <c r="K259" s="2">
        <f>I259+J259-1</f>
        <v>19</v>
      </c>
      <c r="L259" s="5" t="str">
        <f>IF(H259="neutral","—",IF(K259&gt;=5,IF(H259="warm","El Niño","La Niña"),IF(ROW()+J259-1=920,IF(H259="warm","El Niño (ongoing)","La Niña (ongoing)"),"—")))</f>
        <v>La Niña</v>
      </c>
      <c r="M259" s="2" t="inlineStr">
        <is>
          <t xml:space="preserve">1970/71</t>
        </is>
      </c>
    </row>
    <row r="260">
      <c r="A260" s="2" t="inlineStr">
        <is>
          <t xml:space="preserve">1971-07</t>
        </is>
      </c>
      <c r="B260" s="2">
        <v>1971</v>
      </c>
      <c r="C260" s="2">
        <v>7</v>
      </c>
      <c r="D260" s="2" t="inlineStr">
        <is>
          <t xml:space="preserve">JJA</t>
        </is>
      </c>
      <c r="E260" t="inlineStr">
        <is>
          <t xml:space="preserve">Jun 1971 – Aug 1971</t>
        </is>
      </c>
      <c r="F260" s="3">
        <v>-0.68</v>
      </c>
      <c r="G260" s="4">
        <f>ROUND(F260,1)</f>
        <v>-0.7</v>
      </c>
      <c r="H260" s="2" t="str">
        <f>IF(G260&gt;=0.5,"warm",IF(G260&lt;=-0.5,"cold","neutral"))</f>
        <v>cold</v>
      </c>
      <c r="I260" s="2">
        <f>IF(H260=H259,I259+1,1)</f>
        <v>13</v>
      </c>
      <c r="J260" s="2">
        <f>IF(H260=H261,J261+1,1)</f>
        <v>7</v>
      </c>
      <c r="K260" s="2">
        <f>I260+J260-1</f>
        <v>19</v>
      </c>
      <c r="L260" s="5" t="str">
        <f>IF(H260="neutral","—",IF(K260&gt;=5,IF(H260="warm","El Niño","La Niña"),IF(ROW()+J260-1=920,IF(H260="warm","El Niño (ongoing)","La Niña (ongoing)"),"—")))</f>
        <v>La Niña</v>
      </c>
      <c r="M260" s="2" t="inlineStr">
        <is>
          <t xml:space="preserve">1971/72</t>
        </is>
      </c>
    </row>
    <row r="261">
      <c r="A261" s="2" t="inlineStr">
        <is>
          <t xml:space="preserve">1971-08</t>
        </is>
      </c>
      <c r="B261" s="2">
        <v>1971</v>
      </c>
      <c r="C261" s="2">
        <v>8</v>
      </c>
      <c r="D261" s="2" t="inlineStr">
        <is>
          <t xml:space="preserve">JAS</t>
        </is>
      </c>
      <c r="E261" t="inlineStr">
        <is>
          <t xml:space="preserve">Jul 1971 – Sep 1971</t>
        </is>
      </c>
      <c r="F261" s="3">
        <v>-0.6</v>
      </c>
      <c r="G261" s="4">
        <f>ROUND(F261,1)</f>
        <v>-0.6</v>
      </c>
      <c r="H261" s="2" t="str">
        <f>IF(G261&gt;=0.5,"warm",IF(G261&lt;=-0.5,"cold","neutral"))</f>
        <v>cold</v>
      </c>
      <c r="I261" s="2">
        <f>IF(H261=H260,I260+1,1)</f>
        <v>14</v>
      </c>
      <c r="J261" s="2">
        <f>IF(H261=H262,J262+1,1)</f>
        <v>6</v>
      </c>
      <c r="K261" s="2">
        <f>I261+J261-1</f>
        <v>19</v>
      </c>
      <c r="L261" s="5" t="str">
        <f>IF(H261="neutral","—",IF(K261&gt;=5,IF(H261="warm","El Niño","La Niña"),IF(ROW()+J261-1=920,IF(H261="warm","El Niño (ongoing)","La Niña (ongoing)"),"—")))</f>
        <v>La Niña</v>
      </c>
      <c r="M261" s="2" t="inlineStr">
        <is>
          <t xml:space="preserve">1971/72</t>
        </is>
      </c>
    </row>
    <row r="262">
      <c r="A262" s="2" t="inlineStr">
        <is>
          <t xml:space="preserve">1971-09</t>
        </is>
      </c>
      <c r="B262" s="2">
        <v>1971</v>
      </c>
      <c r="C262" s="2">
        <v>9</v>
      </c>
      <c r="D262" s="2" t="inlineStr">
        <is>
          <t xml:space="preserve">ASO</t>
        </is>
      </c>
      <c r="E262" t="inlineStr">
        <is>
          <t xml:space="preserve">Aug 1971 – Oct 1971</t>
        </is>
      </c>
      <c r="F262" s="3">
        <v>-0.68</v>
      </c>
      <c r="G262" s="4">
        <f>ROUND(F262,1)</f>
        <v>-0.7</v>
      </c>
      <c r="H262" s="2" t="str">
        <f>IF(G262&gt;=0.5,"warm",IF(G262&lt;=-0.5,"cold","neutral"))</f>
        <v>cold</v>
      </c>
      <c r="I262" s="2">
        <f>IF(H262=H261,I261+1,1)</f>
        <v>15</v>
      </c>
      <c r="J262" s="2">
        <f>IF(H262=H263,J263+1,1)</f>
        <v>5</v>
      </c>
      <c r="K262" s="2">
        <f>I262+J262-1</f>
        <v>19</v>
      </c>
      <c r="L262" s="5" t="str">
        <f>IF(H262="neutral","—",IF(K262&gt;=5,IF(H262="warm","El Niño","La Niña"),IF(ROW()+J262-1=920,IF(H262="warm","El Niño (ongoing)","La Niña (ongoing)"),"—")))</f>
        <v>La Niña</v>
      </c>
      <c r="M262" s="2" t="inlineStr">
        <is>
          <t xml:space="preserve">1971/72</t>
        </is>
      </c>
    </row>
    <row r="263">
      <c r="A263" s="2" t="inlineStr">
        <is>
          <t xml:space="preserve">1971-10</t>
        </is>
      </c>
      <c r="B263" s="2">
        <v>1971</v>
      </c>
      <c r="C263" s="2">
        <v>10</v>
      </c>
      <c r="D263" s="2" t="inlineStr">
        <is>
          <t xml:space="preserve">SON</t>
        </is>
      </c>
      <c r="E263" t="inlineStr">
        <is>
          <t xml:space="preserve">Sep 1971 – Nov 1971</t>
        </is>
      </c>
      <c r="F263" s="3">
        <v>-0.78</v>
      </c>
      <c r="G263" s="4">
        <f>ROUND(F263,1)</f>
        <v>-0.8</v>
      </c>
      <c r="H263" s="2" t="str">
        <f>IF(G263&gt;=0.5,"warm",IF(G263&lt;=-0.5,"cold","neutral"))</f>
        <v>cold</v>
      </c>
      <c r="I263" s="2">
        <f>IF(H263=H262,I262+1,1)</f>
        <v>16</v>
      </c>
      <c r="J263" s="2">
        <f>IF(H263=H264,J264+1,1)</f>
        <v>4</v>
      </c>
      <c r="K263" s="2">
        <f>I263+J263-1</f>
        <v>19</v>
      </c>
      <c r="L263" s="5" t="str">
        <f>IF(H263="neutral","—",IF(K263&gt;=5,IF(H263="warm","El Niño","La Niña"),IF(ROW()+J263-1=920,IF(H263="warm","El Niño (ongoing)","La Niña (ongoing)"),"—")))</f>
        <v>La Niña</v>
      </c>
      <c r="M263" s="2" t="inlineStr">
        <is>
          <t xml:space="preserve">1971/72</t>
        </is>
      </c>
    </row>
    <row r="264">
      <c r="A264" s="2" t="inlineStr">
        <is>
          <t xml:space="preserve">1971-11</t>
        </is>
      </c>
      <c r="B264" s="2">
        <v>1971</v>
      </c>
      <c r="C264" s="2">
        <v>11</v>
      </c>
      <c r="D264" s="2" t="inlineStr">
        <is>
          <t xml:space="preserve">OND</t>
        </is>
      </c>
      <c r="E264" t="inlineStr">
        <is>
          <t xml:space="preserve">Oct 1971 – Dec 1971</t>
        </is>
      </c>
      <c r="F264" s="3">
        <v>-0.86</v>
      </c>
      <c r="G264" s="4">
        <f>ROUND(F264,1)</f>
        <v>-0.9</v>
      </c>
      <c r="H264" s="2" t="str">
        <f>IF(G264&gt;=0.5,"warm",IF(G264&lt;=-0.5,"cold","neutral"))</f>
        <v>cold</v>
      </c>
      <c r="I264" s="2">
        <f>IF(H264=H263,I263+1,1)</f>
        <v>17</v>
      </c>
      <c r="J264" s="2">
        <f>IF(H264=H265,J265+1,1)</f>
        <v>3</v>
      </c>
      <c r="K264" s="2">
        <f>I264+J264-1</f>
        <v>19</v>
      </c>
      <c r="L264" s="5" t="str">
        <f>IF(H264="neutral","—",IF(K264&gt;=5,IF(H264="warm","El Niño","La Niña"),IF(ROW()+J264-1=920,IF(H264="warm","El Niño (ongoing)","La Niña (ongoing)"),"—")))</f>
        <v>La Niña</v>
      </c>
      <c r="M264" s="2" t="inlineStr">
        <is>
          <t xml:space="preserve">1971/72</t>
        </is>
      </c>
    </row>
    <row r="265">
      <c r="A265" s="2" t="inlineStr">
        <is>
          <t xml:space="preserve">1971-12</t>
        </is>
      </c>
      <c r="B265" s="2">
        <v>1971</v>
      </c>
      <c r="C265" s="2">
        <v>12</v>
      </c>
      <c r="D265" s="2" t="inlineStr">
        <is>
          <t xml:space="preserve">NDJ</t>
        </is>
      </c>
      <c r="E265" t="inlineStr">
        <is>
          <t xml:space="preserve">Nov 1971 – Jan 1972</t>
        </is>
      </c>
      <c r="F265" s="3">
        <v>-0.78</v>
      </c>
      <c r="G265" s="4">
        <f>ROUND(F265,1)</f>
        <v>-0.8</v>
      </c>
      <c r="H265" s="2" t="str">
        <f>IF(G265&gt;=0.5,"warm",IF(G265&lt;=-0.5,"cold","neutral"))</f>
        <v>cold</v>
      </c>
      <c r="I265" s="2">
        <f>IF(H265=H264,I264+1,1)</f>
        <v>18</v>
      </c>
      <c r="J265" s="2">
        <f>IF(H265=H266,J266+1,1)</f>
        <v>2</v>
      </c>
      <c r="K265" s="2">
        <f>I265+J265-1</f>
        <v>19</v>
      </c>
      <c r="L265" s="5" t="str">
        <f>IF(H265="neutral","—",IF(K265&gt;=5,IF(H265="warm","El Niño","La Niña"),IF(ROW()+J265-1=920,IF(H265="warm","El Niño (ongoing)","La Niña (ongoing)"),"—")))</f>
        <v>La Niña</v>
      </c>
      <c r="M265" s="2" t="inlineStr">
        <is>
          <t xml:space="preserve">1971/72</t>
        </is>
      </c>
    </row>
    <row r="266">
      <c r="A266" s="2" t="inlineStr">
        <is>
          <t xml:space="preserve">1972-01</t>
        </is>
      </c>
      <c r="B266" s="2">
        <v>1972</v>
      </c>
      <c r="C266" s="2">
        <v>1</v>
      </c>
      <c r="D266" s="2" t="inlineStr">
        <is>
          <t xml:space="preserve">DJF</t>
        </is>
      </c>
      <c r="E266" t="inlineStr">
        <is>
          <t xml:space="preserve">Dec 1971 – Feb 1972</t>
        </is>
      </c>
      <c r="F266" s="3">
        <v>-0.57</v>
      </c>
      <c r="G266" s="4">
        <f>ROUND(F266,1)</f>
        <v>-0.6</v>
      </c>
      <c r="H266" s="2" t="str">
        <f>IF(G266&gt;=0.5,"warm",IF(G266&lt;=-0.5,"cold","neutral"))</f>
        <v>cold</v>
      </c>
      <c r="I266" s="2">
        <f>IF(H266=H265,I265+1,1)</f>
        <v>19</v>
      </c>
      <c r="J266" s="2">
        <f>IF(H266=H267,J267+1,1)</f>
        <v>1</v>
      </c>
      <c r="K266" s="2">
        <f>I266+J266-1</f>
        <v>19</v>
      </c>
      <c r="L266" s="5" t="str">
        <f>IF(H266="neutral","—",IF(K266&gt;=5,IF(H266="warm","El Niño","La Niña"),IF(ROW()+J266-1=920,IF(H266="warm","El Niño (ongoing)","La Niña (ongoing)"),"—")))</f>
        <v>La Niña</v>
      </c>
      <c r="M266" s="2" t="inlineStr">
        <is>
          <t xml:space="preserve">1971/72</t>
        </is>
      </c>
    </row>
    <row r="267">
      <c r="A267" s="2" t="inlineStr">
        <is>
          <t xml:space="preserve">1972-02</t>
        </is>
      </c>
      <c r="B267" s="2">
        <v>1972</v>
      </c>
      <c r="C267" s="2">
        <v>2</v>
      </c>
      <c r="D267" s="2" t="inlineStr">
        <is>
          <t xml:space="preserve">JFM</t>
        </is>
      </c>
      <c r="E267" t="inlineStr">
        <is>
          <t xml:space="preserve">Jan 1972 – Mar 1972</t>
        </is>
      </c>
      <c r="F267" s="3">
        <v>-0.27</v>
      </c>
      <c r="G267" s="4">
        <f>ROUND(F267,1)</f>
        <v>-0.3</v>
      </c>
      <c r="H267" s="2" t="str">
        <f>IF(G267&gt;=0.5,"warm",IF(G267&lt;=-0.5,"cold","neutral"))</f>
        <v>neutral</v>
      </c>
      <c r="I267" s="2">
        <f>IF(H267=H266,I266+1,1)</f>
        <v>1</v>
      </c>
      <c r="J267" s="2">
        <f>IF(H267=H268,J268+1,1)</f>
        <v>3</v>
      </c>
      <c r="K267" s="2">
        <f>I267+J267-1</f>
        <v>3</v>
      </c>
      <c r="L267" s="2" t="str">
        <f>IF(H267="neutral","—",IF(K267&gt;=5,IF(H267="warm","El Niño","La Niña"),IF(ROW()+J267-1=920,IF(H267="warm","El Niño (ongoing)","La Niña (ongoing)"),"—")))</f>
        <v>—</v>
      </c>
      <c r="M267" s="2" t="inlineStr">
        <is>
          <t xml:space="preserve">1971/72</t>
        </is>
      </c>
    </row>
    <row r="268">
      <c r="A268" s="2" t="inlineStr">
        <is>
          <t xml:space="preserve">1972-03</t>
        </is>
      </c>
      <c r="B268" s="2">
        <v>1972</v>
      </c>
      <c r="C268" s="2">
        <v>3</v>
      </c>
      <c r="D268" s="2" t="inlineStr">
        <is>
          <t xml:space="preserve">FMA</t>
        </is>
      </c>
      <c r="E268" t="inlineStr">
        <is>
          <t xml:space="preserve">Feb 1972 – Apr 1972</t>
        </is>
      </c>
      <c r="F268" s="3">
        <v>0.04</v>
      </c>
      <c r="G268" s="4">
        <f>ROUND(F268,1)</f>
        <v>0.0</v>
      </c>
      <c r="H268" s="2" t="str">
        <f>IF(G268&gt;=0.5,"warm",IF(G268&lt;=-0.5,"cold","neutral"))</f>
        <v>neutral</v>
      </c>
      <c r="I268" s="2">
        <f>IF(H268=H267,I267+1,1)</f>
        <v>2</v>
      </c>
      <c r="J268" s="2">
        <f>IF(H268=H269,J269+1,1)</f>
        <v>2</v>
      </c>
      <c r="K268" s="2">
        <f>I268+J268-1</f>
        <v>3</v>
      </c>
      <c r="L268" s="2" t="str">
        <f>IF(H268="neutral","—",IF(K268&gt;=5,IF(H268="warm","El Niño","La Niña"),IF(ROW()+J268-1=920,IF(H268="warm","El Niño (ongoing)","La Niña (ongoing)"),"—")))</f>
        <v>—</v>
      </c>
      <c r="M268" s="2" t="inlineStr">
        <is>
          <t xml:space="preserve">1971/72</t>
        </is>
      </c>
    </row>
    <row r="269">
      <c r="A269" s="2" t="inlineStr">
        <is>
          <t xml:space="preserve">1972-04</t>
        </is>
      </c>
      <c r="B269" s="2">
        <v>1972</v>
      </c>
      <c r="C269" s="2">
        <v>4</v>
      </c>
      <c r="D269" s="2" t="inlineStr">
        <is>
          <t xml:space="preserve">MAM</t>
        </is>
      </c>
      <c r="E269" t="inlineStr">
        <is>
          <t xml:space="preserve">Mar 1972 – May 1972</t>
        </is>
      </c>
      <c r="F269" s="3">
        <v>0.25</v>
      </c>
      <c r="G269" s="4">
        <f>ROUND(F269,1)</f>
        <v>0.3</v>
      </c>
      <c r="H269" s="2" t="str">
        <f>IF(G269&gt;=0.5,"warm",IF(G269&lt;=-0.5,"cold","neutral"))</f>
        <v>neutral</v>
      </c>
      <c r="I269" s="2">
        <f>IF(H269=H268,I268+1,1)</f>
        <v>3</v>
      </c>
      <c r="J269" s="2">
        <f>IF(H269=H270,J270+1,1)</f>
        <v>1</v>
      </c>
      <c r="K269" s="2">
        <f>I269+J269-1</f>
        <v>3</v>
      </c>
      <c r="L269" s="2" t="str">
        <f>IF(H269="neutral","—",IF(K269&gt;=5,IF(H269="warm","El Niño","La Niña"),IF(ROW()+J269-1=920,IF(H269="warm","El Niño (ongoing)","La Niña (ongoing)"),"—")))</f>
        <v>—</v>
      </c>
      <c r="M269" s="2" t="inlineStr">
        <is>
          <t xml:space="preserve">1971/72</t>
        </is>
      </c>
    </row>
    <row r="270">
      <c r="A270" s="2" t="inlineStr">
        <is>
          <t xml:space="preserve">1972-05</t>
        </is>
      </c>
      <c r="B270" s="2">
        <v>1972</v>
      </c>
      <c r="C270" s="2">
        <v>5</v>
      </c>
      <c r="D270" s="2" t="inlineStr">
        <is>
          <t xml:space="preserve">AMJ</t>
        </is>
      </c>
      <c r="E270" t="inlineStr">
        <is>
          <t xml:space="preserve">Apr 1972 – Jun 1972</t>
        </is>
      </c>
      <c r="F270" s="3">
        <v>0.48</v>
      </c>
      <c r="G270" s="4">
        <f>ROUND(F270,1)</f>
        <v>0.5</v>
      </c>
      <c r="H270" s="2" t="str">
        <f>IF(G270&gt;=0.5,"warm",IF(G270&lt;=-0.5,"cold","neutral"))</f>
        <v>warm</v>
      </c>
      <c r="I270" s="2">
        <f>IF(H270=H269,I269+1,1)</f>
        <v>1</v>
      </c>
      <c r="J270" s="2">
        <f>IF(H270=H271,J271+1,1)</f>
        <v>11</v>
      </c>
      <c r="K270" s="2">
        <f>I270+J270-1</f>
        <v>11</v>
      </c>
      <c r="L270" s="6" t="str">
        <f>IF(H270="neutral","—",IF(K270&gt;=5,IF(H270="warm","El Niño","La Niña"),IF(ROW()+J270-1=920,IF(H270="warm","El Niño (ongoing)","La Niña (ongoing)"),"—")))</f>
        <v>El Niño</v>
      </c>
      <c r="M270" s="2" t="inlineStr">
        <is>
          <t xml:space="preserve">1971/72</t>
        </is>
      </c>
    </row>
    <row r="271">
      <c r="A271" s="2" t="inlineStr">
        <is>
          <t xml:space="preserve">1972-06</t>
        </is>
      </c>
      <c r="B271" s="2">
        <v>1972</v>
      </c>
      <c r="C271" s="2">
        <v>6</v>
      </c>
      <c r="D271" s="2" t="inlineStr">
        <is>
          <t xml:space="preserve">MJJ</t>
        </is>
      </c>
      <c r="E271" t="inlineStr">
        <is>
          <t xml:space="preserve">May 1972 – Jul 1972</t>
        </is>
      </c>
      <c r="F271" s="3">
        <v>0.7</v>
      </c>
      <c r="G271" s="4">
        <f>ROUND(F271,1)</f>
        <v>0.7</v>
      </c>
      <c r="H271" s="2" t="str">
        <f>IF(G271&gt;=0.5,"warm",IF(G271&lt;=-0.5,"cold","neutral"))</f>
        <v>warm</v>
      </c>
      <c r="I271" s="2">
        <f>IF(H271=H270,I270+1,1)</f>
        <v>2</v>
      </c>
      <c r="J271" s="2">
        <f>IF(H271=H272,J272+1,1)</f>
        <v>10</v>
      </c>
      <c r="K271" s="2">
        <f>I271+J271-1</f>
        <v>11</v>
      </c>
      <c r="L271" s="6" t="str">
        <f>IF(H271="neutral","—",IF(K271&gt;=5,IF(H271="warm","El Niño","La Niña"),IF(ROW()+J271-1=920,IF(H271="warm","El Niño (ongoing)","La Niña (ongoing)"),"—")))</f>
        <v>El Niño</v>
      </c>
      <c r="M271" s="2" t="inlineStr">
        <is>
          <t xml:space="preserve">1971/72</t>
        </is>
      </c>
    </row>
    <row r="272">
      <c r="A272" s="2" t="inlineStr">
        <is>
          <t xml:space="preserve">1972-07</t>
        </is>
      </c>
      <c r="B272" s="2">
        <v>1972</v>
      </c>
      <c r="C272" s="2">
        <v>7</v>
      </c>
      <c r="D272" s="2" t="inlineStr">
        <is>
          <t xml:space="preserve">JJA</t>
        </is>
      </c>
      <c r="E272" t="inlineStr">
        <is>
          <t xml:space="preserve">Jun 1972 – Aug 1972</t>
        </is>
      </c>
      <c r="F272" s="3">
        <v>1.0</v>
      </c>
      <c r="G272" s="4">
        <f>ROUND(F272,1)</f>
        <v>1.0</v>
      </c>
      <c r="H272" s="2" t="str">
        <f>IF(G272&gt;=0.5,"warm",IF(G272&lt;=-0.5,"cold","neutral"))</f>
        <v>warm</v>
      </c>
      <c r="I272" s="2">
        <f>IF(H272=H271,I271+1,1)</f>
        <v>3</v>
      </c>
      <c r="J272" s="2">
        <f>IF(H272=H273,J273+1,1)</f>
        <v>9</v>
      </c>
      <c r="K272" s="2">
        <f>I272+J272-1</f>
        <v>11</v>
      </c>
      <c r="L272" s="6" t="str">
        <f>IF(H272="neutral","—",IF(K272&gt;=5,IF(H272="warm","El Niño","La Niña"),IF(ROW()+J272-1=920,IF(H272="warm","El Niño (ongoing)","La Niña (ongoing)"),"—")))</f>
        <v>El Niño</v>
      </c>
      <c r="M272" s="2" t="inlineStr">
        <is>
          <t xml:space="preserve">1972/73</t>
        </is>
      </c>
    </row>
    <row r="273">
      <c r="A273" s="2" t="inlineStr">
        <is>
          <t xml:space="preserve">1972-08</t>
        </is>
      </c>
      <c r="B273" s="2">
        <v>1972</v>
      </c>
      <c r="C273" s="2">
        <v>8</v>
      </c>
      <c r="D273" s="2" t="inlineStr">
        <is>
          <t xml:space="preserve">JAS</t>
        </is>
      </c>
      <c r="E273" t="inlineStr">
        <is>
          <t xml:space="preserve">Jul 1972 – Sep 1972</t>
        </is>
      </c>
      <c r="F273" s="3">
        <v>1.26</v>
      </c>
      <c r="G273" s="4">
        <f>ROUND(F273,1)</f>
        <v>1.3</v>
      </c>
      <c r="H273" s="2" t="str">
        <f>IF(G273&gt;=0.5,"warm",IF(G273&lt;=-0.5,"cold","neutral"))</f>
        <v>warm</v>
      </c>
      <c r="I273" s="2">
        <f>IF(H273=H272,I272+1,1)</f>
        <v>4</v>
      </c>
      <c r="J273" s="2">
        <f>IF(H273=H274,J274+1,1)</f>
        <v>8</v>
      </c>
      <c r="K273" s="2">
        <f>I273+J273-1</f>
        <v>11</v>
      </c>
      <c r="L273" s="6" t="str">
        <f>IF(H273="neutral","—",IF(K273&gt;=5,IF(H273="warm","El Niño","La Niña"),IF(ROW()+J273-1=920,IF(H273="warm","El Niño (ongoing)","La Niña (ongoing)"),"—")))</f>
        <v>El Niño</v>
      </c>
      <c r="M273" s="2" t="inlineStr">
        <is>
          <t xml:space="preserve">1972/73</t>
        </is>
      </c>
    </row>
    <row r="274">
      <c r="A274" s="2" t="inlineStr">
        <is>
          <t xml:space="preserve">1972-09</t>
        </is>
      </c>
      <c r="B274" s="2">
        <v>1972</v>
      </c>
      <c r="C274" s="2">
        <v>9</v>
      </c>
      <c r="D274" s="2" t="inlineStr">
        <is>
          <t xml:space="preserve">ASO</t>
        </is>
      </c>
      <c r="E274" t="inlineStr">
        <is>
          <t xml:space="preserve">Aug 1972 – Oct 1972</t>
        </is>
      </c>
      <c r="F274" s="3">
        <v>1.49</v>
      </c>
      <c r="G274" s="4">
        <f>ROUND(F274,1)</f>
        <v>1.5</v>
      </c>
      <c r="H274" s="2" t="str">
        <f>IF(G274&gt;=0.5,"warm",IF(G274&lt;=-0.5,"cold","neutral"))</f>
        <v>warm</v>
      </c>
      <c r="I274" s="2">
        <f>IF(H274=H273,I273+1,1)</f>
        <v>5</v>
      </c>
      <c r="J274" s="2">
        <f>IF(H274=H275,J275+1,1)</f>
        <v>7</v>
      </c>
      <c r="K274" s="2">
        <f>I274+J274-1</f>
        <v>11</v>
      </c>
      <c r="L274" s="6" t="str">
        <f>IF(H274="neutral","—",IF(K274&gt;=5,IF(H274="warm","El Niño","La Niña"),IF(ROW()+J274-1=920,IF(H274="warm","El Niño (ongoing)","La Niña (ongoing)"),"—")))</f>
        <v>El Niño</v>
      </c>
      <c r="M274" s="2" t="inlineStr">
        <is>
          <t xml:space="preserve">1972/73</t>
        </is>
      </c>
    </row>
    <row r="275">
      <c r="A275" s="2" t="inlineStr">
        <is>
          <t xml:space="preserve">1972-10</t>
        </is>
      </c>
      <c r="B275" s="2">
        <v>1972</v>
      </c>
      <c r="C275" s="2">
        <v>10</v>
      </c>
      <c r="D275" s="2" t="inlineStr">
        <is>
          <t xml:space="preserve">SON</t>
        </is>
      </c>
      <c r="E275" t="inlineStr">
        <is>
          <t xml:space="preserve">Sep 1972 – Nov 1972</t>
        </is>
      </c>
      <c r="F275" s="3">
        <v>1.69</v>
      </c>
      <c r="G275" s="4">
        <f>ROUND(F275,1)</f>
        <v>1.7</v>
      </c>
      <c r="H275" s="2" t="str">
        <f>IF(G275&gt;=0.5,"warm",IF(G275&lt;=-0.5,"cold","neutral"))</f>
        <v>warm</v>
      </c>
      <c r="I275" s="2">
        <f>IF(H275=H274,I274+1,1)</f>
        <v>6</v>
      </c>
      <c r="J275" s="2">
        <f>IF(H275=H276,J276+1,1)</f>
        <v>6</v>
      </c>
      <c r="K275" s="2">
        <f>I275+J275-1</f>
        <v>11</v>
      </c>
      <c r="L275" s="6" t="str">
        <f>IF(H275="neutral","—",IF(K275&gt;=5,IF(H275="warm","El Niño","La Niña"),IF(ROW()+J275-1=920,IF(H275="warm","El Niño (ongoing)","La Niña (ongoing)"),"—")))</f>
        <v>El Niño</v>
      </c>
      <c r="M275" s="2" t="inlineStr">
        <is>
          <t xml:space="preserve">1972/73</t>
        </is>
      </c>
    </row>
    <row r="276">
      <c r="A276" s="2" t="inlineStr">
        <is>
          <t xml:space="preserve">1972-11</t>
        </is>
      </c>
      <c r="B276" s="2">
        <v>1972</v>
      </c>
      <c r="C276" s="2">
        <v>11</v>
      </c>
      <c r="D276" s="2" t="inlineStr">
        <is>
          <t xml:space="preserve">OND</t>
        </is>
      </c>
      <c r="E276" t="inlineStr">
        <is>
          <t xml:space="preserve">Oct 1972 – Dec 1972</t>
        </is>
      </c>
      <c r="F276" s="3">
        <v>1.84</v>
      </c>
      <c r="G276" s="4">
        <f>ROUND(F276,1)</f>
        <v>1.8</v>
      </c>
      <c r="H276" s="2" t="str">
        <f>IF(G276&gt;=0.5,"warm",IF(G276&lt;=-0.5,"cold","neutral"))</f>
        <v>warm</v>
      </c>
      <c r="I276" s="2">
        <f>IF(H276=H275,I275+1,1)</f>
        <v>7</v>
      </c>
      <c r="J276" s="2">
        <f>IF(H276=H277,J277+1,1)</f>
        <v>5</v>
      </c>
      <c r="K276" s="2">
        <f>I276+J276-1</f>
        <v>11</v>
      </c>
      <c r="L276" s="6" t="str">
        <f>IF(H276="neutral","—",IF(K276&gt;=5,IF(H276="warm","El Niño","La Niña"),IF(ROW()+J276-1=920,IF(H276="warm","El Niño (ongoing)","La Niña (ongoing)"),"—")))</f>
        <v>El Niño</v>
      </c>
      <c r="M276" s="2" t="inlineStr">
        <is>
          <t xml:space="preserve">1972/73</t>
        </is>
      </c>
    </row>
    <row r="277">
      <c r="A277" s="2" t="inlineStr">
        <is>
          <t xml:space="preserve">1972-12</t>
        </is>
      </c>
      <c r="B277" s="2">
        <v>1972</v>
      </c>
      <c r="C277" s="2">
        <v>12</v>
      </c>
      <c r="D277" s="2" t="inlineStr">
        <is>
          <t xml:space="preserve">NDJ</t>
        </is>
      </c>
      <c r="E277" t="inlineStr">
        <is>
          <t xml:space="preserve">Nov 1972 – Jan 1973</t>
        </is>
      </c>
      <c r="F277" s="3">
        <v>1.77</v>
      </c>
      <c r="G277" s="4">
        <f>ROUND(F277,1)</f>
        <v>1.8</v>
      </c>
      <c r="H277" s="2" t="str">
        <f>IF(G277&gt;=0.5,"warm",IF(G277&lt;=-0.5,"cold","neutral"))</f>
        <v>warm</v>
      </c>
      <c r="I277" s="2">
        <f>IF(H277=H276,I276+1,1)</f>
        <v>8</v>
      </c>
      <c r="J277" s="2">
        <f>IF(H277=H278,J278+1,1)</f>
        <v>4</v>
      </c>
      <c r="K277" s="2">
        <f>I277+J277-1</f>
        <v>11</v>
      </c>
      <c r="L277" s="6" t="str">
        <f>IF(H277="neutral","—",IF(K277&gt;=5,IF(H277="warm","El Niño","La Niña"),IF(ROW()+J277-1=920,IF(H277="warm","El Niño (ongoing)","La Niña (ongoing)"),"—")))</f>
        <v>El Niño</v>
      </c>
      <c r="M277" s="2" t="inlineStr">
        <is>
          <t xml:space="preserve">1972/73</t>
        </is>
      </c>
    </row>
    <row r="278">
      <c r="A278" s="2" t="inlineStr">
        <is>
          <t xml:space="preserve">1973-01</t>
        </is>
      </c>
      <c r="B278" s="2">
        <v>1973</v>
      </c>
      <c r="C278" s="2">
        <v>1</v>
      </c>
      <c r="D278" s="2" t="inlineStr">
        <is>
          <t xml:space="preserve">DJF</t>
        </is>
      </c>
      <c r="E278" t="inlineStr">
        <is>
          <t xml:space="preserve">Dec 1972 – Feb 1973</t>
        </is>
      </c>
      <c r="F278" s="3">
        <v>1.55</v>
      </c>
      <c r="G278" s="4">
        <f>ROUND(F278,1)</f>
        <v>1.6</v>
      </c>
      <c r="H278" s="2" t="str">
        <f>IF(G278&gt;=0.5,"warm",IF(G278&lt;=-0.5,"cold","neutral"))</f>
        <v>warm</v>
      </c>
      <c r="I278" s="2">
        <f>IF(H278=H277,I277+1,1)</f>
        <v>9</v>
      </c>
      <c r="J278" s="2">
        <f>IF(H278=H279,J279+1,1)</f>
        <v>3</v>
      </c>
      <c r="K278" s="2">
        <f>I278+J278-1</f>
        <v>11</v>
      </c>
      <c r="L278" s="6" t="str">
        <f>IF(H278="neutral","—",IF(K278&gt;=5,IF(H278="warm","El Niño","La Niña"),IF(ROW()+J278-1=920,IF(H278="warm","El Niño (ongoing)","La Niña (ongoing)"),"—")))</f>
        <v>El Niño</v>
      </c>
      <c r="M278" s="2" t="inlineStr">
        <is>
          <t xml:space="preserve">1972/73</t>
        </is>
      </c>
    </row>
    <row r="279">
      <c r="A279" s="2" t="inlineStr">
        <is>
          <t xml:space="preserve">1973-02</t>
        </is>
      </c>
      <c r="B279" s="2">
        <v>1973</v>
      </c>
      <c r="C279" s="2">
        <v>2</v>
      </c>
      <c r="D279" s="2" t="inlineStr">
        <is>
          <t xml:space="preserve">JFM</t>
        </is>
      </c>
      <c r="E279" t="inlineStr">
        <is>
          <t xml:space="preserve">Jan 1973 – Mar 1973</t>
        </is>
      </c>
      <c r="F279" s="3">
        <v>1.13</v>
      </c>
      <c r="G279" s="4">
        <f>ROUND(F279,1)</f>
        <v>1.1</v>
      </c>
      <c r="H279" s="2" t="str">
        <f>IF(G279&gt;=0.5,"warm",IF(G279&lt;=-0.5,"cold","neutral"))</f>
        <v>warm</v>
      </c>
      <c r="I279" s="2">
        <f>IF(H279=H278,I278+1,1)</f>
        <v>10</v>
      </c>
      <c r="J279" s="2">
        <f>IF(H279=H280,J280+1,1)</f>
        <v>2</v>
      </c>
      <c r="K279" s="2">
        <f>I279+J279-1</f>
        <v>11</v>
      </c>
      <c r="L279" s="6" t="str">
        <f>IF(H279="neutral","—",IF(K279&gt;=5,IF(H279="warm","El Niño","La Niña"),IF(ROW()+J279-1=920,IF(H279="warm","El Niño (ongoing)","La Niña (ongoing)"),"—")))</f>
        <v>El Niño</v>
      </c>
      <c r="M279" s="2" t="inlineStr">
        <is>
          <t xml:space="preserve">1972/73</t>
        </is>
      </c>
    </row>
    <row r="280">
      <c r="A280" s="2" t="inlineStr">
        <is>
          <t xml:space="preserve">1973-03</t>
        </is>
      </c>
      <c r="B280" s="2">
        <v>1973</v>
      </c>
      <c r="C280" s="2">
        <v>3</v>
      </c>
      <c r="D280" s="2" t="inlineStr">
        <is>
          <t xml:space="preserve">FMA</t>
        </is>
      </c>
      <c r="E280" t="inlineStr">
        <is>
          <t xml:space="preserve">Feb 1973 – Apr 1973</t>
        </is>
      </c>
      <c r="F280" s="3">
        <v>0.56</v>
      </c>
      <c r="G280" s="4">
        <f>ROUND(F280,1)</f>
        <v>0.6</v>
      </c>
      <c r="H280" s="2" t="str">
        <f>IF(G280&gt;=0.5,"warm",IF(G280&lt;=-0.5,"cold","neutral"))</f>
        <v>warm</v>
      </c>
      <c r="I280" s="2">
        <f>IF(H280=H279,I279+1,1)</f>
        <v>11</v>
      </c>
      <c r="J280" s="2">
        <f>IF(H280=H281,J281+1,1)</f>
        <v>1</v>
      </c>
      <c r="K280" s="2">
        <f>I280+J280-1</f>
        <v>11</v>
      </c>
      <c r="L280" s="6" t="str">
        <f>IF(H280="neutral","—",IF(K280&gt;=5,IF(H280="warm","El Niño","La Niña"),IF(ROW()+J280-1=920,IF(H280="warm","El Niño (ongoing)","La Niña (ongoing)"),"—")))</f>
        <v>El Niño</v>
      </c>
      <c r="M280" s="2" t="inlineStr">
        <is>
          <t xml:space="preserve">1972/73</t>
        </is>
      </c>
    </row>
    <row r="281">
      <c r="A281" s="2" t="inlineStr">
        <is>
          <t xml:space="preserve">1973-04</t>
        </is>
      </c>
      <c r="B281" s="2">
        <v>1973</v>
      </c>
      <c r="C281" s="2">
        <v>4</v>
      </c>
      <c r="D281" s="2" t="inlineStr">
        <is>
          <t xml:space="preserve">MAM</t>
        </is>
      </c>
      <c r="E281" t="inlineStr">
        <is>
          <t xml:space="preserve">Mar 1973 – May 1973</t>
        </is>
      </c>
      <c r="F281" s="3">
        <v>-0.03</v>
      </c>
      <c r="G281" s="4">
        <f>ROUND(F281,1)</f>
        <v>-0.0</v>
      </c>
      <c r="H281" s="2" t="str">
        <f>IF(G281&gt;=0.5,"warm",IF(G281&lt;=-0.5,"cold","neutral"))</f>
        <v>neutral</v>
      </c>
      <c r="I281" s="2">
        <f>IF(H281=H280,I280+1,1)</f>
        <v>1</v>
      </c>
      <c r="J281" s="2">
        <f>IF(H281=H282,J282+1,1)</f>
        <v>1</v>
      </c>
      <c r="K281" s="2">
        <f>I281+J281-1</f>
        <v>1</v>
      </c>
      <c r="L281" s="2" t="str">
        <f>IF(H281="neutral","—",IF(K281&gt;=5,IF(H281="warm","El Niño","La Niña"),IF(ROW()+J281-1=920,IF(H281="warm","El Niño (ongoing)","La Niña (ongoing)"),"—")))</f>
        <v>—</v>
      </c>
      <c r="M281" s="2" t="inlineStr">
        <is>
          <t xml:space="preserve">1972/73</t>
        </is>
      </c>
    </row>
    <row r="282">
      <c r="A282" s="2" t="inlineStr">
        <is>
          <t xml:space="preserve">1973-05</t>
        </is>
      </c>
      <c r="B282" s="2">
        <v>1973</v>
      </c>
      <c r="C282" s="2">
        <v>5</v>
      </c>
      <c r="D282" s="2" t="inlineStr">
        <is>
          <t xml:space="preserve">AMJ</t>
        </is>
      </c>
      <c r="E282" t="inlineStr">
        <is>
          <t xml:space="preserve">Apr 1973 – Jun 1973</t>
        </is>
      </c>
      <c r="F282" s="3">
        <v>-0.51</v>
      </c>
      <c r="G282" s="4">
        <f>ROUND(F282,1)</f>
        <v>-0.5</v>
      </c>
      <c r="H282" s="2" t="str">
        <f>IF(G282&gt;=0.5,"warm",IF(G282&lt;=-0.5,"cold","neutral"))</f>
        <v>cold</v>
      </c>
      <c r="I282" s="2">
        <f>IF(H282=H281,I281+1,1)</f>
        <v>1</v>
      </c>
      <c r="J282" s="2">
        <f>IF(H282=H283,J283+1,1)</f>
        <v>15</v>
      </c>
      <c r="K282" s="2">
        <f>I282+J282-1</f>
        <v>15</v>
      </c>
      <c r="L282" s="5" t="str">
        <f>IF(H282="neutral","—",IF(K282&gt;=5,IF(H282="warm","El Niño","La Niña"),IF(ROW()+J282-1=920,IF(H282="warm","El Niño (ongoing)","La Niña (ongoing)"),"—")))</f>
        <v>La Niña</v>
      </c>
      <c r="M282" s="2" t="inlineStr">
        <is>
          <t xml:space="preserve">1972/73</t>
        </is>
      </c>
    </row>
    <row r="283">
      <c r="A283" s="2" t="inlineStr">
        <is>
          <t xml:space="preserve">1973-06</t>
        </is>
      </c>
      <c r="B283" s="2">
        <v>1973</v>
      </c>
      <c r="C283" s="2">
        <v>6</v>
      </c>
      <c r="D283" s="2" t="inlineStr">
        <is>
          <t xml:space="preserve">MJJ</t>
        </is>
      </c>
      <c r="E283" t="inlineStr">
        <is>
          <t xml:space="preserve">May 1973 – Jul 1973</t>
        </is>
      </c>
      <c r="F283" s="3">
        <v>-0.8</v>
      </c>
      <c r="G283" s="4">
        <f>ROUND(F283,1)</f>
        <v>-0.8</v>
      </c>
      <c r="H283" s="2" t="str">
        <f>IF(G283&gt;=0.5,"warm",IF(G283&lt;=-0.5,"cold","neutral"))</f>
        <v>cold</v>
      </c>
      <c r="I283" s="2">
        <f>IF(H283=H282,I282+1,1)</f>
        <v>2</v>
      </c>
      <c r="J283" s="2">
        <f>IF(H283=H284,J284+1,1)</f>
        <v>14</v>
      </c>
      <c r="K283" s="2">
        <f>I283+J283-1</f>
        <v>15</v>
      </c>
      <c r="L283" s="5" t="str">
        <f>IF(H283="neutral","—",IF(K283&gt;=5,IF(H283="warm","El Niño","La Niña"),IF(ROW()+J283-1=920,IF(H283="warm","El Niño (ongoing)","La Niña (ongoing)"),"—")))</f>
        <v>La Niña</v>
      </c>
      <c r="M283" s="2" t="inlineStr">
        <is>
          <t xml:space="preserve">1972/73</t>
        </is>
      </c>
    </row>
    <row r="284">
      <c r="A284" s="2" t="inlineStr">
        <is>
          <t xml:space="preserve">1973-07</t>
        </is>
      </c>
      <c r="B284" s="2">
        <v>1973</v>
      </c>
      <c r="C284" s="2">
        <v>7</v>
      </c>
      <c r="D284" s="2" t="inlineStr">
        <is>
          <t xml:space="preserve">JJA</t>
        </is>
      </c>
      <c r="E284" t="inlineStr">
        <is>
          <t xml:space="preserve">Jun 1973 – Aug 1973</t>
        </is>
      </c>
      <c r="F284" s="3">
        <v>-0.99</v>
      </c>
      <c r="G284" s="4">
        <f>ROUND(F284,1)</f>
        <v>-1.0</v>
      </c>
      <c r="H284" s="2" t="str">
        <f>IF(G284&gt;=0.5,"warm",IF(G284&lt;=-0.5,"cold","neutral"))</f>
        <v>cold</v>
      </c>
      <c r="I284" s="2">
        <f>IF(H284=H283,I283+1,1)</f>
        <v>3</v>
      </c>
      <c r="J284" s="2">
        <f>IF(H284=H285,J285+1,1)</f>
        <v>13</v>
      </c>
      <c r="K284" s="2">
        <f>I284+J284-1</f>
        <v>15</v>
      </c>
      <c r="L284" s="5" t="str">
        <f>IF(H284="neutral","—",IF(K284&gt;=5,IF(H284="warm","El Niño","La Niña"),IF(ROW()+J284-1=920,IF(H284="warm","El Niño (ongoing)","La Niña (ongoing)"),"—")))</f>
        <v>La Niña</v>
      </c>
      <c r="M284" s="2" t="inlineStr">
        <is>
          <t xml:space="preserve">1973/74</t>
        </is>
      </c>
    </row>
    <row r="285">
      <c r="A285" s="2" t="inlineStr">
        <is>
          <t xml:space="preserve">1973-08</t>
        </is>
      </c>
      <c r="B285" s="2">
        <v>1973</v>
      </c>
      <c r="C285" s="2">
        <v>8</v>
      </c>
      <c r="D285" s="2" t="inlineStr">
        <is>
          <t xml:space="preserve">JAS</t>
        </is>
      </c>
      <c r="E285" t="inlineStr">
        <is>
          <t xml:space="preserve">Jul 1973 – Sep 1973</t>
        </is>
      </c>
      <c r="F285" s="3">
        <v>-1.11</v>
      </c>
      <c r="G285" s="4">
        <f>ROUND(F285,1)</f>
        <v>-1.1</v>
      </c>
      <c r="H285" s="2" t="str">
        <f>IF(G285&gt;=0.5,"warm",IF(G285&lt;=-0.5,"cold","neutral"))</f>
        <v>cold</v>
      </c>
      <c r="I285" s="2">
        <f>IF(H285=H284,I284+1,1)</f>
        <v>4</v>
      </c>
      <c r="J285" s="2">
        <f>IF(H285=H286,J286+1,1)</f>
        <v>12</v>
      </c>
      <c r="K285" s="2">
        <f>I285+J285-1</f>
        <v>15</v>
      </c>
      <c r="L285" s="5" t="str">
        <f>IF(H285="neutral","—",IF(K285&gt;=5,IF(H285="warm","El Niño","La Niña"),IF(ROW()+J285-1=920,IF(H285="warm","El Niño (ongoing)","La Niña (ongoing)"),"—")))</f>
        <v>La Niña</v>
      </c>
      <c r="M285" s="2" t="inlineStr">
        <is>
          <t xml:space="preserve">1973/74</t>
        </is>
      </c>
    </row>
    <row r="286">
      <c r="A286" s="2" t="inlineStr">
        <is>
          <t xml:space="preserve">1973-09</t>
        </is>
      </c>
      <c r="B286" s="2">
        <v>1973</v>
      </c>
      <c r="C286" s="2">
        <v>9</v>
      </c>
      <c r="D286" s="2" t="inlineStr">
        <is>
          <t xml:space="preserve">ASO</t>
        </is>
      </c>
      <c r="E286" t="inlineStr">
        <is>
          <t xml:space="preserve">Aug 1973 – Oct 1973</t>
        </is>
      </c>
      <c r="F286" s="3">
        <v>-1.26</v>
      </c>
      <c r="G286" s="4">
        <f>ROUND(F286,1)</f>
        <v>-1.3</v>
      </c>
      <c r="H286" s="2" t="str">
        <f>IF(G286&gt;=0.5,"warm",IF(G286&lt;=-0.5,"cold","neutral"))</f>
        <v>cold</v>
      </c>
      <c r="I286" s="2">
        <f>IF(H286=H285,I285+1,1)</f>
        <v>5</v>
      </c>
      <c r="J286" s="2">
        <f>IF(H286=H287,J287+1,1)</f>
        <v>11</v>
      </c>
      <c r="K286" s="2">
        <f>I286+J286-1</f>
        <v>15</v>
      </c>
      <c r="L286" s="5" t="str">
        <f>IF(H286="neutral","—",IF(K286&gt;=5,IF(H286="warm","El Niño","La Niña"),IF(ROW()+J286-1=920,IF(H286="warm","El Niño (ongoing)","La Niña (ongoing)"),"—")))</f>
        <v>La Niña</v>
      </c>
      <c r="M286" s="2" t="inlineStr">
        <is>
          <t xml:space="preserve">1973/74</t>
        </is>
      </c>
    </row>
    <row r="287">
      <c r="A287" s="2" t="inlineStr">
        <is>
          <t xml:space="preserve">1973-10</t>
        </is>
      </c>
      <c r="B287" s="2">
        <v>1973</v>
      </c>
      <c r="C287" s="2">
        <v>10</v>
      </c>
      <c r="D287" s="2" t="inlineStr">
        <is>
          <t xml:space="preserve">SON</t>
        </is>
      </c>
      <c r="E287" t="inlineStr">
        <is>
          <t xml:space="preserve">Sep 1973 – Nov 1973</t>
        </is>
      </c>
      <c r="F287" s="3">
        <v>-1.58</v>
      </c>
      <c r="G287" s="4">
        <f>ROUND(F287,1)</f>
        <v>-1.6</v>
      </c>
      <c r="H287" s="2" t="str">
        <f>IF(G287&gt;=0.5,"warm",IF(G287&lt;=-0.5,"cold","neutral"))</f>
        <v>cold</v>
      </c>
      <c r="I287" s="2">
        <f>IF(H287=H286,I286+1,1)</f>
        <v>6</v>
      </c>
      <c r="J287" s="2">
        <f>IF(H287=H288,J288+1,1)</f>
        <v>10</v>
      </c>
      <c r="K287" s="2">
        <f>I287+J287-1</f>
        <v>15</v>
      </c>
      <c r="L287" s="5" t="str">
        <f>IF(H287="neutral","—",IF(K287&gt;=5,IF(H287="warm","El Niño","La Niña"),IF(ROW()+J287-1=920,IF(H287="warm","El Niño (ongoing)","La Niña (ongoing)"),"—")))</f>
        <v>La Niña</v>
      </c>
      <c r="M287" s="2" t="inlineStr">
        <is>
          <t xml:space="preserve">1973/74</t>
        </is>
      </c>
    </row>
    <row r="288">
      <c r="A288" s="2" t="inlineStr">
        <is>
          <t xml:space="preserve">1973-11</t>
        </is>
      </c>
      <c r="B288" s="2">
        <v>1973</v>
      </c>
      <c r="C288" s="2">
        <v>11</v>
      </c>
      <c r="D288" s="2" t="inlineStr">
        <is>
          <t xml:space="preserve">OND</t>
        </is>
      </c>
      <c r="E288" t="inlineStr">
        <is>
          <t xml:space="preserve">Oct 1973 – Dec 1973</t>
        </is>
      </c>
      <c r="F288" s="3">
        <v>-1.89</v>
      </c>
      <c r="G288" s="4">
        <f>ROUND(F288,1)</f>
        <v>-1.9</v>
      </c>
      <c r="H288" s="2" t="str">
        <f>IF(G288&gt;=0.5,"warm",IF(G288&lt;=-0.5,"cold","neutral"))</f>
        <v>cold</v>
      </c>
      <c r="I288" s="2">
        <f>IF(H288=H287,I287+1,1)</f>
        <v>7</v>
      </c>
      <c r="J288" s="2">
        <f>IF(H288=H289,J289+1,1)</f>
        <v>9</v>
      </c>
      <c r="K288" s="2">
        <f>I288+J288-1</f>
        <v>15</v>
      </c>
      <c r="L288" s="5" t="str">
        <f>IF(H288="neutral","—",IF(K288&gt;=5,IF(H288="warm","El Niño","La Niña"),IF(ROW()+J288-1=920,IF(H288="warm","El Niño (ongoing)","La Niña (ongoing)"),"—")))</f>
        <v>La Niña</v>
      </c>
      <c r="M288" s="2" t="inlineStr">
        <is>
          <t xml:space="preserve">1973/74</t>
        </is>
      </c>
    </row>
    <row r="289">
      <c r="A289" s="2" t="inlineStr">
        <is>
          <t xml:space="preserve">1973-12</t>
        </is>
      </c>
      <c r="B289" s="2">
        <v>1973</v>
      </c>
      <c r="C289" s="2">
        <v>12</v>
      </c>
      <c r="D289" s="2" t="inlineStr">
        <is>
          <t xml:space="preserve">NDJ</t>
        </is>
      </c>
      <c r="E289" t="inlineStr">
        <is>
          <t xml:space="preserve">Nov 1973 – Jan 1974</t>
        </is>
      </c>
      <c r="F289" s="3">
        <v>-2.04</v>
      </c>
      <c r="G289" s="4">
        <f>ROUND(F289,1)</f>
        <v>-2.0</v>
      </c>
      <c r="H289" s="2" t="str">
        <f>IF(G289&gt;=0.5,"warm",IF(G289&lt;=-0.5,"cold","neutral"))</f>
        <v>cold</v>
      </c>
      <c r="I289" s="2">
        <f>IF(H289=H288,I288+1,1)</f>
        <v>8</v>
      </c>
      <c r="J289" s="2">
        <f>IF(H289=H290,J290+1,1)</f>
        <v>8</v>
      </c>
      <c r="K289" s="2">
        <f>I289+J289-1</f>
        <v>15</v>
      </c>
      <c r="L289" s="5" t="str">
        <f>IF(H289="neutral","—",IF(K289&gt;=5,IF(H289="warm","El Niño","La Niña"),IF(ROW()+J289-1=920,IF(H289="warm","El Niño (ongoing)","La Niña (ongoing)"),"—")))</f>
        <v>La Niña</v>
      </c>
      <c r="M289" s="2" t="inlineStr">
        <is>
          <t xml:space="preserve">1973/74</t>
        </is>
      </c>
    </row>
    <row r="290">
      <c r="A290" s="2" t="inlineStr">
        <is>
          <t xml:space="preserve">1974-01</t>
        </is>
      </c>
      <c r="B290" s="2">
        <v>1974</v>
      </c>
      <c r="C290" s="2">
        <v>1</v>
      </c>
      <c r="D290" s="2" t="inlineStr">
        <is>
          <t xml:space="preserve">DJF</t>
        </is>
      </c>
      <c r="E290" t="inlineStr">
        <is>
          <t xml:space="preserve">Dec 1973 – Feb 1974</t>
        </is>
      </c>
      <c r="F290" s="3">
        <v>-1.87</v>
      </c>
      <c r="G290" s="4">
        <f>ROUND(F290,1)</f>
        <v>-1.9</v>
      </c>
      <c r="H290" s="2" t="str">
        <f>IF(G290&gt;=0.5,"warm",IF(G290&lt;=-0.5,"cold","neutral"))</f>
        <v>cold</v>
      </c>
      <c r="I290" s="2">
        <f>IF(H290=H289,I289+1,1)</f>
        <v>9</v>
      </c>
      <c r="J290" s="2">
        <f>IF(H290=H291,J291+1,1)</f>
        <v>7</v>
      </c>
      <c r="K290" s="2">
        <f>I290+J290-1</f>
        <v>15</v>
      </c>
      <c r="L290" s="5" t="str">
        <f>IF(H290="neutral","—",IF(K290&gt;=5,IF(H290="warm","El Niño","La Niña"),IF(ROW()+J290-1=920,IF(H290="warm","El Niño (ongoing)","La Niña (ongoing)"),"—")))</f>
        <v>La Niña</v>
      </c>
      <c r="M290" s="2" t="inlineStr">
        <is>
          <t xml:space="preserve">1973/74</t>
        </is>
      </c>
    </row>
    <row r="291">
      <c r="A291" s="2" t="inlineStr">
        <is>
          <t xml:space="preserve">1974-02</t>
        </is>
      </c>
      <c r="B291" s="2">
        <v>1974</v>
      </c>
      <c r="C291" s="2">
        <v>2</v>
      </c>
      <c r="D291" s="2" t="inlineStr">
        <is>
          <t xml:space="preserve">JFM</t>
        </is>
      </c>
      <c r="E291" t="inlineStr">
        <is>
          <t xml:space="preserve">Jan 1974 – Mar 1974</t>
        </is>
      </c>
      <c r="F291" s="3">
        <v>-1.59</v>
      </c>
      <c r="G291" s="4">
        <f>ROUND(F291,1)</f>
        <v>-1.6</v>
      </c>
      <c r="H291" s="2" t="str">
        <f>IF(G291&gt;=0.5,"warm",IF(G291&lt;=-0.5,"cold","neutral"))</f>
        <v>cold</v>
      </c>
      <c r="I291" s="2">
        <f>IF(H291=H290,I290+1,1)</f>
        <v>10</v>
      </c>
      <c r="J291" s="2">
        <f>IF(H291=H292,J292+1,1)</f>
        <v>6</v>
      </c>
      <c r="K291" s="2">
        <f>I291+J291-1</f>
        <v>15</v>
      </c>
      <c r="L291" s="5" t="str">
        <f>IF(H291="neutral","—",IF(K291&gt;=5,IF(H291="warm","El Niño","La Niña"),IF(ROW()+J291-1=920,IF(H291="warm","El Niño (ongoing)","La Niña (ongoing)"),"—")))</f>
        <v>La Niña</v>
      </c>
      <c r="M291" s="2" t="inlineStr">
        <is>
          <t xml:space="preserve">1973/74</t>
        </is>
      </c>
    </row>
    <row r="292">
      <c r="A292" s="2" t="inlineStr">
        <is>
          <t xml:space="preserve">1974-03</t>
        </is>
      </c>
      <c r="B292" s="2">
        <v>1974</v>
      </c>
      <c r="C292" s="2">
        <v>3</v>
      </c>
      <c r="D292" s="2" t="inlineStr">
        <is>
          <t xml:space="preserve">FMA</t>
        </is>
      </c>
      <c r="E292" t="inlineStr">
        <is>
          <t xml:space="preserve">Feb 1974 – Apr 1974</t>
        </is>
      </c>
      <c r="F292" s="3">
        <v>-1.24</v>
      </c>
      <c r="G292" s="4">
        <f>ROUND(F292,1)</f>
        <v>-1.2</v>
      </c>
      <c r="H292" s="2" t="str">
        <f>IF(G292&gt;=0.5,"warm",IF(G292&lt;=-0.5,"cold","neutral"))</f>
        <v>cold</v>
      </c>
      <c r="I292" s="2">
        <f>IF(H292=H291,I291+1,1)</f>
        <v>11</v>
      </c>
      <c r="J292" s="2">
        <f>IF(H292=H293,J293+1,1)</f>
        <v>5</v>
      </c>
      <c r="K292" s="2">
        <f>I292+J292-1</f>
        <v>15</v>
      </c>
      <c r="L292" s="5" t="str">
        <f>IF(H292="neutral","—",IF(K292&gt;=5,IF(H292="warm","El Niño","La Niña"),IF(ROW()+J292-1=920,IF(H292="warm","El Niño (ongoing)","La Niña (ongoing)"),"—")))</f>
        <v>La Niña</v>
      </c>
      <c r="M292" s="2" t="inlineStr">
        <is>
          <t xml:space="preserve">1973/74</t>
        </is>
      </c>
    </row>
    <row r="293">
      <c r="A293" s="2" t="inlineStr">
        <is>
          <t xml:space="preserve">1974-04</t>
        </is>
      </c>
      <c r="B293" s="2">
        <v>1974</v>
      </c>
      <c r="C293" s="2">
        <v>4</v>
      </c>
      <c r="D293" s="2" t="inlineStr">
        <is>
          <t xml:space="preserve">MAM</t>
        </is>
      </c>
      <c r="E293" t="inlineStr">
        <is>
          <t xml:space="preserve">Mar 1974 – May 1974</t>
        </is>
      </c>
      <c r="F293" s="3">
        <v>-0.99</v>
      </c>
      <c r="G293" s="4">
        <f>ROUND(F293,1)</f>
        <v>-1.0</v>
      </c>
      <c r="H293" s="2" t="str">
        <f>IF(G293&gt;=0.5,"warm",IF(G293&lt;=-0.5,"cold","neutral"))</f>
        <v>cold</v>
      </c>
      <c r="I293" s="2">
        <f>IF(H293=H292,I292+1,1)</f>
        <v>12</v>
      </c>
      <c r="J293" s="2">
        <f>IF(H293=H294,J294+1,1)</f>
        <v>4</v>
      </c>
      <c r="K293" s="2">
        <f>I293+J293-1</f>
        <v>15</v>
      </c>
      <c r="L293" s="5" t="str">
        <f>IF(H293="neutral","—",IF(K293&gt;=5,IF(H293="warm","El Niño","La Niña"),IF(ROW()+J293-1=920,IF(H293="warm","El Niño (ongoing)","La Niña (ongoing)"),"—")))</f>
        <v>La Niña</v>
      </c>
      <c r="M293" s="2" t="inlineStr">
        <is>
          <t xml:space="preserve">1973/74</t>
        </is>
      </c>
    </row>
    <row r="294">
      <c r="A294" s="2" t="inlineStr">
        <is>
          <t xml:space="preserve">1974-05</t>
        </is>
      </c>
      <c r="B294" s="2">
        <v>1974</v>
      </c>
      <c r="C294" s="2">
        <v>5</v>
      </c>
      <c r="D294" s="2" t="inlineStr">
        <is>
          <t xml:space="preserve">AMJ</t>
        </is>
      </c>
      <c r="E294" t="inlineStr">
        <is>
          <t xml:space="preserve">Apr 1974 – Jun 1974</t>
        </is>
      </c>
      <c r="F294" s="3">
        <v>-0.71</v>
      </c>
      <c r="G294" s="4">
        <f>ROUND(F294,1)</f>
        <v>-0.7</v>
      </c>
      <c r="H294" s="2" t="str">
        <f>IF(G294&gt;=0.5,"warm",IF(G294&lt;=-0.5,"cold","neutral"))</f>
        <v>cold</v>
      </c>
      <c r="I294" s="2">
        <f>IF(H294=H293,I293+1,1)</f>
        <v>13</v>
      </c>
      <c r="J294" s="2">
        <f>IF(H294=H295,J295+1,1)</f>
        <v>3</v>
      </c>
      <c r="K294" s="2">
        <f>I294+J294-1</f>
        <v>15</v>
      </c>
      <c r="L294" s="5" t="str">
        <f>IF(H294="neutral","—",IF(K294&gt;=5,IF(H294="warm","El Niño","La Niña"),IF(ROW()+J294-1=920,IF(H294="warm","El Niño (ongoing)","La Niña (ongoing)"),"—")))</f>
        <v>La Niña</v>
      </c>
      <c r="M294" s="2" t="inlineStr">
        <is>
          <t xml:space="preserve">1973/74</t>
        </is>
      </c>
    </row>
    <row r="295">
      <c r="A295" s="2" t="inlineStr">
        <is>
          <t xml:space="preserve">1974-06</t>
        </is>
      </c>
      <c r="B295" s="2">
        <v>1974</v>
      </c>
      <c r="C295" s="2">
        <v>6</v>
      </c>
      <c r="D295" s="2" t="inlineStr">
        <is>
          <t xml:space="preserve">MJJ</t>
        </is>
      </c>
      <c r="E295" t="inlineStr">
        <is>
          <t xml:space="preserve">May 1974 – Jul 1974</t>
        </is>
      </c>
      <c r="F295" s="3">
        <v>-0.64</v>
      </c>
      <c r="G295" s="4">
        <f>ROUND(F295,1)</f>
        <v>-0.6</v>
      </c>
      <c r="H295" s="2" t="str">
        <f>IF(G295&gt;=0.5,"warm",IF(G295&lt;=-0.5,"cold","neutral"))</f>
        <v>cold</v>
      </c>
      <c r="I295" s="2">
        <f>IF(H295=H294,I294+1,1)</f>
        <v>14</v>
      </c>
      <c r="J295" s="2">
        <f>IF(H295=H296,J296+1,1)</f>
        <v>2</v>
      </c>
      <c r="K295" s="2">
        <f>I295+J295-1</f>
        <v>15</v>
      </c>
      <c r="L295" s="5" t="str">
        <f>IF(H295="neutral","—",IF(K295&gt;=5,IF(H295="warm","El Niño","La Niña"),IF(ROW()+J295-1=920,IF(H295="warm","El Niño (ongoing)","La Niña (ongoing)"),"—")))</f>
        <v>La Niña</v>
      </c>
      <c r="M295" s="2" t="inlineStr">
        <is>
          <t xml:space="preserve">1973/74</t>
        </is>
      </c>
    </row>
    <row r="296">
      <c r="A296" s="2" t="inlineStr">
        <is>
          <t xml:space="preserve">1974-07</t>
        </is>
      </c>
      <c r="B296" s="2">
        <v>1974</v>
      </c>
      <c r="C296" s="2">
        <v>7</v>
      </c>
      <c r="D296" s="2" t="inlineStr">
        <is>
          <t xml:space="preserve">JJA</t>
        </is>
      </c>
      <c r="E296" t="inlineStr">
        <is>
          <t xml:space="preserve">Jun 1974 – Aug 1974</t>
        </is>
      </c>
      <c r="F296" s="3">
        <v>-0.46</v>
      </c>
      <c r="G296" s="4">
        <f>ROUND(F296,1)</f>
        <v>-0.5</v>
      </c>
      <c r="H296" s="2" t="str">
        <f>IF(G296&gt;=0.5,"warm",IF(G296&lt;=-0.5,"cold","neutral"))</f>
        <v>cold</v>
      </c>
      <c r="I296" s="2">
        <f>IF(H296=H295,I295+1,1)</f>
        <v>15</v>
      </c>
      <c r="J296" s="2">
        <f>IF(H296=H297,J297+1,1)</f>
        <v>1</v>
      </c>
      <c r="K296" s="2">
        <f>I296+J296-1</f>
        <v>15</v>
      </c>
      <c r="L296" s="5" t="str">
        <f>IF(H296="neutral","—",IF(K296&gt;=5,IF(H296="warm","El Niño","La Niña"),IF(ROW()+J296-1=920,IF(H296="warm","El Niño (ongoing)","La Niña (ongoing)"),"—")))</f>
        <v>La Niña</v>
      </c>
      <c r="M296" s="2" t="inlineStr">
        <is>
          <t xml:space="preserve">1974/75</t>
        </is>
      </c>
    </row>
    <row r="297">
      <c r="A297" s="2" t="inlineStr">
        <is>
          <t xml:space="preserve">1974-08</t>
        </is>
      </c>
      <c r="B297" s="2">
        <v>1974</v>
      </c>
      <c r="C297" s="2">
        <v>8</v>
      </c>
      <c r="D297" s="2" t="inlineStr">
        <is>
          <t xml:space="preserve">JAS</t>
        </is>
      </c>
      <c r="E297" t="inlineStr">
        <is>
          <t xml:space="preserve">Jul 1974 – Sep 1974</t>
        </is>
      </c>
      <c r="F297" s="3">
        <v>-0.4</v>
      </c>
      <c r="G297" s="4">
        <f>ROUND(F297,1)</f>
        <v>-0.4</v>
      </c>
      <c r="H297" s="2" t="str">
        <f>IF(G297&gt;=0.5,"warm",IF(G297&lt;=-0.5,"cold","neutral"))</f>
        <v>neutral</v>
      </c>
      <c r="I297" s="2">
        <f>IF(H297=H296,I296+1,1)</f>
        <v>1</v>
      </c>
      <c r="J297" s="2">
        <f>IF(H297=H298,J298+1,1)</f>
        <v>1</v>
      </c>
      <c r="K297" s="2">
        <f>I297+J297-1</f>
        <v>1</v>
      </c>
      <c r="L297" s="2" t="str">
        <f>IF(H297="neutral","—",IF(K297&gt;=5,IF(H297="warm","El Niño","La Niña"),IF(ROW()+J297-1=920,IF(H297="warm","El Niño (ongoing)","La Niña (ongoing)"),"—")))</f>
        <v>—</v>
      </c>
      <c r="M297" s="2" t="inlineStr">
        <is>
          <t xml:space="preserve">1974/75</t>
        </is>
      </c>
    </row>
    <row r="298">
      <c r="A298" s="2" t="inlineStr">
        <is>
          <t xml:space="preserve">1974-09</t>
        </is>
      </c>
      <c r="B298" s="2">
        <v>1974</v>
      </c>
      <c r="C298" s="2">
        <v>9</v>
      </c>
      <c r="D298" s="2" t="inlineStr">
        <is>
          <t xml:space="preserve">ASO</t>
        </is>
      </c>
      <c r="E298" t="inlineStr">
        <is>
          <t xml:space="preserve">Aug 1974 – Oct 1974</t>
        </is>
      </c>
      <c r="F298" s="3">
        <v>-0.47</v>
      </c>
      <c r="G298" s="4">
        <f>ROUND(F298,1)</f>
        <v>-0.5</v>
      </c>
      <c r="H298" s="2" t="str">
        <f>IF(G298&gt;=0.5,"warm",IF(G298&lt;=-0.5,"cold","neutral"))</f>
        <v>cold</v>
      </c>
      <c r="I298" s="2">
        <f>IF(H298=H297,I297+1,1)</f>
        <v>1</v>
      </c>
      <c r="J298" s="2">
        <f>IF(H298=H299,J299+1,1)</f>
        <v>20</v>
      </c>
      <c r="K298" s="2">
        <f>I298+J298-1</f>
        <v>20</v>
      </c>
      <c r="L298" s="5" t="str">
        <f>IF(H298="neutral","—",IF(K298&gt;=5,IF(H298="warm","El Niño","La Niña"),IF(ROW()+J298-1=920,IF(H298="warm","El Niño (ongoing)","La Niña (ongoing)"),"—")))</f>
        <v>La Niña</v>
      </c>
      <c r="M298" s="2" t="inlineStr">
        <is>
          <t xml:space="preserve">1974/75</t>
        </is>
      </c>
    </row>
    <row r="299">
      <c r="A299" s="2" t="inlineStr">
        <is>
          <t xml:space="preserve">1974-10</t>
        </is>
      </c>
      <c r="B299" s="2">
        <v>1974</v>
      </c>
      <c r="C299" s="2">
        <v>10</v>
      </c>
      <c r="D299" s="2" t="inlineStr">
        <is>
          <t xml:space="preserve">SON</t>
        </is>
      </c>
      <c r="E299" t="inlineStr">
        <is>
          <t xml:space="preserve">Sep 1974 – Nov 1974</t>
        </is>
      </c>
      <c r="F299" s="3">
        <v>-0.69</v>
      </c>
      <c r="G299" s="4">
        <f>ROUND(F299,1)</f>
        <v>-0.7</v>
      </c>
      <c r="H299" s="2" t="str">
        <f>IF(G299&gt;=0.5,"warm",IF(G299&lt;=-0.5,"cold","neutral"))</f>
        <v>cold</v>
      </c>
      <c r="I299" s="2">
        <f>IF(H299=H298,I298+1,1)</f>
        <v>2</v>
      </c>
      <c r="J299" s="2">
        <f>IF(H299=H300,J300+1,1)</f>
        <v>19</v>
      </c>
      <c r="K299" s="2">
        <f>I299+J299-1</f>
        <v>20</v>
      </c>
      <c r="L299" s="5" t="str">
        <f>IF(H299="neutral","—",IF(K299&gt;=5,IF(H299="warm","El Niño","La Niña"),IF(ROW()+J299-1=920,IF(H299="warm","El Niño (ongoing)","La Niña (ongoing)"),"—")))</f>
        <v>La Niña</v>
      </c>
      <c r="M299" s="2" t="inlineStr">
        <is>
          <t xml:space="preserve">1974/75</t>
        </is>
      </c>
    </row>
    <row r="300">
      <c r="A300" s="2" t="inlineStr">
        <is>
          <t xml:space="preserve">1974-11</t>
        </is>
      </c>
      <c r="B300" s="2">
        <v>1974</v>
      </c>
      <c r="C300" s="2">
        <v>11</v>
      </c>
      <c r="D300" s="2" t="inlineStr">
        <is>
          <t xml:space="preserve">OND</t>
        </is>
      </c>
      <c r="E300" t="inlineStr">
        <is>
          <t xml:space="preserve">Oct 1974 – Dec 1974</t>
        </is>
      </c>
      <c r="F300" s="3">
        <v>-0.88</v>
      </c>
      <c r="G300" s="4">
        <f>ROUND(F300,1)</f>
        <v>-0.9</v>
      </c>
      <c r="H300" s="2" t="str">
        <f>IF(G300&gt;=0.5,"warm",IF(G300&lt;=-0.5,"cold","neutral"))</f>
        <v>cold</v>
      </c>
      <c r="I300" s="2">
        <f>IF(H300=H299,I299+1,1)</f>
        <v>3</v>
      </c>
      <c r="J300" s="2">
        <f>IF(H300=H301,J301+1,1)</f>
        <v>18</v>
      </c>
      <c r="K300" s="2">
        <f>I300+J300-1</f>
        <v>20</v>
      </c>
      <c r="L300" s="5" t="str">
        <f>IF(H300="neutral","—",IF(K300&gt;=5,IF(H300="warm","El Niño","La Niña"),IF(ROW()+J300-1=920,IF(H300="warm","El Niño (ongoing)","La Niña (ongoing)"),"—")))</f>
        <v>La Niña</v>
      </c>
      <c r="M300" s="2" t="inlineStr">
        <is>
          <t xml:space="preserve">1974/75</t>
        </is>
      </c>
    </row>
    <row r="301">
      <c r="A301" s="2" t="inlineStr">
        <is>
          <t xml:space="preserve">1974-12</t>
        </is>
      </c>
      <c r="B301" s="2">
        <v>1974</v>
      </c>
      <c r="C301" s="2">
        <v>12</v>
      </c>
      <c r="D301" s="2" t="inlineStr">
        <is>
          <t xml:space="preserve">NDJ</t>
        </is>
      </c>
      <c r="E301" t="inlineStr">
        <is>
          <t xml:space="preserve">Nov 1974 – Jan 1975</t>
        </is>
      </c>
      <c r="F301" s="3">
        <v>-0.71</v>
      </c>
      <c r="G301" s="4">
        <f>ROUND(F301,1)</f>
        <v>-0.7</v>
      </c>
      <c r="H301" s="2" t="str">
        <f>IF(G301&gt;=0.5,"warm",IF(G301&lt;=-0.5,"cold","neutral"))</f>
        <v>cold</v>
      </c>
      <c r="I301" s="2">
        <f>IF(H301=H300,I300+1,1)</f>
        <v>4</v>
      </c>
      <c r="J301" s="2">
        <f>IF(H301=H302,J302+1,1)</f>
        <v>17</v>
      </c>
      <c r="K301" s="2">
        <f>I301+J301-1</f>
        <v>20</v>
      </c>
      <c r="L301" s="5" t="str">
        <f>IF(H301="neutral","—",IF(K301&gt;=5,IF(H301="warm","El Niño","La Niña"),IF(ROW()+J301-1=920,IF(H301="warm","El Niño (ongoing)","La Niña (ongoing)"),"—")))</f>
        <v>La Niña</v>
      </c>
      <c r="M301" s="2" t="inlineStr">
        <is>
          <t xml:space="preserve">1974/75</t>
        </is>
      </c>
    </row>
    <row r="302">
      <c r="A302" s="2" t="inlineStr">
        <is>
          <t xml:space="preserve">1975-01</t>
        </is>
      </c>
      <c r="B302" s="2">
        <v>1975</v>
      </c>
      <c r="C302" s="2">
        <v>1</v>
      </c>
      <c r="D302" s="2" t="inlineStr">
        <is>
          <t xml:space="preserve">DJF</t>
        </is>
      </c>
      <c r="E302" t="inlineStr">
        <is>
          <t xml:space="preserve">Dec 1974 – Feb 1975</t>
        </is>
      </c>
      <c r="F302" s="3">
        <v>-0.56</v>
      </c>
      <c r="G302" s="4">
        <f>ROUND(F302,1)</f>
        <v>-0.6</v>
      </c>
      <c r="H302" s="2" t="str">
        <f>IF(G302&gt;=0.5,"warm",IF(G302&lt;=-0.5,"cold","neutral"))</f>
        <v>cold</v>
      </c>
      <c r="I302" s="2">
        <f>IF(H302=H301,I301+1,1)</f>
        <v>5</v>
      </c>
      <c r="J302" s="2">
        <f>IF(H302=H303,J303+1,1)</f>
        <v>16</v>
      </c>
      <c r="K302" s="2">
        <f>I302+J302-1</f>
        <v>20</v>
      </c>
      <c r="L302" s="5" t="str">
        <f>IF(H302="neutral","—",IF(K302&gt;=5,IF(H302="warm","El Niño","La Niña"),IF(ROW()+J302-1=920,IF(H302="warm","El Niño (ongoing)","La Niña (ongoing)"),"—")))</f>
        <v>La Niña</v>
      </c>
      <c r="M302" s="2" t="inlineStr">
        <is>
          <t xml:space="preserve">1974/75</t>
        </is>
      </c>
    </row>
    <row r="303">
      <c r="A303" s="2" t="inlineStr">
        <is>
          <t xml:space="preserve">1975-02</t>
        </is>
      </c>
      <c r="B303" s="2">
        <v>1975</v>
      </c>
      <c r="C303" s="2">
        <v>2</v>
      </c>
      <c r="D303" s="2" t="inlineStr">
        <is>
          <t xml:space="preserve">JFM</t>
        </is>
      </c>
      <c r="E303" t="inlineStr">
        <is>
          <t xml:space="preserve">Jan 1975 – Mar 1975</t>
        </is>
      </c>
      <c r="F303" s="3">
        <v>-0.55</v>
      </c>
      <c r="G303" s="4">
        <f>ROUND(F303,1)</f>
        <v>-0.6</v>
      </c>
      <c r="H303" s="2" t="str">
        <f>IF(G303&gt;=0.5,"warm",IF(G303&lt;=-0.5,"cold","neutral"))</f>
        <v>cold</v>
      </c>
      <c r="I303" s="2">
        <f>IF(H303=H302,I302+1,1)</f>
        <v>6</v>
      </c>
      <c r="J303" s="2">
        <f>IF(H303=H304,J304+1,1)</f>
        <v>15</v>
      </c>
      <c r="K303" s="2">
        <f>I303+J303-1</f>
        <v>20</v>
      </c>
      <c r="L303" s="5" t="str">
        <f>IF(H303="neutral","—",IF(K303&gt;=5,IF(H303="warm","El Niño","La Niña"),IF(ROW()+J303-1=920,IF(H303="warm","El Niño (ongoing)","La Niña (ongoing)"),"—")))</f>
        <v>La Niña</v>
      </c>
      <c r="M303" s="2" t="inlineStr">
        <is>
          <t xml:space="preserve">1974/75</t>
        </is>
      </c>
    </row>
    <row r="304">
      <c r="A304" s="2" t="inlineStr">
        <is>
          <t xml:space="preserve">1975-03</t>
        </is>
      </c>
      <c r="B304" s="2">
        <v>1975</v>
      </c>
      <c r="C304" s="2">
        <v>3</v>
      </c>
      <c r="D304" s="2" t="inlineStr">
        <is>
          <t xml:space="preserve">FMA</t>
        </is>
      </c>
      <c r="E304" t="inlineStr">
        <is>
          <t xml:space="preserve">Feb 1975 – Apr 1975</t>
        </is>
      </c>
      <c r="F304" s="3">
        <v>-0.61</v>
      </c>
      <c r="G304" s="4">
        <f>ROUND(F304,1)</f>
        <v>-0.6</v>
      </c>
      <c r="H304" s="2" t="str">
        <f>IF(G304&gt;=0.5,"warm",IF(G304&lt;=-0.5,"cold","neutral"))</f>
        <v>cold</v>
      </c>
      <c r="I304" s="2">
        <f>IF(H304=H303,I303+1,1)</f>
        <v>7</v>
      </c>
      <c r="J304" s="2">
        <f>IF(H304=H305,J305+1,1)</f>
        <v>14</v>
      </c>
      <c r="K304" s="2">
        <f>I304+J304-1</f>
        <v>20</v>
      </c>
      <c r="L304" s="5" t="str">
        <f>IF(H304="neutral","—",IF(K304&gt;=5,IF(H304="warm","El Niño","La Niña"),IF(ROW()+J304-1=920,IF(H304="warm","El Niño (ongoing)","La Niña (ongoing)"),"—")))</f>
        <v>La Niña</v>
      </c>
      <c r="M304" s="2" t="inlineStr">
        <is>
          <t xml:space="preserve">1974/75</t>
        </is>
      </c>
    </row>
    <row r="305">
      <c r="A305" s="2" t="inlineStr">
        <is>
          <t xml:space="preserve">1975-04</t>
        </is>
      </c>
      <c r="B305" s="2">
        <v>1975</v>
      </c>
      <c r="C305" s="2">
        <v>4</v>
      </c>
      <c r="D305" s="2" t="inlineStr">
        <is>
          <t xml:space="preserve">MAM</t>
        </is>
      </c>
      <c r="E305" t="inlineStr">
        <is>
          <t xml:space="preserve">Mar 1975 – May 1975</t>
        </is>
      </c>
      <c r="F305" s="3">
        <v>-0.66</v>
      </c>
      <c r="G305" s="4">
        <f>ROUND(F305,1)</f>
        <v>-0.7</v>
      </c>
      <c r="H305" s="2" t="str">
        <f>IF(G305&gt;=0.5,"warm",IF(G305&lt;=-0.5,"cold","neutral"))</f>
        <v>cold</v>
      </c>
      <c r="I305" s="2">
        <f>IF(H305=H304,I304+1,1)</f>
        <v>8</v>
      </c>
      <c r="J305" s="2">
        <f>IF(H305=H306,J306+1,1)</f>
        <v>13</v>
      </c>
      <c r="K305" s="2">
        <f>I305+J305-1</f>
        <v>20</v>
      </c>
      <c r="L305" s="5" t="str">
        <f>IF(H305="neutral","—",IF(K305&gt;=5,IF(H305="warm","El Niño","La Niña"),IF(ROW()+J305-1=920,IF(H305="warm","El Niño (ongoing)","La Niña (ongoing)"),"—")))</f>
        <v>La Niña</v>
      </c>
      <c r="M305" s="2" t="inlineStr">
        <is>
          <t xml:space="preserve">1974/75</t>
        </is>
      </c>
    </row>
    <row r="306">
      <c r="A306" s="2" t="inlineStr">
        <is>
          <t xml:space="preserve">1975-05</t>
        </is>
      </c>
      <c r="B306" s="2">
        <v>1975</v>
      </c>
      <c r="C306" s="2">
        <v>5</v>
      </c>
      <c r="D306" s="2" t="inlineStr">
        <is>
          <t xml:space="preserve">AMJ</t>
        </is>
      </c>
      <c r="E306" t="inlineStr">
        <is>
          <t xml:space="preserve">Apr 1975 – Jun 1975</t>
        </is>
      </c>
      <c r="F306" s="3">
        <v>-0.8</v>
      </c>
      <c r="G306" s="4">
        <f>ROUND(F306,1)</f>
        <v>-0.8</v>
      </c>
      <c r="H306" s="2" t="str">
        <f>IF(G306&gt;=0.5,"warm",IF(G306&lt;=-0.5,"cold","neutral"))</f>
        <v>cold</v>
      </c>
      <c r="I306" s="2">
        <f>IF(H306=H305,I305+1,1)</f>
        <v>9</v>
      </c>
      <c r="J306" s="2">
        <f>IF(H306=H307,J307+1,1)</f>
        <v>12</v>
      </c>
      <c r="K306" s="2">
        <f>I306+J306-1</f>
        <v>20</v>
      </c>
      <c r="L306" s="5" t="str">
        <f>IF(H306="neutral","—",IF(K306&gt;=5,IF(H306="warm","El Niño","La Niña"),IF(ROW()+J306-1=920,IF(H306="warm","El Niño (ongoing)","La Niña (ongoing)"),"—")))</f>
        <v>La Niña</v>
      </c>
      <c r="M306" s="2" t="inlineStr">
        <is>
          <t xml:space="preserve">1974/75</t>
        </is>
      </c>
    </row>
    <row r="307">
      <c r="A307" s="2" t="inlineStr">
        <is>
          <t xml:space="preserve">1975-06</t>
        </is>
      </c>
      <c r="B307" s="2">
        <v>1975</v>
      </c>
      <c r="C307" s="2">
        <v>6</v>
      </c>
      <c r="D307" s="2" t="inlineStr">
        <is>
          <t xml:space="preserve">MJJ</t>
        </is>
      </c>
      <c r="E307" t="inlineStr">
        <is>
          <t xml:space="preserve">May 1975 – Jul 1975</t>
        </is>
      </c>
      <c r="F307" s="3">
        <v>-0.92</v>
      </c>
      <c r="G307" s="4">
        <f>ROUND(F307,1)</f>
        <v>-0.9</v>
      </c>
      <c r="H307" s="2" t="str">
        <f>IF(G307&gt;=0.5,"warm",IF(G307&lt;=-0.5,"cold","neutral"))</f>
        <v>cold</v>
      </c>
      <c r="I307" s="2">
        <f>IF(H307=H306,I306+1,1)</f>
        <v>10</v>
      </c>
      <c r="J307" s="2">
        <f>IF(H307=H308,J308+1,1)</f>
        <v>11</v>
      </c>
      <c r="K307" s="2">
        <f>I307+J307-1</f>
        <v>20</v>
      </c>
      <c r="L307" s="5" t="str">
        <f>IF(H307="neutral","—",IF(K307&gt;=5,IF(H307="warm","El Niño","La Niña"),IF(ROW()+J307-1=920,IF(H307="warm","El Niño (ongoing)","La Niña (ongoing)"),"—")))</f>
        <v>La Niña</v>
      </c>
      <c r="M307" s="2" t="inlineStr">
        <is>
          <t xml:space="preserve">1974/75</t>
        </is>
      </c>
    </row>
    <row r="308">
      <c r="A308" s="2" t="inlineStr">
        <is>
          <t xml:space="preserve">1975-07</t>
        </is>
      </c>
      <c r="B308" s="2">
        <v>1975</v>
      </c>
      <c r="C308" s="2">
        <v>7</v>
      </c>
      <c r="D308" s="2" t="inlineStr">
        <is>
          <t xml:space="preserve">JJA</t>
        </is>
      </c>
      <c r="E308" t="inlineStr">
        <is>
          <t xml:space="preserve">Jun 1975 – Aug 1975</t>
        </is>
      </c>
      <c r="F308" s="3">
        <v>-1.08</v>
      </c>
      <c r="G308" s="4">
        <f>ROUND(F308,1)</f>
        <v>-1.1</v>
      </c>
      <c r="H308" s="2" t="str">
        <f>IF(G308&gt;=0.5,"warm",IF(G308&lt;=-0.5,"cold","neutral"))</f>
        <v>cold</v>
      </c>
      <c r="I308" s="2">
        <f>IF(H308=H307,I307+1,1)</f>
        <v>11</v>
      </c>
      <c r="J308" s="2">
        <f>IF(H308=H309,J309+1,1)</f>
        <v>10</v>
      </c>
      <c r="K308" s="2">
        <f>I308+J308-1</f>
        <v>20</v>
      </c>
      <c r="L308" s="5" t="str">
        <f>IF(H308="neutral","—",IF(K308&gt;=5,IF(H308="warm","El Niño","La Niña"),IF(ROW()+J308-1=920,IF(H308="warm","El Niño (ongoing)","La Niña (ongoing)"),"—")))</f>
        <v>La Niña</v>
      </c>
      <c r="M308" s="2" t="inlineStr">
        <is>
          <t xml:space="preserve">1975/76</t>
        </is>
      </c>
    </row>
    <row r="309">
      <c r="A309" s="2" t="inlineStr">
        <is>
          <t xml:space="preserve">1975-08</t>
        </is>
      </c>
      <c r="B309" s="2">
        <v>1975</v>
      </c>
      <c r="C309" s="2">
        <v>8</v>
      </c>
      <c r="D309" s="2" t="inlineStr">
        <is>
          <t xml:space="preserve">JAS</t>
        </is>
      </c>
      <c r="E309" t="inlineStr">
        <is>
          <t xml:space="preserve">Jul 1975 – Sep 1975</t>
        </is>
      </c>
      <c r="F309" s="3">
        <v>-1.12</v>
      </c>
      <c r="G309" s="4">
        <f>ROUND(F309,1)</f>
        <v>-1.1</v>
      </c>
      <c r="H309" s="2" t="str">
        <f>IF(G309&gt;=0.5,"warm",IF(G309&lt;=-0.5,"cold","neutral"))</f>
        <v>cold</v>
      </c>
      <c r="I309" s="2">
        <f>IF(H309=H308,I308+1,1)</f>
        <v>12</v>
      </c>
      <c r="J309" s="2">
        <f>IF(H309=H310,J310+1,1)</f>
        <v>9</v>
      </c>
      <c r="K309" s="2">
        <f>I309+J309-1</f>
        <v>20</v>
      </c>
      <c r="L309" s="5" t="str">
        <f>IF(H309="neutral","—",IF(K309&gt;=5,IF(H309="warm","El Niño","La Niña"),IF(ROW()+J309-1=920,IF(H309="warm","El Niño (ongoing)","La Niña (ongoing)"),"—")))</f>
        <v>La Niña</v>
      </c>
      <c r="M309" s="2" t="inlineStr">
        <is>
          <t xml:space="preserve">1975/76</t>
        </is>
      </c>
    </row>
    <row r="310">
      <c r="A310" s="2" t="inlineStr">
        <is>
          <t xml:space="preserve">1975-09</t>
        </is>
      </c>
      <c r="B310" s="2">
        <v>1975</v>
      </c>
      <c r="C310" s="2">
        <v>9</v>
      </c>
      <c r="D310" s="2" t="inlineStr">
        <is>
          <t xml:space="preserve">ASO</t>
        </is>
      </c>
      <c r="E310" t="inlineStr">
        <is>
          <t xml:space="preserve">Aug 1975 – Oct 1975</t>
        </is>
      </c>
      <c r="F310" s="3">
        <v>-1.29</v>
      </c>
      <c r="G310" s="4">
        <f>ROUND(F310,1)</f>
        <v>-1.3</v>
      </c>
      <c r="H310" s="2" t="str">
        <f>IF(G310&gt;=0.5,"warm",IF(G310&lt;=-0.5,"cold","neutral"))</f>
        <v>cold</v>
      </c>
      <c r="I310" s="2">
        <f>IF(H310=H309,I309+1,1)</f>
        <v>13</v>
      </c>
      <c r="J310" s="2">
        <f>IF(H310=H311,J311+1,1)</f>
        <v>8</v>
      </c>
      <c r="K310" s="2">
        <f>I310+J310-1</f>
        <v>20</v>
      </c>
      <c r="L310" s="5" t="str">
        <f>IF(H310="neutral","—",IF(K310&gt;=5,IF(H310="warm","El Niño","La Niña"),IF(ROW()+J310-1=920,IF(H310="warm","El Niño (ongoing)","La Niña (ongoing)"),"—")))</f>
        <v>La Niña</v>
      </c>
      <c r="M310" s="2" t="inlineStr">
        <is>
          <t xml:space="preserve">1975/76</t>
        </is>
      </c>
    </row>
    <row r="311">
      <c r="A311" s="2" t="inlineStr">
        <is>
          <t xml:space="preserve">1975-10</t>
        </is>
      </c>
      <c r="B311" s="2">
        <v>1975</v>
      </c>
      <c r="C311" s="2">
        <v>10</v>
      </c>
      <c r="D311" s="2" t="inlineStr">
        <is>
          <t xml:space="preserve">SON</t>
        </is>
      </c>
      <c r="E311" t="inlineStr">
        <is>
          <t xml:space="preserve">Sep 1975 – Nov 1975</t>
        </is>
      </c>
      <c r="F311" s="3">
        <v>-1.32</v>
      </c>
      <c r="G311" s="4">
        <f>ROUND(F311,1)</f>
        <v>-1.3</v>
      </c>
      <c r="H311" s="2" t="str">
        <f>IF(G311&gt;=0.5,"warm",IF(G311&lt;=-0.5,"cold","neutral"))</f>
        <v>cold</v>
      </c>
      <c r="I311" s="2">
        <f>IF(H311=H310,I310+1,1)</f>
        <v>14</v>
      </c>
      <c r="J311" s="2">
        <f>IF(H311=H312,J312+1,1)</f>
        <v>7</v>
      </c>
      <c r="K311" s="2">
        <f>I311+J311-1</f>
        <v>20</v>
      </c>
      <c r="L311" s="5" t="str">
        <f>IF(H311="neutral","—",IF(K311&gt;=5,IF(H311="warm","El Niño","La Niña"),IF(ROW()+J311-1=920,IF(H311="warm","El Niño (ongoing)","La Niña (ongoing)"),"—")))</f>
        <v>La Niña</v>
      </c>
      <c r="M311" s="2" t="inlineStr">
        <is>
          <t xml:space="preserve">1975/76</t>
        </is>
      </c>
    </row>
    <row r="312">
      <c r="A312" s="2" t="inlineStr">
        <is>
          <t xml:space="preserve">1975-11</t>
        </is>
      </c>
      <c r="B312" s="2">
        <v>1975</v>
      </c>
      <c r="C312" s="2">
        <v>11</v>
      </c>
      <c r="D312" s="2" t="inlineStr">
        <is>
          <t xml:space="preserve">OND</t>
        </is>
      </c>
      <c r="E312" t="inlineStr">
        <is>
          <t xml:space="preserve">Oct 1975 – Dec 1975</t>
        </is>
      </c>
      <c r="F312" s="3">
        <v>-1.47</v>
      </c>
      <c r="G312" s="4">
        <f>ROUND(F312,1)</f>
        <v>-1.5</v>
      </c>
      <c r="H312" s="2" t="str">
        <f>IF(G312&gt;=0.5,"warm",IF(G312&lt;=-0.5,"cold","neutral"))</f>
        <v>cold</v>
      </c>
      <c r="I312" s="2">
        <f>IF(H312=H311,I311+1,1)</f>
        <v>15</v>
      </c>
      <c r="J312" s="2">
        <f>IF(H312=H313,J313+1,1)</f>
        <v>6</v>
      </c>
      <c r="K312" s="2">
        <f>I312+J312-1</f>
        <v>20</v>
      </c>
      <c r="L312" s="5" t="str">
        <f>IF(H312="neutral","—",IF(K312&gt;=5,IF(H312="warm","El Niño","La Niña"),IF(ROW()+J312-1=920,IF(H312="warm","El Niño (ongoing)","La Niña (ongoing)"),"—")))</f>
        <v>La Niña</v>
      </c>
      <c r="M312" s="2" t="inlineStr">
        <is>
          <t xml:space="preserve">1975/76</t>
        </is>
      </c>
    </row>
    <row r="313">
      <c r="A313" s="2" t="inlineStr">
        <is>
          <t xml:space="preserve">1975-12</t>
        </is>
      </c>
      <c r="B313" s="2">
        <v>1975</v>
      </c>
      <c r="C313" s="2">
        <v>12</v>
      </c>
      <c r="D313" s="2" t="inlineStr">
        <is>
          <t xml:space="preserve">NDJ</t>
        </is>
      </c>
      <c r="E313" t="inlineStr">
        <is>
          <t xml:space="preserve">Nov 1975 – Jan 1976</t>
        </is>
      </c>
      <c r="F313" s="3">
        <v>-1.58</v>
      </c>
      <c r="G313" s="4">
        <f>ROUND(F313,1)</f>
        <v>-1.6</v>
      </c>
      <c r="H313" s="2" t="str">
        <f>IF(G313&gt;=0.5,"warm",IF(G313&lt;=-0.5,"cold","neutral"))</f>
        <v>cold</v>
      </c>
      <c r="I313" s="2">
        <f>IF(H313=H312,I312+1,1)</f>
        <v>16</v>
      </c>
      <c r="J313" s="2">
        <f>IF(H313=H314,J314+1,1)</f>
        <v>5</v>
      </c>
      <c r="K313" s="2">
        <f>I313+J313-1</f>
        <v>20</v>
      </c>
      <c r="L313" s="5" t="str">
        <f>IF(H313="neutral","—",IF(K313&gt;=5,IF(H313="warm","El Niño","La Niña"),IF(ROW()+J313-1=920,IF(H313="warm","El Niño (ongoing)","La Niña (ongoing)"),"—")))</f>
        <v>La Niña</v>
      </c>
      <c r="M313" s="2" t="inlineStr">
        <is>
          <t xml:space="preserve">1975/76</t>
        </is>
      </c>
    </row>
    <row r="314">
      <c r="A314" s="2" t="inlineStr">
        <is>
          <t xml:space="preserve">1976-01</t>
        </is>
      </c>
      <c r="B314" s="2">
        <v>1976</v>
      </c>
      <c r="C314" s="2">
        <v>1</v>
      </c>
      <c r="D314" s="2" t="inlineStr">
        <is>
          <t xml:space="preserve">DJF</t>
        </is>
      </c>
      <c r="E314" t="inlineStr">
        <is>
          <t xml:space="preserve">Dec 1975 – Feb 1976</t>
        </is>
      </c>
      <c r="F314" s="3">
        <v>-1.49</v>
      </c>
      <c r="G314" s="4">
        <f>ROUND(F314,1)</f>
        <v>-1.5</v>
      </c>
      <c r="H314" s="2" t="str">
        <f>IF(G314&gt;=0.5,"warm",IF(G314&lt;=-0.5,"cold","neutral"))</f>
        <v>cold</v>
      </c>
      <c r="I314" s="2">
        <f>IF(H314=H313,I313+1,1)</f>
        <v>17</v>
      </c>
      <c r="J314" s="2">
        <f>IF(H314=H315,J315+1,1)</f>
        <v>4</v>
      </c>
      <c r="K314" s="2">
        <f>I314+J314-1</f>
        <v>20</v>
      </c>
      <c r="L314" s="5" t="str">
        <f>IF(H314="neutral","—",IF(K314&gt;=5,IF(H314="warm","El Niño","La Niña"),IF(ROW()+J314-1=920,IF(H314="warm","El Niño (ongoing)","La Niña (ongoing)"),"—")))</f>
        <v>La Niña</v>
      </c>
      <c r="M314" s="2" t="inlineStr">
        <is>
          <t xml:space="preserve">1975/76</t>
        </is>
      </c>
    </row>
    <row r="315">
      <c r="A315" s="2" t="inlineStr">
        <is>
          <t xml:space="preserve">1976-02</t>
        </is>
      </c>
      <c r="B315" s="2">
        <v>1976</v>
      </c>
      <c r="C315" s="2">
        <v>2</v>
      </c>
      <c r="D315" s="2" t="inlineStr">
        <is>
          <t xml:space="preserve">JFM</t>
        </is>
      </c>
      <c r="E315" t="inlineStr">
        <is>
          <t xml:space="preserve">Jan 1976 – Mar 1976</t>
        </is>
      </c>
      <c r="F315" s="3">
        <v>-1.11</v>
      </c>
      <c r="G315" s="4">
        <f>ROUND(F315,1)</f>
        <v>-1.1</v>
      </c>
      <c r="H315" s="2" t="str">
        <f>IF(G315&gt;=0.5,"warm",IF(G315&lt;=-0.5,"cold","neutral"))</f>
        <v>cold</v>
      </c>
      <c r="I315" s="2">
        <f>IF(H315=H314,I314+1,1)</f>
        <v>18</v>
      </c>
      <c r="J315" s="2">
        <f>IF(H315=H316,J316+1,1)</f>
        <v>3</v>
      </c>
      <c r="K315" s="2">
        <f>I315+J315-1</f>
        <v>20</v>
      </c>
      <c r="L315" s="5" t="str">
        <f>IF(H315="neutral","—",IF(K315&gt;=5,IF(H315="warm","El Niño","La Niña"),IF(ROW()+J315-1=920,IF(H315="warm","El Niño (ongoing)","La Niña (ongoing)"),"—")))</f>
        <v>La Niña</v>
      </c>
      <c r="M315" s="2" t="inlineStr">
        <is>
          <t xml:space="preserve">1975/76</t>
        </is>
      </c>
    </row>
    <row r="316">
      <c r="A316" s="2" t="inlineStr">
        <is>
          <t xml:space="preserve">1976-03</t>
        </is>
      </c>
      <c r="B316" s="2">
        <v>1976</v>
      </c>
      <c r="C316" s="2">
        <v>3</v>
      </c>
      <c r="D316" s="2" t="inlineStr">
        <is>
          <t xml:space="preserve">FMA</t>
        </is>
      </c>
      <c r="E316" t="inlineStr">
        <is>
          <t xml:space="preserve">Feb 1976 – Apr 1976</t>
        </is>
      </c>
      <c r="F316" s="3">
        <v>-0.65</v>
      </c>
      <c r="G316" s="4">
        <f>ROUND(F316,1)</f>
        <v>-0.7</v>
      </c>
      <c r="H316" s="2" t="str">
        <f>IF(G316&gt;=0.5,"warm",IF(G316&lt;=-0.5,"cold","neutral"))</f>
        <v>cold</v>
      </c>
      <c r="I316" s="2">
        <f>IF(H316=H315,I315+1,1)</f>
        <v>19</v>
      </c>
      <c r="J316" s="2">
        <f>IF(H316=H317,J317+1,1)</f>
        <v>2</v>
      </c>
      <c r="K316" s="2">
        <f>I316+J316-1</f>
        <v>20</v>
      </c>
      <c r="L316" s="5" t="str">
        <f>IF(H316="neutral","—",IF(K316&gt;=5,IF(H316="warm","El Niño","La Niña"),IF(ROW()+J316-1=920,IF(H316="warm","El Niño (ongoing)","La Niña (ongoing)"),"—")))</f>
        <v>La Niña</v>
      </c>
      <c r="M316" s="2" t="inlineStr">
        <is>
          <t xml:space="preserve">1975/76</t>
        </is>
      </c>
    </row>
    <row r="317">
      <c r="A317" s="2" t="inlineStr">
        <is>
          <t xml:space="preserve">1976-04</t>
        </is>
      </c>
      <c r="B317" s="2">
        <v>1976</v>
      </c>
      <c r="C317" s="2">
        <v>4</v>
      </c>
      <c r="D317" s="2" t="inlineStr">
        <is>
          <t xml:space="preserve">MAM</t>
        </is>
      </c>
      <c r="E317" t="inlineStr">
        <is>
          <t xml:space="preserve">Mar 1976 – May 1976</t>
        </is>
      </c>
      <c r="F317" s="3">
        <v>-0.45</v>
      </c>
      <c r="G317" s="4">
        <f>ROUND(F317,1)</f>
        <v>-0.5</v>
      </c>
      <c r="H317" s="2" t="str">
        <f>IF(G317&gt;=0.5,"warm",IF(G317&lt;=-0.5,"cold","neutral"))</f>
        <v>cold</v>
      </c>
      <c r="I317" s="2">
        <f>IF(H317=H316,I316+1,1)</f>
        <v>20</v>
      </c>
      <c r="J317" s="2">
        <f>IF(H317=H318,J318+1,1)</f>
        <v>1</v>
      </c>
      <c r="K317" s="2">
        <f>I317+J317-1</f>
        <v>20</v>
      </c>
      <c r="L317" s="5" t="str">
        <f>IF(H317="neutral","—",IF(K317&gt;=5,IF(H317="warm","El Niño","La Niña"),IF(ROW()+J317-1=920,IF(H317="warm","El Niño (ongoing)","La Niña (ongoing)"),"—")))</f>
        <v>La Niña</v>
      </c>
      <c r="M317" s="2" t="inlineStr">
        <is>
          <t xml:space="preserve">1975/76</t>
        </is>
      </c>
    </row>
    <row r="318">
      <c r="A318" s="2" t="inlineStr">
        <is>
          <t xml:space="preserve">1976-05</t>
        </is>
      </c>
      <c r="B318" s="2">
        <v>1976</v>
      </c>
      <c r="C318" s="2">
        <v>5</v>
      </c>
      <c r="D318" s="2" t="inlineStr">
        <is>
          <t xml:space="preserve">AMJ</t>
        </is>
      </c>
      <c r="E318" t="inlineStr">
        <is>
          <t xml:space="preserve">Apr 1976 – Jun 1976</t>
        </is>
      </c>
      <c r="F318" s="3">
        <v>-0.23</v>
      </c>
      <c r="G318" s="4">
        <f>ROUND(F318,1)</f>
        <v>-0.2</v>
      </c>
      <c r="H318" s="2" t="str">
        <f>IF(G318&gt;=0.5,"warm",IF(G318&lt;=-0.5,"cold","neutral"))</f>
        <v>neutral</v>
      </c>
      <c r="I318" s="2">
        <f>IF(H318=H317,I317+1,1)</f>
        <v>1</v>
      </c>
      <c r="J318" s="2">
        <f>IF(H318=H319,J319+1,1)</f>
        <v>4</v>
      </c>
      <c r="K318" s="2">
        <f>I318+J318-1</f>
        <v>4</v>
      </c>
      <c r="L318" s="2" t="str">
        <f>IF(H318="neutral","—",IF(K318&gt;=5,IF(H318="warm","El Niño","La Niña"),IF(ROW()+J318-1=920,IF(H318="warm","El Niño (ongoing)","La Niña (ongoing)"),"—")))</f>
        <v>—</v>
      </c>
      <c r="M318" s="2" t="inlineStr">
        <is>
          <t xml:space="preserve">1975/76</t>
        </is>
      </c>
    </row>
    <row r="319">
      <c r="A319" s="2" t="inlineStr">
        <is>
          <t xml:space="preserve">1976-06</t>
        </is>
      </c>
      <c r="B319" s="2">
        <v>1976</v>
      </c>
      <c r="C319" s="2">
        <v>6</v>
      </c>
      <c r="D319" s="2" t="inlineStr">
        <is>
          <t xml:space="preserve">MJJ</t>
        </is>
      </c>
      <c r="E319" t="inlineStr">
        <is>
          <t xml:space="preserve">May 1976 – Jul 1976</t>
        </is>
      </c>
      <c r="F319" s="3">
        <v>0.0</v>
      </c>
      <c r="G319" s="4">
        <f>ROUND(F319,1)</f>
        <v>0.0</v>
      </c>
      <c r="H319" s="2" t="str">
        <f>IF(G319&gt;=0.5,"warm",IF(G319&lt;=-0.5,"cold","neutral"))</f>
        <v>neutral</v>
      </c>
      <c r="I319" s="2">
        <f>IF(H319=H318,I318+1,1)</f>
        <v>2</v>
      </c>
      <c r="J319" s="2">
        <f>IF(H319=H320,J320+1,1)</f>
        <v>3</v>
      </c>
      <c r="K319" s="2">
        <f>I319+J319-1</f>
        <v>4</v>
      </c>
      <c r="L319" s="2" t="str">
        <f>IF(H319="neutral","—",IF(K319&gt;=5,IF(H319="warm","El Niño","La Niña"),IF(ROW()+J319-1=920,IF(H319="warm","El Niño (ongoing)","La Niña (ongoing)"),"—")))</f>
        <v>—</v>
      </c>
      <c r="M319" s="2" t="inlineStr">
        <is>
          <t xml:space="preserve">1975/76</t>
        </is>
      </c>
    </row>
    <row r="320">
      <c r="A320" s="2" t="inlineStr">
        <is>
          <t xml:space="preserve">1976-07</t>
        </is>
      </c>
      <c r="B320" s="2">
        <v>1976</v>
      </c>
      <c r="C320" s="2">
        <v>7</v>
      </c>
      <c r="D320" s="2" t="inlineStr">
        <is>
          <t xml:space="preserve">JJA</t>
        </is>
      </c>
      <c r="E320" t="inlineStr">
        <is>
          <t xml:space="preserve">Jun 1976 – Aug 1976</t>
        </is>
      </c>
      <c r="F320" s="3">
        <v>0.23</v>
      </c>
      <c r="G320" s="4">
        <f>ROUND(F320,1)</f>
        <v>0.2</v>
      </c>
      <c r="H320" s="2" t="str">
        <f>IF(G320&gt;=0.5,"warm",IF(G320&lt;=-0.5,"cold","neutral"))</f>
        <v>neutral</v>
      </c>
      <c r="I320" s="2">
        <f>IF(H320=H319,I319+1,1)</f>
        <v>3</v>
      </c>
      <c r="J320" s="2">
        <f>IF(H320=H321,J321+1,1)</f>
        <v>2</v>
      </c>
      <c r="K320" s="2">
        <f>I320+J320-1</f>
        <v>4</v>
      </c>
      <c r="L320" s="2" t="str">
        <f>IF(H320="neutral","—",IF(K320&gt;=5,IF(H320="warm","El Niño","La Niña"),IF(ROW()+J320-1=920,IF(H320="warm","El Niño (ongoing)","La Niña (ongoing)"),"—")))</f>
        <v>—</v>
      </c>
      <c r="M320" s="2" t="inlineStr">
        <is>
          <t xml:space="preserve">1976/77</t>
        </is>
      </c>
    </row>
    <row r="321">
      <c r="A321" s="2" t="inlineStr">
        <is>
          <t xml:space="preserve">1976-08</t>
        </is>
      </c>
      <c r="B321" s="2">
        <v>1976</v>
      </c>
      <c r="C321" s="2">
        <v>8</v>
      </c>
      <c r="D321" s="2" t="inlineStr">
        <is>
          <t xml:space="preserve">JAS</t>
        </is>
      </c>
      <c r="E321" t="inlineStr">
        <is>
          <t xml:space="preserve">Jul 1976 – Sep 1976</t>
        </is>
      </c>
      <c r="F321" s="3">
        <v>0.4</v>
      </c>
      <c r="G321" s="4">
        <f>ROUND(F321,1)</f>
        <v>0.4</v>
      </c>
      <c r="H321" s="2" t="str">
        <f>IF(G321&gt;=0.5,"warm",IF(G321&lt;=-0.5,"cold","neutral"))</f>
        <v>neutral</v>
      </c>
      <c r="I321" s="2">
        <f>IF(H321=H320,I320+1,1)</f>
        <v>4</v>
      </c>
      <c r="J321" s="2">
        <f>IF(H321=H322,J322+1,1)</f>
        <v>1</v>
      </c>
      <c r="K321" s="2">
        <f>I321+J321-1</f>
        <v>4</v>
      </c>
      <c r="L321" s="2" t="str">
        <f>IF(H321="neutral","—",IF(K321&gt;=5,IF(H321="warm","El Niño","La Niña"),IF(ROW()+J321-1=920,IF(H321="warm","El Niño (ongoing)","La Niña (ongoing)"),"—")))</f>
        <v>—</v>
      </c>
      <c r="M321" s="2" t="inlineStr">
        <is>
          <t xml:space="preserve">1976/77</t>
        </is>
      </c>
    </row>
    <row r="322">
      <c r="A322" s="2" t="inlineStr">
        <is>
          <t xml:space="preserve">1976-09</t>
        </is>
      </c>
      <c r="B322" s="2">
        <v>1976</v>
      </c>
      <c r="C322" s="2">
        <v>9</v>
      </c>
      <c r="D322" s="2" t="inlineStr">
        <is>
          <t xml:space="preserve">ASO</t>
        </is>
      </c>
      <c r="E322" t="inlineStr">
        <is>
          <t xml:space="preserve">Aug 1976 – Oct 1976</t>
        </is>
      </c>
      <c r="F322" s="3">
        <v>0.6</v>
      </c>
      <c r="G322" s="4">
        <f>ROUND(F322,1)</f>
        <v>0.6</v>
      </c>
      <c r="H322" s="2" t="str">
        <f>IF(G322&gt;=0.5,"warm",IF(G322&lt;=-0.5,"cold","neutral"))</f>
        <v>warm</v>
      </c>
      <c r="I322" s="2">
        <f>IF(H322=H321,I321+1,1)</f>
        <v>1</v>
      </c>
      <c r="J322" s="2">
        <f>IF(H322=H323,J323+1,1)</f>
        <v>6</v>
      </c>
      <c r="K322" s="2">
        <f>I322+J322-1</f>
        <v>6</v>
      </c>
      <c r="L322" s="6" t="str">
        <f>IF(H322="neutral","—",IF(K322&gt;=5,IF(H322="warm","El Niño","La Niña"),IF(ROW()+J322-1=920,IF(H322="warm","El Niño (ongoing)","La Niña (ongoing)"),"—")))</f>
        <v>El Niño</v>
      </c>
      <c r="M322" s="2" t="inlineStr">
        <is>
          <t xml:space="preserve">1976/77</t>
        </is>
      </c>
    </row>
    <row r="323">
      <c r="A323" s="2" t="inlineStr">
        <is>
          <t xml:space="preserve">1976-10</t>
        </is>
      </c>
      <c r="B323" s="2">
        <v>1976</v>
      </c>
      <c r="C323" s="2">
        <v>10</v>
      </c>
      <c r="D323" s="2" t="inlineStr">
        <is>
          <t xml:space="preserve">SON</t>
        </is>
      </c>
      <c r="E323" t="inlineStr">
        <is>
          <t xml:space="preserve">Sep 1976 – Nov 1976</t>
        </is>
      </c>
      <c r="F323" s="3">
        <v>0.79</v>
      </c>
      <c r="G323" s="4">
        <f>ROUND(F323,1)</f>
        <v>0.8</v>
      </c>
      <c r="H323" s="2" t="str">
        <f>IF(G323&gt;=0.5,"warm",IF(G323&lt;=-0.5,"cold","neutral"))</f>
        <v>warm</v>
      </c>
      <c r="I323" s="2">
        <f>IF(H323=H322,I322+1,1)</f>
        <v>2</v>
      </c>
      <c r="J323" s="2">
        <f>IF(H323=H324,J324+1,1)</f>
        <v>5</v>
      </c>
      <c r="K323" s="2">
        <f>I323+J323-1</f>
        <v>6</v>
      </c>
      <c r="L323" s="6" t="str">
        <f>IF(H323="neutral","—",IF(K323&gt;=5,IF(H323="warm","El Niño","La Niña"),IF(ROW()+J323-1=920,IF(H323="warm","El Niño (ongoing)","La Niña (ongoing)"),"—")))</f>
        <v>El Niño</v>
      </c>
      <c r="M323" s="2" t="inlineStr">
        <is>
          <t xml:space="preserve">1976/77</t>
        </is>
      </c>
    </row>
    <row r="324">
      <c r="A324" s="2" t="inlineStr">
        <is>
          <t xml:space="preserve">1976-11</t>
        </is>
      </c>
      <c r="B324" s="2">
        <v>1976</v>
      </c>
      <c r="C324" s="2">
        <v>11</v>
      </c>
      <c r="D324" s="2" t="inlineStr">
        <is>
          <t xml:space="preserve">OND</t>
        </is>
      </c>
      <c r="E324" t="inlineStr">
        <is>
          <t xml:space="preserve">Oct 1976 – Dec 1976</t>
        </is>
      </c>
      <c r="F324" s="3">
        <v>0.81</v>
      </c>
      <c r="G324" s="4">
        <f>ROUND(F324,1)</f>
        <v>0.8</v>
      </c>
      <c r="H324" s="2" t="str">
        <f>IF(G324&gt;=0.5,"warm",IF(G324&lt;=-0.5,"cold","neutral"))</f>
        <v>warm</v>
      </c>
      <c r="I324" s="2">
        <f>IF(H324=H323,I323+1,1)</f>
        <v>3</v>
      </c>
      <c r="J324" s="2">
        <f>IF(H324=H325,J325+1,1)</f>
        <v>4</v>
      </c>
      <c r="K324" s="2">
        <f>I324+J324-1</f>
        <v>6</v>
      </c>
      <c r="L324" s="6" t="str">
        <f>IF(H324="neutral","—",IF(K324&gt;=5,IF(H324="warm","El Niño","La Niña"),IF(ROW()+J324-1=920,IF(H324="warm","El Niño (ongoing)","La Niña (ongoing)"),"—")))</f>
        <v>El Niño</v>
      </c>
      <c r="M324" s="2" t="inlineStr">
        <is>
          <t xml:space="preserve">1976/77</t>
        </is>
      </c>
    </row>
    <row r="325">
      <c r="A325" s="2" t="inlineStr">
        <is>
          <t xml:space="preserve">1976-12</t>
        </is>
      </c>
      <c r="B325" s="2">
        <v>1976</v>
      </c>
      <c r="C325" s="2">
        <v>12</v>
      </c>
      <c r="D325" s="2" t="inlineStr">
        <is>
          <t xml:space="preserve">NDJ</t>
        </is>
      </c>
      <c r="E325" t="inlineStr">
        <is>
          <t xml:space="preserve">Nov 1976 – Jan 1977</t>
        </is>
      </c>
      <c r="F325" s="3">
        <v>0.84</v>
      </c>
      <c r="G325" s="4">
        <f>ROUND(F325,1)</f>
        <v>0.8</v>
      </c>
      <c r="H325" s="2" t="str">
        <f>IF(G325&gt;=0.5,"warm",IF(G325&lt;=-0.5,"cold","neutral"))</f>
        <v>warm</v>
      </c>
      <c r="I325" s="2">
        <f>IF(H325=H324,I324+1,1)</f>
        <v>4</v>
      </c>
      <c r="J325" s="2">
        <f>IF(H325=H326,J326+1,1)</f>
        <v>3</v>
      </c>
      <c r="K325" s="2">
        <f>I325+J325-1</f>
        <v>6</v>
      </c>
      <c r="L325" s="6" t="str">
        <f>IF(H325="neutral","—",IF(K325&gt;=5,IF(H325="warm","El Niño","La Niña"),IF(ROW()+J325-1=920,IF(H325="warm","El Niño (ongoing)","La Niña (ongoing)"),"—")))</f>
        <v>El Niño</v>
      </c>
      <c r="M325" s="2" t="inlineStr">
        <is>
          <t xml:space="preserve">1976/77</t>
        </is>
      </c>
    </row>
    <row r="326">
      <c r="A326" s="2" t="inlineStr">
        <is>
          <t xml:space="preserve">1977-01</t>
        </is>
      </c>
      <c r="B326" s="2">
        <v>1977</v>
      </c>
      <c r="C326" s="2">
        <v>1</v>
      </c>
      <c r="D326" s="2" t="inlineStr">
        <is>
          <t xml:space="preserve">DJF</t>
        </is>
      </c>
      <c r="E326" t="inlineStr">
        <is>
          <t xml:space="preserve">Dec 1976 – Feb 1977</t>
        </is>
      </c>
      <c r="F326" s="3">
        <v>0.71</v>
      </c>
      <c r="G326" s="4">
        <f>ROUND(F326,1)</f>
        <v>0.7</v>
      </c>
      <c r="H326" s="2" t="str">
        <f>IF(G326&gt;=0.5,"warm",IF(G326&lt;=-0.5,"cold","neutral"))</f>
        <v>warm</v>
      </c>
      <c r="I326" s="2">
        <f>IF(H326=H325,I325+1,1)</f>
        <v>5</v>
      </c>
      <c r="J326" s="2">
        <f>IF(H326=H327,J327+1,1)</f>
        <v>2</v>
      </c>
      <c r="K326" s="2">
        <f>I326+J326-1</f>
        <v>6</v>
      </c>
      <c r="L326" s="6" t="str">
        <f>IF(H326="neutral","—",IF(K326&gt;=5,IF(H326="warm","El Niño","La Niña"),IF(ROW()+J326-1=920,IF(H326="warm","El Niño (ongoing)","La Niña (ongoing)"),"—")))</f>
        <v>El Niño</v>
      </c>
      <c r="M326" s="2" t="inlineStr">
        <is>
          <t xml:space="preserve">1976/77</t>
        </is>
      </c>
    </row>
    <row r="327">
      <c r="A327" s="2" t="inlineStr">
        <is>
          <t xml:space="preserve">1977-02</t>
        </is>
      </c>
      <c r="B327" s="2">
        <v>1977</v>
      </c>
      <c r="C327" s="2">
        <v>2</v>
      </c>
      <c r="D327" s="2" t="inlineStr">
        <is>
          <t xml:space="preserve">JFM</t>
        </is>
      </c>
      <c r="E327" t="inlineStr">
        <is>
          <t xml:space="preserve">Jan 1977 – Mar 1977</t>
        </is>
      </c>
      <c r="F327" s="3">
        <v>0.66</v>
      </c>
      <c r="G327" s="4">
        <f>ROUND(F327,1)</f>
        <v>0.7</v>
      </c>
      <c r="H327" s="2" t="str">
        <f>IF(G327&gt;=0.5,"warm",IF(G327&lt;=-0.5,"cold","neutral"))</f>
        <v>warm</v>
      </c>
      <c r="I327" s="2">
        <f>IF(H327=H326,I326+1,1)</f>
        <v>6</v>
      </c>
      <c r="J327" s="2">
        <f>IF(H327=H328,J328+1,1)</f>
        <v>1</v>
      </c>
      <c r="K327" s="2">
        <f>I327+J327-1</f>
        <v>6</v>
      </c>
      <c r="L327" s="6" t="str">
        <f>IF(H327="neutral","—",IF(K327&gt;=5,IF(H327="warm","El Niño","La Niña"),IF(ROW()+J327-1=920,IF(H327="warm","El Niño (ongoing)","La Niña (ongoing)"),"—")))</f>
        <v>El Niño</v>
      </c>
      <c r="M327" s="2" t="inlineStr">
        <is>
          <t xml:space="preserve">1976/77</t>
        </is>
      </c>
    </row>
    <row r="328">
      <c r="A328" s="2" t="inlineStr">
        <is>
          <t xml:space="preserve">1977-03</t>
        </is>
      </c>
      <c r="B328" s="2">
        <v>1977</v>
      </c>
      <c r="C328" s="2">
        <v>3</v>
      </c>
      <c r="D328" s="2" t="inlineStr">
        <is>
          <t xml:space="preserve">FMA</t>
        </is>
      </c>
      <c r="E328" t="inlineStr">
        <is>
          <t xml:space="preserve">Feb 1977 – Apr 1977</t>
        </is>
      </c>
      <c r="F328" s="3">
        <v>0.33</v>
      </c>
      <c r="G328" s="4">
        <f>ROUND(F328,1)</f>
        <v>0.3</v>
      </c>
      <c r="H328" s="2" t="str">
        <f>IF(G328&gt;=0.5,"warm",IF(G328&lt;=-0.5,"cold","neutral"))</f>
        <v>neutral</v>
      </c>
      <c r="I328" s="2">
        <f>IF(H328=H327,I327+1,1)</f>
        <v>1</v>
      </c>
      <c r="J328" s="2">
        <f>IF(H328=H329,J329+1,1)</f>
        <v>3</v>
      </c>
      <c r="K328" s="2">
        <f>I328+J328-1</f>
        <v>3</v>
      </c>
      <c r="L328" s="2" t="str">
        <f>IF(H328="neutral","—",IF(K328&gt;=5,IF(H328="warm","El Niño","La Niña"),IF(ROW()+J328-1=920,IF(H328="warm","El Niño (ongoing)","La Niña (ongoing)"),"—")))</f>
        <v>—</v>
      </c>
      <c r="M328" s="2" t="inlineStr">
        <is>
          <t xml:space="preserve">1976/77</t>
        </is>
      </c>
    </row>
    <row r="329">
      <c r="A329" s="2" t="inlineStr">
        <is>
          <t xml:space="preserve">1977-04</t>
        </is>
      </c>
      <c r="B329" s="2">
        <v>1977</v>
      </c>
      <c r="C329" s="2">
        <v>4</v>
      </c>
      <c r="D329" s="2" t="inlineStr">
        <is>
          <t xml:space="preserve">MAM</t>
        </is>
      </c>
      <c r="E329" t="inlineStr">
        <is>
          <t xml:space="preserve">Mar 1977 – May 1977</t>
        </is>
      </c>
      <c r="F329" s="3">
        <v>0.26</v>
      </c>
      <c r="G329" s="4">
        <f>ROUND(F329,1)</f>
        <v>0.3</v>
      </c>
      <c r="H329" s="2" t="str">
        <f>IF(G329&gt;=0.5,"warm",IF(G329&lt;=-0.5,"cold","neutral"))</f>
        <v>neutral</v>
      </c>
      <c r="I329" s="2">
        <f>IF(H329=H328,I328+1,1)</f>
        <v>2</v>
      </c>
      <c r="J329" s="2">
        <f>IF(H329=H330,J330+1,1)</f>
        <v>2</v>
      </c>
      <c r="K329" s="2">
        <f>I329+J329-1</f>
        <v>3</v>
      </c>
      <c r="L329" s="2" t="str">
        <f>IF(H329="neutral","—",IF(K329&gt;=5,IF(H329="warm","El Niño","La Niña"),IF(ROW()+J329-1=920,IF(H329="warm","El Niño (ongoing)","La Niña (ongoing)"),"—")))</f>
        <v>—</v>
      </c>
      <c r="M329" s="2" t="inlineStr">
        <is>
          <t xml:space="preserve">1976/77</t>
        </is>
      </c>
    </row>
    <row r="330">
      <c r="A330" s="2" t="inlineStr">
        <is>
          <t xml:space="preserve">1977-05</t>
        </is>
      </c>
      <c r="B330" s="2">
        <v>1977</v>
      </c>
      <c r="C330" s="2">
        <v>5</v>
      </c>
      <c r="D330" s="2" t="inlineStr">
        <is>
          <t xml:space="preserve">AMJ</t>
        </is>
      </c>
      <c r="E330" t="inlineStr">
        <is>
          <t xml:space="preserve">Apr 1977 – Jun 1977</t>
        </is>
      </c>
      <c r="F330" s="3">
        <v>0.26</v>
      </c>
      <c r="G330" s="4">
        <f>ROUND(F330,1)</f>
        <v>0.3</v>
      </c>
      <c r="H330" s="2" t="str">
        <f>IF(G330&gt;=0.5,"warm",IF(G330&lt;=-0.5,"cold","neutral"))</f>
        <v>neutral</v>
      </c>
      <c r="I330" s="2">
        <f>IF(H330=H329,I329+1,1)</f>
        <v>3</v>
      </c>
      <c r="J330" s="2">
        <f>IF(H330=H331,J331+1,1)</f>
        <v>1</v>
      </c>
      <c r="K330" s="2">
        <f>I330+J330-1</f>
        <v>3</v>
      </c>
      <c r="L330" s="2" t="str">
        <f>IF(H330="neutral","—",IF(K330&gt;=5,IF(H330="warm","El Niño","La Niña"),IF(ROW()+J330-1=920,IF(H330="warm","El Niño (ongoing)","La Niña (ongoing)"),"—")))</f>
        <v>—</v>
      </c>
      <c r="M330" s="2" t="inlineStr">
        <is>
          <t xml:space="preserve">1976/77</t>
        </is>
      </c>
    </row>
    <row r="331">
      <c r="A331" s="2" t="inlineStr">
        <is>
          <t xml:space="preserve">1977-06</t>
        </is>
      </c>
      <c r="B331" s="2">
        <v>1977</v>
      </c>
      <c r="C331" s="2">
        <v>6</v>
      </c>
      <c r="D331" s="2" t="inlineStr">
        <is>
          <t xml:space="preserve">MJJ</t>
        </is>
      </c>
      <c r="E331" t="inlineStr">
        <is>
          <t xml:space="preserve">May 1977 – Jul 1977</t>
        </is>
      </c>
      <c r="F331" s="3">
        <v>0.46</v>
      </c>
      <c r="G331" s="4">
        <f>ROUND(F331,1)</f>
        <v>0.5</v>
      </c>
      <c r="H331" s="2" t="str">
        <f>IF(G331&gt;=0.5,"warm",IF(G331&lt;=-0.5,"cold","neutral"))</f>
        <v>warm</v>
      </c>
      <c r="I331" s="2">
        <f>IF(H331=H330,I330+1,1)</f>
        <v>1</v>
      </c>
      <c r="J331" s="2">
        <f>IF(H331=H332,J332+1,1)</f>
        <v>1</v>
      </c>
      <c r="K331" s="2">
        <f>I331+J331-1</f>
        <v>1</v>
      </c>
      <c r="L331" s="2" t="str">
        <f>IF(H331="neutral","—",IF(K331&gt;=5,IF(H331="warm","El Niño","La Niña"),IF(ROW()+J331-1=920,IF(H331="warm","El Niño (ongoing)","La Niña (ongoing)"),"—")))</f>
        <v>—</v>
      </c>
      <c r="M331" s="2" t="inlineStr">
        <is>
          <t xml:space="preserve">1976/77</t>
        </is>
      </c>
    </row>
    <row r="332">
      <c r="A332" s="2" t="inlineStr">
        <is>
          <t xml:space="preserve">1977-07</t>
        </is>
      </c>
      <c r="B332" s="2">
        <v>1977</v>
      </c>
      <c r="C332" s="2">
        <v>7</v>
      </c>
      <c r="D332" s="2" t="inlineStr">
        <is>
          <t xml:space="preserve">JJA</t>
        </is>
      </c>
      <c r="E332" t="inlineStr">
        <is>
          <t xml:space="preserve">Jun 1977 – Aug 1977</t>
        </is>
      </c>
      <c r="F332" s="3">
        <v>0.39</v>
      </c>
      <c r="G332" s="4">
        <f>ROUND(F332,1)</f>
        <v>0.4</v>
      </c>
      <c r="H332" s="2" t="str">
        <f>IF(G332&gt;=0.5,"warm",IF(G332&lt;=-0.5,"cold","neutral"))</f>
        <v>neutral</v>
      </c>
      <c r="I332" s="2">
        <f>IF(H332=H331,I331+1,1)</f>
        <v>1</v>
      </c>
      <c r="J332" s="2">
        <f>IF(H332=H333,J333+1,1)</f>
        <v>2</v>
      </c>
      <c r="K332" s="2">
        <f>I332+J332-1</f>
        <v>2</v>
      </c>
      <c r="L332" s="2" t="str">
        <f>IF(H332="neutral","—",IF(K332&gt;=5,IF(H332="warm","El Niño","La Niña"),IF(ROW()+J332-1=920,IF(H332="warm","El Niño (ongoing)","La Niña (ongoing)"),"—")))</f>
        <v>—</v>
      </c>
      <c r="M332" s="2" t="inlineStr">
        <is>
          <t xml:space="preserve">1977/78</t>
        </is>
      </c>
    </row>
    <row r="333">
      <c r="A333" s="2" t="inlineStr">
        <is>
          <t xml:space="preserve">1977-08</t>
        </is>
      </c>
      <c r="B333" s="2">
        <v>1977</v>
      </c>
      <c r="C333" s="2">
        <v>8</v>
      </c>
      <c r="D333" s="2" t="inlineStr">
        <is>
          <t xml:space="preserve">JAS</t>
        </is>
      </c>
      <c r="E333" t="inlineStr">
        <is>
          <t xml:space="preserve">Jul 1977 – Sep 1977</t>
        </is>
      </c>
      <c r="F333" s="3">
        <v>0.35</v>
      </c>
      <c r="G333" s="4">
        <f>ROUND(F333,1)</f>
        <v>0.4</v>
      </c>
      <c r="H333" s="2" t="str">
        <f>IF(G333&gt;=0.5,"warm",IF(G333&lt;=-0.5,"cold","neutral"))</f>
        <v>neutral</v>
      </c>
      <c r="I333" s="2">
        <f>IF(H333=H332,I332+1,1)</f>
        <v>2</v>
      </c>
      <c r="J333" s="2">
        <f>IF(H333=H334,J334+1,1)</f>
        <v>1</v>
      </c>
      <c r="K333" s="2">
        <f>I333+J333-1</f>
        <v>2</v>
      </c>
      <c r="L333" s="2" t="str">
        <f>IF(H333="neutral","—",IF(K333&gt;=5,IF(H333="warm","El Niño","La Niña"),IF(ROW()+J333-1=920,IF(H333="warm","El Niño (ongoing)","La Niña (ongoing)"),"—")))</f>
        <v>—</v>
      </c>
      <c r="M333" s="2" t="inlineStr">
        <is>
          <t xml:space="preserve">1977/78</t>
        </is>
      </c>
    </row>
    <row r="334">
      <c r="A334" s="2" t="inlineStr">
        <is>
          <t xml:space="preserve">1977-09</t>
        </is>
      </c>
      <c r="B334" s="2">
        <v>1977</v>
      </c>
      <c r="C334" s="2">
        <v>9</v>
      </c>
      <c r="D334" s="2" t="inlineStr">
        <is>
          <t xml:space="preserve">ASO</t>
        </is>
      </c>
      <c r="E334" t="inlineStr">
        <is>
          <t xml:space="preserve">Aug 1977 – Oct 1977</t>
        </is>
      </c>
      <c r="F334" s="3">
        <v>0.45</v>
      </c>
      <c r="G334" s="4">
        <f>ROUND(F334,1)</f>
        <v>0.5</v>
      </c>
      <c r="H334" s="2" t="str">
        <f>IF(G334&gt;=0.5,"warm",IF(G334&lt;=-0.5,"cold","neutral"))</f>
        <v>warm</v>
      </c>
      <c r="I334" s="2">
        <f>IF(H334=H333,I333+1,1)</f>
        <v>1</v>
      </c>
      <c r="J334" s="2">
        <f>IF(H334=H335,J335+1,1)</f>
        <v>6</v>
      </c>
      <c r="K334" s="2">
        <f>I334+J334-1</f>
        <v>6</v>
      </c>
      <c r="L334" s="6" t="str">
        <f>IF(H334="neutral","—",IF(K334&gt;=5,IF(H334="warm","El Niño","La Niña"),IF(ROW()+J334-1=920,IF(H334="warm","El Niño (ongoing)","La Niña (ongoing)"),"—")))</f>
        <v>El Niño</v>
      </c>
      <c r="M334" s="2" t="inlineStr">
        <is>
          <t xml:space="preserve">1977/78</t>
        </is>
      </c>
    </row>
    <row r="335">
      <c r="A335" s="2" t="inlineStr">
        <is>
          <t xml:space="preserve">1977-10</t>
        </is>
      </c>
      <c r="B335" s="2">
        <v>1977</v>
      </c>
      <c r="C335" s="2">
        <v>10</v>
      </c>
      <c r="D335" s="2" t="inlineStr">
        <is>
          <t xml:space="preserve">SON</t>
        </is>
      </c>
      <c r="E335" t="inlineStr">
        <is>
          <t xml:space="preserve">Sep 1977 – Nov 1977</t>
        </is>
      </c>
      <c r="F335" s="3">
        <v>0.68</v>
      </c>
      <c r="G335" s="4">
        <f>ROUND(F335,1)</f>
        <v>0.7</v>
      </c>
      <c r="H335" s="2" t="str">
        <f>IF(G335&gt;=0.5,"warm",IF(G335&lt;=-0.5,"cold","neutral"))</f>
        <v>warm</v>
      </c>
      <c r="I335" s="2">
        <f>IF(H335=H334,I334+1,1)</f>
        <v>2</v>
      </c>
      <c r="J335" s="2">
        <f>IF(H335=H336,J336+1,1)</f>
        <v>5</v>
      </c>
      <c r="K335" s="2">
        <f>I335+J335-1</f>
        <v>6</v>
      </c>
      <c r="L335" s="6" t="str">
        <f>IF(H335="neutral","—",IF(K335&gt;=5,IF(H335="warm","El Niño","La Niña"),IF(ROW()+J335-1=920,IF(H335="warm","El Niño (ongoing)","La Niña (ongoing)"),"—")))</f>
        <v>El Niño</v>
      </c>
      <c r="M335" s="2" t="inlineStr">
        <is>
          <t xml:space="preserve">1977/78</t>
        </is>
      </c>
    </row>
    <row r="336">
      <c r="A336" s="2" t="inlineStr">
        <is>
          <t xml:space="preserve">1977-11</t>
        </is>
      </c>
      <c r="B336" s="2">
        <v>1977</v>
      </c>
      <c r="C336" s="2">
        <v>11</v>
      </c>
      <c r="D336" s="2" t="inlineStr">
        <is>
          <t xml:space="preserve">OND</t>
        </is>
      </c>
      <c r="E336" t="inlineStr">
        <is>
          <t xml:space="preserve">Oct 1977 – Dec 1977</t>
        </is>
      </c>
      <c r="F336" s="3">
        <v>0.84</v>
      </c>
      <c r="G336" s="4">
        <f>ROUND(F336,1)</f>
        <v>0.8</v>
      </c>
      <c r="H336" s="2" t="str">
        <f>IF(G336&gt;=0.5,"warm",IF(G336&lt;=-0.5,"cold","neutral"))</f>
        <v>warm</v>
      </c>
      <c r="I336" s="2">
        <f>IF(H336=H335,I335+1,1)</f>
        <v>3</v>
      </c>
      <c r="J336" s="2">
        <f>IF(H336=H337,J337+1,1)</f>
        <v>4</v>
      </c>
      <c r="K336" s="2">
        <f>I336+J336-1</f>
        <v>6</v>
      </c>
      <c r="L336" s="6" t="str">
        <f>IF(H336="neutral","—",IF(K336&gt;=5,IF(H336="warm","El Niño","La Niña"),IF(ROW()+J336-1=920,IF(H336="warm","El Niño (ongoing)","La Niña (ongoing)"),"—")))</f>
        <v>El Niño</v>
      </c>
      <c r="M336" s="2" t="inlineStr">
        <is>
          <t xml:space="preserve">1977/78</t>
        </is>
      </c>
    </row>
    <row r="337">
      <c r="A337" s="2" t="inlineStr">
        <is>
          <t xml:space="preserve">1977-12</t>
        </is>
      </c>
      <c r="B337" s="2">
        <v>1977</v>
      </c>
      <c r="C337" s="2">
        <v>12</v>
      </c>
      <c r="D337" s="2" t="inlineStr">
        <is>
          <t xml:space="preserve">NDJ</t>
        </is>
      </c>
      <c r="E337" t="inlineStr">
        <is>
          <t xml:space="preserve">Nov 1977 – Jan 1978</t>
        </is>
      </c>
      <c r="F337" s="3">
        <v>0.82</v>
      </c>
      <c r="G337" s="4">
        <f>ROUND(F337,1)</f>
        <v>0.8</v>
      </c>
      <c r="H337" s="2" t="str">
        <f>IF(G337&gt;=0.5,"warm",IF(G337&lt;=-0.5,"cold","neutral"))</f>
        <v>warm</v>
      </c>
      <c r="I337" s="2">
        <f>IF(H337=H336,I336+1,1)</f>
        <v>4</v>
      </c>
      <c r="J337" s="2">
        <f>IF(H337=H338,J338+1,1)</f>
        <v>3</v>
      </c>
      <c r="K337" s="2">
        <f>I337+J337-1</f>
        <v>6</v>
      </c>
      <c r="L337" s="6" t="str">
        <f>IF(H337="neutral","—",IF(K337&gt;=5,IF(H337="warm","El Niño","La Niña"),IF(ROW()+J337-1=920,IF(H337="warm","El Niño (ongoing)","La Niña (ongoing)"),"—")))</f>
        <v>El Niño</v>
      </c>
      <c r="M337" s="2" t="inlineStr">
        <is>
          <t xml:space="preserve">1977/78</t>
        </is>
      </c>
    </row>
    <row r="338">
      <c r="A338" s="2" t="inlineStr">
        <is>
          <t xml:space="preserve">1978-01</t>
        </is>
      </c>
      <c r="B338" s="2">
        <v>1978</v>
      </c>
      <c r="C338" s="2">
        <v>1</v>
      </c>
      <c r="D338" s="2" t="inlineStr">
        <is>
          <t xml:space="preserve">DJF</t>
        </is>
      </c>
      <c r="E338" t="inlineStr">
        <is>
          <t xml:space="preserve">Dec 1977 – Feb 1978</t>
        </is>
      </c>
      <c r="F338" s="3">
        <v>0.71</v>
      </c>
      <c r="G338" s="4">
        <f>ROUND(F338,1)</f>
        <v>0.7</v>
      </c>
      <c r="H338" s="2" t="str">
        <f>IF(G338&gt;=0.5,"warm",IF(G338&lt;=-0.5,"cold","neutral"))</f>
        <v>warm</v>
      </c>
      <c r="I338" s="2">
        <f>IF(H338=H337,I337+1,1)</f>
        <v>5</v>
      </c>
      <c r="J338" s="2">
        <f>IF(H338=H339,J339+1,1)</f>
        <v>2</v>
      </c>
      <c r="K338" s="2">
        <f>I338+J338-1</f>
        <v>6</v>
      </c>
      <c r="L338" s="6" t="str">
        <f>IF(H338="neutral","—",IF(K338&gt;=5,IF(H338="warm","El Niño","La Niña"),IF(ROW()+J338-1=920,IF(H338="warm","El Niño (ongoing)","La Niña (ongoing)"),"—")))</f>
        <v>El Niño</v>
      </c>
      <c r="M338" s="2" t="inlineStr">
        <is>
          <t xml:space="preserve">1977/78</t>
        </is>
      </c>
    </row>
    <row r="339">
      <c r="A339" s="2" t="inlineStr">
        <is>
          <t xml:space="preserve">1978-02</t>
        </is>
      </c>
      <c r="B339" s="2">
        <v>1978</v>
      </c>
      <c r="C339" s="2">
        <v>2</v>
      </c>
      <c r="D339" s="2" t="inlineStr">
        <is>
          <t xml:space="preserve">JFM</t>
        </is>
      </c>
      <c r="E339" t="inlineStr">
        <is>
          <t xml:space="preserve">Jan 1978 – Mar 1978</t>
        </is>
      </c>
      <c r="F339" s="3">
        <v>0.52</v>
      </c>
      <c r="G339" s="4">
        <f>ROUND(F339,1)</f>
        <v>0.5</v>
      </c>
      <c r="H339" s="2" t="str">
        <f>IF(G339&gt;=0.5,"warm",IF(G339&lt;=-0.5,"cold","neutral"))</f>
        <v>warm</v>
      </c>
      <c r="I339" s="2">
        <f>IF(H339=H338,I338+1,1)</f>
        <v>6</v>
      </c>
      <c r="J339" s="2">
        <f>IF(H339=H340,J340+1,1)</f>
        <v>1</v>
      </c>
      <c r="K339" s="2">
        <f>I339+J339-1</f>
        <v>6</v>
      </c>
      <c r="L339" s="6" t="str">
        <f>IF(H339="neutral","—",IF(K339&gt;=5,IF(H339="warm","El Niño","La Niña"),IF(ROW()+J339-1=920,IF(H339="warm","El Niño (ongoing)","La Niña (ongoing)"),"—")))</f>
        <v>El Niño</v>
      </c>
      <c r="M339" s="2" t="inlineStr">
        <is>
          <t xml:space="preserve">1977/78</t>
        </is>
      </c>
    </row>
    <row r="340">
      <c r="A340" s="2" t="inlineStr">
        <is>
          <t xml:space="preserve">1978-03</t>
        </is>
      </c>
      <c r="B340" s="2">
        <v>1978</v>
      </c>
      <c r="C340" s="2">
        <v>3</v>
      </c>
      <c r="D340" s="2" t="inlineStr">
        <is>
          <t xml:space="preserve">FMA</t>
        </is>
      </c>
      <c r="E340" t="inlineStr">
        <is>
          <t xml:space="preserve">Feb 1978 – Apr 1978</t>
        </is>
      </c>
      <c r="F340" s="3">
        <v>0.17</v>
      </c>
      <c r="G340" s="4">
        <f>ROUND(F340,1)</f>
        <v>0.2</v>
      </c>
      <c r="H340" s="2" t="str">
        <f>IF(G340&gt;=0.5,"warm",IF(G340&lt;=-0.5,"cold","neutral"))</f>
        <v>neutral</v>
      </c>
      <c r="I340" s="2">
        <f>IF(H340=H339,I339+1,1)</f>
        <v>1</v>
      </c>
      <c r="J340" s="2">
        <f>IF(H340=H341,J341+1,1)</f>
        <v>19</v>
      </c>
      <c r="K340" s="2">
        <f>I340+J340-1</f>
        <v>19</v>
      </c>
      <c r="L340" s="2" t="str">
        <f>IF(H340="neutral","—",IF(K340&gt;=5,IF(H340="warm","El Niño","La Niña"),IF(ROW()+J340-1=920,IF(H340="warm","El Niño (ongoing)","La Niña (ongoing)"),"—")))</f>
        <v>—</v>
      </c>
      <c r="M340" s="2" t="inlineStr">
        <is>
          <t xml:space="preserve">1977/78</t>
        </is>
      </c>
    </row>
    <row r="341">
      <c r="A341" s="2" t="inlineStr">
        <is>
          <t xml:space="preserve">1978-04</t>
        </is>
      </c>
      <c r="B341" s="2">
        <v>1978</v>
      </c>
      <c r="C341" s="2">
        <v>4</v>
      </c>
      <c r="D341" s="2" t="inlineStr">
        <is>
          <t xml:space="preserve">MAM</t>
        </is>
      </c>
      <c r="E341" t="inlineStr">
        <is>
          <t xml:space="preserve">Mar 1978 – May 1978</t>
        </is>
      </c>
      <c r="F341" s="3">
        <v>-0.06</v>
      </c>
      <c r="G341" s="4">
        <f>ROUND(F341,1)</f>
        <v>-0.1</v>
      </c>
      <c r="H341" s="2" t="str">
        <f>IF(G341&gt;=0.5,"warm",IF(G341&lt;=-0.5,"cold","neutral"))</f>
        <v>neutral</v>
      </c>
      <c r="I341" s="2">
        <f>IF(H341=H340,I340+1,1)</f>
        <v>2</v>
      </c>
      <c r="J341" s="2">
        <f>IF(H341=H342,J342+1,1)</f>
        <v>18</v>
      </c>
      <c r="K341" s="2">
        <f>I341+J341-1</f>
        <v>19</v>
      </c>
      <c r="L341" s="2" t="str">
        <f>IF(H341="neutral","—",IF(K341&gt;=5,IF(H341="warm","El Niño","La Niña"),IF(ROW()+J341-1=920,IF(H341="warm","El Niño (ongoing)","La Niña (ongoing)"),"—")))</f>
        <v>—</v>
      </c>
      <c r="M341" s="2" t="inlineStr">
        <is>
          <t xml:space="preserve">1977/78</t>
        </is>
      </c>
    </row>
    <row r="342">
      <c r="A342" s="2" t="inlineStr">
        <is>
          <t xml:space="preserve">1978-05</t>
        </is>
      </c>
      <c r="B342" s="2">
        <v>1978</v>
      </c>
      <c r="C342" s="2">
        <v>5</v>
      </c>
      <c r="D342" s="2" t="inlineStr">
        <is>
          <t xml:space="preserve">AMJ</t>
        </is>
      </c>
      <c r="E342" t="inlineStr">
        <is>
          <t xml:space="preserve">Apr 1978 – Jun 1978</t>
        </is>
      </c>
      <c r="F342" s="3">
        <v>-0.28</v>
      </c>
      <c r="G342" s="4">
        <f>ROUND(F342,1)</f>
        <v>-0.3</v>
      </c>
      <c r="H342" s="2" t="str">
        <f>IF(G342&gt;=0.5,"warm",IF(G342&lt;=-0.5,"cold","neutral"))</f>
        <v>neutral</v>
      </c>
      <c r="I342" s="2">
        <f>IF(H342=H341,I341+1,1)</f>
        <v>3</v>
      </c>
      <c r="J342" s="2">
        <f>IF(H342=H343,J343+1,1)</f>
        <v>17</v>
      </c>
      <c r="K342" s="2">
        <f>I342+J342-1</f>
        <v>19</v>
      </c>
      <c r="L342" s="2" t="str">
        <f>IF(H342="neutral","—",IF(K342&gt;=5,IF(H342="warm","El Niño","La Niña"),IF(ROW()+J342-1=920,IF(H342="warm","El Niño (ongoing)","La Niña (ongoing)"),"—")))</f>
        <v>—</v>
      </c>
      <c r="M342" s="2" t="inlineStr">
        <is>
          <t xml:space="preserve">1977/78</t>
        </is>
      </c>
    </row>
    <row r="343">
      <c r="A343" s="2" t="inlineStr">
        <is>
          <t xml:space="preserve">1978-06</t>
        </is>
      </c>
      <c r="B343" s="2">
        <v>1978</v>
      </c>
      <c r="C343" s="2">
        <v>6</v>
      </c>
      <c r="D343" s="2" t="inlineStr">
        <is>
          <t xml:space="preserve">MJJ</t>
        </is>
      </c>
      <c r="E343" t="inlineStr">
        <is>
          <t xml:space="preserve">May 1978 – Jul 1978</t>
        </is>
      </c>
      <c r="F343" s="3">
        <v>-0.24</v>
      </c>
      <c r="G343" s="4">
        <f>ROUND(F343,1)</f>
        <v>-0.2</v>
      </c>
      <c r="H343" s="2" t="str">
        <f>IF(G343&gt;=0.5,"warm",IF(G343&lt;=-0.5,"cold","neutral"))</f>
        <v>neutral</v>
      </c>
      <c r="I343" s="2">
        <f>IF(H343=H342,I342+1,1)</f>
        <v>4</v>
      </c>
      <c r="J343" s="2">
        <f>IF(H343=H344,J344+1,1)</f>
        <v>16</v>
      </c>
      <c r="K343" s="2">
        <f>I343+J343-1</f>
        <v>19</v>
      </c>
      <c r="L343" s="2" t="str">
        <f>IF(H343="neutral","—",IF(K343&gt;=5,IF(H343="warm","El Niño","La Niña"),IF(ROW()+J343-1=920,IF(H343="warm","El Niño (ongoing)","La Niña (ongoing)"),"—")))</f>
        <v>—</v>
      </c>
      <c r="M343" s="2" t="inlineStr">
        <is>
          <t xml:space="preserve">1977/78</t>
        </is>
      </c>
    </row>
    <row r="344">
      <c r="A344" s="2" t="inlineStr">
        <is>
          <t xml:space="preserve">1978-07</t>
        </is>
      </c>
      <c r="B344" s="2">
        <v>1978</v>
      </c>
      <c r="C344" s="2">
        <v>7</v>
      </c>
      <c r="D344" s="2" t="inlineStr">
        <is>
          <t xml:space="preserve">JJA</t>
        </is>
      </c>
      <c r="E344" t="inlineStr">
        <is>
          <t xml:space="preserve">Jun 1978 – Aug 1978</t>
        </is>
      </c>
      <c r="F344" s="3">
        <v>-0.37</v>
      </c>
      <c r="G344" s="4">
        <f>ROUND(F344,1)</f>
        <v>-0.4</v>
      </c>
      <c r="H344" s="2" t="str">
        <f>IF(G344&gt;=0.5,"warm",IF(G344&lt;=-0.5,"cold","neutral"))</f>
        <v>neutral</v>
      </c>
      <c r="I344" s="2">
        <f>IF(H344=H343,I343+1,1)</f>
        <v>5</v>
      </c>
      <c r="J344" s="2">
        <f>IF(H344=H345,J345+1,1)</f>
        <v>15</v>
      </c>
      <c r="K344" s="2">
        <f>I344+J344-1</f>
        <v>19</v>
      </c>
      <c r="L344" s="2" t="str">
        <f>IF(H344="neutral","—",IF(K344&gt;=5,IF(H344="warm","El Niño","La Niña"),IF(ROW()+J344-1=920,IF(H344="warm","El Niño (ongoing)","La Niña (ongoing)"),"—")))</f>
        <v>—</v>
      </c>
      <c r="M344" s="2" t="inlineStr">
        <is>
          <t xml:space="preserve">1978/79</t>
        </is>
      </c>
    </row>
    <row r="345">
      <c r="A345" s="2" t="inlineStr">
        <is>
          <t xml:space="preserve">1978-08</t>
        </is>
      </c>
      <c r="B345" s="2">
        <v>1978</v>
      </c>
      <c r="C345" s="2">
        <v>8</v>
      </c>
      <c r="D345" s="2" t="inlineStr">
        <is>
          <t xml:space="preserve">JAS</t>
        </is>
      </c>
      <c r="E345" t="inlineStr">
        <is>
          <t xml:space="preserve">Jul 1978 – Sep 1978</t>
        </is>
      </c>
      <c r="F345" s="3">
        <v>-0.37</v>
      </c>
      <c r="G345" s="4">
        <f>ROUND(F345,1)</f>
        <v>-0.4</v>
      </c>
      <c r="H345" s="2" t="str">
        <f>IF(G345&gt;=0.5,"warm",IF(G345&lt;=-0.5,"cold","neutral"))</f>
        <v>neutral</v>
      </c>
      <c r="I345" s="2">
        <f>IF(H345=H344,I344+1,1)</f>
        <v>6</v>
      </c>
      <c r="J345" s="2">
        <f>IF(H345=H346,J346+1,1)</f>
        <v>14</v>
      </c>
      <c r="K345" s="2">
        <f>I345+J345-1</f>
        <v>19</v>
      </c>
      <c r="L345" s="2" t="str">
        <f>IF(H345="neutral","—",IF(K345&gt;=5,IF(H345="warm","El Niño","La Niña"),IF(ROW()+J345-1=920,IF(H345="warm","El Niño (ongoing)","La Niña (ongoing)"),"—")))</f>
        <v>—</v>
      </c>
      <c r="M345" s="2" t="inlineStr">
        <is>
          <t xml:space="preserve">1978/79</t>
        </is>
      </c>
    </row>
    <row r="346">
      <c r="A346" s="2" t="inlineStr">
        <is>
          <t xml:space="preserve">1978-09</t>
        </is>
      </c>
      <c r="B346" s="2">
        <v>1978</v>
      </c>
      <c r="C346" s="2">
        <v>9</v>
      </c>
      <c r="D346" s="2" t="inlineStr">
        <is>
          <t xml:space="preserve">ASO</t>
        </is>
      </c>
      <c r="E346" t="inlineStr">
        <is>
          <t xml:space="preserve">Aug 1978 – Oct 1978</t>
        </is>
      </c>
      <c r="F346" s="3">
        <v>-0.44</v>
      </c>
      <c r="G346" s="4">
        <f>ROUND(F346,1)</f>
        <v>-0.4</v>
      </c>
      <c r="H346" s="2" t="str">
        <f>IF(G346&gt;=0.5,"warm",IF(G346&lt;=-0.5,"cold","neutral"))</f>
        <v>neutral</v>
      </c>
      <c r="I346" s="2">
        <f>IF(H346=H345,I345+1,1)</f>
        <v>7</v>
      </c>
      <c r="J346" s="2">
        <f>IF(H346=H347,J347+1,1)</f>
        <v>13</v>
      </c>
      <c r="K346" s="2">
        <f>I346+J346-1</f>
        <v>19</v>
      </c>
      <c r="L346" s="2" t="str">
        <f>IF(H346="neutral","—",IF(K346&gt;=5,IF(H346="warm","El Niño","La Niña"),IF(ROW()+J346-1=920,IF(H346="warm","El Niño (ongoing)","La Niña (ongoing)"),"—")))</f>
        <v>—</v>
      </c>
      <c r="M346" s="2" t="inlineStr">
        <is>
          <t xml:space="preserve">1978/79</t>
        </is>
      </c>
    </row>
    <row r="347">
      <c r="A347" s="2" t="inlineStr">
        <is>
          <t xml:space="preserve">1978-10</t>
        </is>
      </c>
      <c r="B347" s="2">
        <v>1978</v>
      </c>
      <c r="C347" s="2">
        <v>10</v>
      </c>
      <c r="D347" s="2" t="inlineStr">
        <is>
          <t xml:space="preserve">SON</t>
        </is>
      </c>
      <c r="E347" t="inlineStr">
        <is>
          <t xml:space="preserve">Sep 1978 – Nov 1978</t>
        </is>
      </c>
      <c r="F347" s="3">
        <v>-0.27</v>
      </c>
      <c r="G347" s="4">
        <f>ROUND(F347,1)</f>
        <v>-0.3</v>
      </c>
      <c r="H347" s="2" t="str">
        <f>IF(G347&gt;=0.5,"warm",IF(G347&lt;=-0.5,"cold","neutral"))</f>
        <v>neutral</v>
      </c>
      <c r="I347" s="2">
        <f>IF(H347=H346,I346+1,1)</f>
        <v>8</v>
      </c>
      <c r="J347" s="2">
        <f>IF(H347=H348,J348+1,1)</f>
        <v>12</v>
      </c>
      <c r="K347" s="2">
        <f>I347+J347-1</f>
        <v>19</v>
      </c>
      <c r="L347" s="2" t="str">
        <f>IF(H347="neutral","—",IF(K347&gt;=5,IF(H347="warm","El Niño","La Niña"),IF(ROW()+J347-1=920,IF(H347="warm","El Niño (ongoing)","La Niña (ongoing)"),"—")))</f>
        <v>—</v>
      </c>
      <c r="M347" s="2" t="inlineStr">
        <is>
          <t xml:space="preserve">1978/79</t>
        </is>
      </c>
    </row>
    <row r="348">
      <c r="A348" s="2" t="inlineStr">
        <is>
          <t xml:space="preserve">1978-11</t>
        </is>
      </c>
      <c r="B348" s="2">
        <v>1978</v>
      </c>
      <c r="C348" s="2">
        <v>11</v>
      </c>
      <c r="D348" s="2" t="inlineStr">
        <is>
          <t xml:space="preserve">OND</t>
        </is>
      </c>
      <c r="E348" t="inlineStr">
        <is>
          <t xml:space="preserve">Oct 1978 – Dec 1978</t>
        </is>
      </c>
      <c r="F348" s="3">
        <v>-0.07</v>
      </c>
      <c r="G348" s="4">
        <f>ROUND(F348,1)</f>
        <v>-0.1</v>
      </c>
      <c r="H348" s="2" t="str">
        <f>IF(G348&gt;=0.5,"warm",IF(G348&lt;=-0.5,"cold","neutral"))</f>
        <v>neutral</v>
      </c>
      <c r="I348" s="2">
        <f>IF(H348=H347,I347+1,1)</f>
        <v>9</v>
      </c>
      <c r="J348" s="2">
        <f>IF(H348=H349,J349+1,1)</f>
        <v>11</v>
      </c>
      <c r="K348" s="2">
        <f>I348+J348-1</f>
        <v>19</v>
      </c>
      <c r="L348" s="2" t="str">
        <f>IF(H348="neutral","—",IF(K348&gt;=5,IF(H348="warm","El Niño","La Niña"),IF(ROW()+J348-1=920,IF(H348="warm","El Niño (ongoing)","La Niña (ongoing)"),"—")))</f>
        <v>—</v>
      </c>
      <c r="M348" s="2" t="inlineStr">
        <is>
          <t xml:space="preserve">1978/79</t>
        </is>
      </c>
    </row>
    <row r="349">
      <c r="A349" s="2" t="inlineStr">
        <is>
          <t xml:space="preserve">1978-12</t>
        </is>
      </c>
      <c r="B349" s="2">
        <v>1978</v>
      </c>
      <c r="C349" s="2">
        <v>12</v>
      </c>
      <c r="D349" s="2" t="inlineStr">
        <is>
          <t xml:space="preserve">NDJ</t>
        </is>
      </c>
      <c r="E349" t="inlineStr">
        <is>
          <t xml:space="preserve">Nov 1978 – Jan 1979</t>
        </is>
      </c>
      <c r="F349" s="3">
        <v>0.11</v>
      </c>
      <c r="G349" s="4">
        <f>ROUND(F349,1)</f>
        <v>0.1</v>
      </c>
      <c r="H349" s="2" t="str">
        <f>IF(G349&gt;=0.5,"warm",IF(G349&lt;=-0.5,"cold","neutral"))</f>
        <v>neutral</v>
      </c>
      <c r="I349" s="2">
        <f>IF(H349=H348,I348+1,1)</f>
        <v>10</v>
      </c>
      <c r="J349" s="2">
        <f>IF(H349=H350,J350+1,1)</f>
        <v>10</v>
      </c>
      <c r="K349" s="2">
        <f>I349+J349-1</f>
        <v>19</v>
      </c>
      <c r="L349" s="2" t="str">
        <f>IF(H349="neutral","—",IF(K349&gt;=5,IF(H349="warm","El Niño","La Niña"),IF(ROW()+J349-1=920,IF(H349="warm","El Niño (ongoing)","La Niña (ongoing)"),"—")))</f>
        <v>—</v>
      </c>
      <c r="M349" s="2" t="inlineStr">
        <is>
          <t xml:space="preserve">1978/79</t>
        </is>
      </c>
    </row>
    <row r="350">
      <c r="A350" s="2" t="inlineStr">
        <is>
          <t xml:space="preserve">1979-01</t>
        </is>
      </c>
      <c r="B350" s="2">
        <v>1979</v>
      </c>
      <c r="C350" s="2">
        <v>1</v>
      </c>
      <c r="D350" s="2" t="inlineStr">
        <is>
          <t xml:space="preserve">DJF</t>
        </is>
      </c>
      <c r="E350" t="inlineStr">
        <is>
          <t xml:space="preserve">Dec 1978 – Feb 1979</t>
        </is>
      </c>
      <c r="F350" s="3">
        <v>0.19</v>
      </c>
      <c r="G350" s="4">
        <f>ROUND(F350,1)</f>
        <v>0.2</v>
      </c>
      <c r="H350" s="2" t="str">
        <f>IF(G350&gt;=0.5,"warm",IF(G350&lt;=-0.5,"cold","neutral"))</f>
        <v>neutral</v>
      </c>
      <c r="I350" s="2">
        <f>IF(H350=H349,I349+1,1)</f>
        <v>11</v>
      </c>
      <c r="J350" s="2">
        <f>IF(H350=H351,J351+1,1)</f>
        <v>9</v>
      </c>
      <c r="K350" s="2">
        <f>I350+J350-1</f>
        <v>19</v>
      </c>
      <c r="L350" s="2" t="str">
        <f>IF(H350="neutral","—",IF(K350&gt;=5,IF(H350="warm","El Niño","La Niña"),IF(ROW()+J350-1=920,IF(H350="warm","El Niño (ongoing)","La Niña (ongoing)"),"—")))</f>
        <v>—</v>
      </c>
      <c r="M350" s="2" t="inlineStr">
        <is>
          <t xml:space="preserve">1978/79</t>
        </is>
      </c>
    </row>
    <row r="351">
      <c r="A351" s="2" t="inlineStr">
        <is>
          <t xml:space="preserve">1979-02</t>
        </is>
      </c>
      <c r="B351" s="2">
        <v>1979</v>
      </c>
      <c r="C351" s="2">
        <v>2</v>
      </c>
      <c r="D351" s="2" t="inlineStr">
        <is>
          <t xml:space="preserve">JFM</t>
        </is>
      </c>
      <c r="E351" t="inlineStr">
        <is>
          <t xml:space="preserve">Jan 1979 – Mar 1979</t>
        </is>
      </c>
      <c r="F351" s="3">
        <v>0.21</v>
      </c>
      <c r="G351" s="4">
        <f>ROUND(F351,1)</f>
        <v>0.2</v>
      </c>
      <c r="H351" s="2" t="str">
        <f>IF(G351&gt;=0.5,"warm",IF(G351&lt;=-0.5,"cold","neutral"))</f>
        <v>neutral</v>
      </c>
      <c r="I351" s="2">
        <f>IF(H351=H350,I350+1,1)</f>
        <v>12</v>
      </c>
      <c r="J351" s="2">
        <f>IF(H351=H352,J352+1,1)</f>
        <v>8</v>
      </c>
      <c r="K351" s="2">
        <f>I351+J351-1</f>
        <v>19</v>
      </c>
      <c r="L351" s="2" t="str">
        <f>IF(H351="neutral","—",IF(K351&gt;=5,IF(H351="warm","El Niño","La Niña"),IF(ROW()+J351-1=920,IF(H351="warm","El Niño (ongoing)","La Niña (ongoing)"),"—")))</f>
        <v>—</v>
      </c>
      <c r="M351" s="2" t="inlineStr">
        <is>
          <t xml:space="preserve">1978/79</t>
        </is>
      </c>
    </row>
    <row r="352">
      <c r="A352" s="2" t="inlineStr">
        <is>
          <t xml:space="preserve">1979-03</t>
        </is>
      </c>
      <c r="B352" s="2">
        <v>1979</v>
      </c>
      <c r="C352" s="2">
        <v>3</v>
      </c>
      <c r="D352" s="2" t="inlineStr">
        <is>
          <t xml:space="preserve">FMA</t>
        </is>
      </c>
      <c r="E352" t="inlineStr">
        <is>
          <t xml:space="preserve">Feb 1979 – Apr 1979</t>
        </is>
      </c>
      <c r="F352" s="3">
        <v>0.29</v>
      </c>
      <c r="G352" s="4">
        <f>ROUND(F352,1)</f>
        <v>0.3</v>
      </c>
      <c r="H352" s="2" t="str">
        <f>IF(G352&gt;=0.5,"warm",IF(G352&lt;=-0.5,"cold","neutral"))</f>
        <v>neutral</v>
      </c>
      <c r="I352" s="2">
        <f>IF(H352=H351,I351+1,1)</f>
        <v>13</v>
      </c>
      <c r="J352" s="2">
        <f>IF(H352=H353,J353+1,1)</f>
        <v>7</v>
      </c>
      <c r="K352" s="2">
        <f>I352+J352-1</f>
        <v>19</v>
      </c>
      <c r="L352" s="2" t="str">
        <f>IF(H352="neutral","—",IF(K352&gt;=5,IF(H352="warm","El Niño","La Niña"),IF(ROW()+J352-1=920,IF(H352="warm","El Niño (ongoing)","La Niña (ongoing)"),"—")))</f>
        <v>—</v>
      </c>
      <c r="M352" s="2" t="inlineStr">
        <is>
          <t xml:space="preserve">1978/79</t>
        </is>
      </c>
    </row>
    <row r="353">
      <c r="A353" s="2" t="inlineStr">
        <is>
          <t xml:space="preserve">1979-04</t>
        </is>
      </c>
      <c r="B353" s="2">
        <v>1979</v>
      </c>
      <c r="C353" s="2">
        <v>4</v>
      </c>
      <c r="D353" s="2" t="inlineStr">
        <is>
          <t xml:space="preserve">MAM</t>
        </is>
      </c>
      <c r="E353" t="inlineStr">
        <is>
          <t xml:space="preserve">Mar 1979 – May 1979</t>
        </is>
      </c>
      <c r="F353" s="3">
        <v>0.32</v>
      </c>
      <c r="G353" s="4">
        <f>ROUND(F353,1)</f>
        <v>0.3</v>
      </c>
      <c r="H353" s="2" t="str">
        <f>IF(G353&gt;=0.5,"warm",IF(G353&lt;=-0.5,"cold","neutral"))</f>
        <v>neutral</v>
      </c>
      <c r="I353" s="2">
        <f>IF(H353=H352,I352+1,1)</f>
        <v>14</v>
      </c>
      <c r="J353" s="2">
        <f>IF(H353=H354,J354+1,1)</f>
        <v>6</v>
      </c>
      <c r="K353" s="2">
        <f>I353+J353-1</f>
        <v>19</v>
      </c>
      <c r="L353" s="2" t="str">
        <f>IF(H353="neutral","—",IF(K353&gt;=5,IF(H353="warm","El Niño","La Niña"),IF(ROW()+J353-1=920,IF(H353="warm","El Niño (ongoing)","La Niña (ongoing)"),"—")))</f>
        <v>—</v>
      </c>
      <c r="M353" s="2" t="inlineStr">
        <is>
          <t xml:space="preserve">1978/79</t>
        </is>
      </c>
    </row>
    <row r="354">
      <c r="A354" s="2" t="inlineStr">
        <is>
          <t xml:space="preserve">1979-05</t>
        </is>
      </c>
      <c r="B354" s="2">
        <v>1979</v>
      </c>
      <c r="C354" s="2">
        <v>5</v>
      </c>
      <c r="D354" s="2" t="inlineStr">
        <is>
          <t xml:space="preserve">AMJ</t>
        </is>
      </c>
      <c r="E354" t="inlineStr">
        <is>
          <t xml:space="preserve">Apr 1979 – Jun 1979</t>
        </is>
      </c>
      <c r="F354" s="3">
        <v>0.29</v>
      </c>
      <c r="G354" s="4">
        <f>ROUND(F354,1)</f>
        <v>0.3</v>
      </c>
      <c r="H354" s="2" t="str">
        <f>IF(G354&gt;=0.5,"warm",IF(G354&lt;=-0.5,"cold","neutral"))</f>
        <v>neutral</v>
      </c>
      <c r="I354" s="2">
        <f>IF(H354=H353,I353+1,1)</f>
        <v>15</v>
      </c>
      <c r="J354" s="2">
        <f>IF(H354=H355,J355+1,1)</f>
        <v>5</v>
      </c>
      <c r="K354" s="2">
        <f>I354+J354-1</f>
        <v>19</v>
      </c>
      <c r="L354" s="2" t="str">
        <f>IF(H354="neutral","—",IF(K354&gt;=5,IF(H354="warm","El Niño","La Niña"),IF(ROW()+J354-1=920,IF(H354="warm","El Niño (ongoing)","La Niña (ongoing)"),"—")))</f>
        <v>—</v>
      </c>
      <c r="M354" s="2" t="inlineStr">
        <is>
          <t xml:space="preserve">1978/79</t>
        </is>
      </c>
    </row>
    <row r="355">
      <c r="A355" s="2" t="inlineStr">
        <is>
          <t xml:space="preserve">1979-06</t>
        </is>
      </c>
      <c r="B355" s="2">
        <v>1979</v>
      </c>
      <c r="C355" s="2">
        <v>6</v>
      </c>
      <c r="D355" s="2" t="inlineStr">
        <is>
          <t xml:space="preserve">MJJ</t>
        </is>
      </c>
      <c r="E355" t="inlineStr">
        <is>
          <t xml:space="preserve">May 1979 – Jul 1979</t>
        </is>
      </c>
      <c r="F355" s="3">
        <v>0.14</v>
      </c>
      <c r="G355" s="4">
        <f>ROUND(F355,1)</f>
        <v>0.1</v>
      </c>
      <c r="H355" s="2" t="str">
        <f>IF(G355&gt;=0.5,"warm",IF(G355&lt;=-0.5,"cold","neutral"))</f>
        <v>neutral</v>
      </c>
      <c r="I355" s="2">
        <f>IF(H355=H354,I354+1,1)</f>
        <v>16</v>
      </c>
      <c r="J355" s="2">
        <f>IF(H355=H356,J356+1,1)</f>
        <v>4</v>
      </c>
      <c r="K355" s="2">
        <f>I355+J355-1</f>
        <v>19</v>
      </c>
      <c r="L355" s="2" t="str">
        <f>IF(H355="neutral","—",IF(K355&gt;=5,IF(H355="warm","El Niño","La Niña"),IF(ROW()+J355-1=920,IF(H355="warm","El Niño (ongoing)","La Niña (ongoing)"),"—")))</f>
        <v>—</v>
      </c>
      <c r="M355" s="2" t="inlineStr">
        <is>
          <t xml:space="preserve">1978/79</t>
        </is>
      </c>
    </row>
    <row r="356">
      <c r="A356" s="2" t="inlineStr">
        <is>
          <t xml:space="preserve">1979-07</t>
        </is>
      </c>
      <c r="B356" s="2">
        <v>1979</v>
      </c>
      <c r="C356" s="2">
        <v>7</v>
      </c>
      <c r="D356" s="2" t="inlineStr">
        <is>
          <t xml:space="preserve">JJA</t>
        </is>
      </c>
      <c r="E356" t="inlineStr">
        <is>
          <t xml:space="preserve">Jun 1979 – Aug 1979</t>
        </is>
      </c>
      <c r="F356" s="3">
        <v>0.09</v>
      </c>
      <c r="G356" s="4">
        <f>ROUND(F356,1)</f>
        <v>0.1</v>
      </c>
      <c r="H356" s="2" t="str">
        <f>IF(G356&gt;=0.5,"warm",IF(G356&lt;=-0.5,"cold","neutral"))</f>
        <v>neutral</v>
      </c>
      <c r="I356" s="2">
        <f>IF(H356=H355,I355+1,1)</f>
        <v>17</v>
      </c>
      <c r="J356" s="2">
        <f>IF(H356=H357,J357+1,1)</f>
        <v>3</v>
      </c>
      <c r="K356" s="2">
        <f>I356+J356-1</f>
        <v>19</v>
      </c>
      <c r="L356" s="2" t="str">
        <f>IF(H356="neutral","—",IF(K356&gt;=5,IF(H356="warm","El Niño","La Niña"),IF(ROW()+J356-1=920,IF(H356="warm","El Niño (ongoing)","La Niña (ongoing)"),"—")))</f>
        <v>—</v>
      </c>
      <c r="M356" s="2" t="inlineStr">
        <is>
          <t xml:space="preserve">1979/80</t>
        </is>
      </c>
    </row>
    <row r="357">
      <c r="A357" s="2" t="inlineStr">
        <is>
          <t xml:space="preserve">1979-08</t>
        </is>
      </c>
      <c r="B357" s="2">
        <v>1979</v>
      </c>
      <c r="C357" s="2">
        <v>8</v>
      </c>
      <c r="D357" s="2" t="inlineStr">
        <is>
          <t xml:space="preserve">JAS</t>
        </is>
      </c>
      <c r="E357" t="inlineStr">
        <is>
          <t xml:space="preserve">Jul 1979 – Sep 1979</t>
        </is>
      </c>
      <c r="F357" s="3">
        <v>0.22</v>
      </c>
      <c r="G357" s="4">
        <f>ROUND(F357,1)</f>
        <v>0.2</v>
      </c>
      <c r="H357" s="2" t="str">
        <f>IF(G357&gt;=0.5,"warm",IF(G357&lt;=-0.5,"cold","neutral"))</f>
        <v>neutral</v>
      </c>
      <c r="I357" s="2">
        <f>IF(H357=H356,I356+1,1)</f>
        <v>18</v>
      </c>
      <c r="J357" s="2">
        <f>IF(H357=H358,J358+1,1)</f>
        <v>2</v>
      </c>
      <c r="K357" s="2">
        <f>I357+J357-1</f>
        <v>19</v>
      </c>
      <c r="L357" s="2" t="str">
        <f>IF(H357="neutral","—",IF(K357&gt;=5,IF(H357="warm","El Niño","La Niña"),IF(ROW()+J357-1=920,IF(H357="warm","El Niño (ongoing)","La Niña (ongoing)"),"—")))</f>
        <v>—</v>
      </c>
      <c r="M357" s="2" t="inlineStr">
        <is>
          <t xml:space="preserve">1979/80</t>
        </is>
      </c>
    </row>
    <row r="358">
      <c r="A358" s="2" t="inlineStr">
        <is>
          <t xml:space="preserve">1979-09</t>
        </is>
      </c>
      <c r="B358" s="2">
        <v>1979</v>
      </c>
      <c r="C358" s="2">
        <v>9</v>
      </c>
      <c r="D358" s="2" t="inlineStr">
        <is>
          <t xml:space="preserve">ASO</t>
        </is>
      </c>
      <c r="E358" t="inlineStr">
        <is>
          <t xml:space="preserve">Aug 1979 – Oct 1979</t>
        </is>
      </c>
      <c r="F358" s="3">
        <v>0.34</v>
      </c>
      <c r="G358" s="4">
        <f>ROUND(F358,1)</f>
        <v>0.3</v>
      </c>
      <c r="H358" s="2" t="str">
        <f>IF(G358&gt;=0.5,"warm",IF(G358&lt;=-0.5,"cold","neutral"))</f>
        <v>neutral</v>
      </c>
      <c r="I358" s="2">
        <f>IF(H358=H357,I357+1,1)</f>
        <v>19</v>
      </c>
      <c r="J358" s="2">
        <f>IF(H358=H359,J359+1,1)</f>
        <v>1</v>
      </c>
      <c r="K358" s="2">
        <f>I358+J358-1</f>
        <v>19</v>
      </c>
      <c r="L358" s="2" t="str">
        <f>IF(H358="neutral","—",IF(K358&gt;=5,IF(H358="warm","El Niño","La Niña"),IF(ROW()+J358-1=920,IF(H358="warm","El Niño (ongoing)","La Niña (ongoing)"),"—")))</f>
        <v>—</v>
      </c>
      <c r="M358" s="2" t="inlineStr">
        <is>
          <t xml:space="preserve">1979/80</t>
        </is>
      </c>
    </row>
    <row r="359">
      <c r="A359" s="2" t="inlineStr">
        <is>
          <t xml:space="preserve">1979-10</t>
        </is>
      </c>
      <c r="B359" s="2">
        <v>1979</v>
      </c>
      <c r="C359" s="2">
        <v>10</v>
      </c>
      <c r="D359" s="2" t="inlineStr">
        <is>
          <t xml:space="preserve">SON</t>
        </is>
      </c>
      <c r="E359" t="inlineStr">
        <is>
          <t xml:space="preserve">Sep 1979 – Nov 1979</t>
        </is>
      </c>
      <c r="F359" s="3">
        <v>0.47</v>
      </c>
      <c r="G359" s="4">
        <f>ROUND(F359,1)</f>
        <v>0.5</v>
      </c>
      <c r="H359" s="2" t="str">
        <f>IF(G359&gt;=0.5,"warm",IF(G359&lt;=-0.5,"cold","neutral"))</f>
        <v>warm</v>
      </c>
      <c r="I359" s="2">
        <f>IF(H359=H358,I358+1,1)</f>
        <v>1</v>
      </c>
      <c r="J359" s="2">
        <f>IF(H359=H360,J360+1,1)</f>
        <v>5</v>
      </c>
      <c r="K359" s="2">
        <f>I359+J359-1</f>
        <v>5</v>
      </c>
      <c r="L359" s="6" t="str">
        <f>IF(H359="neutral","—",IF(K359&gt;=5,IF(H359="warm","El Niño","La Niña"),IF(ROW()+J359-1=920,IF(H359="warm","El Niño (ongoing)","La Niña (ongoing)"),"—")))</f>
        <v>El Niño</v>
      </c>
      <c r="M359" s="2" t="inlineStr">
        <is>
          <t xml:space="preserve">1979/80</t>
        </is>
      </c>
    </row>
    <row r="360">
      <c r="A360" s="2" t="inlineStr">
        <is>
          <t xml:space="preserve">1979-11</t>
        </is>
      </c>
      <c r="B360" s="2">
        <v>1979</v>
      </c>
      <c r="C360" s="2">
        <v>11</v>
      </c>
      <c r="D360" s="2" t="inlineStr">
        <is>
          <t xml:space="preserve">OND</t>
        </is>
      </c>
      <c r="E360" t="inlineStr">
        <is>
          <t xml:space="preserve">Oct 1979 – Dec 1979</t>
        </is>
      </c>
      <c r="F360" s="3">
        <v>0.5</v>
      </c>
      <c r="G360" s="4">
        <f>ROUND(F360,1)</f>
        <v>0.5</v>
      </c>
      <c r="H360" s="2" t="str">
        <f>IF(G360&gt;=0.5,"warm",IF(G360&lt;=-0.5,"cold","neutral"))</f>
        <v>warm</v>
      </c>
      <c r="I360" s="2">
        <f>IF(H360=H359,I359+1,1)</f>
        <v>2</v>
      </c>
      <c r="J360" s="2">
        <f>IF(H360=H361,J361+1,1)</f>
        <v>4</v>
      </c>
      <c r="K360" s="2">
        <f>I360+J360-1</f>
        <v>5</v>
      </c>
      <c r="L360" s="6" t="str">
        <f>IF(H360="neutral","—",IF(K360&gt;=5,IF(H360="warm","El Niño","La Niña"),IF(ROW()+J360-1=920,IF(H360="warm","El Niño (ongoing)","La Niña (ongoing)"),"—")))</f>
        <v>El Niño</v>
      </c>
      <c r="M360" s="2" t="inlineStr">
        <is>
          <t xml:space="preserve">1979/80</t>
        </is>
      </c>
    </row>
    <row r="361">
      <c r="A361" s="2" t="inlineStr">
        <is>
          <t xml:space="preserve">1979-12</t>
        </is>
      </c>
      <c r="B361" s="2">
        <v>1979</v>
      </c>
      <c r="C361" s="2">
        <v>12</v>
      </c>
      <c r="D361" s="2" t="inlineStr">
        <is>
          <t xml:space="preserve">NDJ</t>
        </is>
      </c>
      <c r="E361" t="inlineStr">
        <is>
          <t xml:space="preserve">Nov 1979 – Jan 1980</t>
        </is>
      </c>
      <c r="F361" s="3">
        <v>0.64</v>
      </c>
      <c r="G361" s="4">
        <f>ROUND(F361,1)</f>
        <v>0.6</v>
      </c>
      <c r="H361" s="2" t="str">
        <f>IF(G361&gt;=0.5,"warm",IF(G361&lt;=-0.5,"cold","neutral"))</f>
        <v>warm</v>
      </c>
      <c r="I361" s="2">
        <f>IF(H361=H360,I360+1,1)</f>
        <v>3</v>
      </c>
      <c r="J361" s="2">
        <f>IF(H361=H362,J362+1,1)</f>
        <v>3</v>
      </c>
      <c r="K361" s="2">
        <f>I361+J361-1</f>
        <v>5</v>
      </c>
      <c r="L361" s="6" t="str">
        <f>IF(H361="neutral","—",IF(K361&gt;=5,IF(H361="warm","El Niño","La Niña"),IF(ROW()+J361-1=920,IF(H361="warm","El Niño (ongoing)","La Niña (ongoing)"),"—")))</f>
        <v>El Niño</v>
      </c>
      <c r="M361" s="2" t="inlineStr">
        <is>
          <t xml:space="preserve">1979/80</t>
        </is>
      </c>
    </row>
    <row r="362">
      <c r="A362" s="2" t="inlineStr">
        <is>
          <t xml:space="preserve">1980-01</t>
        </is>
      </c>
      <c r="B362" s="2">
        <v>1980</v>
      </c>
      <c r="C362" s="2">
        <v>1</v>
      </c>
      <c r="D362" s="2" t="inlineStr">
        <is>
          <t xml:space="preserve">DJF</t>
        </is>
      </c>
      <c r="E362" t="inlineStr">
        <is>
          <t xml:space="preserve">Dec 1979 – Feb 1980</t>
        </is>
      </c>
      <c r="F362" s="3">
        <v>0.62</v>
      </c>
      <c r="G362" s="4">
        <f>ROUND(F362,1)</f>
        <v>0.6</v>
      </c>
      <c r="H362" s="2" t="str">
        <f>IF(G362&gt;=0.5,"warm",IF(G362&lt;=-0.5,"cold","neutral"))</f>
        <v>warm</v>
      </c>
      <c r="I362" s="2">
        <f>IF(H362=H361,I361+1,1)</f>
        <v>4</v>
      </c>
      <c r="J362" s="2">
        <f>IF(H362=H363,J363+1,1)</f>
        <v>2</v>
      </c>
      <c r="K362" s="2">
        <f>I362+J362-1</f>
        <v>5</v>
      </c>
      <c r="L362" s="6" t="str">
        <f>IF(H362="neutral","—",IF(K362&gt;=5,IF(H362="warm","El Niño","La Niña"),IF(ROW()+J362-1=920,IF(H362="warm","El Niño (ongoing)","La Niña (ongoing)"),"—")))</f>
        <v>El Niño</v>
      </c>
      <c r="M362" s="2" t="inlineStr">
        <is>
          <t xml:space="preserve">1979/80</t>
        </is>
      </c>
    </row>
    <row r="363">
      <c r="A363" s="2" t="inlineStr">
        <is>
          <t xml:space="preserve">1980-02</t>
        </is>
      </c>
      <c r="B363" s="2">
        <v>1980</v>
      </c>
      <c r="C363" s="2">
        <v>2</v>
      </c>
      <c r="D363" s="2" t="inlineStr">
        <is>
          <t xml:space="preserve">JFM</t>
        </is>
      </c>
      <c r="E363" t="inlineStr">
        <is>
          <t xml:space="preserve">Jan 1980 – Mar 1980</t>
        </is>
      </c>
      <c r="F363" s="3">
        <v>0.47</v>
      </c>
      <c r="G363" s="4">
        <f>ROUND(F363,1)</f>
        <v>0.5</v>
      </c>
      <c r="H363" s="2" t="str">
        <f>IF(G363&gt;=0.5,"warm",IF(G363&lt;=-0.5,"cold","neutral"))</f>
        <v>warm</v>
      </c>
      <c r="I363" s="2">
        <f>IF(H363=H362,I362+1,1)</f>
        <v>5</v>
      </c>
      <c r="J363" s="2">
        <f>IF(H363=H364,J364+1,1)</f>
        <v>1</v>
      </c>
      <c r="K363" s="2">
        <f>I363+J363-1</f>
        <v>5</v>
      </c>
      <c r="L363" s="6" t="str">
        <f>IF(H363="neutral","—",IF(K363&gt;=5,IF(H363="warm","El Niño","La Niña"),IF(ROW()+J363-1=920,IF(H363="warm","El Niño (ongoing)","La Niña (ongoing)"),"—")))</f>
        <v>El Niño</v>
      </c>
      <c r="M363" s="2" t="inlineStr">
        <is>
          <t xml:space="preserve">1979/80</t>
        </is>
      </c>
    </row>
    <row r="364">
      <c r="A364" s="2" t="inlineStr">
        <is>
          <t xml:space="preserve">1980-03</t>
        </is>
      </c>
      <c r="B364" s="2">
        <v>1980</v>
      </c>
      <c r="C364" s="2">
        <v>3</v>
      </c>
      <c r="D364" s="2" t="inlineStr">
        <is>
          <t xml:space="preserve">FMA</t>
        </is>
      </c>
      <c r="E364" t="inlineStr">
        <is>
          <t xml:space="preserve">Feb 1980 – Apr 1980</t>
        </is>
      </c>
      <c r="F364" s="3">
        <v>0.35</v>
      </c>
      <c r="G364" s="4">
        <f>ROUND(F364,1)</f>
        <v>0.4</v>
      </c>
      <c r="H364" s="2" t="str">
        <f>IF(G364&gt;=0.5,"warm",IF(G364&lt;=-0.5,"cold","neutral"))</f>
        <v>neutral</v>
      </c>
      <c r="I364" s="2">
        <f>IF(H364=H363,I363+1,1)</f>
        <v>1</v>
      </c>
      <c r="J364" s="2">
        <f>IF(H364=H365,J365+1,1)</f>
        <v>2</v>
      </c>
      <c r="K364" s="2">
        <f>I364+J364-1</f>
        <v>2</v>
      </c>
      <c r="L364" s="2" t="str">
        <f>IF(H364="neutral","—",IF(K364&gt;=5,IF(H364="warm","El Niño","La Niña"),IF(ROW()+J364-1=920,IF(H364="warm","El Niño (ongoing)","La Niña (ongoing)"),"—")))</f>
        <v>—</v>
      </c>
      <c r="M364" s="2" t="inlineStr">
        <is>
          <t xml:space="preserve">1979/80</t>
        </is>
      </c>
    </row>
    <row r="365">
      <c r="A365" s="2" t="inlineStr">
        <is>
          <t xml:space="preserve">1980-04</t>
        </is>
      </c>
      <c r="B365" s="2">
        <v>1980</v>
      </c>
      <c r="C365" s="2">
        <v>4</v>
      </c>
      <c r="D365" s="2" t="inlineStr">
        <is>
          <t xml:space="preserve">MAM</t>
        </is>
      </c>
      <c r="E365" t="inlineStr">
        <is>
          <t xml:space="preserve">Mar 1980 – May 1980</t>
        </is>
      </c>
      <c r="F365" s="3">
        <v>0.34</v>
      </c>
      <c r="G365" s="4">
        <f>ROUND(F365,1)</f>
        <v>0.3</v>
      </c>
      <c r="H365" s="2" t="str">
        <f>IF(G365&gt;=0.5,"warm",IF(G365&lt;=-0.5,"cold","neutral"))</f>
        <v>neutral</v>
      </c>
      <c r="I365" s="2">
        <f>IF(H365=H364,I364+1,1)</f>
        <v>2</v>
      </c>
      <c r="J365" s="2">
        <f>IF(H365=H366,J366+1,1)</f>
        <v>1</v>
      </c>
      <c r="K365" s="2">
        <f>I365+J365-1</f>
        <v>2</v>
      </c>
      <c r="L365" s="2" t="str">
        <f>IF(H365="neutral","—",IF(K365&gt;=5,IF(H365="warm","El Niño","La Niña"),IF(ROW()+J365-1=920,IF(H365="warm","El Niño (ongoing)","La Niña (ongoing)"),"—")))</f>
        <v>—</v>
      </c>
      <c r="M365" s="2" t="inlineStr">
        <is>
          <t xml:space="preserve">1979/80</t>
        </is>
      </c>
    </row>
    <row r="366">
      <c r="A366" s="2" t="inlineStr">
        <is>
          <t xml:space="preserve">1980-05</t>
        </is>
      </c>
      <c r="B366" s="2">
        <v>1980</v>
      </c>
      <c r="C366" s="2">
        <v>5</v>
      </c>
      <c r="D366" s="2" t="inlineStr">
        <is>
          <t xml:space="preserve">AMJ</t>
        </is>
      </c>
      <c r="E366" t="inlineStr">
        <is>
          <t xml:space="preserve">Apr 1980 – Jun 1980</t>
        </is>
      </c>
      <c r="F366" s="3">
        <v>0.45</v>
      </c>
      <c r="G366" s="4">
        <f>ROUND(F366,1)</f>
        <v>0.5</v>
      </c>
      <c r="H366" s="2" t="str">
        <f>IF(G366&gt;=0.5,"warm",IF(G366&lt;=-0.5,"cold","neutral"))</f>
        <v>warm</v>
      </c>
      <c r="I366" s="2">
        <f>IF(H366=H365,I365+1,1)</f>
        <v>1</v>
      </c>
      <c r="J366" s="2">
        <f>IF(H366=H367,J367+1,1)</f>
        <v>1</v>
      </c>
      <c r="K366" s="2">
        <f>I366+J366-1</f>
        <v>1</v>
      </c>
      <c r="L366" s="2" t="str">
        <f>IF(H366="neutral","—",IF(K366&gt;=5,IF(H366="warm","El Niño","La Niña"),IF(ROW()+J366-1=920,IF(H366="warm","El Niño (ongoing)","La Niña (ongoing)"),"—")))</f>
        <v>—</v>
      </c>
      <c r="M366" s="2" t="inlineStr">
        <is>
          <t xml:space="preserve">1979/80</t>
        </is>
      </c>
    </row>
    <row r="367">
      <c r="A367" s="2" t="inlineStr">
        <is>
          <t xml:space="preserve">1980-06</t>
        </is>
      </c>
      <c r="B367" s="2">
        <v>1980</v>
      </c>
      <c r="C367" s="2">
        <v>6</v>
      </c>
      <c r="D367" s="2" t="inlineStr">
        <is>
          <t xml:space="preserve">MJJ</t>
        </is>
      </c>
      <c r="E367" t="inlineStr">
        <is>
          <t xml:space="preserve">May 1980 – Jul 1980</t>
        </is>
      </c>
      <c r="F367" s="3">
        <v>0.4</v>
      </c>
      <c r="G367" s="4">
        <f>ROUND(F367,1)</f>
        <v>0.4</v>
      </c>
      <c r="H367" s="2" t="str">
        <f>IF(G367&gt;=0.5,"warm",IF(G367&lt;=-0.5,"cold","neutral"))</f>
        <v>neutral</v>
      </c>
      <c r="I367" s="2">
        <f>IF(H367=H366,I366+1,1)</f>
        <v>1</v>
      </c>
      <c r="J367" s="2">
        <f>IF(H367=H368,J368+1,1)</f>
        <v>23</v>
      </c>
      <c r="K367" s="2">
        <f>I367+J367-1</f>
        <v>23</v>
      </c>
      <c r="L367" s="2" t="str">
        <f>IF(H367="neutral","—",IF(K367&gt;=5,IF(H367="warm","El Niño","La Niña"),IF(ROW()+J367-1=920,IF(H367="warm","El Niño (ongoing)","La Niña (ongoing)"),"—")))</f>
        <v>—</v>
      </c>
      <c r="M367" s="2" t="inlineStr">
        <is>
          <t xml:space="preserve">1979/80</t>
        </is>
      </c>
    </row>
    <row r="368">
      <c r="A368" s="2" t="inlineStr">
        <is>
          <t xml:space="preserve">1980-07</t>
        </is>
      </c>
      <c r="B368" s="2">
        <v>1980</v>
      </c>
      <c r="C368" s="2">
        <v>7</v>
      </c>
      <c r="D368" s="2" t="inlineStr">
        <is>
          <t xml:space="preserve">JJA</t>
        </is>
      </c>
      <c r="E368" t="inlineStr">
        <is>
          <t xml:space="preserve">Jun 1980 – Aug 1980</t>
        </is>
      </c>
      <c r="F368" s="3">
        <v>0.18</v>
      </c>
      <c r="G368" s="4">
        <f>ROUND(F368,1)</f>
        <v>0.2</v>
      </c>
      <c r="H368" s="2" t="str">
        <f>IF(G368&gt;=0.5,"warm",IF(G368&lt;=-0.5,"cold","neutral"))</f>
        <v>neutral</v>
      </c>
      <c r="I368" s="2">
        <f>IF(H368=H367,I367+1,1)</f>
        <v>2</v>
      </c>
      <c r="J368" s="2">
        <f>IF(H368=H369,J369+1,1)</f>
        <v>22</v>
      </c>
      <c r="K368" s="2">
        <f>I368+J368-1</f>
        <v>23</v>
      </c>
      <c r="L368" s="2" t="str">
        <f>IF(H368="neutral","—",IF(K368&gt;=5,IF(H368="warm","El Niño","La Niña"),IF(ROW()+J368-1=920,IF(H368="warm","El Niño (ongoing)","La Niña (ongoing)"),"—")))</f>
        <v>—</v>
      </c>
      <c r="M368" s="2" t="inlineStr">
        <is>
          <t xml:space="preserve">1980/81</t>
        </is>
      </c>
    </row>
    <row r="369">
      <c r="A369" s="2" t="inlineStr">
        <is>
          <t xml:space="preserve">1980-08</t>
        </is>
      </c>
      <c r="B369" s="2">
        <v>1980</v>
      </c>
      <c r="C369" s="2">
        <v>8</v>
      </c>
      <c r="D369" s="2" t="inlineStr">
        <is>
          <t xml:space="preserve">JAS</t>
        </is>
      </c>
      <c r="E369" t="inlineStr">
        <is>
          <t xml:space="preserve">Jul 1980 – Sep 1980</t>
        </is>
      </c>
      <c r="F369" s="3">
        <v>-0.06</v>
      </c>
      <c r="G369" s="4">
        <f>ROUND(F369,1)</f>
        <v>-0.1</v>
      </c>
      <c r="H369" s="2" t="str">
        <f>IF(G369&gt;=0.5,"warm",IF(G369&lt;=-0.5,"cold","neutral"))</f>
        <v>neutral</v>
      </c>
      <c r="I369" s="2">
        <f>IF(H369=H368,I368+1,1)</f>
        <v>3</v>
      </c>
      <c r="J369" s="2">
        <f>IF(H369=H370,J370+1,1)</f>
        <v>21</v>
      </c>
      <c r="K369" s="2">
        <f>I369+J369-1</f>
        <v>23</v>
      </c>
      <c r="L369" s="2" t="str">
        <f>IF(H369="neutral","—",IF(K369&gt;=5,IF(H369="warm","El Niño","La Niña"),IF(ROW()+J369-1=920,IF(H369="warm","El Niño (ongoing)","La Niña (ongoing)"),"—")))</f>
        <v>—</v>
      </c>
      <c r="M369" s="2" t="inlineStr">
        <is>
          <t xml:space="preserve">1980/81</t>
        </is>
      </c>
    </row>
    <row r="370">
      <c r="A370" s="2" t="inlineStr">
        <is>
          <t xml:space="preserve">1980-09</t>
        </is>
      </c>
      <c r="B370" s="2">
        <v>1980</v>
      </c>
      <c r="C370" s="2">
        <v>9</v>
      </c>
      <c r="D370" s="2" t="inlineStr">
        <is>
          <t xml:space="preserve">ASO</t>
        </is>
      </c>
      <c r="E370" t="inlineStr">
        <is>
          <t xml:space="preserve">Aug 1980 – Oct 1980</t>
        </is>
      </c>
      <c r="F370" s="3">
        <v>-0.17</v>
      </c>
      <c r="G370" s="4">
        <f>ROUND(F370,1)</f>
        <v>-0.2</v>
      </c>
      <c r="H370" s="2" t="str">
        <f>IF(G370&gt;=0.5,"warm",IF(G370&lt;=-0.5,"cold","neutral"))</f>
        <v>neutral</v>
      </c>
      <c r="I370" s="2">
        <f>IF(H370=H369,I369+1,1)</f>
        <v>4</v>
      </c>
      <c r="J370" s="2">
        <f>IF(H370=H371,J371+1,1)</f>
        <v>20</v>
      </c>
      <c r="K370" s="2">
        <f>I370+J370-1</f>
        <v>23</v>
      </c>
      <c r="L370" s="2" t="str">
        <f>IF(H370="neutral","—",IF(K370&gt;=5,IF(H370="warm","El Niño","La Niña"),IF(ROW()+J370-1=920,IF(H370="warm","El Niño (ongoing)","La Niña (ongoing)"),"—")))</f>
        <v>—</v>
      </c>
      <c r="M370" s="2" t="inlineStr">
        <is>
          <t xml:space="preserve">1980/81</t>
        </is>
      </c>
    </row>
    <row r="371">
      <c r="A371" s="2" t="inlineStr">
        <is>
          <t xml:space="preserve">1980-10</t>
        </is>
      </c>
      <c r="B371" s="2">
        <v>1980</v>
      </c>
      <c r="C371" s="2">
        <v>10</v>
      </c>
      <c r="D371" s="2" t="inlineStr">
        <is>
          <t xml:space="preserve">SON</t>
        </is>
      </c>
      <c r="E371" t="inlineStr">
        <is>
          <t xml:space="preserve">Sep 1980 – Nov 1980</t>
        </is>
      </c>
      <c r="F371" s="3">
        <v>-0.07</v>
      </c>
      <c r="G371" s="4">
        <f>ROUND(F371,1)</f>
        <v>-0.1</v>
      </c>
      <c r="H371" s="2" t="str">
        <f>IF(G371&gt;=0.5,"warm",IF(G371&lt;=-0.5,"cold","neutral"))</f>
        <v>neutral</v>
      </c>
      <c r="I371" s="2">
        <f>IF(H371=H370,I370+1,1)</f>
        <v>5</v>
      </c>
      <c r="J371" s="2">
        <f>IF(H371=H372,J372+1,1)</f>
        <v>19</v>
      </c>
      <c r="K371" s="2">
        <f>I371+J371-1</f>
        <v>23</v>
      </c>
      <c r="L371" s="2" t="str">
        <f>IF(H371="neutral","—",IF(K371&gt;=5,IF(H371="warm","El Niño","La Niña"),IF(ROW()+J371-1=920,IF(H371="warm","El Niño (ongoing)","La Niña (ongoing)"),"—")))</f>
        <v>—</v>
      </c>
      <c r="M371" s="2" t="inlineStr">
        <is>
          <t xml:space="preserve">1980/81</t>
        </is>
      </c>
    </row>
    <row r="372">
      <c r="A372" s="2" t="inlineStr">
        <is>
          <t xml:space="preserve">1980-11</t>
        </is>
      </c>
      <c r="B372" s="2">
        <v>1980</v>
      </c>
      <c r="C372" s="2">
        <v>11</v>
      </c>
      <c r="D372" s="2" t="inlineStr">
        <is>
          <t xml:space="preserve">OND</t>
        </is>
      </c>
      <c r="E372" t="inlineStr">
        <is>
          <t xml:space="preserve">Oct 1980 – Dec 1980</t>
        </is>
      </c>
      <c r="F372" s="3">
        <v>0.08</v>
      </c>
      <c r="G372" s="4">
        <f>ROUND(F372,1)</f>
        <v>0.1</v>
      </c>
      <c r="H372" s="2" t="str">
        <f>IF(G372&gt;=0.5,"warm",IF(G372&lt;=-0.5,"cold","neutral"))</f>
        <v>neutral</v>
      </c>
      <c r="I372" s="2">
        <f>IF(H372=H371,I371+1,1)</f>
        <v>6</v>
      </c>
      <c r="J372" s="2">
        <f>IF(H372=H373,J373+1,1)</f>
        <v>18</v>
      </c>
      <c r="K372" s="2">
        <f>I372+J372-1</f>
        <v>23</v>
      </c>
      <c r="L372" s="2" t="str">
        <f>IF(H372="neutral","—",IF(K372&gt;=5,IF(H372="warm","El Niño","La Niña"),IF(ROW()+J372-1=920,IF(H372="warm","El Niño (ongoing)","La Niña (ongoing)"),"—")))</f>
        <v>—</v>
      </c>
      <c r="M372" s="2" t="inlineStr">
        <is>
          <t xml:space="preserve">1980/81</t>
        </is>
      </c>
    </row>
    <row r="373">
      <c r="A373" s="2" t="inlineStr">
        <is>
          <t xml:space="preserve">1980-12</t>
        </is>
      </c>
      <c r="B373" s="2">
        <v>1980</v>
      </c>
      <c r="C373" s="2">
        <v>12</v>
      </c>
      <c r="D373" s="2" t="inlineStr">
        <is>
          <t xml:space="preserve">NDJ</t>
        </is>
      </c>
      <c r="E373" t="inlineStr">
        <is>
          <t xml:space="preserve">Nov 1980 – Jan 1981</t>
        </is>
      </c>
      <c r="F373" s="3">
        <v>-0.05</v>
      </c>
      <c r="G373" s="4">
        <f>ROUND(F373,1)</f>
        <v>-0.1</v>
      </c>
      <c r="H373" s="2" t="str">
        <f>IF(G373&gt;=0.5,"warm",IF(G373&lt;=-0.5,"cold","neutral"))</f>
        <v>neutral</v>
      </c>
      <c r="I373" s="2">
        <f>IF(H373=H372,I372+1,1)</f>
        <v>7</v>
      </c>
      <c r="J373" s="2">
        <f>IF(H373=H374,J374+1,1)</f>
        <v>17</v>
      </c>
      <c r="K373" s="2">
        <f>I373+J373-1</f>
        <v>23</v>
      </c>
      <c r="L373" s="2" t="str">
        <f>IF(H373="neutral","—",IF(K373&gt;=5,IF(H373="warm","El Niño","La Niña"),IF(ROW()+J373-1=920,IF(H373="warm","El Niño (ongoing)","La Niña (ongoing)"),"—")))</f>
        <v>—</v>
      </c>
      <c r="M373" s="2" t="inlineStr">
        <is>
          <t xml:space="preserve">1980/81</t>
        </is>
      </c>
    </row>
    <row r="374">
      <c r="A374" s="2" t="inlineStr">
        <is>
          <t xml:space="preserve">1981-01</t>
        </is>
      </c>
      <c r="B374" s="2">
        <v>1981</v>
      </c>
      <c r="C374" s="2">
        <v>1</v>
      </c>
      <c r="D374" s="2" t="inlineStr">
        <is>
          <t xml:space="preserve">DJF</t>
        </is>
      </c>
      <c r="E374" t="inlineStr">
        <is>
          <t xml:space="preserve">Dec 1980 – Feb 1981</t>
        </is>
      </c>
      <c r="F374" s="3">
        <v>-0.27</v>
      </c>
      <c r="G374" s="4">
        <f>ROUND(F374,1)</f>
        <v>-0.3</v>
      </c>
      <c r="H374" s="2" t="str">
        <f>IF(G374&gt;=0.5,"warm",IF(G374&lt;=-0.5,"cold","neutral"))</f>
        <v>neutral</v>
      </c>
      <c r="I374" s="2">
        <f>IF(H374=H373,I373+1,1)</f>
        <v>8</v>
      </c>
      <c r="J374" s="2">
        <f>IF(H374=H375,J375+1,1)</f>
        <v>16</v>
      </c>
      <c r="K374" s="2">
        <f>I374+J374-1</f>
        <v>23</v>
      </c>
      <c r="L374" s="2" t="str">
        <f>IF(H374="neutral","—",IF(K374&gt;=5,IF(H374="warm","El Niño","La Niña"),IF(ROW()+J374-1=920,IF(H374="warm","El Niño (ongoing)","La Niña (ongoing)"),"—")))</f>
        <v>—</v>
      </c>
      <c r="M374" s="2" t="inlineStr">
        <is>
          <t xml:space="preserve">1980/81</t>
        </is>
      </c>
    </row>
    <row r="375">
      <c r="A375" s="2" t="inlineStr">
        <is>
          <t xml:space="preserve">1981-02</t>
        </is>
      </c>
      <c r="B375" s="2">
        <v>1981</v>
      </c>
      <c r="C375" s="2">
        <v>2</v>
      </c>
      <c r="D375" s="2" t="inlineStr">
        <is>
          <t xml:space="preserve">JFM</t>
        </is>
      </c>
      <c r="E375" t="inlineStr">
        <is>
          <t xml:space="preserve">Jan 1981 – Mar 1981</t>
        </is>
      </c>
      <c r="F375" s="3">
        <v>-0.42</v>
      </c>
      <c r="G375" s="4">
        <f>ROUND(F375,1)</f>
        <v>-0.4</v>
      </c>
      <c r="H375" s="2" t="str">
        <f>IF(G375&gt;=0.5,"warm",IF(G375&lt;=-0.5,"cold","neutral"))</f>
        <v>neutral</v>
      </c>
      <c r="I375" s="2">
        <f>IF(H375=H374,I374+1,1)</f>
        <v>9</v>
      </c>
      <c r="J375" s="2">
        <f>IF(H375=H376,J376+1,1)</f>
        <v>15</v>
      </c>
      <c r="K375" s="2">
        <f>I375+J375-1</f>
        <v>23</v>
      </c>
      <c r="L375" s="2" t="str">
        <f>IF(H375="neutral","—",IF(K375&gt;=5,IF(H375="warm","El Niño","La Niña"),IF(ROW()+J375-1=920,IF(H375="warm","El Niño (ongoing)","La Niña (ongoing)"),"—")))</f>
        <v>—</v>
      </c>
      <c r="M375" s="2" t="inlineStr">
        <is>
          <t xml:space="preserve">1980/81</t>
        </is>
      </c>
    </row>
    <row r="376">
      <c r="A376" s="2" t="inlineStr">
        <is>
          <t xml:space="preserve">1981-03</t>
        </is>
      </c>
      <c r="B376" s="2">
        <v>1981</v>
      </c>
      <c r="C376" s="2">
        <v>3</v>
      </c>
      <c r="D376" s="2" t="inlineStr">
        <is>
          <t xml:space="preserve">FMA</t>
        </is>
      </c>
      <c r="E376" t="inlineStr">
        <is>
          <t xml:space="preserve">Feb 1981 – Apr 1981</t>
        </is>
      </c>
      <c r="F376" s="3">
        <v>-0.41</v>
      </c>
      <c r="G376" s="4">
        <f>ROUND(F376,1)</f>
        <v>-0.4</v>
      </c>
      <c r="H376" s="2" t="str">
        <f>IF(G376&gt;=0.5,"warm",IF(G376&lt;=-0.5,"cold","neutral"))</f>
        <v>neutral</v>
      </c>
      <c r="I376" s="2">
        <f>IF(H376=H375,I375+1,1)</f>
        <v>10</v>
      </c>
      <c r="J376" s="2">
        <f>IF(H376=H377,J377+1,1)</f>
        <v>14</v>
      </c>
      <c r="K376" s="2">
        <f>I376+J376-1</f>
        <v>23</v>
      </c>
      <c r="L376" s="2" t="str">
        <f>IF(H376="neutral","—",IF(K376&gt;=5,IF(H376="warm","El Niño","La Niña"),IF(ROW()+J376-1=920,IF(H376="warm","El Niño (ongoing)","La Niña (ongoing)"),"—")))</f>
        <v>—</v>
      </c>
      <c r="M376" s="2" t="inlineStr">
        <is>
          <t xml:space="preserve">1980/81</t>
        </is>
      </c>
    </row>
    <row r="377">
      <c r="A377" s="2" t="inlineStr">
        <is>
          <t xml:space="preserve">1981-04</t>
        </is>
      </c>
      <c r="B377" s="2">
        <v>1981</v>
      </c>
      <c r="C377" s="2">
        <v>4</v>
      </c>
      <c r="D377" s="2" t="inlineStr">
        <is>
          <t xml:space="preserve">MAM</t>
        </is>
      </c>
      <c r="E377" t="inlineStr">
        <is>
          <t xml:space="preserve">Mar 1981 – May 1981</t>
        </is>
      </c>
      <c r="F377" s="3">
        <v>-0.27</v>
      </c>
      <c r="G377" s="4">
        <f>ROUND(F377,1)</f>
        <v>-0.3</v>
      </c>
      <c r="H377" s="2" t="str">
        <f>IF(G377&gt;=0.5,"warm",IF(G377&lt;=-0.5,"cold","neutral"))</f>
        <v>neutral</v>
      </c>
      <c r="I377" s="2">
        <f>IF(H377=H376,I376+1,1)</f>
        <v>11</v>
      </c>
      <c r="J377" s="2">
        <f>IF(H377=H378,J378+1,1)</f>
        <v>13</v>
      </c>
      <c r="K377" s="2">
        <f>I377+J377-1</f>
        <v>23</v>
      </c>
      <c r="L377" s="2" t="str">
        <f>IF(H377="neutral","—",IF(K377&gt;=5,IF(H377="warm","El Niño","La Niña"),IF(ROW()+J377-1=920,IF(H377="warm","El Niño (ongoing)","La Niña (ongoing)"),"—")))</f>
        <v>—</v>
      </c>
      <c r="M377" s="2" t="inlineStr">
        <is>
          <t xml:space="preserve">1980/81</t>
        </is>
      </c>
    </row>
    <row r="378">
      <c r="A378" s="2" t="inlineStr">
        <is>
          <t xml:space="preserve">1981-05</t>
        </is>
      </c>
      <c r="B378" s="2">
        <v>1981</v>
      </c>
      <c r="C378" s="2">
        <v>5</v>
      </c>
      <c r="D378" s="2" t="inlineStr">
        <is>
          <t xml:space="preserve">AMJ</t>
        </is>
      </c>
      <c r="E378" t="inlineStr">
        <is>
          <t xml:space="preserve">Apr 1981 – Jun 1981</t>
        </is>
      </c>
      <c r="F378" s="3">
        <v>-0.28</v>
      </c>
      <c r="G378" s="4">
        <f>ROUND(F378,1)</f>
        <v>-0.3</v>
      </c>
      <c r="H378" s="2" t="str">
        <f>IF(G378&gt;=0.5,"warm",IF(G378&lt;=-0.5,"cold","neutral"))</f>
        <v>neutral</v>
      </c>
      <c r="I378" s="2">
        <f>IF(H378=H377,I377+1,1)</f>
        <v>12</v>
      </c>
      <c r="J378" s="2">
        <f>IF(H378=H379,J379+1,1)</f>
        <v>12</v>
      </c>
      <c r="K378" s="2">
        <f>I378+J378-1</f>
        <v>23</v>
      </c>
      <c r="L378" s="2" t="str">
        <f>IF(H378="neutral","—",IF(K378&gt;=5,IF(H378="warm","El Niño","La Niña"),IF(ROW()+J378-1=920,IF(H378="warm","El Niño (ongoing)","La Niña (ongoing)"),"—")))</f>
        <v>—</v>
      </c>
      <c r="M378" s="2" t="inlineStr">
        <is>
          <t xml:space="preserve">1980/81</t>
        </is>
      </c>
    </row>
    <row r="379">
      <c r="A379" s="2" t="inlineStr">
        <is>
          <t xml:space="preserve">1981-06</t>
        </is>
      </c>
      <c r="B379" s="2">
        <v>1981</v>
      </c>
      <c r="C379" s="2">
        <v>6</v>
      </c>
      <c r="D379" s="2" t="inlineStr">
        <is>
          <t xml:space="preserve">MJJ</t>
        </is>
      </c>
      <c r="E379" t="inlineStr">
        <is>
          <t xml:space="preserve">May 1981 – Jul 1981</t>
        </is>
      </c>
      <c r="F379" s="3">
        <v>-0.27</v>
      </c>
      <c r="G379" s="4">
        <f>ROUND(F379,1)</f>
        <v>-0.3</v>
      </c>
      <c r="H379" s="2" t="str">
        <f>IF(G379&gt;=0.5,"warm",IF(G379&lt;=-0.5,"cold","neutral"))</f>
        <v>neutral</v>
      </c>
      <c r="I379" s="2">
        <f>IF(H379=H378,I378+1,1)</f>
        <v>13</v>
      </c>
      <c r="J379" s="2">
        <f>IF(H379=H380,J380+1,1)</f>
        <v>11</v>
      </c>
      <c r="K379" s="2">
        <f>I379+J379-1</f>
        <v>23</v>
      </c>
      <c r="L379" s="2" t="str">
        <f>IF(H379="neutral","—",IF(K379&gt;=5,IF(H379="warm","El Niño","La Niña"),IF(ROW()+J379-1=920,IF(H379="warm","El Niño (ongoing)","La Niña (ongoing)"),"—")))</f>
        <v>—</v>
      </c>
      <c r="M379" s="2" t="inlineStr">
        <is>
          <t xml:space="preserve">1980/81</t>
        </is>
      </c>
    </row>
    <row r="380">
      <c r="A380" s="2" t="inlineStr">
        <is>
          <t xml:space="preserve">1981-07</t>
        </is>
      </c>
      <c r="B380" s="2">
        <v>1981</v>
      </c>
      <c r="C380" s="2">
        <v>7</v>
      </c>
      <c r="D380" s="2" t="inlineStr">
        <is>
          <t xml:space="preserve">JJA</t>
        </is>
      </c>
      <c r="E380" t="inlineStr">
        <is>
          <t xml:space="preserve">Jun 1981 – Aug 1981</t>
        </is>
      </c>
      <c r="F380" s="3">
        <v>-0.28</v>
      </c>
      <c r="G380" s="4">
        <f>ROUND(F380,1)</f>
        <v>-0.3</v>
      </c>
      <c r="H380" s="2" t="str">
        <f>IF(G380&gt;=0.5,"warm",IF(G380&lt;=-0.5,"cold","neutral"))</f>
        <v>neutral</v>
      </c>
      <c r="I380" s="2">
        <f>IF(H380=H379,I379+1,1)</f>
        <v>14</v>
      </c>
      <c r="J380" s="2">
        <f>IF(H380=H381,J381+1,1)</f>
        <v>10</v>
      </c>
      <c r="K380" s="2">
        <f>I380+J380-1</f>
        <v>23</v>
      </c>
      <c r="L380" s="2" t="str">
        <f>IF(H380="neutral","—",IF(K380&gt;=5,IF(H380="warm","El Niño","La Niña"),IF(ROW()+J380-1=920,IF(H380="warm","El Niño (ongoing)","La Niña (ongoing)"),"—")))</f>
        <v>—</v>
      </c>
      <c r="M380" s="2" t="inlineStr">
        <is>
          <t xml:space="preserve">1981/82</t>
        </is>
      </c>
    </row>
    <row r="381">
      <c r="A381" s="2" t="inlineStr">
        <is>
          <t xml:space="preserve">1981-08</t>
        </is>
      </c>
      <c r="B381" s="2">
        <v>1981</v>
      </c>
      <c r="C381" s="2">
        <v>8</v>
      </c>
      <c r="D381" s="2" t="inlineStr">
        <is>
          <t xml:space="preserve">JAS</t>
        </is>
      </c>
      <c r="E381" t="inlineStr">
        <is>
          <t xml:space="preserve">Jul 1981 – Sep 1981</t>
        </is>
      </c>
      <c r="F381" s="3">
        <v>-0.23</v>
      </c>
      <c r="G381" s="4">
        <f>ROUND(F381,1)</f>
        <v>-0.2</v>
      </c>
      <c r="H381" s="2" t="str">
        <f>IF(G381&gt;=0.5,"warm",IF(G381&lt;=-0.5,"cold","neutral"))</f>
        <v>neutral</v>
      </c>
      <c r="I381" s="2">
        <f>IF(H381=H380,I380+1,1)</f>
        <v>15</v>
      </c>
      <c r="J381" s="2">
        <f>IF(H381=H382,J382+1,1)</f>
        <v>9</v>
      </c>
      <c r="K381" s="2">
        <f>I381+J381-1</f>
        <v>23</v>
      </c>
      <c r="L381" s="2" t="str">
        <f>IF(H381="neutral","—",IF(K381&gt;=5,IF(H381="warm","El Niño","La Niña"),IF(ROW()+J381-1=920,IF(H381="warm","El Niño (ongoing)","La Niña (ongoing)"),"—")))</f>
        <v>—</v>
      </c>
      <c r="M381" s="2" t="inlineStr">
        <is>
          <t xml:space="preserve">1981/82</t>
        </is>
      </c>
    </row>
    <row r="382">
      <c r="A382" s="2" t="inlineStr">
        <is>
          <t xml:space="preserve">1981-09</t>
        </is>
      </c>
      <c r="B382" s="2">
        <v>1981</v>
      </c>
      <c r="C382" s="2">
        <v>9</v>
      </c>
      <c r="D382" s="2" t="inlineStr">
        <is>
          <t xml:space="preserve">ASO</t>
        </is>
      </c>
      <c r="E382" t="inlineStr">
        <is>
          <t xml:space="preserve">Aug 1981 – Oct 1981</t>
        </is>
      </c>
      <c r="F382" s="3">
        <v>-0.08</v>
      </c>
      <c r="G382" s="4">
        <f>ROUND(F382,1)</f>
        <v>-0.1</v>
      </c>
      <c r="H382" s="2" t="str">
        <f>IF(G382&gt;=0.5,"warm",IF(G382&lt;=-0.5,"cold","neutral"))</f>
        <v>neutral</v>
      </c>
      <c r="I382" s="2">
        <f>IF(H382=H381,I381+1,1)</f>
        <v>16</v>
      </c>
      <c r="J382" s="2">
        <f>IF(H382=H383,J383+1,1)</f>
        <v>8</v>
      </c>
      <c r="K382" s="2">
        <f>I382+J382-1</f>
        <v>23</v>
      </c>
      <c r="L382" s="2" t="str">
        <f>IF(H382="neutral","—",IF(K382&gt;=5,IF(H382="warm","El Niño","La Niña"),IF(ROW()+J382-1=920,IF(H382="warm","El Niño (ongoing)","La Niña (ongoing)"),"—")))</f>
        <v>—</v>
      </c>
      <c r="M382" s="2" t="inlineStr">
        <is>
          <t xml:space="preserve">1981/82</t>
        </is>
      </c>
    </row>
    <row r="383">
      <c r="A383" s="2" t="inlineStr">
        <is>
          <t xml:space="preserve">1981-10</t>
        </is>
      </c>
      <c r="B383" s="2">
        <v>1981</v>
      </c>
      <c r="C383" s="2">
        <v>10</v>
      </c>
      <c r="D383" s="2" t="inlineStr">
        <is>
          <t xml:space="preserve">SON</t>
        </is>
      </c>
      <c r="E383" t="inlineStr">
        <is>
          <t xml:space="preserve">Sep 1981 – Nov 1981</t>
        </is>
      </c>
      <c r="F383" s="3">
        <v>-0.16</v>
      </c>
      <c r="G383" s="4">
        <f>ROUND(F383,1)</f>
        <v>-0.2</v>
      </c>
      <c r="H383" s="2" t="str">
        <f>IF(G383&gt;=0.5,"warm",IF(G383&lt;=-0.5,"cold","neutral"))</f>
        <v>neutral</v>
      </c>
      <c r="I383" s="2">
        <f>IF(H383=H382,I382+1,1)</f>
        <v>17</v>
      </c>
      <c r="J383" s="2">
        <f>IF(H383=H384,J384+1,1)</f>
        <v>7</v>
      </c>
      <c r="K383" s="2">
        <f>I383+J383-1</f>
        <v>23</v>
      </c>
      <c r="L383" s="2" t="str">
        <f>IF(H383="neutral","—",IF(K383&gt;=5,IF(H383="warm","El Niño","La Niña"),IF(ROW()+J383-1=920,IF(H383="warm","El Niño (ongoing)","La Niña (ongoing)"),"—")))</f>
        <v>—</v>
      </c>
      <c r="M383" s="2" t="inlineStr">
        <is>
          <t xml:space="preserve">1981/82</t>
        </is>
      </c>
    </row>
    <row r="384">
      <c r="A384" s="2" t="inlineStr">
        <is>
          <t xml:space="preserve">1981-11</t>
        </is>
      </c>
      <c r="B384" s="2">
        <v>1981</v>
      </c>
      <c r="C384" s="2">
        <v>11</v>
      </c>
      <c r="D384" s="2" t="inlineStr">
        <is>
          <t xml:space="preserve">OND</t>
        </is>
      </c>
      <c r="E384" t="inlineStr">
        <is>
          <t xml:space="preserve">Oct 1981 – Dec 1981</t>
        </is>
      </c>
      <c r="F384" s="3">
        <v>-0.19</v>
      </c>
      <c r="G384" s="4">
        <f>ROUND(F384,1)</f>
        <v>-0.2</v>
      </c>
      <c r="H384" s="2" t="str">
        <f>IF(G384&gt;=0.5,"warm",IF(G384&lt;=-0.5,"cold","neutral"))</f>
        <v>neutral</v>
      </c>
      <c r="I384" s="2">
        <f>IF(H384=H383,I383+1,1)</f>
        <v>18</v>
      </c>
      <c r="J384" s="2">
        <f>IF(H384=H385,J385+1,1)</f>
        <v>6</v>
      </c>
      <c r="K384" s="2">
        <f>I384+J384-1</f>
        <v>23</v>
      </c>
      <c r="L384" s="2" t="str">
        <f>IF(H384="neutral","—",IF(K384&gt;=5,IF(H384="warm","El Niño","La Niña"),IF(ROW()+J384-1=920,IF(H384="warm","El Niño (ongoing)","La Niña (ongoing)"),"—")))</f>
        <v>—</v>
      </c>
      <c r="M384" s="2" t="inlineStr">
        <is>
          <t xml:space="preserve">1981/82</t>
        </is>
      </c>
    </row>
    <row r="385">
      <c r="A385" s="2" t="inlineStr">
        <is>
          <t xml:space="preserve">1981-12</t>
        </is>
      </c>
      <c r="B385" s="2">
        <v>1981</v>
      </c>
      <c r="C385" s="2">
        <v>12</v>
      </c>
      <c r="D385" s="2" t="inlineStr">
        <is>
          <t xml:space="preserve">NDJ</t>
        </is>
      </c>
      <c r="E385" t="inlineStr">
        <is>
          <t xml:space="preserve">Nov 1981 – Jan 1982</t>
        </is>
      </c>
      <c r="F385" s="3">
        <v>-0.14</v>
      </c>
      <c r="G385" s="4">
        <f>ROUND(F385,1)</f>
        <v>-0.1</v>
      </c>
      <c r="H385" s="2" t="str">
        <f>IF(G385&gt;=0.5,"warm",IF(G385&lt;=-0.5,"cold","neutral"))</f>
        <v>neutral</v>
      </c>
      <c r="I385" s="2">
        <f>IF(H385=H384,I384+1,1)</f>
        <v>19</v>
      </c>
      <c r="J385" s="2">
        <f>IF(H385=H386,J386+1,1)</f>
        <v>5</v>
      </c>
      <c r="K385" s="2">
        <f>I385+J385-1</f>
        <v>23</v>
      </c>
      <c r="L385" s="2" t="str">
        <f>IF(H385="neutral","—",IF(K385&gt;=5,IF(H385="warm","El Niño","La Niña"),IF(ROW()+J385-1=920,IF(H385="warm","El Niño (ongoing)","La Niña (ongoing)"),"—")))</f>
        <v>—</v>
      </c>
      <c r="M385" s="2" t="inlineStr">
        <is>
          <t xml:space="preserve">1981/82</t>
        </is>
      </c>
    </row>
    <row r="386">
      <c r="A386" s="2" t="inlineStr">
        <is>
          <t xml:space="preserve">1982-01</t>
        </is>
      </c>
      <c r="B386" s="2">
        <v>1982</v>
      </c>
      <c r="C386" s="2">
        <v>1</v>
      </c>
      <c r="D386" s="2" t="inlineStr">
        <is>
          <t xml:space="preserve">DJF</t>
        </is>
      </c>
      <c r="E386" t="inlineStr">
        <is>
          <t xml:space="preserve">Dec 1981 – Feb 1982</t>
        </is>
      </c>
      <c r="F386" s="3">
        <v>-0.05</v>
      </c>
      <c r="G386" s="4">
        <f>ROUND(F386,1)</f>
        <v>-0.1</v>
      </c>
      <c r="H386" s="2" t="str">
        <f>IF(G386&gt;=0.5,"warm",IF(G386&lt;=-0.5,"cold","neutral"))</f>
        <v>neutral</v>
      </c>
      <c r="I386" s="2">
        <f>IF(H386=H385,I385+1,1)</f>
        <v>20</v>
      </c>
      <c r="J386" s="2">
        <f>IF(H386=H387,J387+1,1)</f>
        <v>4</v>
      </c>
      <c r="K386" s="2">
        <f>I386+J386-1</f>
        <v>23</v>
      </c>
      <c r="L386" s="2" t="str">
        <f>IF(H386="neutral","—",IF(K386&gt;=5,IF(H386="warm","El Niño","La Niña"),IF(ROW()+J386-1=920,IF(H386="warm","El Niño (ongoing)","La Niña (ongoing)"),"—")))</f>
        <v>—</v>
      </c>
      <c r="M386" s="2" t="inlineStr">
        <is>
          <t xml:space="preserve">1981/82</t>
        </is>
      </c>
    </row>
    <row r="387">
      <c r="A387" s="2" t="inlineStr">
        <is>
          <t xml:space="preserve">1982-02</t>
        </is>
      </c>
      <c r="B387" s="2">
        <v>1982</v>
      </c>
      <c r="C387" s="2">
        <v>2</v>
      </c>
      <c r="D387" s="2" t="inlineStr">
        <is>
          <t xml:space="preserve">JFM</t>
        </is>
      </c>
      <c r="E387" t="inlineStr">
        <is>
          <t xml:space="preserve">Jan 1982 – Mar 1982</t>
        </is>
      </c>
      <c r="F387" s="3">
        <v>0.02</v>
      </c>
      <c r="G387" s="4">
        <f>ROUND(F387,1)</f>
        <v>0.0</v>
      </c>
      <c r="H387" s="2" t="str">
        <f>IF(G387&gt;=0.5,"warm",IF(G387&lt;=-0.5,"cold","neutral"))</f>
        <v>neutral</v>
      </c>
      <c r="I387" s="2">
        <f>IF(H387=H386,I386+1,1)</f>
        <v>21</v>
      </c>
      <c r="J387" s="2">
        <f>IF(H387=H388,J388+1,1)</f>
        <v>3</v>
      </c>
      <c r="K387" s="2">
        <f>I387+J387-1</f>
        <v>23</v>
      </c>
      <c r="L387" s="2" t="str">
        <f>IF(H387="neutral","—",IF(K387&gt;=5,IF(H387="warm","El Niño","La Niña"),IF(ROW()+J387-1=920,IF(H387="warm","El Niño (ongoing)","La Niña (ongoing)"),"—")))</f>
        <v>—</v>
      </c>
      <c r="M387" s="2" t="inlineStr">
        <is>
          <t xml:space="preserve">1981/82</t>
        </is>
      </c>
    </row>
    <row r="388">
      <c r="A388" s="2" t="inlineStr">
        <is>
          <t xml:space="preserve">1982-03</t>
        </is>
      </c>
      <c r="B388" s="2">
        <v>1982</v>
      </c>
      <c r="C388" s="2">
        <v>3</v>
      </c>
      <c r="D388" s="2" t="inlineStr">
        <is>
          <t xml:space="preserve">FMA</t>
        </is>
      </c>
      <c r="E388" t="inlineStr">
        <is>
          <t xml:space="preserve">Feb 1982 – Apr 1982</t>
        </is>
      </c>
      <c r="F388" s="3">
        <v>0.07</v>
      </c>
      <c r="G388" s="4">
        <f>ROUND(F388,1)</f>
        <v>0.1</v>
      </c>
      <c r="H388" s="2" t="str">
        <f>IF(G388&gt;=0.5,"warm",IF(G388&lt;=-0.5,"cold","neutral"))</f>
        <v>neutral</v>
      </c>
      <c r="I388" s="2">
        <f>IF(H388=H387,I387+1,1)</f>
        <v>22</v>
      </c>
      <c r="J388" s="2">
        <f>IF(H388=H389,J389+1,1)</f>
        <v>2</v>
      </c>
      <c r="K388" s="2">
        <f>I388+J388-1</f>
        <v>23</v>
      </c>
      <c r="L388" s="2" t="str">
        <f>IF(H388="neutral","—",IF(K388&gt;=5,IF(H388="warm","El Niño","La Niña"),IF(ROW()+J388-1=920,IF(H388="warm","El Niño (ongoing)","La Niña (ongoing)"),"—")))</f>
        <v>—</v>
      </c>
      <c r="M388" s="2" t="inlineStr">
        <is>
          <t xml:space="preserve">1981/82</t>
        </is>
      </c>
    </row>
    <row r="389">
      <c r="A389" s="2" t="inlineStr">
        <is>
          <t xml:space="preserve">1982-04</t>
        </is>
      </c>
      <c r="B389" s="2">
        <v>1982</v>
      </c>
      <c r="C389" s="2">
        <v>4</v>
      </c>
      <c r="D389" s="2" t="inlineStr">
        <is>
          <t xml:space="preserve">MAM</t>
        </is>
      </c>
      <c r="E389" t="inlineStr">
        <is>
          <t xml:space="preserve">Mar 1982 – May 1982</t>
        </is>
      </c>
      <c r="F389" s="3">
        <v>0.34</v>
      </c>
      <c r="G389" s="4">
        <f>ROUND(F389,1)</f>
        <v>0.3</v>
      </c>
      <c r="H389" s="2" t="str">
        <f>IF(G389&gt;=0.5,"warm",IF(G389&lt;=-0.5,"cold","neutral"))</f>
        <v>neutral</v>
      </c>
      <c r="I389" s="2">
        <f>IF(H389=H388,I388+1,1)</f>
        <v>23</v>
      </c>
      <c r="J389" s="2">
        <f>IF(H389=H390,J390+1,1)</f>
        <v>1</v>
      </c>
      <c r="K389" s="2">
        <f>I389+J389-1</f>
        <v>23</v>
      </c>
      <c r="L389" s="2" t="str">
        <f>IF(H389="neutral","—",IF(K389&gt;=5,IF(H389="warm","El Niño","La Niña"),IF(ROW()+J389-1=920,IF(H389="warm","El Niño (ongoing)","La Niña (ongoing)"),"—")))</f>
        <v>—</v>
      </c>
      <c r="M389" s="2" t="inlineStr">
        <is>
          <t xml:space="preserve">1981/82</t>
        </is>
      </c>
    </row>
    <row r="390">
      <c r="A390" s="2" t="inlineStr">
        <is>
          <t xml:space="preserve">1982-05</t>
        </is>
      </c>
      <c r="B390" s="2">
        <v>1982</v>
      </c>
      <c r="C390" s="2">
        <v>5</v>
      </c>
      <c r="D390" s="2" t="inlineStr">
        <is>
          <t xml:space="preserve">AMJ</t>
        </is>
      </c>
      <c r="E390" t="inlineStr">
        <is>
          <t xml:space="preserve">Apr 1982 – Jun 1982</t>
        </is>
      </c>
      <c r="F390" s="3">
        <v>0.65</v>
      </c>
      <c r="G390" s="4">
        <f>ROUND(F390,1)</f>
        <v>0.7</v>
      </c>
      <c r="H390" s="2" t="str">
        <f>IF(G390&gt;=0.5,"warm",IF(G390&lt;=-0.5,"cold","neutral"))</f>
        <v>warm</v>
      </c>
      <c r="I390" s="2">
        <f>IF(H390=H389,I389+1,1)</f>
        <v>1</v>
      </c>
      <c r="J390" s="2">
        <f>IF(H390=H391,J391+1,1)</f>
        <v>14</v>
      </c>
      <c r="K390" s="2">
        <f>I390+J390-1</f>
        <v>14</v>
      </c>
      <c r="L390" s="6" t="str">
        <f>IF(H390="neutral","—",IF(K390&gt;=5,IF(H390="warm","El Niño","La Niña"),IF(ROW()+J390-1=920,IF(H390="warm","El Niño (ongoing)","La Niña (ongoing)"),"—")))</f>
        <v>El Niño</v>
      </c>
      <c r="M390" s="2" t="inlineStr">
        <is>
          <t xml:space="preserve">1981/82</t>
        </is>
      </c>
    </row>
    <row r="391">
      <c r="A391" s="2" t="inlineStr">
        <is>
          <t xml:space="preserve">1982-06</t>
        </is>
      </c>
      <c r="B391" s="2">
        <v>1982</v>
      </c>
      <c r="C391" s="2">
        <v>6</v>
      </c>
      <c r="D391" s="2" t="inlineStr">
        <is>
          <t xml:space="preserve">MJJ</t>
        </is>
      </c>
      <c r="E391" t="inlineStr">
        <is>
          <t xml:space="preserve">May 1982 – Jul 1982</t>
        </is>
      </c>
      <c r="F391" s="3">
        <v>0.73</v>
      </c>
      <c r="G391" s="4">
        <f>ROUND(F391,1)</f>
        <v>0.7</v>
      </c>
      <c r="H391" s="2" t="str">
        <f>IF(G391&gt;=0.5,"warm",IF(G391&lt;=-0.5,"cold","neutral"))</f>
        <v>warm</v>
      </c>
      <c r="I391" s="2">
        <f>IF(H391=H390,I390+1,1)</f>
        <v>2</v>
      </c>
      <c r="J391" s="2">
        <f>IF(H391=H392,J392+1,1)</f>
        <v>13</v>
      </c>
      <c r="K391" s="2">
        <f>I391+J391-1</f>
        <v>14</v>
      </c>
      <c r="L391" s="6" t="str">
        <f>IF(H391="neutral","—",IF(K391&gt;=5,IF(H391="warm","El Niño","La Niña"),IF(ROW()+J391-1=920,IF(H391="warm","El Niño (ongoing)","La Niña (ongoing)"),"—")))</f>
        <v>El Niño</v>
      </c>
      <c r="M391" s="2" t="inlineStr">
        <is>
          <t xml:space="preserve">1981/82</t>
        </is>
      </c>
    </row>
    <row r="392">
      <c r="A392" s="2" t="inlineStr">
        <is>
          <t xml:space="preserve">1982-07</t>
        </is>
      </c>
      <c r="B392" s="2">
        <v>1982</v>
      </c>
      <c r="C392" s="2">
        <v>7</v>
      </c>
      <c r="D392" s="2" t="inlineStr">
        <is>
          <t xml:space="preserve">JJA</t>
        </is>
      </c>
      <c r="E392" t="inlineStr">
        <is>
          <t xml:space="preserve">Jun 1982 – Aug 1982</t>
        </is>
      </c>
      <c r="F392" s="3">
        <v>0.78</v>
      </c>
      <c r="G392" s="4">
        <f>ROUND(F392,1)</f>
        <v>0.8</v>
      </c>
      <c r="H392" s="2" t="str">
        <f>IF(G392&gt;=0.5,"warm",IF(G392&lt;=-0.5,"cold","neutral"))</f>
        <v>warm</v>
      </c>
      <c r="I392" s="2">
        <f>IF(H392=H391,I391+1,1)</f>
        <v>3</v>
      </c>
      <c r="J392" s="2">
        <f>IF(H392=H393,J393+1,1)</f>
        <v>12</v>
      </c>
      <c r="K392" s="2">
        <f>I392+J392-1</f>
        <v>14</v>
      </c>
      <c r="L392" s="6" t="str">
        <f>IF(H392="neutral","—",IF(K392&gt;=5,IF(H392="warm","El Niño","La Niña"),IF(ROW()+J392-1=920,IF(H392="warm","El Niño (ongoing)","La Niña (ongoing)"),"—")))</f>
        <v>El Niño</v>
      </c>
      <c r="M392" s="2" t="inlineStr">
        <is>
          <t xml:space="preserve">1982/83</t>
        </is>
      </c>
    </row>
    <row r="393">
      <c r="A393" s="2" t="inlineStr">
        <is>
          <t xml:space="preserve">1982-08</t>
        </is>
      </c>
      <c r="B393" s="2">
        <v>1982</v>
      </c>
      <c r="C393" s="2">
        <v>8</v>
      </c>
      <c r="D393" s="2" t="inlineStr">
        <is>
          <t xml:space="preserve">JAS</t>
        </is>
      </c>
      <c r="E393" t="inlineStr">
        <is>
          <t xml:space="preserve">Jul 1982 – Sep 1982</t>
        </is>
      </c>
      <c r="F393" s="3">
        <v>0.99</v>
      </c>
      <c r="G393" s="4">
        <f>ROUND(F393,1)</f>
        <v>1.0</v>
      </c>
      <c r="H393" s="2" t="str">
        <f>IF(G393&gt;=0.5,"warm",IF(G393&lt;=-0.5,"cold","neutral"))</f>
        <v>warm</v>
      </c>
      <c r="I393" s="2">
        <f>IF(H393=H392,I392+1,1)</f>
        <v>4</v>
      </c>
      <c r="J393" s="2">
        <f>IF(H393=H394,J394+1,1)</f>
        <v>11</v>
      </c>
      <c r="K393" s="2">
        <f>I393+J393-1</f>
        <v>14</v>
      </c>
      <c r="L393" s="6" t="str">
        <f>IF(H393="neutral","—",IF(K393&gt;=5,IF(H393="warm","El Niño","La Niña"),IF(ROW()+J393-1=920,IF(H393="warm","El Niño (ongoing)","La Niña (ongoing)"),"—")))</f>
        <v>El Niño</v>
      </c>
      <c r="M393" s="2" t="inlineStr">
        <is>
          <t xml:space="preserve">1982/83</t>
        </is>
      </c>
    </row>
    <row r="394">
      <c r="A394" s="2" t="inlineStr">
        <is>
          <t xml:space="preserve">1982-09</t>
        </is>
      </c>
      <c r="B394" s="2">
        <v>1982</v>
      </c>
      <c r="C394" s="2">
        <v>9</v>
      </c>
      <c r="D394" s="2" t="inlineStr">
        <is>
          <t xml:space="preserve">ASO</t>
        </is>
      </c>
      <c r="E394" t="inlineStr">
        <is>
          <t xml:space="preserve">Aug 1982 – Oct 1982</t>
        </is>
      </c>
      <c r="F394" s="3">
        <v>1.45</v>
      </c>
      <c r="G394" s="4">
        <f>ROUND(F394,1)</f>
        <v>1.5</v>
      </c>
      <c r="H394" s="2" t="str">
        <f>IF(G394&gt;=0.5,"warm",IF(G394&lt;=-0.5,"cold","neutral"))</f>
        <v>warm</v>
      </c>
      <c r="I394" s="2">
        <f>IF(H394=H393,I393+1,1)</f>
        <v>5</v>
      </c>
      <c r="J394" s="2">
        <f>IF(H394=H395,J395+1,1)</f>
        <v>10</v>
      </c>
      <c r="K394" s="2">
        <f>I394+J394-1</f>
        <v>14</v>
      </c>
      <c r="L394" s="6" t="str">
        <f>IF(H394="neutral","—",IF(K394&gt;=5,IF(H394="warm","El Niño","La Niña"),IF(ROW()+J394-1=920,IF(H394="warm","El Niño (ongoing)","La Niña (ongoing)"),"—")))</f>
        <v>El Niño</v>
      </c>
      <c r="M394" s="2" t="inlineStr">
        <is>
          <t xml:space="preserve">1982/83</t>
        </is>
      </c>
    </row>
    <row r="395">
      <c r="A395" s="2" t="inlineStr">
        <is>
          <t xml:space="preserve">1982-10</t>
        </is>
      </c>
      <c r="B395" s="2">
        <v>1982</v>
      </c>
      <c r="C395" s="2">
        <v>10</v>
      </c>
      <c r="D395" s="2" t="inlineStr">
        <is>
          <t xml:space="preserve">SON</t>
        </is>
      </c>
      <c r="E395" t="inlineStr">
        <is>
          <t xml:space="preserve">Sep 1982 – Nov 1982</t>
        </is>
      </c>
      <c r="F395" s="3">
        <v>1.82</v>
      </c>
      <c r="G395" s="4">
        <f>ROUND(F395,1)</f>
        <v>1.8</v>
      </c>
      <c r="H395" s="2" t="str">
        <f>IF(G395&gt;=0.5,"warm",IF(G395&lt;=-0.5,"cold","neutral"))</f>
        <v>warm</v>
      </c>
      <c r="I395" s="2">
        <f>IF(H395=H394,I394+1,1)</f>
        <v>6</v>
      </c>
      <c r="J395" s="2">
        <f>IF(H395=H396,J396+1,1)</f>
        <v>9</v>
      </c>
      <c r="K395" s="2">
        <f>I395+J395-1</f>
        <v>14</v>
      </c>
      <c r="L395" s="6" t="str">
        <f>IF(H395="neutral","—",IF(K395&gt;=5,IF(H395="warm","El Niño","La Niña"),IF(ROW()+J395-1=920,IF(H395="warm","El Niño (ongoing)","La Niña (ongoing)"),"—")))</f>
        <v>El Niño</v>
      </c>
      <c r="M395" s="2" t="inlineStr">
        <is>
          <t xml:space="preserve">1982/83</t>
        </is>
      </c>
    </row>
    <row r="396">
      <c r="A396" s="2" t="inlineStr">
        <is>
          <t xml:space="preserve">1982-11</t>
        </is>
      </c>
      <c r="B396" s="2">
        <v>1982</v>
      </c>
      <c r="C396" s="2">
        <v>11</v>
      </c>
      <c r="D396" s="2" t="inlineStr">
        <is>
          <t xml:space="preserve">OND</t>
        </is>
      </c>
      <c r="E396" t="inlineStr">
        <is>
          <t xml:space="preserve">Oct 1982 – Dec 1982</t>
        </is>
      </c>
      <c r="F396" s="3">
        <v>2.03</v>
      </c>
      <c r="G396" s="4">
        <f>ROUND(F396,1)</f>
        <v>2.0</v>
      </c>
      <c r="H396" s="2" t="str">
        <f>IF(G396&gt;=0.5,"warm",IF(G396&lt;=-0.5,"cold","neutral"))</f>
        <v>warm</v>
      </c>
      <c r="I396" s="2">
        <f>IF(H396=H395,I395+1,1)</f>
        <v>7</v>
      </c>
      <c r="J396" s="2">
        <f>IF(H396=H397,J397+1,1)</f>
        <v>8</v>
      </c>
      <c r="K396" s="2">
        <f>I396+J396-1</f>
        <v>14</v>
      </c>
      <c r="L396" s="6" t="str">
        <f>IF(H396="neutral","—",IF(K396&gt;=5,IF(H396="warm","El Niño","La Niña"),IF(ROW()+J396-1=920,IF(H396="warm","El Niño (ongoing)","La Niña (ongoing)"),"—")))</f>
        <v>El Niño</v>
      </c>
      <c r="M396" s="2" t="inlineStr">
        <is>
          <t xml:space="preserve">1982/83</t>
        </is>
      </c>
    </row>
    <row r="397">
      <c r="A397" s="2" t="inlineStr">
        <is>
          <t xml:space="preserve">1982-12</t>
        </is>
      </c>
      <c r="B397" s="2">
        <v>1982</v>
      </c>
      <c r="C397" s="2">
        <v>12</v>
      </c>
      <c r="D397" s="2" t="inlineStr">
        <is>
          <t xml:space="preserve">NDJ</t>
        </is>
      </c>
      <c r="E397" t="inlineStr">
        <is>
          <t xml:space="preserve">Nov 1982 – Jan 1983</t>
        </is>
      </c>
      <c r="F397" s="3">
        <v>2.12</v>
      </c>
      <c r="G397" s="4">
        <f>ROUND(F397,1)</f>
        <v>2.1</v>
      </c>
      <c r="H397" s="2" t="str">
        <f>IF(G397&gt;=0.5,"warm",IF(G397&lt;=-0.5,"cold","neutral"))</f>
        <v>warm</v>
      </c>
      <c r="I397" s="2">
        <f>IF(H397=H396,I396+1,1)</f>
        <v>8</v>
      </c>
      <c r="J397" s="2">
        <f>IF(H397=H398,J398+1,1)</f>
        <v>7</v>
      </c>
      <c r="K397" s="2">
        <f>I397+J397-1</f>
        <v>14</v>
      </c>
      <c r="L397" s="6" t="str">
        <f>IF(H397="neutral","—",IF(K397&gt;=5,IF(H397="warm","El Niño","La Niña"),IF(ROW()+J397-1=920,IF(H397="warm","El Niño (ongoing)","La Niña (ongoing)"),"—")))</f>
        <v>El Niño</v>
      </c>
      <c r="M397" s="2" t="inlineStr">
        <is>
          <t xml:space="preserve">1982/83</t>
        </is>
      </c>
    </row>
    <row r="398">
      <c r="A398" s="2" t="inlineStr">
        <is>
          <t xml:space="preserve">1983-01</t>
        </is>
      </c>
      <c r="B398" s="2">
        <v>1983</v>
      </c>
      <c r="C398" s="2">
        <v>1</v>
      </c>
      <c r="D398" s="2" t="inlineStr">
        <is>
          <t xml:space="preserve">DJF</t>
        </is>
      </c>
      <c r="E398" t="inlineStr">
        <is>
          <t xml:space="preserve">Dec 1982 – Feb 1983</t>
        </is>
      </c>
      <c r="F398" s="3">
        <v>2.14</v>
      </c>
      <c r="G398" s="4">
        <f>ROUND(F398,1)</f>
        <v>2.1</v>
      </c>
      <c r="H398" s="2" t="str">
        <f>IF(G398&gt;=0.5,"warm",IF(G398&lt;=-0.5,"cold","neutral"))</f>
        <v>warm</v>
      </c>
      <c r="I398" s="2">
        <f>IF(H398=H397,I397+1,1)</f>
        <v>9</v>
      </c>
      <c r="J398" s="2">
        <f>IF(H398=H399,J399+1,1)</f>
        <v>6</v>
      </c>
      <c r="K398" s="2">
        <f>I398+J398-1</f>
        <v>14</v>
      </c>
      <c r="L398" s="6" t="str">
        <f>IF(H398="neutral","—",IF(K398&gt;=5,IF(H398="warm","El Niño","La Niña"),IF(ROW()+J398-1=920,IF(H398="warm","El Niño (ongoing)","La Niña (ongoing)"),"—")))</f>
        <v>El Niño</v>
      </c>
      <c r="M398" s="2" t="inlineStr">
        <is>
          <t xml:space="preserve">1982/83</t>
        </is>
      </c>
    </row>
    <row r="399">
      <c r="A399" s="2" t="inlineStr">
        <is>
          <t xml:space="preserve">1983-02</t>
        </is>
      </c>
      <c r="B399" s="2">
        <v>1983</v>
      </c>
      <c r="C399" s="2">
        <v>2</v>
      </c>
      <c r="D399" s="2" t="inlineStr">
        <is>
          <t xml:space="preserve">JFM</t>
        </is>
      </c>
      <c r="E399" t="inlineStr">
        <is>
          <t xml:space="preserve">Jan 1983 – Mar 1983</t>
        </is>
      </c>
      <c r="F399" s="3">
        <v>1.91</v>
      </c>
      <c r="G399" s="4">
        <f>ROUND(F399,1)</f>
        <v>1.9</v>
      </c>
      <c r="H399" s="2" t="str">
        <f>IF(G399&gt;=0.5,"warm",IF(G399&lt;=-0.5,"cold","neutral"))</f>
        <v>warm</v>
      </c>
      <c r="I399" s="2">
        <f>IF(H399=H398,I398+1,1)</f>
        <v>10</v>
      </c>
      <c r="J399" s="2">
        <f>IF(H399=H400,J400+1,1)</f>
        <v>5</v>
      </c>
      <c r="K399" s="2">
        <f>I399+J399-1</f>
        <v>14</v>
      </c>
      <c r="L399" s="6" t="str">
        <f>IF(H399="neutral","—",IF(K399&gt;=5,IF(H399="warm","El Niño","La Niña"),IF(ROW()+J399-1=920,IF(H399="warm","El Niño (ongoing)","La Niña (ongoing)"),"—")))</f>
        <v>El Niño</v>
      </c>
      <c r="M399" s="2" t="inlineStr">
        <is>
          <t xml:space="preserve">1982/83</t>
        </is>
      </c>
    </row>
    <row r="400">
      <c r="A400" s="2" t="inlineStr">
        <is>
          <t xml:space="preserve">1983-03</t>
        </is>
      </c>
      <c r="B400" s="2">
        <v>1983</v>
      </c>
      <c r="C400" s="2">
        <v>3</v>
      </c>
      <c r="D400" s="2" t="inlineStr">
        <is>
          <t xml:space="preserve">FMA</t>
        </is>
      </c>
      <c r="E400" t="inlineStr">
        <is>
          <t xml:space="preserve">Feb 1983 – Apr 1983</t>
        </is>
      </c>
      <c r="F400" s="3">
        <v>1.52</v>
      </c>
      <c r="G400" s="4">
        <f>ROUND(F400,1)</f>
        <v>1.5</v>
      </c>
      <c r="H400" s="2" t="str">
        <f>IF(G400&gt;=0.5,"warm",IF(G400&lt;=-0.5,"cold","neutral"))</f>
        <v>warm</v>
      </c>
      <c r="I400" s="2">
        <f>IF(H400=H399,I399+1,1)</f>
        <v>11</v>
      </c>
      <c r="J400" s="2">
        <f>IF(H400=H401,J401+1,1)</f>
        <v>4</v>
      </c>
      <c r="K400" s="2">
        <f>I400+J400-1</f>
        <v>14</v>
      </c>
      <c r="L400" s="6" t="str">
        <f>IF(H400="neutral","—",IF(K400&gt;=5,IF(H400="warm","El Niño","La Niña"),IF(ROW()+J400-1=920,IF(H400="warm","El Niño (ongoing)","La Niña (ongoing)"),"—")))</f>
        <v>El Niño</v>
      </c>
      <c r="M400" s="2" t="inlineStr">
        <is>
          <t xml:space="preserve">1982/83</t>
        </is>
      </c>
    </row>
    <row r="401">
      <c r="A401" s="2" t="inlineStr">
        <is>
          <t xml:space="preserve">1983-04</t>
        </is>
      </c>
      <c r="B401" s="2">
        <v>1983</v>
      </c>
      <c r="C401" s="2">
        <v>4</v>
      </c>
      <c r="D401" s="2" t="inlineStr">
        <is>
          <t xml:space="preserve">MAM</t>
        </is>
      </c>
      <c r="E401" t="inlineStr">
        <is>
          <t xml:space="preserve">Mar 1983 – May 1983</t>
        </is>
      </c>
      <c r="F401" s="3">
        <v>1.23</v>
      </c>
      <c r="G401" s="4">
        <f>ROUND(F401,1)</f>
        <v>1.2</v>
      </c>
      <c r="H401" s="2" t="str">
        <f>IF(G401&gt;=0.5,"warm",IF(G401&lt;=-0.5,"cold","neutral"))</f>
        <v>warm</v>
      </c>
      <c r="I401" s="2">
        <f>IF(H401=H400,I400+1,1)</f>
        <v>12</v>
      </c>
      <c r="J401" s="2">
        <f>IF(H401=H402,J402+1,1)</f>
        <v>3</v>
      </c>
      <c r="K401" s="2">
        <f>I401+J401-1</f>
        <v>14</v>
      </c>
      <c r="L401" s="6" t="str">
        <f>IF(H401="neutral","—",IF(K401&gt;=5,IF(H401="warm","El Niño","La Niña"),IF(ROW()+J401-1=920,IF(H401="warm","El Niño (ongoing)","La Niña (ongoing)"),"—")))</f>
        <v>El Niño</v>
      </c>
      <c r="M401" s="2" t="inlineStr">
        <is>
          <t xml:space="preserve">1982/83</t>
        </is>
      </c>
    </row>
    <row r="402">
      <c r="A402" s="2" t="inlineStr">
        <is>
          <t xml:space="preserve">1983-05</t>
        </is>
      </c>
      <c r="B402" s="2">
        <v>1983</v>
      </c>
      <c r="C402" s="2">
        <v>5</v>
      </c>
      <c r="D402" s="2" t="inlineStr">
        <is>
          <t xml:space="preserve">AMJ</t>
        </is>
      </c>
      <c r="E402" t="inlineStr">
        <is>
          <t xml:space="preserve">Apr 1983 – Jun 1983</t>
        </is>
      </c>
      <c r="F402" s="3">
        <v>0.95</v>
      </c>
      <c r="G402" s="4">
        <f>ROUND(F402,1)</f>
        <v>1.0</v>
      </c>
      <c r="H402" s="2" t="str">
        <f>IF(G402&gt;=0.5,"warm",IF(G402&lt;=-0.5,"cold","neutral"))</f>
        <v>warm</v>
      </c>
      <c r="I402" s="2">
        <f>IF(H402=H401,I401+1,1)</f>
        <v>13</v>
      </c>
      <c r="J402" s="2">
        <f>IF(H402=H403,J403+1,1)</f>
        <v>2</v>
      </c>
      <c r="K402" s="2">
        <f>I402+J402-1</f>
        <v>14</v>
      </c>
      <c r="L402" s="6" t="str">
        <f>IF(H402="neutral","—",IF(K402&gt;=5,IF(H402="warm","El Niño","La Niña"),IF(ROW()+J402-1=920,IF(H402="warm","El Niño (ongoing)","La Niña (ongoing)"),"—")))</f>
        <v>El Niño</v>
      </c>
      <c r="M402" s="2" t="inlineStr">
        <is>
          <t xml:space="preserve">1982/83</t>
        </is>
      </c>
    </row>
    <row r="403">
      <c r="A403" s="2" t="inlineStr">
        <is>
          <t xml:space="preserve">1983-06</t>
        </is>
      </c>
      <c r="B403" s="2">
        <v>1983</v>
      </c>
      <c r="C403" s="2">
        <v>6</v>
      </c>
      <c r="D403" s="2" t="inlineStr">
        <is>
          <t xml:space="preserve">MJJ</t>
        </is>
      </c>
      <c r="E403" t="inlineStr">
        <is>
          <t xml:space="preserve">May 1983 – Jul 1983</t>
        </is>
      </c>
      <c r="F403" s="3">
        <v>0.62</v>
      </c>
      <c r="G403" s="4">
        <f>ROUND(F403,1)</f>
        <v>0.6</v>
      </c>
      <c r="H403" s="2" t="str">
        <f>IF(G403&gt;=0.5,"warm",IF(G403&lt;=-0.5,"cold","neutral"))</f>
        <v>warm</v>
      </c>
      <c r="I403" s="2">
        <f>IF(H403=H402,I402+1,1)</f>
        <v>14</v>
      </c>
      <c r="J403" s="2">
        <f>IF(H403=H404,J404+1,1)</f>
        <v>1</v>
      </c>
      <c r="K403" s="2">
        <f>I403+J403-1</f>
        <v>14</v>
      </c>
      <c r="L403" s="6" t="str">
        <f>IF(H403="neutral","—",IF(K403&gt;=5,IF(H403="warm","El Niño","La Niña"),IF(ROW()+J403-1=920,IF(H403="warm","El Niño (ongoing)","La Niña (ongoing)"),"—")))</f>
        <v>El Niño</v>
      </c>
      <c r="M403" s="2" t="inlineStr">
        <is>
          <t xml:space="preserve">1982/83</t>
        </is>
      </c>
    </row>
    <row r="404">
      <c r="A404" s="2" t="inlineStr">
        <is>
          <t xml:space="preserve">1983-07</t>
        </is>
      </c>
      <c r="B404" s="2">
        <v>1983</v>
      </c>
      <c r="C404" s="2">
        <v>7</v>
      </c>
      <c r="D404" s="2" t="inlineStr">
        <is>
          <t xml:space="preserve">JJA</t>
        </is>
      </c>
      <c r="E404" t="inlineStr">
        <is>
          <t xml:space="preserve">Jun 1983 – Aug 1983</t>
        </is>
      </c>
      <c r="F404" s="3">
        <v>0.25</v>
      </c>
      <c r="G404" s="4">
        <f>ROUND(F404,1)</f>
        <v>0.3</v>
      </c>
      <c r="H404" s="2" t="str">
        <f>IF(G404&gt;=0.5,"warm",IF(G404&lt;=-0.5,"cold","neutral"))</f>
        <v>neutral</v>
      </c>
      <c r="I404" s="2">
        <f>IF(H404=H403,I403+1,1)</f>
        <v>1</v>
      </c>
      <c r="J404" s="2">
        <f>IF(H404=H405,J405+1,1)</f>
        <v>3</v>
      </c>
      <c r="K404" s="2">
        <f>I404+J404-1</f>
        <v>3</v>
      </c>
      <c r="L404" s="2" t="str">
        <f>IF(H404="neutral","—",IF(K404&gt;=5,IF(H404="warm","El Niño","La Niña"),IF(ROW()+J404-1=920,IF(H404="warm","El Niño (ongoing)","La Niña (ongoing)"),"—")))</f>
        <v>—</v>
      </c>
      <c r="M404" s="2" t="inlineStr">
        <is>
          <t xml:space="preserve">1983/84</t>
        </is>
      </c>
    </row>
    <row r="405">
      <c r="A405" s="2" t="inlineStr">
        <is>
          <t xml:space="preserve">1983-08</t>
        </is>
      </c>
      <c r="B405" s="2">
        <v>1983</v>
      </c>
      <c r="C405" s="2">
        <v>8</v>
      </c>
      <c r="D405" s="2" t="inlineStr">
        <is>
          <t xml:space="preserve">JAS</t>
        </is>
      </c>
      <c r="E405" t="inlineStr">
        <is>
          <t xml:space="preserve">Jul 1983 – Sep 1983</t>
        </is>
      </c>
      <c r="F405" s="3">
        <v>-0.06</v>
      </c>
      <c r="G405" s="4">
        <f>ROUND(F405,1)</f>
        <v>-0.1</v>
      </c>
      <c r="H405" s="2" t="str">
        <f>IF(G405&gt;=0.5,"warm",IF(G405&lt;=-0.5,"cold","neutral"))</f>
        <v>neutral</v>
      </c>
      <c r="I405" s="2">
        <f>IF(H405=H404,I404+1,1)</f>
        <v>2</v>
      </c>
      <c r="J405" s="2">
        <f>IF(H405=H406,J406+1,1)</f>
        <v>2</v>
      </c>
      <c r="K405" s="2">
        <f>I405+J405-1</f>
        <v>3</v>
      </c>
      <c r="L405" s="2" t="str">
        <f>IF(H405="neutral","—",IF(K405&gt;=5,IF(H405="warm","El Niño","La Niña"),IF(ROW()+J405-1=920,IF(H405="warm","El Niño (ongoing)","La Niña (ongoing)"),"—")))</f>
        <v>—</v>
      </c>
      <c r="M405" s="2" t="inlineStr">
        <is>
          <t xml:space="preserve">1983/84</t>
        </is>
      </c>
    </row>
    <row r="406">
      <c r="A406" s="2" t="inlineStr">
        <is>
          <t xml:space="preserve">1983-09</t>
        </is>
      </c>
      <c r="B406" s="2">
        <v>1983</v>
      </c>
      <c r="C406" s="2">
        <v>9</v>
      </c>
      <c r="D406" s="2" t="inlineStr">
        <is>
          <t xml:space="preserve">ASO</t>
        </is>
      </c>
      <c r="E406" t="inlineStr">
        <is>
          <t xml:space="preserve">Aug 1983 – Oct 1983</t>
        </is>
      </c>
      <c r="F406" s="3">
        <v>-0.43</v>
      </c>
      <c r="G406" s="4">
        <f>ROUND(F406,1)</f>
        <v>-0.4</v>
      </c>
      <c r="H406" s="2" t="str">
        <f>IF(G406&gt;=0.5,"warm",IF(G406&lt;=-0.5,"cold","neutral"))</f>
        <v>neutral</v>
      </c>
      <c r="I406" s="2">
        <f>IF(H406=H405,I405+1,1)</f>
        <v>3</v>
      </c>
      <c r="J406" s="2">
        <f>IF(H406=H407,J407+1,1)</f>
        <v>1</v>
      </c>
      <c r="K406" s="2">
        <f>I406+J406-1</f>
        <v>3</v>
      </c>
      <c r="L406" s="2" t="str">
        <f>IF(H406="neutral","—",IF(K406&gt;=5,IF(H406="warm","El Niño","La Niña"),IF(ROW()+J406-1=920,IF(H406="warm","El Niño (ongoing)","La Niña (ongoing)"),"—")))</f>
        <v>—</v>
      </c>
      <c r="M406" s="2" t="inlineStr">
        <is>
          <t xml:space="preserve">1983/84</t>
        </is>
      </c>
    </row>
    <row r="407">
      <c r="A407" s="2" t="inlineStr">
        <is>
          <t xml:space="preserve">1983-10</t>
        </is>
      </c>
      <c r="B407" s="2">
        <v>1983</v>
      </c>
      <c r="C407" s="2">
        <v>10</v>
      </c>
      <c r="D407" s="2" t="inlineStr">
        <is>
          <t xml:space="preserve">SON</t>
        </is>
      </c>
      <c r="E407" t="inlineStr">
        <is>
          <t xml:space="preserve">Sep 1983 – Nov 1983</t>
        </is>
      </c>
      <c r="F407" s="3">
        <v>-0.76</v>
      </c>
      <c r="G407" s="4">
        <f>ROUND(F407,1)</f>
        <v>-0.8</v>
      </c>
      <c r="H407" s="2" t="str">
        <f>IF(G407&gt;=0.5,"warm",IF(G407&lt;=-0.5,"cold","neutral"))</f>
        <v>cold</v>
      </c>
      <c r="I407" s="2">
        <f>IF(H407=H406,I406+1,1)</f>
        <v>1</v>
      </c>
      <c r="J407" s="2">
        <f>IF(H407=H408,J408+1,1)</f>
        <v>5</v>
      </c>
      <c r="K407" s="2">
        <f>I407+J407-1</f>
        <v>5</v>
      </c>
      <c r="L407" s="5" t="str">
        <f>IF(H407="neutral","—",IF(K407&gt;=5,IF(H407="warm","El Niño","La Niña"),IF(ROW()+J407-1=920,IF(H407="warm","El Niño (ongoing)","La Niña (ongoing)"),"—")))</f>
        <v>La Niña</v>
      </c>
      <c r="M407" s="2" t="inlineStr">
        <is>
          <t xml:space="preserve">1983/84</t>
        </is>
      </c>
    </row>
    <row r="408">
      <c r="A408" s="2" t="inlineStr">
        <is>
          <t xml:space="preserve">1983-11</t>
        </is>
      </c>
      <c r="B408" s="2">
        <v>1983</v>
      </c>
      <c r="C408" s="2">
        <v>11</v>
      </c>
      <c r="D408" s="2" t="inlineStr">
        <is>
          <t xml:space="preserve">OND</t>
        </is>
      </c>
      <c r="E408" t="inlineStr">
        <is>
          <t xml:space="preserve">Oct 1983 – Dec 1983</t>
        </is>
      </c>
      <c r="F408" s="3">
        <v>-0.96</v>
      </c>
      <c r="G408" s="4">
        <f>ROUND(F408,1)</f>
        <v>-1.0</v>
      </c>
      <c r="H408" s="2" t="str">
        <f>IF(G408&gt;=0.5,"warm",IF(G408&lt;=-0.5,"cold","neutral"))</f>
        <v>cold</v>
      </c>
      <c r="I408" s="2">
        <f>IF(H408=H407,I407+1,1)</f>
        <v>2</v>
      </c>
      <c r="J408" s="2">
        <f>IF(H408=H409,J409+1,1)</f>
        <v>4</v>
      </c>
      <c r="K408" s="2">
        <f>I408+J408-1</f>
        <v>5</v>
      </c>
      <c r="L408" s="5" t="str">
        <f>IF(H408="neutral","—",IF(K408&gt;=5,IF(H408="warm","El Niño","La Niña"),IF(ROW()+J408-1=920,IF(H408="warm","El Niño (ongoing)","La Niña (ongoing)"),"—")))</f>
        <v>La Niña</v>
      </c>
      <c r="M408" s="2" t="inlineStr">
        <is>
          <t xml:space="preserve">1983/84</t>
        </is>
      </c>
    </row>
    <row r="409">
      <c r="A409" s="2" t="inlineStr">
        <is>
          <t xml:space="preserve">1983-12</t>
        </is>
      </c>
      <c r="B409" s="2">
        <v>1983</v>
      </c>
      <c r="C409" s="2">
        <v>12</v>
      </c>
      <c r="D409" s="2" t="inlineStr">
        <is>
          <t xml:space="preserve">NDJ</t>
        </is>
      </c>
      <c r="E409" t="inlineStr">
        <is>
          <t xml:space="preserve">Nov 1983 – Jan 1984</t>
        </is>
      </c>
      <c r="F409" s="3">
        <v>-0.89</v>
      </c>
      <c r="G409" s="4">
        <f>ROUND(F409,1)</f>
        <v>-0.9</v>
      </c>
      <c r="H409" s="2" t="str">
        <f>IF(G409&gt;=0.5,"warm",IF(G409&lt;=-0.5,"cold","neutral"))</f>
        <v>cold</v>
      </c>
      <c r="I409" s="2">
        <f>IF(H409=H408,I408+1,1)</f>
        <v>3</v>
      </c>
      <c r="J409" s="2">
        <f>IF(H409=H410,J410+1,1)</f>
        <v>3</v>
      </c>
      <c r="K409" s="2">
        <f>I409+J409-1</f>
        <v>5</v>
      </c>
      <c r="L409" s="5" t="str">
        <f>IF(H409="neutral","—",IF(K409&gt;=5,IF(H409="warm","El Niño","La Niña"),IF(ROW()+J409-1=920,IF(H409="warm","El Niño (ongoing)","La Niña (ongoing)"),"—")))</f>
        <v>La Niña</v>
      </c>
      <c r="M409" s="2" t="inlineStr">
        <is>
          <t xml:space="preserve">1983/84</t>
        </is>
      </c>
    </row>
    <row r="410">
      <c r="A410" s="2" t="inlineStr">
        <is>
          <t xml:space="preserve">1984-01</t>
        </is>
      </c>
      <c r="B410" s="2">
        <v>1984</v>
      </c>
      <c r="C410" s="2">
        <v>1</v>
      </c>
      <c r="D410" s="2" t="inlineStr">
        <is>
          <t xml:space="preserve">DJF</t>
        </is>
      </c>
      <c r="E410" t="inlineStr">
        <is>
          <t xml:space="preserve">Dec 1983 – Feb 1984</t>
        </is>
      </c>
      <c r="F410" s="3">
        <v>-0.63</v>
      </c>
      <c r="G410" s="4">
        <f>ROUND(F410,1)</f>
        <v>-0.6</v>
      </c>
      <c r="H410" s="2" t="str">
        <f>IF(G410&gt;=0.5,"warm",IF(G410&lt;=-0.5,"cold","neutral"))</f>
        <v>cold</v>
      </c>
      <c r="I410" s="2">
        <f>IF(H410=H409,I409+1,1)</f>
        <v>4</v>
      </c>
      <c r="J410" s="2">
        <f>IF(H410=H411,J411+1,1)</f>
        <v>2</v>
      </c>
      <c r="K410" s="2">
        <f>I410+J410-1</f>
        <v>5</v>
      </c>
      <c r="L410" s="5" t="str">
        <f>IF(H410="neutral","—",IF(K410&gt;=5,IF(H410="warm","El Niño","La Niña"),IF(ROW()+J410-1=920,IF(H410="warm","El Niño (ongoing)","La Niña (ongoing)"),"—")))</f>
        <v>La Niña</v>
      </c>
      <c r="M410" s="2" t="inlineStr">
        <is>
          <t xml:space="preserve">1983/84</t>
        </is>
      </c>
    </row>
    <row r="411">
      <c r="A411" s="2" t="inlineStr">
        <is>
          <t xml:space="preserve">1984-02</t>
        </is>
      </c>
      <c r="B411" s="2">
        <v>1984</v>
      </c>
      <c r="C411" s="2">
        <v>2</v>
      </c>
      <c r="D411" s="2" t="inlineStr">
        <is>
          <t xml:space="preserve">JFM</t>
        </is>
      </c>
      <c r="E411" t="inlineStr">
        <is>
          <t xml:space="preserve">Jan 1984 – Mar 1984</t>
        </is>
      </c>
      <c r="F411" s="3">
        <v>-0.51</v>
      </c>
      <c r="G411" s="4">
        <f>ROUND(F411,1)</f>
        <v>-0.5</v>
      </c>
      <c r="H411" s="2" t="str">
        <f>IF(G411&gt;=0.5,"warm",IF(G411&lt;=-0.5,"cold","neutral"))</f>
        <v>cold</v>
      </c>
      <c r="I411" s="2">
        <f>IF(H411=H410,I410+1,1)</f>
        <v>5</v>
      </c>
      <c r="J411" s="2">
        <f>IF(H411=H412,J412+1,1)</f>
        <v>1</v>
      </c>
      <c r="K411" s="2">
        <f>I411+J411-1</f>
        <v>5</v>
      </c>
      <c r="L411" s="5" t="str">
        <f>IF(H411="neutral","—",IF(K411&gt;=5,IF(H411="warm","El Niño","La Niña"),IF(ROW()+J411-1=920,IF(H411="warm","El Niño (ongoing)","La Niña (ongoing)"),"—")))</f>
        <v>La Niña</v>
      </c>
      <c r="M411" s="2" t="inlineStr">
        <is>
          <t xml:space="preserve">1983/84</t>
        </is>
      </c>
    </row>
    <row r="412">
      <c r="A412" s="2" t="inlineStr">
        <is>
          <t xml:space="preserve">1984-03</t>
        </is>
      </c>
      <c r="B412" s="2">
        <v>1984</v>
      </c>
      <c r="C412" s="2">
        <v>3</v>
      </c>
      <c r="D412" s="2" t="inlineStr">
        <is>
          <t xml:space="preserve">FMA</t>
        </is>
      </c>
      <c r="E412" t="inlineStr">
        <is>
          <t xml:space="preserve">Feb 1984 – Apr 1984</t>
        </is>
      </c>
      <c r="F412" s="3">
        <v>-0.38</v>
      </c>
      <c r="G412" s="4">
        <f>ROUND(F412,1)</f>
        <v>-0.4</v>
      </c>
      <c r="H412" s="2" t="str">
        <f>IF(G412&gt;=0.5,"warm",IF(G412&lt;=-0.5,"cold","neutral"))</f>
        <v>neutral</v>
      </c>
      <c r="I412" s="2">
        <f>IF(H412=H411,I411+1,1)</f>
        <v>1</v>
      </c>
      <c r="J412" s="2">
        <f>IF(H412=H413,J413+1,1)</f>
        <v>1</v>
      </c>
      <c r="K412" s="2">
        <f>I412+J412-1</f>
        <v>1</v>
      </c>
      <c r="L412" s="2" t="str">
        <f>IF(H412="neutral","—",IF(K412&gt;=5,IF(H412="warm","El Niño","La Niña"),IF(ROW()+J412-1=920,IF(H412="warm","El Niño (ongoing)","La Niña (ongoing)"),"—")))</f>
        <v>—</v>
      </c>
      <c r="M412" s="2" t="inlineStr">
        <is>
          <t xml:space="preserve">1983/84</t>
        </is>
      </c>
    </row>
    <row r="413">
      <c r="A413" s="2" t="inlineStr">
        <is>
          <t xml:space="preserve">1984-04</t>
        </is>
      </c>
      <c r="B413" s="2">
        <v>1984</v>
      </c>
      <c r="C413" s="2">
        <v>4</v>
      </c>
      <c r="D413" s="2" t="inlineStr">
        <is>
          <t xml:space="preserve">MAM</t>
        </is>
      </c>
      <c r="E413" t="inlineStr">
        <is>
          <t xml:space="preserve">Mar 1984 – May 1984</t>
        </is>
      </c>
      <c r="F413" s="3">
        <v>-0.47</v>
      </c>
      <c r="G413" s="4">
        <f>ROUND(F413,1)</f>
        <v>-0.5</v>
      </c>
      <c r="H413" s="2" t="str">
        <f>IF(G413&gt;=0.5,"warm",IF(G413&lt;=-0.5,"cold","neutral"))</f>
        <v>cold</v>
      </c>
      <c r="I413" s="2">
        <f>IF(H413=H412,I412+1,1)</f>
        <v>1</v>
      </c>
      <c r="J413" s="2">
        <f>IF(H413=H414,J414+1,1)</f>
        <v>3</v>
      </c>
      <c r="K413" s="2">
        <f>I413+J413-1</f>
        <v>3</v>
      </c>
      <c r="L413" s="2" t="str">
        <f>IF(H413="neutral","—",IF(K413&gt;=5,IF(H413="warm","El Niño","La Niña"),IF(ROW()+J413-1=920,IF(H413="warm","El Niño (ongoing)","La Niña (ongoing)"),"—")))</f>
        <v>—</v>
      </c>
      <c r="M413" s="2" t="inlineStr">
        <is>
          <t xml:space="preserve">1983/84</t>
        </is>
      </c>
    </row>
    <row r="414">
      <c r="A414" s="2" t="inlineStr">
        <is>
          <t xml:space="preserve">1984-05</t>
        </is>
      </c>
      <c r="B414" s="2">
        <v>1984</v>
      </c>
      <c r="C414" s="2">
        <v>5</v>
      </c>
      <c r="D414" s="2" t="inlineStr">
        <is>
          <t xml:space="preserve">AMJ</t>
        </is>
      </c>
      <c r="E414" t="inlineStr">
        <is>
          <t xml:space="preserve">Apr 1984 – Jun 1984</t>
        </is>
      </c>
      <c r="F414" s="3">
        <v>-0.55</v>
      </c>
      <c r="G414" s="4">
        <f>ROUND(F414,1)</f>
        <v>-0.6</v>
      </c>
      <c r="H414" s="2" t="str">
        <f>IF(G414&gt;=0.5,"warm",IF(G414&lt;=-0.5,"cold","neutral"))</f>
        <v>cold</v>
      </c>
      <c r="I414" s="2">
        <f>IF(H414=H413,I413+1,1)</f>
        <v>2</v>
      </c>
      <c r="J414" s="2">
        <f>IF(H414=H415,J415+1,1)</f>
        <v>2</v>
      </c>
      <c r="K414" s="2">
        <f>I414+J414-1</f>
        <v>3</v>
      </c>
      <c r="L414" s="2" t="str">
        <f>IF(H414="neutral","—",IF(K414&gt;=5,IF(H414="warm","El Niño","La Niña"),IF(ROW()+J414-1=920,IF(H414="warm","El Niño (ongoing)","La Niña (ongoing)"),"—")))</f>
        <v>—</v>
      </c>
      <c r="M414" s="2" t="inlineStr">
        <is>
          <t xml:space="preserve">1983/84</t>
        </is>
      </c>
    </row>
    <row r="415">
      <c r="A415" s="2" t="inlineStr">
        <is>
          <t xml:space="preserve">1984-06</t>
        </is>
      </c>
      <c r="B415" s="2">
        <v>1984</v>
      </c>
      <c r="C415" s="2">
        <v>6</v>
      </c>
      <c r="D415" s="2" t="inlineStr">
        <is>
          <t xml:space="preserve">MJJ</t>
        </is>
      </c>
      <c r="E415" t="inlineStr">
        <is>
          <t xml:space="preserve">May 1984 – Jul 1984</t>
        </is>
      </c>
      <c r="F415" s="3">
        <v>-0.52</v>
      </c>
      <c r="G415" s="4">
        <f>ROUND(F415,1)</f>
        <v>-0.5</v>
      </c>
      <c r="H415" s="2" t="str">
        <f>IF(G415&gt;=0.5,"warm",IF(G415&lt;=-0.5,"cold","neutral"))</f>
        <v>cold</v>
      </c>
      <c r="I415" s="2">
        <f>IF(H415=H414,I414+1,1)</f>
        <v>3</v>
      </c>
      <c r="J415" s="2">
        <f>IF(H415=H416,J416+1,1)</f>
        <v>1</v>
      </c>
      <c r="K415" s="2">
        <f>I415+J415-1</f>
        <v>3</v>
      </c>
      <c r="L415" s="2" t="str">
        <f>IF(H415="neutral","—",IF(K415&gt;=5,IF(H415="warm","El Niño","La Niña"),IF(ROW()+J415-1=920,IF(H415="warm","El Niño (ongoing)","La Niña (ongoing)"),"—")))</f>
        <v>—</v>
      </c>
      <c r="M415" s="2" t="inlineStr">
        <is>
          <t xml:space="preserve">1983/84</t>
        </is>
      </c>
    </row>
    <row r="416">
      <c r="A416" s="2" t="inlineStr">
        <is>
          <t xml:space="preserve">1984-07</t>
        </is>
      </c>
      <c r="B416" s="2">
        <v>1984</v>
      </c>
      <c r="C416" s="2">
        <v>7</v>
      </c>
      <c r="D416" s="2" t="inlineStr">
        <is>
          <t xml:space="preserve">JJA</t>
        </is>
      </c>
      <c r="E416" t="inlineStr">
        <is>
          <t xml:space="preserve">Jun 1984 – Aug 1984</t>
        </is>
      </c>
      <c r="F416" s="3">
        <v>-0.39</v>
      </c>
      <c r="G416" s="4">
        <f>ROUND(F416,1)</f>
        <v>-0.4</v>
      </c>
      <c r="H416" s="2" t="str">
        <f>IF(G416&gt;=0.5,"warm",IF(G416&lt;=-0.5,"cold","neutral"))</f>
        <v>neutral</v>
      </c>
      <c r="I416" s="2">
        <f>IF(H416=H415,I415+1,1)</f>
        <v>1</v>
      </c>
      <c r="J416" s="2">
        <f>IF(H416=H417,J417+1,1)</f>
        <v>3</v>
      </c>
      <c r="K416" s="2">
        <f>I416+J416-1</f>
        <v>3</v>
      </c>
      <c r="L416" s="2" t="str">
        <f>IF(H416="neutral","—",IF(K416&gt;=5,IF(H416="warm","El Niño","La Niña"),IF(ROW()+J416-1=920,IF(H416="warm","El Niño (ongoing)","La Niña (ongoing)"),"—")))</f>
        <v>—</v>
      </c>
      <c r="M416" s="2" t="inlineStr">
        <is>
          <t xml:space="preserve">1984/85</t>
        </is>
      </c>
    </row>
    <row r="417">
      <c r="A417" s="2" t="inlineStr">
        <is>
          <t xml:space="preserve">1984-08</t>
        </is>
      </c>
      <c r="B417" s="2">
        <v>1984</v>
      </c>
      <c r="C417" s="2">
        <v>8</v>
      </c>
      <c r="D417" s="2" t="inlineStr">
        <is>
          <t xml:space="preserve">JAS</t>
        </is>
      </c>
      <c r="E417" t="inlineStr">
        <is>
          <t xml:space="preserve">Jul 1984 – Sep 1984</t>
        </is>
      </c>
      <c r="F417" s="3">
        <v>-0.22</v>
      </c>
      <c r="G417" s="4">
        <f>ROUND(F417,1)</f>
        <v>-0.2</v>
      </c>
      <c r="H417" s="2" t="str">
        <f>IF(G417&gt;=0.5,"warm",IF(G417&lt;=-0.5,"cold","neutral"))</f>
        <v>neutral</v>
      </c>
      <c r="I417" s="2">
        <f>IF(H417=H416,I416+1,1)</f>
        <v>2</v>
      </c>
      <c r="J417" s="2">
        <f>IF(H417=H418,J418+1,1)</f>
        <v>2</v>
      </c>
      <c r="K417" s="2">
        <f>I417+J417-1</f>
        <v>3</v>
      </c>
      <c r="L417" s="2" t="str">
        <f>IF(H417="neutral","—",IF(K417&gt;=5,IF(H417="warm","El Niño","La Niña"),IF(ROW()+J417-1=920,IF(H417="warm","El Niño (ongoing)","La Niña (ongoing)"),"—")))</f>
        <v>—</v>
      </c>
      <c r="M417" s="2" t="inlineStr">
        <is>
          <t xml:space="preserve">1984/85</t>
        </is>
      </c>
    </row>
    <row r="418">
      <c r="A418" s="2" t="inlineStr">
        <is>
          <t xml:space="preserve">1984-09</t>
        </is>
      </c>
      <c r="B418" s="2">
        <v>1984</v>
      </c>
      <c r="C418" s="2">
        <v>9</v>
      </c>
      <c r="D418" s="2" t="inlineStr">
        <is>
          <t xml:space="preserve">ASO</t>
        </is>
      </c>
      <c r="E418" t="inlineStr">
        <is>
          <t xml:space="preserve">Aug 1984 – Oct 1984</t>
        </is>
      </c>
      <c r="F418" s="3">
        <v>-0.32</v>
      </c>
      <c r="G418" s="4">
        <f>ROUND(F418,1)</f>
        <v>-0.3</v>
      </c>
      <c r="H418" s="2" t="str">
        <f>IF(G418&gt;=0.5,"warm",IF(G418&lt;=-0.5,"cold","neutral"))</f>
        <v>neutral</v>
      </c>
      <c r="I418" s="2">
        <f>IF(H418=H417,I417+1,1)</f>
        <v>3</v>
      </c>
      <c r="J418" s="2">
        <f>IF(H418=H419,J419+1,1)</f>
        <v>1</v>
      </c>
      <c r="K418" s="2">
        <f>I418+J418-1</f>
        <v>3</v>
      </c>
      <c r="L418" s="2" t="str">
        <f>IF(H418="neutral","—",IF(K418&gt;=5,IF(H418="warm","El Niño","La Niña"),IF(ROW()+J418-1=920,IF(H418="warm","El Niño (ongoing)","La Niña (ongoing)"),"—")))</f>
        <v>—</v>
      </c>
      <c r="M418" s="2" t="inlineStr">
        <is>
          <t xml:space="preserve">1984/85</t>
        </is>
      </c>
    </row>
    <row r="419">
      <c r="A419" s="2" t="inlineStr">
        <is>
          <t xml:space="preserve">1984-10</t>
        </is>
      </c>
      <c r="B419" s="2">
        <v>1984</v>
      </c>
      <c r="C419" s="2">
        <v>10</v>
      </c>
      <c r="D419" s="2" t="inlineStr">
        <is>
          <t xml:space="preserve">SON</t>
        </is>
      </c>
      <c r="E419" t="inlineStr">
        <is>
          <t xml:space="preserve">Sep 1984 – Nov 1984</t>
        </is>
      </c>
      <c r="F419" s="3">
        <v>-0.62</v>
      </c>
      <c r="G419" s="4">
        <f>ROUND(F419,1)</f>
        <v>-0.6</v>
      </c>
      <c r="H419" s="2" t="str">
        <f>IF(G419&gt;=0.5,"warm",IF(G419&lt;=-0.5,"cold","neutral"))</f>
        <v>cold</v>
      </c>
      <c r="I419" s="2">
        <f>IF(H419=H418,I418+1,1)</f>
        <v>1</v>
      </c>
      <c r="J419" s="2">
        <f>IF(H419=H420,J420+1,1)</f>
        <v>9</v>
      </c>
      <c r="K419" s="2">
        <f>I419+J419-1</f>
        <v>9</v>
      </c>
      <c r="L419" s="5" t="str">
        <f>IF(H419="neutral","—",IF(K419&gt;=5,IF(H419="warm","El Niño","La Niña"),IF(ROW()+J419-1=920,IF(H419="warm","El Niño (ongoing)","La Niña (ongoing)"),"—")))</f>
        <v>La Niña</v>
      </c>
      <c r="M419" s="2" t="inlineStr">
        <is>
          <t xml:space="preserve">1984/85</t>
        </is>
      </c>
    </row>
    <row r="420">
      <c r="A420" s="2" t="inlineStr">
        <is>
          <t xml:space="preserve">1984-11</t>
        </is>
      </c>
      <c r="B420" s="2">
        <v>1984</v>
      </c>
      <c r="C420" s="2">
        <v>11</v>
      </c>
      <c r="D420" s="2" t="inlineStr">
        <is>
          <t xml:space="preserve">OND</t>
        </is>
      </c>
      <c r="E420" t="inlineStr">
        <is>
          <t xml:space="preserve">Oct 1984 – Dec 1984</t>
        </is>
      </c>
      <c r="F420" s="3">
        <v>-0.95</v>
      </c>
      <c r="G420" s="4">
        <f>ROUND(F420,1)</f>
        <v>-1.0</v>
      </c>
      <c r="H420" s="2" t="str">
        <f>IF(G420&gt;=0.5,"warm",IF(G420&lt;=-0.5,"cold","neutral"))</f>
        <v>cold</v>
      </c>
      <c r="I420" s="2">
        <f>IF(H420=H419,I419+1,1)</f>
        <v>2</v>
      </c>
      <c r="J420" s="2">
        <f>IF(H420=H421,J421+1,1)</f>
        <v>8</v>
      </c>
      <c r="K420" s="2">
        <f>I420+J420-1</f>
        <v>9</v>
      </c>
      <c r="L420" s="5" t="str">
        <f>IF(H420="neutral","—",IF(K420&gt;=5,IF(H420="warm","El Niño","La Niña"),IF(ROW()+J420-1=920,IF(H420="warm","El Niño (ongoing)","La Niña (ongoing)"),"—")))</f>
        <v>La Niña</v>
      </c>
      <c r="M420" s="2" t="inlineStr">
        <is>
          <t xml:space="preserve">1984/85</t>
        </is>
      </c>
    </row>
    <row r="421">
      <c r="A421" s="2" t="inlineStr">
        <is>
          <t xml:space="preserve">1984-12</t>
        </is>
      </c>
      <c r="B421" s="2">
        <v>1984</v>
      </c>
      <c r="C421" s="2">
        <v>12</v>
      </c>
      <c r="D421" s="2" t="inlineStr">
        <is>
          <t xml:space="preserve">NDJ</t>
        </is>
      </c>
      <c r="E421" t="inlineStr">
        <is>
          <t xml:space="preserve">Nov 1984 – Jan 1985</t>
        </is>
      </c>
      <c r="F421" s="3">
        <v>-1.06</v>
      </c>
      <c r="G421" s="4">
        <f>ROUND(F421,1)</f>
        <v>-1.1</v>
      </c>
      <c r="H421" s="2" t="str">
        <f>IF(G421&gt;=0.5,"warm",IF(G421&lt;=-0.5,"cold","neutral"))</f>
        <v>cold</v>
      </c>
      <c r="I421" s="2">
        <f>IF(H421=H420,I420+1,1)</f>
        <v>3</v>
      </c>
      <c r="J421" s="2">
        <f>IF(H421=H422,J422+1,1)</f>
        <v>7</v>
      </c>
      <c r="K421" s="2">
        <f>I421+J421-1</f>
        <v>9</v>
      </c>
      <c r="L421" s="5" t="str">
        <f>IF(H421="neutral","—",IF(K421&gt;=5,IF(H421="warm","El Niño","La Niña"),IF(ROW()+J421-1=920,IF(H421="warm","El Niño (ongoing)","La Niña (ongoing)"),"—")))</f>
        <v>La Niña</v>
      </c>
      <c r="M421" s="2" t="inlineStr">
        <is>
          <t xml:space="preserve">1984/85</t>
        </is>
      </c>
    </row>
    <row r="422">
      <c r="A422" s="2" t="inlineStr">
        <is>
          <t xml:space="preserve">1985-01</t>
        </is>
      </c>
      <c r="B422" s="2">
        <v>1985</v>
      </c>
      <c r="C422" s="2">
        <v>1</v>
      </c>
      <c r="D422" s="2" t="inlineStr">
        <is>
          <t xml:space="preserve">DJF</t>
        </is>
      </c>
      <c r="E422" t="inlineStr">
        <is>
          <t xml:space="preserve">Dec 1984 – Feb 1985</t>
        </is>
      </c>
      <c r="F422" s="3">
        <v>-1.01</v>
      </c>
      <c r="G422" s="4">
        <f>ROUND(F422,1)</f>
        <v>-1.0</v>
      </c>
      <c r="H422" s="2" t="str">
        <f>IF(G422&gt;=0.5,"warm",IF(G422&lt;=-0.5,"cold","neutral"))</f>
        <v>cold</v>
      </c>
      <c r="I422" s="2">
        <f>IF(H422=H421,I421+1,1)</f>
        <v>4</v>
      </c>
      <c r="J422" s="2">
        <f>IF(H422=H423,J423+1,1)</f>
        <v>6</v>
      </c>
      <c r="K422" s="2">
        <f>I422+J422-1</f>
        <v>9</v>
      </c>
      <c r="L422" s="5" t="str">
        <f>IF(H422="neutral","—",IF(K422&gt;=5,IF(H422="warm","El Niño","La Niña"),IF(ROW()+J422-1=920,IF(H422="warm","El Niño (ongoing)","La Niña (ongoing)"),"—")))</f>
        <v>La Niña</v>
      </c>
      <c r="M422" s="2" t="inlineStr">
        <is>
          <t xml:space="preserve">1984/85</t>
        </is>
      </c>
    </row>
    <row r="423">
      <c r="A423" s="2" t="inlineStr">
        <is>
          <t xml:space="preserve">1985-02</t>
        </is>
      </c>
      <c r="B423" s="2">
        <v>1985</v>
      </c>
      <c r="C423" s="2">
        <v>2</v>
      </c>
      <c r="D423" s="2" t="inlineStr">
        <is>
          <t xml:space="preserve">JFM</t>
        </is>
      </c>
      <c r="E423" t="inlineStr">
        <is>
          <t xml:space="preserve">Jan 1985 – Mar 1985</t>
        </is>
      </c>
      <c r="F423" s="3">
        <v>-0.86</v>
      </c>
      <c r="G423" s="4">
        <f>ROUND(F423,1)</f>
        <v>-0.9</v>
      </c>
      <c r="H423" s="2" t="str">
        <f>IF(G423&gt;=0.5,"warm",IF(G423&lt;=-0.5,"cold","neutral"))</f>
        <v>cold</v>
      </c>
      <c r="I423" s="2">
        <f>IF(H423=H422,I422+1,1)</f>
        <v>5</v>
      </c>
      <c r="J423" s="2">
        <f>IF(H423=H424,J424+1,1)</f>
        <v>5</v>
      </c>
      <c r="K423" s="2">
        <f>I423+J423-1</f>
        <v>9</v>
      </c>
      <c r="L423" s="5" t="str">
        <f>IF(H423="neutral","—",IF(K423&gt;=5,IF(H423="warm","El Niño","La Niña"),IF(ROW()+J423-1=920,IF(H423="warm","El Niño (ongoing)","La Niña (ongoing)"),"—")))</f>
        <v>La Niña</v>
      </c>
      <c r="M423" s="2" t="inlineStr">
        <is>
          <t xml:space="preserve">1984/85</t>
        </is>
      </c>
    </row>
    <row r="424">
      <c r="A424" s="2" t="inlineStr">
        <is>
          <t xml:space="preserve">1985-03</t>
        </is>
      </c>
      <c r="B424" s="2">
        <v>1985</v>
      </c>
      <c r="C424" s="2">
        <v>3</v>
      </c>
      <c r="D424" s="2" t="inlineStr">
        <is>
          <t xml:space="preserve">FMA</t>
        </is>
      </c>
      <c r="E424" t="inlineStr">
        <is>
          <t xml:space="preserve">Feb 1985 – Apr 1985</t>
        </is>
      </c>
      <c r="F424" s="3">
        <v>-0.85</v>
      </c>
      <c r="G424" s="4">
        <f>ROUND(F424,1)</f>
        <v>-0.9</v>
      </c>
      <c r="H424" s="2" t="str">
        <f>IF(G424&gt;=0.5,"warm",IF(G424&lt;=-0.5,"cold","neutral"))</f>
        <v>cold</v>
      </c>
      <c r="I424" s="2">
        <f>IF(H424=H423,I423+1,1)</f>
        <v>6</v>
      </c>
      <c r="J424" s="2">
        <f>IF(H424=H425,J425+1,1)</f>
        <v>4</v>
      </c>
      <c r="K424" s="2">
        <f>I424+J424-1</f>
        <v>9</v>
      </c>
      <c r="L424" s="5" t="str">
        <f>IF(H424="neutral","—",IF(K424&gt;=5,IF(H424="warm","El Niño","La Niña"),IF(ROW()+J424-1=920,IF(H424="warm","El Niño (ongoing)","La Niña (ongoing)"),"—")))</f>
        <v>La Niña</v>
      </c>
      <c r="M424" s="2" t="inlineStr">
        <is>
          <t xml:space="preserve">1984/85</t>
        </is>
      </c>
    </row>
    <row r="425">
      <c r="A425" s="2" t="inlineStr">
        <is>
          <t xml:space="preserve">1985-04</t>
        </is>
      </c>
      <c r="B425" s="2">
        <v>1985</v>
      </c>
      <c r="C425" s="2">
        <v>4</v>
      </c>
      <c r="D425" s="2" t="inlineStr">
        <is>
          <t xml:space="preserve">MAM</t>
        </is>
      </c>
      <c r="E425" t="inlineStr">
        <is>
          <t xml:space="preserve">Mar 1985 – May 1985</t>
        </is>
      </c>
      <c r="F425" s="3">
        <v>-0.8</v>
      </c>
      <c r="G425" s="4">
        <f>ROUND(F425,1)</f>
        <v>-0.8</v>
      </c>
      <c r="H425" s="2" t="str">
        <f>IF(G425&gt;=0.5,"warm",IF(G425&lt;=-0.5,"cold","neutral"))</f>
        <v>cold</v>
      </c>
      <c r="I425" s="2">
        <f>IF(H425=H424,I424+1,1)</f>
        <v>7</v>
      </c>
      <c r="J425" s="2">
        <f>IF(H425=H426,J426+1,1)</f>
        <v>3</v>
      </c>
      <c r="K425" s="2">
        <f>I425+J425-1</f>
        <v>9</v>
      </c>
      <c r="L425" s="5" t="str">
        <f>IF(H425="neutral","—",IF(K425&gt;=5,IF(H425="warm","El Niño","La Niña"),IF(ROW()+J425-1=920,IF(H425="warm","El Niño (ongoing)","La Niña (ongoing)"),"—")))</f>
        <v>La Niña</v>
      </c>
      <c r="M425" s="2" t="inlineStr">
        <is>
          <t xml:space="preserve">1984/85</t>
        </is>
      </c>
    </row>
    <row r="426">
      <c r="A426" s="2" t="inlineStr">
        <is>
          <t xml:space="preserve">1985-05</t>
        </is>
      </c>
      <c r="B426" s="2">
        <v>1985</v>
      </c>
      <c r="C426" s="2">
        <v>5</v>
      </c>
      <c r="D426" s="2" t="inlineStr">
        <is>
          <t xml:space="preserve">AMJ</t>
        </is>
      </c>
      <c r="E426" t="inlineStr">
        <is>
          <t xml:space="preserve">Apr 1985 – Jun 1985</t>
        </is>
      </c>
      <c r="F426" s="3">
        <v>-0.79</v>
      </c>
      <c r="G426" s="4">
        <f>ROUND(F426,1)</f>
        <v>-0.8</v>
      </c>
      <c r="H426" s="2" t="str">
        <f>IF(G426&gt;=0.5,"warm",IF(G426&lt;=-0.5,"cold","neutral"))</f>
        <v>cold</v>
      </c>
      <c r="I426" s="2">
        <f>IF(H426=H425,I425+1,1)</f>
        <v>8</v>
      </c>
      <c r="J426" s="2">
        <f>IF(H426=H427,J427+1,1)</f>
        <v>2</v>
      </c>
      <c r="K426" s="2">
        <f>I426+J426-1</f>
        <v>9</v>
      </c>
      <c r="L426" s="5" t="str">
        <f>IF(H426="neutral","—",IF(K426&gt;=5,IF(H426="warm","El Niño","La Niña"),IF(ROW()+J426-1=920,IF(H426="warm","El Niño (ongoing)","La Niña (ongoing)"),"—")))</f>
        <v>La Niña</v>
      </c>
      <c r="M426" s="2" t="inlineStr">
        <is>
          <t xml:space="preserve">1984/85</t>
        </is>
      </c>
    </row>
    <row r="427">
      <c r="A427" s="2" t="inlineStr">
        <is>
          <t xml:space="preserve">1985-06</t>
        </is>
      </c>
      <c r="B427" s="2">
        <v>1985</v>
      </c>
      <c r="C427" s="2">
        <v>6</v>
      </c>
      <c r="D427" s="2" t="inlineStr">
        <is>
          <t xml:space="preserve">MJJ</t>
        </is>
      </c>
      <c r="E427" t="inlineStr">
        <is>
          <t xml:space="preserve">May 1985 – Jul 1985</t>
        </is>
      </c>
      <c r="F427" s="3">
        <v>-0.6</v>
      </c>
      <c r="G427" s="4">
        <f>ROUND(F427,1)</f>
        <v>-0.6</v>
      </c>
      <c r="H427" s="2" t="str">
        <f>IF(G427&gt;=0.5,"warm",IF(G427&lt;=-0.5,"cold","neutral"))</f>
        <v>cold</v>
      </c>
      <c r="I427" s="2">
        <f>IF(H427=H426,I426+1,1)</f>
        <v>9</v>
      </c>
      <c r="J427" s="2">
        <f>IF(H427=H428,J428+1,1)</f>
        <v>1</v>
      </c>
      <c r="K427" s="2">
        <f>I427+J427-1</f>
        <v>9</v>
      </c>
      <c r="L427" s="5" t="str">
        <f>IF(H427="neutral","—",IF(K427&gt;=5,IF(H427="warm","El Niño","La Niña"),IF(ROW()+J427-1=920,IF(H427="warm","El Niño (ongoing)","La Niña (ongoing)"),"—")))</f>
        <v>La Niña</v>
      </c>
      <c r="M427" s="2" t="inlineStr">
        <is>
          <t xml:space="preserve">1984/85</t>
        </is>
      </c>
    </row>
    <row r="428">
      <c r="A428" s="2" t="inlineStr">
        <is>
          <t xml:space="preserve">1985-07</t>
        </is>
      </c>
      <c r="B428" s="2">
        <v>1985</v>
      </c>
      <c r="C428" s="2">
        <v>7</v>
      </c>
      <c r="D428" s="2" t="inlineStr">
        <is>
          <t xml:space="preserve">JJA</t>
        </is>
      </c>
      <c r="E428" t="inlineStr">
        <is>
          <t xml:space="preserve">Jun 1985 – Aug 1985</t>
        </is>
      </c>
      <c r="F428" s="3">
        <v>-0.44</v>
      </c>
      <c r="G428" s="4">
        <f>ROUND(F428,1)</f>
        <v>-0.4</v>
      </c>
      <c r="H428" s="2" t="str">
        <f>IF(G428&gt;=0.5,"warm",IF(G428&lt;=-0.5,"cold","neutral"))</f>
        <v>neutral</v>
      </c>
      <c r="I428" s="2">
        <f>IF(H428=H427,I427+1,1)</f>
        <v>1</v>
      </c>
      <c r="J428" s="2">
        <f>IF(H428=H429,J429+1,1)</f>
        <v>13</v>
      </c>
      <c r="K428" s="2">
        <f>I428+J428-1</f>
        <v>13</v>
      </c>
      <c r="L428" s="2" t="str">
        <f>IF(H428="neutral","—",IF(K428&gt;=5,IF(H428="warm","El Niño","La Niña"),IF(ROW()+J428-1=920,IF(H428="warm","El Niño (ongoing)","La Niña (ongoing)"),"—")))</f>
        <v>—</v>
      </c>
      <c r="M428" s="2" t="inlineStr">
        <is>
          <t xml:space="preserve">1985/86</t>
        </is>
      </c>
    </row>
    <row r="429">
      <c r="A429" s="2" t="inlineStr">
        <is>
          <t xml:space="preserve">1985-08</t>
        </is>
      </c>
      <c r="B429" s="2">
        <v>1985</v>
      </c>
      <c r="C429" s="2">
        <v>8</v>
      </c>
      <c r="D429" s="2" t="inlineStr">
        <is>
          <t xml:space="preserve">JAS</t>
        </is>
      </c>
      <c r="E429" t="inlineStr">
        <is>
          <t xml:space="preserve">Jul 1985 – Sep 1985</t>
        </is>
      </c>
      <c r="F429" s="3">
        <v>-0.33</v>
      </c>
      <c r="G429" s="4">
        <f>ROUND(F429,1)</f>
        <v>-0.3</v>
      </c>
      <c r="H429" s="2" t="str">
        <f>IF(G429&gt;=0.5,"warm",IF(G429&lt;=-0.5,"cold","neutral"))</f>
        <v>neutral</v>
      </c>
      <c r="I429" s="2">
        <f>IF(H429=H428,I428+1,1)</f>
        <v>2</v>
      </c>
      <c r="J429" s="2">
        <f>IF(H429=H430,J430+1,1)</f>
        <v>12</v>
      </c>
      <c r="K429" s="2">
        <f>I429+J429-1</f>
        <v>13</v>
      </c>
      <c r="L429" s="2" t="str">
        <f>IF(H429="neutral","—",IF(K429&gt;=5,IF(H429="warm","El Niño","La Niña"),IF(ROW()+J429-1=920,IF(H429="warm","El Niño (ongoing)","La Niña (ongoing)"),"—")))</f>
        <v>—</v>
      </c>
      <c r="M429" s="2" t="inlineStr">
        <is>
          <t xml:space="preserve">1985/86</t>
        </is>
      </c>
    </row>
    <row r="430">
      <c r="A430" s="2" t="inlineStr">
        <is>
          <t xml:space="preserve">1985-09</t>
        </is>
      </c>
      <c r="B430" s="2">
        <v>1985</v>
      </c>
      <c r="C430" s="2">
        <v>9</v>
      </c>
      <c r="D430" s="2" t="inlineStr">
        <is>
          <t xml:space="preserve">ASO</t>
        </is>
      </c>
      <c r="E430" t="inlineStr">
        <is>
          <t xml:space="preserve">Aug 1985 – Oct 1985</t>
        </is>
      </c>
      <c r="F430" s="3">
        <v>-0.31</v>
      </c>
      <c r="G430" s="4">
        <f>ROUND(F430,1)</f>
        <v>-0.3</v>
      </c>
      <c r="H430" s="2" t="str">
        <f>IF(G430&gt;=0.5,"warm",IF(G430&lt;=-0.5,"cold","neutral"))</f>
        <v>neutral</v>
      </c>
      <c r="I430" s="2">
        <f>IF(H430=H429,I429+1,1)</f>
        <v>3</v>
      </c>
      <c r="J430" s="2">
        <f>IF(H430=H431,J431+1,1)</f>
        <v>11</v>
      </c>
      <c r="K430" s="2">
        <f>I430+J430-1</f>
        <v>13</v>
      </c>
      <c r="L430" s="2" t="str">
        <f>IF(H430="neutral","—",IF(K430&gt;=5,IF(H430="warm","El Niño","La Niña"),IF(ROW()+J430-1=920,IF(H430="warm","El Niño (ongoing)","La Niña (ongoing)"),"—")))</f>
        <v>—</v>
      </c>
      <c r="M430" s="2" t="inlineStr">
        <is>
          <t xml:space="preserve">1985/86</t>
        </is>
      </c>
    </row>
    <row r="431">
      <c r="A431" s="2" t="inlineStr">
        <is>
          <t xml:space="preserve">1985-10</t>
        </is>
      </c>
      <c r="B431" s="2">
        <v>1985</v>
      </c>
      <c r="C431" s="2">
        <v>10</v>
      </c>
      <c r="D431" s="2" t="inlineStr">
        <is>
          <t xml:space="preserve">SON</t>
        </is>
      </c>
      <c r="E431" t="inlineStr">
        <is>
          <t xml:space="preserve">Sep 1985 – Nov 1985</t>
        </is>
      </c>
      <c r="F431" s="3">
        <v>-0.3</v>
      </c>
      <c r="G431" s="4">
        <f>ROUND(F431,1)</f>
        <v>-0.3</v>
      </c>
      <c r="H431" s="2" t="str">
        <f>IF(G431&gt;=0.5,"warm",IF(G431&lt;=-0.5,"cold","neutral"))</f>
        <v>neutral</v>
      </c>
      <c r="I431" s="2">
        <f>IF(H431=H430,I430+1,1)</f>
        <v>4</v>
      </c>
      <c r="J431" s="2">
        <f>IF(H431=H432,J432+1,1)</f>
        <v>10</v>
      </c>
      <c r="K431" s="2">
        <f>I431+J431-1</f>
        <v>13</v>
      </c>
      <c r="L431" s="2" t="str">
        <f>IF(H431="neutral","—",IF(K431&gt;=5,IF(H431="warm","El Niño","La Niña"),IF(ROW()+J431-1=920,IF(H431="warm","El Niño (ongoing)","La Niña (ongoing)"),"—")))</f>
        <v>—</v>
      </c>
      <c r="M431" s="2" t="inlineStr">
        <is>
          <t xml:space="preserve">1985/86</t>
        </is>
      </c>
    </row>
    <row r="432">
      <c r="A432" s="2" t="inlineStr">
        <is>
          <t xml:space="preserve">1985-11</t>
        </is>
      </c>
      <c r="B432" s="2">
        <v>1985</v>
      </c>
      <c r="C432" s="2">
        <v>11</v>
      </c>
      <c r="D432" s="2" t="inlineStr">
        <is>
          <t xml:space="preserve">OND</t>
        </is>
      </c>
      <c r="E432" t="inlineStr">
        <is>
          <t xml:space="preserve">Oct 1985 – Dec 1985</t>
        </is>
      </c>
      <c r="F432" s="3">
        <v>-0.28</v>
      </c>
      <c r="G432" s="4">
        <f>ROUND(F432,1)</f>
        <v>-0.3</v>
      </c>
      <c r="H432" s="2" t="str">
        <f>IF(G432&gt;=0.5,"warm",IF(G432&lt;=-0.5,"cold","neutral"))</f>
        <v>neutral</v>
      </c>
      <c r="I432" s="2">
        <f>IF(H432=H431,I431+1,1)</f>
        <v>5</v>
      </c>
      <c r="J432" s="2">
        <f>IF(H432=H433,J433+1,1)</f>
        <v>9</v>
      </c>
      <c r="K432" s="2">
        <f>I432+J432-1</f>
        <v>13</v>
      </c>
      <c r="L432" s="2" t="str">
        <f>IF(H432="neutral","—",IF(K432&gt;=5,IF(H432="warm","El Niño","La Niña"),IF(ROW()+J432-1=920,IF(H432="warm","El Niño (ongoing)","La Niña (ongoing)"),"—")))</f>
        <v>—</v>
      </c>
      <c r="M432" s="2" t="inlineStr">
        <is>
          <t xml:space="preserve">1985/86</t>
        </is>
      </c>
    </row>
    <row r="433">
      <c r="A433" s="2" t="inlineStr">
        <is>
          <t xml:space="preserve">1985-12</t>
        </is>
      </c>
      <c r="B433" s="2">
        <v>1985</v>
      </c>
      <c r="C433" s="2">
        <v>12</v>
      </c>
      <c r="D433" s="2" t="inlineStr">
        <is>
          <t xml:space="preserve">NDJ</t>
        </is>
      </c>
      <c r="E433" t="inlineStr">
        <is>
          <t xml:space="preserve">Nov 1985 – Jan 1986</t>
        </is>
      </c>
      <c r="F433" s="3">
        <v>-0.36</v>
      </c>
      <c r="G433" s="4">
        <f>ROUND(F433,1)</f>
        <v>-0.4</v>
      </c>
      <c r="H433" s="2" t="str">
        <f>IF(G433&gt;=0.5,"warm",IF(G433&lt;=-0.5,"cold","neutral"))</f>
        <v>neutral</v>
      </c>
      <c r="I433" s="2">
        <f>IF(H433=H432,I432+1,1)</f>
        <v>6</v>
      </c>
      <c r="J433" s="2">
        <f>IF(H433=H434,J434+1,1)</f>
        <v>8</v>
      </c>
      <c r="K433" s="2">
        <f>I433+J433-1</f>
        <v>13</v>
      </c>
      <c r="L433" s="2" t="str">
        <f>IF(H433="neutral","—",IF(K433&gt;=5,IF(H433="warm","El Niño","La Niña"),IF(ROW()+J433-1=920,IF(H433="warm","El Niño (ongoing)","La Niña (ongoing)"),"—")))</f>
        <v>—</v>
      </c>
      <c r="M433" s="2" t="inlineStr">
        <is>
          <t xml:space="preserve">1985/86</t>
        </is>
      </c>
    </row>
    <row r="434">
      <c r="A434" s="2" t="inlineStr">
        <is>
          <t xml:space="preserve">1986-01</t>
        </is>
      </c>
      <c r="B434" s="2">
        <v>1986</v>
      </c>
      <c r="C434" s="2">
        <v>1</v>
      </c>
      <c r="D434" s="2" t="inlineStr">
        <is>
          <t xml:space="preserve">DJF</t>
        </is>
      </c>
      <c r="E434" t="inlineStr">
        <is>
          <t xml:space="preserve">Dec 1985 – Feb 1986</t>
        </is>
      </c>
      <c r="F434" s="3">
        <v>-0.4</v>
      </c>
      <c r="G434" s="4">
        <f>ROUND(F434,1)</f>
        <v>-0.4</v>
      </c>
      <c r="H434" s="2" t="str">
        <f>IF(G434&gt;=0.5,"warm",IF(G434&lt;=-0.5,"cold","neutral"))</f>
        <v>neutral</v>
      </c>
      <c r="I434" s="2">
        <f>IF(H434=H433,I433+1,1)</f>
        <v>7</v>
      </c>
      <c r="J434" s="2">
        <f>IF(H434=H435,J435+1,1)</f>
        <v>7</v>
      </c>
      <c r="K434" s="2">
        <f>I434+J434-1</f>
        <v>13</v>
      </c>
      <c r="L434" s="2" t="str">
        <f>IF(H434="neutral","—",IF(K434&gt;=5,IF(H434="warm","El Niño","La Niña"),IF(ROW()+J434-1=920,IF(H434="warm","El Niño (ongoing)","La Niña (ongoing)"),"—")))</f>
        <v>—</v>
      </c>
      <c r="M434" s="2" t="inlineStr">
        <is>
          <t xml:space="preserve">1985/86</t>
        </is>
      </c>
    </row>
    <row r="435">
      <c r="A435" s="2" t="inlineStr">
        <is>
          <t xml:space="preserve">1986-02</t>
        </is>
      </c>
      <c r="B435" s="2">
        <v>1986</v>
      </c>
      <c r="C435" s="2">
        <v>2</v>
      </c>
      <c r="D435" s="2" t="inlineStr">
        <is>
          <t xml:space="preserve">JFM</t>
        </is>
      </c>
      <c r="E435" t="inlineStr">
        <is>
          <t xml:space="preserve">Jan 1986 – Mar 1986</t>
        </is>
      </c>
      <c r="F435" s="3">
        <v>-0.38</v>
      </c>
      <c r="G435" s="4">
        <f>ROUND(F435,1)</f>
        <v>-0.4</v>
      </c>
      <c r="H435" s="2" t="str">
        <f>IF(G435&gt;=0.5,"warm",IF(G435&lt;=-0.5,"cold","neutral"))</f>
        <v>neutral</v>
      </c>
      <c r="I435" s="2">
        <f>IF(H435=H434,I434+1,1)</f>
        <v>8</v>
      </c>
      <c r="J435" s="2">
        <f>IF(H435=H436,J436+1,1)</f>
        <v>6</v>
      </c>
      <c r="K435" s="2">
        <f>I435+J435-1</f>
        <v>13</v>
      </c>
      <c r="L435" s="2" t="str">
        <f>IF(H435="neutral","—",IF(K435&gt;=5,IF(H435="warm","El Niño","La Niña"),IF(ROW()+J435-1=920,IF(H435="warm","El Niño (ongoing)","La Niña (ongoing)"),"—")))</f>
        <v>—</v>
      </c>
      <c r="M435" s="2" t="inlineStr">
        <is>
          <t xml:space="preserve">1985/86</t>
        </is>
      </c>
    </row>
    <row r="436">
      <c r="A436" s="2" t="inlineStr">
        <is>
          <t xml:space="preserve">1986-03</t>
        </is>
      </c>
      <c r="B436" s="2">
        <v>1986</v>
      </c>
      <c r="C436" s="2">
        <v>3</v>
      </c>
      <c r="D436" s="2" t="inlineStr">
        <is>
          <t xml:space="preserve">FMA</t>
        </is>
      </c>
      <c r="E436" t="inlineStr">
        <is>
          <t xml:space="preserve">Feb 1986 – Apr 1986</t>
        </is>
      </c>
      <c r="F436" s="3">
        <v>-0.25</v>
      </c>
      <c r="G436" s="4">
        <f>ROUND(F436,1)</f>
        <v>-0.3</v>
      </c>
      <c r="H436" s="2" t="str">
        <f>IF(G436&gt;=0.5,"warm",IF(G436&lt;=-0.5,"cold","neutral"))</f>
        <v>neutral</v>
      </c>
      <c r="I436" s="2">
        <f>IF(H436=H435,I435+1,1)</f>
        <v>9</v>
      </c>
      <c r="J436" s="2">
        <f>IF(H436=H437,J437+1,1)</f>
        <v>5</v>
      </c>
      <c r="K436" s="2">
        <f>I436+J436-1</f>
        <v>13</v>
      </c>
      <c r="L436" s="2" t="str">
        <f>IF(H436="neutral","—",IF(K436&gt;=5,IF(H436="warm","El Niño","La Niña"),IF(ROW()+J436-1=920,IF(H436="warm","El Niño (ongoing)","La Niña (ongoing)"),"—")))</f>
        <v>—</v>
      </c>
      <c r="M436" s="2" t="inlineStr">
        <is>
          <t xml:space="preserve">1985/86</t>
        </is>
      </c>
    </row>
    <row r="437">
      <c r="A437" s="2" t="inlineStr">
        <is>
          <t xml:space="preserve">1986-04</t>
        </is>
      </c>
      <c r="B437" s="2">
        <v>1986</v>
      </c>
      <c r="C437" s="2">
        <v>4</v>
      </c>
      <c r="D437" s="2" t="inlineStr">
        <is>
          <t xml:space="preserve">MAM</t>
        </is>
      </c>
      <c r="E437" t="inlineStr">
        <is>
          <t xml:space="preserve">Mar 1986 – May 1986</t>
        </is>
      </c>
      <c r="F437" s="3">
        <v>-0.17</v>
      </c>
      <c r="G437" s="4">
        <f>ROUND(F437,1)</f>
        <v>-0.2</v>
      </c>
      <c r="H437" s="2" t="str">
        <f>IF(G437&gt;=0.5,"warm",IF(G437&lt;=-0.5,"cold","neutral"))</f>
        <v>neutral</v>
      </c>
      <c r="I437" s="2">
        <f>IF(H437=H436,I436+1,1)</f>
        <v>10</v>
      </c>
      <c r="J437" s="2">
        <f>IF(H437=H438,J438+1,1)</f>
        <v>4</v>
      </c>
      <c r="K437" s="2">
        <f>I437+J437-1</f>
        <v>13</v>
      </c>
      <c r="L437" s="2" t="str">
        <f>IF(H437="neutral","—",IF(K437&gt;=5,IF(H437="warm","El Niño","La Niña"),IF(ROW()+J437-1=920,IF(H437="warm","El Niño (ongoing)","La Niña (ongoing)"),"—")))</f>
        <v>—</v>
      </c>
      <c r="M437" s="2" t="inlineStr">
        <is>
          <t xml:space="preserve">1985/86</t>
        </is>
      </c>
    </row>
    <row r="438">
      <c r="A438" s="2" t="inlineStr">
        <is>
          <t xml:space="preserve">1986-05</t>
        </is>
      </c>
      <c r="B438" s="2">
        <v>1986</v>
      </c>
      <c r="C438" s="2">
        <v>5</v>
      </c>
      <c r="D438" s="2" t="inlineStr">
        <is>
          <t xml:space="preserve">AMJ</t>
        </is>
      </c>
      <c r="E438" t="inlineStr">
        <is>
          <t xml:space="preserve">Apr 1986 – Jun 1986</t>
        </is>
      </c>
      <c r="F438" s="3">
        <v>-0.09</v>
      </c>
      <c r="G438" s="4">
        <f>ROUND(F438,1)</f>
        <v>-0.1</v>
      </c>
      <c r="H438" s="2" t="str">
        <f>IF(G438&gt;=0.5,"warm",IF(G438&lt;=-0.5,"cold","neutral"))</f>
        <v>neutral</v>
      </c>
      <c r="I438" s="2">
        <f>IF(H438=H437,I437+1,1)</f>
        <v>11</v>
      </c>
      <c r="J438" s="2">
        <f>IF(H438=H439,J439+1,1)</f>
        <v>3</v>
      </c>
      <c r="K438" s="2">
        <f>I438+J438-1</f>
        <v>13</v>
      </c>
      <c r="L438" s="2" t="str">
        <f>IF(H438="neutral","—",IF(K438&gt;=5,IF(H438="warm","El Niño","La Niña"),IF(ROW()+J438-1=920,IF(H438="warm","El Niño (ongoing)","La Niña (ongoing)"),"—")))</f>
        <v>—</v>
      </c>
      <c r="M438" s="2" t="inlineStr">
        <is>
          <t xml:space="preserve">1985/86</t>
        </is>
      </c>
    </row>
    <row r="439">
      <c r="A439" s="2" t="inlineStr">
        <is>
          <t xml:space="preserve">1986-06</t>
        </is>
      </c>
      <c r="B439" s="2">
        <v>1986</v>
      </c>
      <c r="C439" s="2">
        <v>6</v>
      </c>
      <c r="D439" s="2" t="inlineStr">
        <is>
          <t xml:space="preserve">MJJ</t>
        </is>
      </c>
      <c r="E439" t="inlineStr">
        <is>
          <t xml:space="preserve">May 1986 – Jul 1986</t>
        </is>
      </c>
      <c r="F439" s="3">
        <v>0.02</v>
      </c>
      <c r="G439" s="4">
        <f>ROUND(F439,1)</f>
        <v>0.0</v>
      </c>
      <c r="H439" s="2" t="str">
        <f>IF(G439&gt;=0.5,"warm",IF(G439&lt;=-0.5,"cold","neutral"))</f>
        <v>neutral</v>
      </c>
      <c r="I439" s="2">
        <f>IF(H439=H438,I438+1,1)</f>
        <v>12</v>
      </c>
      <c r="J439" s="2">
        <f>IF(H439=H440,J440+1,1)</f>
        <v>2</v>
      </c>
      <c r="K439" s="2">
        <f>I439+J439-1</f>
        <v>13</v>
      </c>
      <c r="L439" s="2" t="str">
        <f>IF(H439="neutral","—",IF(K439&gt;=5,IF(H439="warm","El Niño","La Niña"),IF(ROW()+J439-1=920,IF(H439="warm","El Niño (ongoing)","La Niña (ongoing)"),"—")))</f>
        <v>—</v>
      </c>
      <c r="M439" s="2" t="inlineStr">
        <is>
          <t xml:space="preserve">1985/86</t>
        </is>
      </c>
    </row>
    <row r="440">
      <c r="A440" s="2" t="inlineStr">
        <is>
          <t xml:space="preserve">1986-07</t>
        </is>
      </c>
      <c r="B440" s="2">
        <v>1986</v>
      </c>
      <c r="C440" s="2">
        <v>7</v>
      </c>
      <c r="D440" s="2" t="inlineStr">
        <is>
          <t xml:space="preserve">JJA</t>
        </is>
      </c>
      <c r="E440" t="inlineStr">
        <is>
          <t xml:space="preserve">Jun 1986 – Aug 1986</t>
        </is>
      </c>
      <c r="F440" s="3">
        <v>0.24</v>
      </c>
      <c r="G440" s="4">
        <f>ROUND(F440,1)</f>
        <v>0.2</v>
      </c>
      <c r="H440" s="2" t="str">
        <f>IF(G440&gt;=0.5,"warm",IF(G440&lt;=-0.5,"cold","neutral"))</f>
        <v>neutral</v>
      </c>
      <c r="I440" s="2">
        <f>IF(H440=H439,I439+1,1)</f>
        <v>13</v>
      </c>
      <c r="J440" s="2">
        <f>IF(H440=H441,J441+1,1)</f>
        <v>1</v>
      </c>
      <c r="K440" s="2">
        <f>I440+J440-1</f>
        <v>13</v>
      </c>
      <c r="L440" s="2" t="str">
        <f>IF(H440="neutral","—",IF(K440&gt;=5,IF(H440="warm","El Niño","La Niña"),IF(ROW()+J440-1=920,IF(H440="warm","El Niño (ongoing)","La Niña (ongoing)"),"—")))</f>
        <v>—</v>
      </c>
      <c r="M440" s="2" t="inlineStr">
        <is>
          <t xml:space="preserve">1986/87</t>
        </is>
      </c>
    </row>
    <row r="441">
      <c r="A441" s="2" t="inlineStr">
        <is>
          <t xml:space="preserve">1986-08</t>
        </is>
      </c>
      <c r="B441" s="2">
        <v>1986</v>
      </c>
      <c r="C441" s="2">
        <v>8</v>
      </c>
      <c r="D441" s="2" t="inlineStr">
        <is>
          <t xml:space="preserve">JAS</t>
        </is>
      </c>
      <c r="E441" t="inlineStr">
        <is>
          <t xml:space="preserve">Jul 1986 – Sep 1986</t>
        </is>
      </c>
      <c r="F441" s="3">
        <v>0.46</v>
      </c>
      <c r="G441" s="4">
        <f>ROUND(F441,1)</f>
        <v>0.5</v>
      </c>
      <c r="H441" s="2" t="str">
        <f>IF(G441&gt;=0.5,"warm",IF(G441&lt;=-0.5,"cold","neutral"))</f>
        <v>warm</v>
      </c>
      <c r="I441" s="2">
        <f>IF(H441=H440,I440+1,1)</f>
        <v>1</v>
      </c>
      <c r="J441" s="2">
        <f>IF(H441=H442,J442+1,1)</f>
        <v>18</v>
      </c>
      <c r="K441" s="2">
        <f>I441+J441-1</f>
        <v>18</v>
      </c>
      <c r="L441" s="6" t="str">
        <f>IF(H441="neutral","—",IF(K441&gt;=5,IF(H441="warm","El Niño","La Niña"),IF(ROW()+J441-1=920,IF(H441="warm","El Niño (ongoing)","La Niña (ongoing)"),"—")))</f>
        <v>El Niño</v>
      </c>
      <c r="M441" s="2" t="inlineStr">
        <is>
          <t xml:space="preserve">1986/87</t>
        </is>
      </c>
    </row>
    <row r="442">
      <c r="A442" s="2" t="inlineStr">
        <is>
          <t xml:space="preserve">1986-09</t>
        </is>
      </c>
      <c r="B442" s="2">
        <v>1986</v>
      </c>
      <c r="C442" s="2">
        <v>9</v>
      </c>
      <c r="D442" s="2" t="inlineStr">
        <is>
          <t xml:space="preserve">ASO</t>
        </is>
      </c>
      <c r="E442" t="inlineStr">
        <is>
          <t xml:space="preserve">Aug 1986 – Oct 1986</t>
        </is>
      </c>
      <c r="F442" s="3">
        <v>0.64</v>
      </c>
      <c r="G442" s="4">
        <f>ROUND(F442,1)</f>
        <v>0.6</v>
      </c>
      <c r="H442" s="2" t="str">
        <f>IF(G442&gt;=0.5,"warm",IF(G442&lt;=-0.5,"cold","neutral"))</f>
        <v>warm</v>
      </c>
      <c r="I442" s="2">
        <f>IF(H442=H441,I441+1,1)</f>
        <v>2</v>
      </c>
      <c r="J442" s="2">
        <f>IF(H442=H443,J443+1,1)</f>
        <v>17</v>
      </c>
      <c r="K442" s="2">
        <f>I442+J442-1</f>
        <v>18</v>
      </c>
      <c r="L442" s="6" t="str">
        <f>IF(H442="neutral","—",IF(K442&gt;=5,IF(H442="warm","El Niño","La Niña"),IF(ROW()+J442-1=920,IF(H442="warm","El Niño (ongoing)","La Niña (ongoing)"),"—")))</f>
        <v>El Niño</v>
      </c>
      <c r="M442" s="2" t="inlineStr">
        <is>
          <t xml:space="preserve">1986/87</t>
        </is>
      </c>
    </row>
    <row r="443">
      <c r="A443" s="2" t="inlineStr">
        <is>
          <t xml:space="preserve">1986-10</t>
        </is>
      </c>
      <c r="B443" s="2">
        <v>1986</v>
      </c>
      <c r="C443" s="2">
        <v>10</v>
      </c>
      <c r="D443" s="2" t="inlineStr">
        <is>
          <t xml:space="preserve">SON</t>
        </is>
      </c>
      <c r="E443" t="inlineStr">
        <is>
          <t xml:space="preserve">Sep 1986 – Nov 1986</t>
        </is>
      </c>
      <c r="F443" s="3">
        <v>0.86</v>
      </c>
      <c r="G443" s="4">
        <f>ROUND(F443,1)</f>
        <v>0.9</v>
      </c>
      <c r="H443" s="2" t="str">
        <f>IF(G443&gt;=0.5,"warm",IF(G443&lt;=-0.5,"cold","neutral"))</f>
        <v>warm</v>
      </c>
      <c r="I443" s="2">
        <f>IF(H443=H442,I442+1,1)</f>
        <v>3</v>
      </c>
      <c r="J443" s="2">
        <f>IF(H443=H444,J444+1,1)</f>
        <v>16</v>
      </c>
      <c r="K443" s="2">
        <f>I443+J443-1</f>
        <v>18</v>
      </c>
      <c r="L443" s="6" t="str">
        <f>IF(H443="neutral","—",IF(K443&gt;=5,IF(H443="warm","El Niño","La Niña"),IF(ROW()+J443-1=920,IF(H443="warm","El Niño (ongoing)","La Niña (ongoing)"),"—")))</f>
        <v>El Niño</v>
      </c>
      <c r="M443" s="2" t="inlineStr">
        <is>
          <t xml:space="preserve">1986/87</t>
        </is>
      </c>
    </row>
    <row r="444">
      <c r="A444" s="2" t="inlineStr">
        <is>
          <t xml:space="preserve">1986-11</t>
        </is>
      </c>
      <c r="B444" s="2">
        <v>1986</v>
      </c>
      <c r="C444" s="2">
        <v>11</v>
      </c>
      <c r="D444" s="2" t="inlineStr">
        <is>
          <t xml:space="preserve">OND</t>
        </is>
      </c>
      <c r="E444" t="inlineStr">
        <is>
          <t xml:space="preserve">Oct 1986 – Dec 1986</t>
        </is>
      </c>
      <c r="F444" s="3">
        <v>1.06</v>
      </c>
      <c r="G444" s="4">
        <f>ROUND(F444,1)</f>
        <v>1.1</v>
      </c>
      <c r="H444" s="2" t="str">
        <f>IF(G444&gt;=0.5,"warm",IF(G444&lt;=-0.5,"cold","neutral"))</f>
        <v>warm</v>
      </c>
      <c r="I444" s="2">
        <f>IF(H444=H443,I443+1,1)</f>
        <v>4</v>
      </c>
      <c r="J444" s="2">
        <f>IF(H444=H445,J445+1,1)</f>
        <v>15</v>
      </c>
      <c r="K444" s="2">
        <f>I444+J444-1</f>
        <v>18</v>
      </c>
      <c r="L444" s="6" t="str">
        <f>IF(H444="neutral","—",IF(K444&gt;=5,IF(H444="warm","El Niño","La Niña"),IF(ROW()+J444-1=920,IF(H444="warm","El Niño (ongoing)","La Niña (ongoing)"),"—")))</f>
        <v>El Niño</v>
      </c>
      <c r="M444" s="2" t="inlineStr">
        <is>
          <t xml:space="preserve">1986/87</t>
        </is>
      </c>
    </row>
    <row r="445">
      <c r="A445" s="2" t="inlineStr">
        <is>
          <t xml:space="preserve">1986-12</t>
        </is>
      </c>
      <c r="B445" s="2">
        <v>1986</v>
      </c>
      <c r="C445" s="2">
        <v>12</v>
      </c>
      <c r="D445" s="2" t="inlineStr">
        <is>
          <t xml:space="preserve">NDJ</t>
        </is>
      </c>
      <c r="E445" t="inlineStr">
        <is>
          <t xml:space="preserve">Nov 1986 – Jan 1987</t>
        </is>
      </c>
      <c r="F445" s="3">
        <v>1.21</v>
      </c>
      <c r="G445" s="4">
        <f>ROUND(F445,1)</f>
        <v>1.2</v>
      </c>
      <c r="H445" s="2" t="str">
        <f>IF(G445&gt;=0.5,"warm",IF(G445&lt;=-0.5,"cold","neutral"))</f>
        <v>warm</v>
      </c>
      <c r="I445" s="2">
        <f>IF(H445=H444,I444+1,1)</f>
        <v>5</v>
      </c>
      <c r="J445" s="2">
        <f>IF(H445=H446,J446+1,1)</f>
        <v>14</v>
      </c>
      <c r="K445" s="2">
        <f>I445+J445-1</f>
        <v>18</v>
      </c>
      <c r="L445" s="6" t="str">
        <f>IF(H445="neutral","—",IF(K445&gt;=5,IF(H445="warm","El Niño","La Niña"),IF(ROW()+J445-1=920,IF(H445="warm","El Niño (ongoing)","La Niña (ongoing)"),"—")))</f>
        <v>El Niño</v>
      </c>
      <c r="M445" s="2" t="inlineStr">
        <is>
          <t xml:space="preserve">1986/87</t>
        </is>
      </c>
    </row>
    <row r="446">
      <c r="A446" s="2" t="inlineStr">
        <is>
          <t xml:space="preserve">1987-01</t>
        </is>
      </c>
      <c r="B446" s="2">
        <v>1987</v>
      </c>
      <c r="C446" s="2">
        <v>1</v>
      </c>
      <c r="D446" s="2" t="inlineStr">
        <is>
          <t xml:space="preserve">DJF</t>
        </is>
      </c>
      <c r="E446" t="inlineStr">
        <is>
          <t xml:space="preserve">Dec 1986 – Feb 1987</t>
        </is>
      </c>
      <c r="F446" s="3">
        <v>1.18</v>
      </c>
      <c r="G446" s="4">
        <f>ROUND(F446,1)</f>
        <v>1.2</v>
      </c>
      <c r="H446" s="2" t="str">
        <f>IF(G446&gt;=0.5,"warm",IF(G446&lt;=-0.5,"cold","neutral"))</f>
        <v>warm</v>
      </c>
      <c r="I446" s="2">
        <f>IF(H446=H445,I445+1,1)</f>
        <v>6</v>
      </c>
      <c r="J446" s="2">
        <f>IF(H446=H447,J447+1,1)</f>
        <v>13</v>
      </c>
      <c r="K446" s="2">
        <f>I446+J446-1</f>
        <v>18</v>
      </c>
      <c r="L446" s="6" t="str">
        <f>IF(H446="neutral","—",IF(K446&gt;=5,IF(H446="warm","El Niño","La Niña"),IF(ROW()+J446-1=920,IF(H446="warm","El Niño (ongoing)","La Niña (ongoing)"),"—")))</f>
        <v>El Niño</v>
      </c>
      <c r="M446" s="2" t="inlineStr">
        <is>
          <t xml:space="preserve">1986/87</t>
        </is>
      </c>
    </row>
    <row r="447">
      <c r="A447" s="2" t="inlineStr">
        <is>
          <t xml:space="preserve">1987-02</t>
        </is>
      </c>
      <c r="B447" s="2">
        <v>1987</v>
      </c>
      <c r="C447" s="2">
        <v>2</v>
      </c>
      <c r="D447" s="2" t="inlineStr">
        <is>
          <t xml:space="preserve">JFM</t>
        </is>
      </c>
      <c r="E447" t="inlineStr">
        <is>
          <t xml:space="preserve">Jan 1987 – Mar 1987</t>
        </is>
      </c>
      <c r="F447" s="3">
        <v>1.13</v>
      </c>
      <c r="G447" s="4">
        <f>ROUND(F447,1)</f>
        <v>1.1</v>
      </c>
      <c r="H447" s="2" t="str">
        <f>IF(G447&gt;=0.5,"warm",IF(G447&lt;=-0.5,"cold","neutral"))</f>
        <v>warm</v>
      </c>
      <c r="I447" s="2">
        <f>IF(H447=H446,I446+1,1)</f>
        <v>7</v>
      </c>
      <c r="J447" s="2">
        <f>IF(H447=H448,J448+1,1)</f>
        <v>12</v>
      </c>
      <c r="K447" s="2">
        <f>I447+J447-1</f>
        <v>18</v>
      </c>
      <c r="L447" s="6" t="str">
        <f>IF(H447="neutral","—",IF(K447&gt;=5,IF(H447="warm","El Niño","La Niña"),IF(ROW()+J447-1=920,IF(H447="warm","El Niño (ongoing)","La Niña (ongoing)"),"—")))</f>
        <v>El Niño</v>
      </c>
      <c r="M447" s="2" t="inlineStr">
        <is>
          <t xml:space="preserve">1986/87</t>
        </is>
      </c>
    </row>
    <row r="448">
      <c r="A448" s="2" t="inlineStr">
        <is>
          <t xml:space="preserve">1987-03</t>
        </is>
      </c>
      <c r="B448" s="2">
        <v>1987</v>
      </c>
      <c r="C448" s="2">
        <v>3</v>
      </c>
      <c r="D448" s="2" t="inlineStr">
        <is>
          <t xml:space="preserve">FMA</t>
        </is>
      </c>
      <c r="E448" t="inlineStr">
        <is>
          <t xml:space="preserve">Feb 1987 – Apr 1987</t>
        </is>
      </c>
      <c r="F448" s="3">
        <v>1.02</v>
      </c>
      <c r="G448" s="4">
        <f>ROUND(F448,1)</f>
        <v>1.0</v>
      </c>
      <c r="H448" s="2" t="str">
        <f>IF(G448&gt;=0.5,"warm",IF(G448&lt;=-0.5,"cold","neutral"))</f>
        <v>warm</v>
      </c>
      <c r="I448" s="2">
        <f>IF(H448=H447,I447+1,1)</f>
        <v>8</v>
      </c>
      <c r="J448" s="2">
        <f>IF(H448=H449,J449+1,1)</f>
        <v>11</v>
      </c>
      <c r="K448" s="2">
        <f>I448+J448-1</f>
        <v>18</v>
      </c>
      <c r="L448" s="6" t="str">
        <f>IF(H448="neutral","—",IF(K448&gt;=5,IF(H448="warm","El Niño","La Niña"),IF(ROW()+J448-1=920,IF(H448="warm","El Niño (ongoing)","La Niña (ongoing)"),"—")))</f>
        <v>El Niño</v>
      </c>
      <c r="M448" s="2" t="inlineStr">
        <is>
          <t xml:space="preserve">1986/87</t>
        </is>
      </c>
    </row>
    <row r="449">
      <c r="A449" s="2" t="inlineStr">
        <is>
          <t xml:space="preserve">1987-04</t>
        </is>
      </c>
      <c r="B449" s="2">
        <v>1987</v>
      </c>
      <c r="C449" s="2">
        <v>4</v>
      </c>
      <c r="D449" s="2" t="inlineStr">
        <is>
          <t xml:space="preserve">MAM</t>
        </is>
      </c>
      <c r="E449" t="inlineStr">
        <is>
          <t xml:space="preserve">Mar 1987 – May 1987</t>
        </is>
      </c>
      <c r="F449" s="3">
        <v>0.94</v>
      </c>
      <c r="G449" s="4">
        <f>ROUND(F449,1)</f>
        <v>0.9</v>
      </c>
      <c r="H449" s="2" t="str">
        <f>IF(G449&gt;=0.5,"warm",IF(G449&lt;=-0.5,"cold","neutral"))</f>
        <v>warm</v>
      </c>
      <c r="I449" s="2">
        <f>IF(H449=H448,I448+1,1)</f>
        <v>9</v>
      </c>
      <c r="J449" s="2">
        <f>IF(H449=H450,J450+1,1)</f>
        <v>10</v>
      </c>
      <c r="K449" s="2">
        <f>I449+J449-1</f>
        <v>18</v>
      </c>
      <c r="L449" s="6" t="str">
        <f>IF(H449="neutral","—",IF(K449&gt;=5,IF(H449="warm","El Niño","La Niña"),IF(ROW()+J449-1=920,IF(H449="warm","El Niño (ongoing)","La Niña (ongoing)"),"—")))</f>
        <v>El Niño</v>
      </c>
      <c r="M449" s="2" t="inlineStr">
        <is>
          <t xml:space="preserve">1986/87</t>
        </is>
      </c>
    </row>
    <row r="450">
      <c r="A450" s="2" t="inlineStr">
        <is>
          <t xml:space="preserve">1987-05</t>
        </is>
      </c>
      <c r="B450" s="2">
        <v>1987</v>
      </c>
      <c r="C450" s="2">
        <v>5</v>
      </c>
      <c r="D450" s="2" t="inlineStr">
        <is>
          <t xml:space="preserve">AMJ</t>
        </is>
      </c>
      <c r="E450" t="inlineStr">
        <is>
          <t xml:space="preserve">Apr 1987 – Jun 1987</t>
        </is>
      </c>
      <c r="F450" s="3">
        <v>0.95</v>
      </c>
      <c r="G450" s="4">
        <f>ROUND(F450,1)</f>
        <v>1.0</v>
      </c>
      <c r="H450" s="2" t="str">
        <f>IF(G450&gt;=0.5,"warm",IF(G450&lt;=-0.5,"cold","neutral"))</f>
        <v>warm</v>
      </c>
      <c r="I450" s="2">
        <f>IF(H450=H449,I449+1,1)</f>
        <v>10</v>
      </c>
      <c r="J450" s="2">
        <f>IF(H450=H451,J451+1,1)</f>
        <v>9</v>
      </c>
      <c r="K450" s="2">
        <f>I450+J450-1</f>
        <v>18</v>
      </c>
      <c r="L450" s="6" t="str">
        <f>IF(H450="neutral","—",IF(K450&gt;=5,IF(H450="warm","El Niño","La Niña"),IF(ROW()+J450-1=920,IF(H450="warm","El Niño (ongoing)","La Niña (ongoing)"),"—")))</f>
        <v>El Niño</v>
      </c>
      <c r="M450" s="2" t="inlineStr">
        <is>
          <t xml:space="preserve">1986/87</t>
        </is>
      </c>
    </row>
    <row r="451">
      <c r="A451" s="2" t="inlineStr">
        <is>
          <t xml:space="preserve">1987-06</t>
        </is>
      </c>
      <c r="B451" s="2">
        <v>1987</v>
      </c>
      <c r="C451" s="2">
        <v>6</v>
      </c>
      <c r="D451" s="2" t="inlineStr">
        <is>
          <t xml:space="preserve">MJJ</t>
        </is>
      </c>
      <c r="E451" t="inlineStr">
        <is>
          <t xml:space="preserve">May 1987 – Jul 1987</t>
        </is>
      </c>
      <c r="F451" s="3">
        <v>1.11</v>
      </c>
      <c r="G451" s="4">
        <f>ROUND(F451,1)</f>
        <v>1.1</v>
      </c>
      <c r="H451" s="2" t="str">
        <f>IF(G451&gt;=0.5,"warm",IF(G451&lt;=-0.5,"cold","neutral"))</f>
        <v>warm</v>
      </c>
      <c r="I451" s="2">
        <f>IF(H451=H450,I450+1,1)</f>
        <v>11</v>
      </c>
      <c r="J451" s="2">
        <f>IF(H451=H452,J452+1,1)</f>
        <v>8</v>
      </c>
      <c r="K451" s="2">
        <f>I451+J451-1</f>
        <v>18</v>
      </c>
      <c r="L451" s="6" t="str">
        <f>IF(H451="neutral","—",IF(K451&gt;=5,IF(H451="warm","El Niño","La Niña"),IF(ROW()+J451-1=920,IF(H451="warm","El Niño (ongoing)","La Niña (ongoing)"),"—")))</f>
        <v>El Niño</v>
      </c>
      <c r="M451" s="2" t="inlineStr">
        <is>
          <t xml:space="preserve">1986/87</t>
        </is>
      </c>
    </row>
    <row r="452">
      <c r="A452" s="2" t="inlineStr">
        <is>
          <t xml:space="preserve">1987-07</t>
        </is>
      </c>
      <c r="B452" s="2">
        <v>1987</v>
      </c>
      <c r="C452" s="2">
        <v>7</v>
      </c>
      <c r="D452" s="2" t="inlineStr">
        <is>
          <t xml:space="preserve">JJA</t>
        </is>
      </c>
      <c r="E452" t="inlineStr">
        <is>
          <t xml:space="preserve">Jun 1987 – Aug 1987</t>
        </is>
      </c>
      <c r="F452" s="3">
        <v>1.3</v>
      </c>
      <c r="G452" s="4">
        <f>ROUND(F452,1)</f>
        <v>1.3</v>
      </c>
      <c r="H452" s="2" t="str">
        <f>IF(G452&gt;=0.5,"warm",IF(G452&lt;=-0.5,"cold","neutral"))</f>
        <v>warm</v>
      </c>
      <c r="I452" s="2">
        <f>IF(H452=H451,I451+1,1)</f>
        <v>12</v>
      </c>
      <c r="J452" s="2">
        <f>IF(H452=H453,J453+1,1)</f>
        <v>7</v>
      </c>
      <c r="K452" s="2">
        <f>I452+J452-1</f>
        <v>18</v>
      </c>
      <c r="L452" s="6" t="str">
        <f>IF(H452="neutral","—",IF(K452&gt;=5,IF(H452="warm","El Niño","La Niña"),IF(ROW()+J452-1=920,IF(H452="warm","El Niño (ongoing)","La Niña (ongoing)"),"—")))</f>
        <v>El Niño</v>
      </c>
      <c r="M452" s="2" t="inlineStr">
        <is>
          <t xml:space="preserve">1987/88</t>
        </is>
      </c>
    </row>
    <row r="453">
      <c r="A453" s="2" t="inlineStr">
        <is>
          <t xml:space="preserve">1987-08</t>
        </is>
      </c>
      <c r="B453" s="2">
        <v>1987</v>
      </c>
      <c r="C453" s="2">
        <v>8</v>
      </c>
      <c r="D453" s="2" t="inlineStr">
        <is>
          <t xml:space="preserve">JAS</t>
        </is>
      </c>
      <c r="E453" t="inlineStr">
        <is>
          <t xml:space="preserve">Jul 1987 – Sep 1987</t>
        </is>
      </c>
      <c r="F453" s="3">
        <v>1.46</v>
      </c>
      <c r="G453" s="4">
        <f>ROUND(F453,1)</f>
        <v>1.5</v>
      </c>
      <c r="H453" s="2" t="str">
        <f>IF(G453&gt;=0.5,"warm",IF(G453&lt;=-0.5,"cold","neutral"))</f>
        <v>warm</v>
      </c>
      <c r="I453" s="2">
        <f>IF(H453=H452,I452+1,1)</f>
        <v>13</v>
      </c>
      <c r="J453" s="2">
        <f>IF(H453=H454,J454+1,1)</f>
        <v>6</v>
      </c>
      <c r="K453" s="2">
        <f>I453+J453-1</f>
        <v>18</v>
      </c>
      <c r="L453" s="6" t="str">
        <f>IF(H453="neutral","—",IF(K453&gt;=5,IF(H453="warm","El Niño","La Niña"),IF(ROW()+J453-1=920,IF(H453="warm","El Niño (ongoing)","La Niña (ongoing)"),"—")))</f>
        <v>El Niño</v>
      </c>
      <c r="M453" s="2" t="inlineStr">
        <is>
          <t xml:space="preserve">1987/88</t>
        </is>
      </c>
    </row>
    <row r="454">
      <c r="A454" s="2" t="inlineStr">
        <is>
          <t xml:space="preserve">1987-09</t>
        </is>
      </c>
      <c r="B454" s="2">
        <v>1987</v>
      </c>
      <c r="C454" s="2">
        <v>9</v>
      </c>
      <c r="D454" s="2" t="inlineStr">
        <is>
          <t xml:space="preserve">ASO</t>
        </is>
      </c>
      <c r="E454" t="inlineStr">
        <is>
          <t xml:space="preserve">Aug 1987 – Oct 1987</t>
        </is>
      </c>
      <c r="F454" s="3">
        <v>1.49</v>
      </c>
      <c r="G454" s="4">
        <f>ROUND(F454,1)</f>
        <v>1.5</v>
      </c>
      <c r="H454" s="2" t="str">
        <f>IF(G454&gt;=0.5,"warm",IF(G454&lt;=-0.5,"cold","neutral"))</f>
        <v>warm</v>
      </c>
      <c r="I454" s="2">
        <f>IF(H454=H453,I453+1,1)</f>
        <v>14</v>
      </c>
      <c r="J454" s="2">
        <f>IF(H454=H455,J455+1,1)</f>
        <v>5</v>
      </c>
      <c r="K454" s="2">
        <f>I454+J454-1</f>
        <v>18</v>
      </c>
      <c r="L454" s="6" t="str">
        <f>IF(H454="neutral","—",IF(K454&gt;=5,IF(H454="warm","El Niño","La Niña"),IF(ROW()+J454-1=920,IF(H454="warm","El Niño (ongoing)","La Niña (ongoing)"),"—")))</f>
        <v>El Niño</v>
      </c>
      <c r="M454" s="2" t="inlineStr">
        <is>
          <t xml:space="preserve">1987/88</t>
        </is>
      </c>
    </row>
    <row r="455">
      <c r="A455" s="2" t="inlineStr">
        <is>
          <t xml:space="preserve">1987-10</t>
        </is>
      </c>
      <c r="B455" s="2">
        <v>1987</v>
      </c>
      <c r="C455" s="2">
        <v>10</v>
      </c>
      <c r="D455" s="2" t="inlineStr">
        <is>
          <t xml:space="preserve">SON</t>
        </is>
      </c>
      <c r="E455" t="inlineStr">
        <is>
          <t xml:space="preserve">Sep 1987 – Nov 1987</t>
        </is>
      </c>
      <c r="F455" s="3">
        <v>1.41</v>
      </c>
      <c r="G455" s="4">
        <f>ROUND(F455,1)</f>
        <v>1.4</v>
      </c>
      <c r="H455" s="2" t="str">
        <f>IF(G455&gt;=0.5,"warm",IF(G455&lt;=-0.5,"cold","neutral"))</f>
        <v>warm</v>
      </c>
      <c r="I455" s="2">
        <f>IF(H455=H454,I454+1,1)</f>
        <v>15</v>
      </c>
      <c r="J455" s="2">
        <f>IF(H455=H456,J456+1,1)</f>
        <v>4</v>
      </c>
      <c r="K455" s="2">
        <f>I455+J455-1</f>
        <v>18</v>
      </c>
      <c r="L455" s="6" t="str">
        <f>IF(H455="neutral","—",IF(K455&gt;=5,IF(H455="warm","El Niño","La Niña"),IF(ROW()+J455-1=920,IF(H455="warm","El Niño (ongoing)","La Niña (ongoing)"),"—")))</f>
        <v>El Niño</v>
      </c>
      <c r="M455" s="2" t="inlineStr">
        <is>
          <t xml:space="preserve">1987/88</t>
        </is>
      </c>
    </row>
    <row r="456">
      <c r="A456" s="2" t="inlineStr">
        <is>
          <t xml:space="preserve">1987-11</t>
        </is>
      </c>
      <c r="B456" s="2">
        <v>1987</v>
      </c>
      <c r="C456" s="2">
        <v>11</v>
      </c>
      <c r="D456" s="2" t="inlineStr">
        <is>
          <t xml:space="preserve">OND</t>
        </is>
      </c>
      <c r="E456" t="inlineStr">
        <is>
          <t xml:space="preserve">Oct 1987 – Dec 1987</t>
        </is>
      </c>
      <c r="F456" s="3">
        <v>1.2</v>
      </c>
      <c r="G456" s="4">
        <f>ROUND(F456,1)</f>
        <v>1.2</v>
      </c>
      <c r="H456" s="2" t="str">
        <f>IF(G456&gt;=0.5,"warm",IF(G456&lt;=-0.5,"cold","neutral"))</f>
        <v>warm</v>
      </c>
      <c r="I456" s="2">
        <f>IF(H456=H455,I455+1,1)</f>
        <v>16</v>
      </c>
      <c r="J456" s="2">
        <f>IF(H456=H457,J457+1,1)</f>
        <v>3</v>
      </c>
      <c r="K456" s="2">
        <f>I456+J456-1</f>
        <v>18</v>
      </c>
      <c r="L456" s="6" t="str">
        <f>IF(H456="neutral","—",IF(K456&gt;=5,IF(H456="warm","El Niño","La Niña"),IF(ROW()+J456-1=920,IF(H456="warm","El Niño (ongoing)","La Niña (ongoing)"),"—")))</f>
        <v>El Niño</v>
      </c>
      <c r="M456" s="2" t="inlineStr">
        <is>
          <t xml:space="preserve">1987/88</t>
        </is>
      </c>
    </row>
    <row r="457">
      <c r="A457" s="2" t="inlineStr">
        <is>
          <t xml:space="preserve">1987-12</t>
        </is>
      </c>
      <c r="B457" s="2">
        <v>1987</v>
      </c>
      <c r="C457" s="2">
        <v>12</v>
      </c>
      <c r="D457" s="2" t="inlineStr">
        <is>
          <t xml:space="preserve">NDJ</t>
        </is>
      </c>
      <c r="E457" t="inlineStr">
        <is>
          <t xml:space="preserve">Nov 1987 – Jan 1988</t>
        </is>
      </c>
      <c r="F457" s="3">
        <v>1.0</v>
      </c>
      <c r="G457" s="4">
        <f>ROUND(F457,1)</f>
        <v>1.0</v>
      </c>
      <c r="H457" s="2" t="str">
        <f>IF(G457&gt;=0.5,"warm",IF(G457&lt;=-0.5,"cold","neutral"))</f>
        <v>warm</v>
      </c>
      <c r="I457" s="2">
        <f>IF(H457=H456,I456+1,1)</f>
        <v>17</v>
      </c>
      <c r="J457" s="2">
        <f>IF(H457=H458,J458+1,1)</f>
        <v>2</v>
      </c>
      <c r="K457" s="2">
        <f>I457+J457-1</f>
        <v>18</v>
      </c>
      <c r="L457" s="6" t="str">
        <f>IF(H457="neutral","—",IF(K457&gt;=5,IF(H457="warm","El Niño","La Niña"),IF(ROW()+J457-1=920,IF(H457="warm","El Niño (ongoing)","La Niña (ongoing)"),"—")))</f>
        <v>El Niño</v>
      </c>
      <c r="M457" s="2" t="inlineStr">
        <is>
          <t xml:space="preserve">1987/88</t>
        </is>
      </c>
    </row>
    <row r="458">
      <c r="A458" s="2" t="inlineStr">
        <is>
          <t xml:space="preserve">1988-01</t>
        </is>
      </c>
      <c r="B458" s="2">
        <v>1988</v>
      </c>
      <c r="C458" s="2">
        <v>1</v>
      </c>
      <c r="D458" s="2" t="inlineStr">
        <is>
          <t xml:space="preserve">DJF</t>
        </is>
      </c>
      <c r="E458" t="inlineStr">
        <is>
          <t xml:space="preserve">Dec 1987 – Feb 1988</t>
        </is>
      </c>
      <c r="F458" s="3">
        <v>0.63</v>
      </c>
      <c r="G458" s="4">
        <f>ROUND(F458,1)</f>
        <v>0.6</v>
      </c>
      <c r="H458" s="2" t="str">
        <f>IF(G458&gt;=0.5,"warm",IF(G458&lt;=-0.5,"cold","neutral"))</f>
        <v>warm</v>
      </c>
      <c r="I458" s="2">
        <f>IF(H458=H457,I457+1,1)</f>
        <v>18</v>
      </c>
      <c r="J458" s="2">
        <f>IF(H458=H459,J459+1,1)</f>
        <v>1</v>
      </c>
      <c r="K458" s="2">
        <f>I458+J458-1</f>
        <v>18</v>
      </c>
      <c r="L458" s="6" t="str">
        <f>IF(H458="neutral","—",IF(K458&gt;=5,IF(H458="warm","El Niño","La Niña"),IF(ROW()+J458-1=920,IF(H458="warm","El Niño (ongoing)","La Niña (ongoing)"),"—")))</f>
        <v>El Niño</v>
      </c>
      <c r="M458" s="2" t="inlineStr">
        <is>
          <t xml:space="preserve">1987/88</t>
        </is>
      </c>
    </row>
    <row r="459">
      <c r="A459" s="2" t="inlineStr">
        <is>
          <t xml:space="preserve">1988-02</t>
        </is>
      </c>
      <c r="B459" s="2">
        <v>1988</v>
      </c>
      <c r="C459" s="2">
        <v>2</v>
      </c>
      <c r="D459" s="2" t="inlineStr">
        <is>
          <t xml:space="preserve">JFM</t>
        </is>
      </c>
      <c r="E459" t="inlineStr">
        <is>
          <t xml:space="preserve">Jan 1988 – Mar 1988</t>
        </is>
      </c>
      <c r="F459" s="3">
        <v>0.37</v>
      </c>
      <c r="G459" s="4">
        <f>ROUND(F459,1)</f>
        <v>0.4</v>
      </c>
      <c r="H459" s="2" t="str">
        <f>IF(G459&gt;=0.5,"warm",IF(G459&lt;=-0.5,"cold","neutral"))</f>
        <v>neutral</v>
      </c>
      <c r="I459" s="2">
        <f>IF(H459=H458,I458+1,1)</f>
        <v>1</v>
      </c>
      <c r="J459" s="2">
        <f>IF(H459=H460,J460+1,1)</f>
        <v>2</v>
      </c>
      <c r="K459" s="2">
        <f>I459+J459-1</f>
        <v>2</v>
      </c>
      <c r="L459" s="2" t="str">
        <f>IF(H459="neutral","—",IF(K459&gt;=5,IF(H459="warm","El Niño","La Niña"),IF(ROW()+J459-1=920,IF(H459="warm","El Niño (ongoing)","La Niña (ongoing)"),"—")))</f>
        <v>—</v>
      </c>
      <c r="M459" s="2" t="inlineStr">
        <is>
          <t xml:space="preserve">1987/88</t>
        </is>
      </c>
    </row>
    <row r="460">
      <c r="A460" s="2" t="inlineStr">
        <is>
          <t xml:space="preserve">1988-03</t>
        </is>
      </c>
      <c r="B460" s="2">
        <v>1988</v>
      </c>
      <c r="C460" s="2">
        <v>3</v>
      </c>
      <c r="D460" s="2" t="inlineStr">
        <is>
          <t xml:space="preserve">FMA</t>
        </is>
      </c>
      <c r="E460" t="inlineStr">
        <is>
          <t xml:space="preserve">Feb 1988 – Apr 1988</t>
        </is>
      </c>
      <c r="F460" s="3">
        <v>-0.03</v>
      </c>
      <c r="G460" s="4">
        <f>ROUND(F460,1)</f>
        <v>-0.0</v>
      </c>
      <c r="H460" s="2" t="str">
        <f>IF(G460&gt;=0.5,"warm",IF(G460&lt;=-0.5,"cold","neutral"))</f>
        <v>neutral</v>
      </c>
      <c r="I460" s="2">
        <f>IF(H460=H459,I459+1,1)</f>
        <v>2</v>
      </c>
      <c r="J460" s="2">
        <f>IF(H460=H461,J461+1,1)</f>
        <v>1</v>
      </c>
      <c r="K460" s="2">
        <f>I460+J460-1</f>
        <v>2</v>
      </c>
      <c r="L460" s="2" t="str">
        <f>IF(H460="neutral","—",IF(K460&gt;=5,IF(H460="warm","El Niño","La Niña"),IF(ROW()+J460-1=920,IF(H460="warm","El Niño (ongoing)","La Niña (ongoing)"),"—")))</f>
        <v>—</v>
      </c>
      <c r="M460" s="2" t="inlineStr">
        <is>
          <t xml:space="preserve">1987/88</t>
        </is>
      </c>
    </row>
    <row r="461">
      <c r="A461" s="2" t="inlineStr">
        <is>
          <t xml:space="preserve">1988-04</t>
        </is>
      </c>
      <c r="B461" s="2">
        <v>1988</v>
      </c>
      <c r="C461" s="2">
        <v>4</v>
      </c>
      <c r="D461" s="2" t="inlineStr">
        <is>
          <t xml:space="preserve">MAM</t>
        </is>
      </c>
      <c r="E461" t="inlineStr">
        <is>
          <t xml:space="preserve">Mar 1988 – May 1988</t>
        </is>
      </c>
      <c r="F461" s="3">
        <v>-0.45</v>
      </c>
      <c r="G461" s="4">
        <f>ROUND(F461,1)</f>
        <v>-0.5</v>
      </c>
      <c r="H461" s="2" t="str">
        <f>IF(G461&gt;=0.5,"warm",IF(G461&lt;=-0.5,"cold","neutral"))</f>
        <v>cold</v>
      </c>
      <c r="I461" s="2">
        <f>IF(H461=H460,I460+1,1)</f>
        <v>1</v>
      </c>
      <c r="J461" s="2">
        <f>IF(H461=H462,J462+1,1)</f>
        <v>14</v>
      </c>
      <c r="K461" s="2">
        <f>I461+J461-1</f>
        <v>14</v>
      </c>
      <c r="L461" s="5" t="str">
        <f>IF(H461="neutral","—",IF(K461&gt;=5,IF(H461="warm","El Niño","La Niña"),IF(ROW()+J461-1=920,IF(H461="warm","El Niño (ongoing)","La Niña (ongoing)"),"—")))</f>
        <v>La Niña</v>
      </c>
      <c r="M461" s="2" t="inlineStr">
        <is>
          <t xml:space="preserve">1987/88</t>
        </is>
      </c>
    </row>
    <row r="462">
      <c r="A462" s="2" t="inlineStr">
        <is>
          <t xml:space="preserve">1988-05</t>
        </is>
      </c>
      <c r="B462" s="2">
        <v>1988</v>
      </c>
      <c r="C462" s="2">
        <v>5</v>
      </c>
      <c r="D462" s="2" t="inlineStr">
        <is>
          <t xml:space="preserve">AMJ</t>
        </is>
      </c>
      <c r="E462" t="inlineStr">
        <is>
          <t xml:space="preserve">Apr 1988 – Jun 1988</t>
        </is>
      </c>
      <c r="F462" s="3">
        <v>-0.99</v>
      </c>
      <c r="G462" s="4">
        <f>ROUND(F462,1)</f>
        <v>-1.0</v>
      </c>
      <c r="H462" s="2" t="str">
        <f>IF(G462&gt;=0.5,"warm",IF(G462&lt;=-0.5,"cold","neutral"))</f>
        <v>cold</v>
      </c>
      <c r="I462" s="2">
        <f>IF(H462=H461,I461+1,1)</f>
        <v>2</v>
      </c>
      <c r="J462" s="2">
        <f>IF(H462=H463,J463+1,1)</f>
        <v>13</v>
      </c>
      <c r="K462" s="2">
        <f>I462+J462-1</f>
        <v>14</v>
      </c>
      <c r="L462" s="5" t="str">
        <f>IF(H462="neutral","—",IF(K462&gt;=5,IF(H462="warm","El Niño","La Niña"),IF(ROW()+J462-1=920,IF(H462="warm","El Niño (ongoing)","La Niña (ongoing)"),"—")))</f>
        <v>La Niña</v>
      </c>
      <c r="M462" s="2" t="inlineStr">
        <is>
          <t xml:space="preserve">1987/88</t>
        </is>
      </c>
    </row>
    <row r="463">
      <c r="A463" s="2" t="inlineStr">
        <is>
          <t xml:space="preserve">1988-06</t>
        </is>
      </c>
      <c r="B463" s="2">
        <v>1988</v>
      </c>
      <c r="C463" s="2">
        <v>6</v>
      </c>
      <c r="D463" s="2" t="inlineStr">
        <is>
          <t xml:space="preserve">MJJ</t>
        </is>
      </c>
      <c r="E463" t="inlineStr">
        <is>
          <t xml:space="preserve">May 1988 – Jul 1988</t>
        </is>
      </c>
      <c r="F463" s="3">
        <v>-1.3</v>
      </c>
      <c r="G463" s="4">
        <f>ROUND(F463,1)</f>
        <v>-1.3</v>
      </c>
      <c r="H463" s="2" t="str">
        <f>IF(G463&gt;=0.5,"warm",IF(G463&lt;=-0.5,"cold","neutral"))</f>
        <v>cold</v>
      </c>
      <c r="I463" s="2">
        <f>IF(H463=H462,I462+1,1)</f>
        <v>3</v>
      </c>
      <c r="J463" s="2">
        <f>IF(H463=H464,J464+1,1)</f>
        <v>12</v>
      </c>
      <c r="K463" s="2">
        <f>I463+J463-1</f>
        <v>14</v>
      </c>
      <c r="L463" s="5" t="str">
        <f>IF(H463="neutral","—",IF(K463&gt;=5,IF(H463="warm","El Niño","La Niña"),IF(ROW()+J463-1=920,IF(H463="warm","El Niño (ongoing)","La Niña (ongoing)"),"—")))</f>
        <v>La Niña</v>
      </c>
      <c r="M463" s="2" t="inlineStr">
        <is>
          <t xml:space="preserve">1987/88</t>
        </is>
      </c>
    </row>
    <row r="464">
      <c r="A464" s="2" t="inlineStr">
        <is>
          <t xml:space="preserve">1988-07</t>
        </is>
      </c>
      <c r="B464" s="2">
        <v>1988</v>
      </c>
      <c r="C464" s="2">
        <v>7</v>
      </c>
      <c r="D464" s="2" t="inlineStr">
        <is>
          <t xml:space="preserve">JJA</t>
        </is>
      </c>
      <c r="E464" t="inlineStr">
        <is>
          <t xml:space="preserve">Jun 1988 – Aug 1988</t>
        </is>
      </c>
      <c r="F464" s="3">
        <v>-1.3</v>
      </c>
      <c r="G464" s="4">
        <f>ROUND(F464,1)</f>
        <v>-1.3</v>
      </c>
      <c r="H464" s="2" t="str">
        <f>IF(G464&gt;=0.5,"warm",IF(G464&lt;=-0.5,"cold","neutral"))</f>
        <v>cold</v>
      </c>
      <c r="I464" s="2">
        <f>IF(H464=H463,I463+1,1)</f>
        <v>4</v>
      </c>
      <c r="J464" s="2">
        <f>IF(H464=H465,J465+1,1)</f>
        <v>11</v>
      </c>
      <c r="K464" s="2">
        <f>I464+J464-1</f>
        <v>14</v>
      </c>
      <c r="L464" s="5" t="str">
        <f>IF(H464="neutral","—",IF(K464&gt;=5,IF(H464="warm","El Niño","La Niña"),IF(ROW()+J464-1=920,IF(H464="warm","El Niño (ongoing)","La Niña (ongoing)"),"—")))</f>
        <v>La Niña</v>
      </c>
      <c r="M464" s="2" t="inlineStr">
        <is>
          <t xml:space="preserve">1988/89</t>
        </is>
      </c>
    </row>
    <row r="465">
      <c r="A465" s="2" t="inlineStr">
        <is>
          <t xml:space="preserve">1988-08</t>
        </is>
      </c>
      <c r="B465" s="2">
        <v>1988</v>
      </c>
      <c r="C465" s="2">
        <v>8</v>
      </c>
      <c r="D465" s="2" t="inlineStr">
        <is>
          <t xml:space="preserve">JAS</t>
        </is>
      </c>
      <c r="E465" t="inlineStr">
        <is>
          <t xml:space="preserve">Jul 1988 – Sep 1988</t>
        </is>
      </c>
      <c r="F465" s="3">
        <v>-1.14</v>
      </c>
      <c r="G465" s="4">
        <f>ROUND(F465,1)</f>
        <v>-1.1</v>
      </c>
      <c r="H465" s="2" t="str">
        <f>IF(G465&gt;=0.5,"warm",IF(G465&lt;=-0.5,"cold","neutral"))</f>
        <v>cold</v>
      </c>
      <c r="I465" s="2">
        <f>IF(H465=H464,I464+1,1)</f>
        <v>5</v>
      </c>
      <c r="J465" s="2">
        <f>IF(H465=H466,J466+1,1)</f>
        <v>10</v>
      </c>
      <c r="K465" s="2">
        <f>I465+J465-1</f>
        <v>14</v>
      </c>
      <c r="L465" s="5" t="str">
        <f>IF(H465="neutral","—",IF(K465&gt;=5,IF(H465="warm","El Niño","La Niña"),IF(ROW()+J465-1=920,IF(H465="warm","El Niño (ongoing)","La Niña (ongoing)"),"—")))</f>
        <v>La Niña</v>
      </c>
      <c r="M465" s="2" t="inlineStr">
        <is>
          <t xml:space="preserve">1988/89</t>
        </is>
      </c>
    </row>
    <row r="466">
      <c r="A466" s="2" t="inlineStr">
        <is>
          <t xml:space="preserve">1988-09</t>
        </is>
      </c>
      <c r="B466" s="2">
        <v>1988</v>
      </c>
      <c r="C466" s="2">
        <v>9</v>
      </c>
      <c r="D466" s="2" t="inlineStr">
        <is>
          <t xml:space="preserve">ASO</t>
        </is>
      </c>
      <c r="E466" t="inlineStr">
        <is>
          <t xml:space="preserve">Aug 1988 – Oct 1988</t>
        </is>
      </c>
      <c r="F466" s="3">
        <v>-1.27</v>
      </c>
      <c r="G466" s="4">
        <f>ROUND(F466,1)</f>
        <v>-1.3</v>
      </c>
      <c r="H466" s="2" t="str">
        <f>IF(G466&gt;=0.5,"warm",IF(G466&lt;=-0.5,"cold","neutral"))</f>
        <v>cold</v>
      </c>
      <c r="I466" s="2">
        <f>IF(H466=H465,I465+1,1)</f>
        <v>6</v>
      </c>
      <c r="J466" s="2">
        <f>IF(H466=H467,J467+1,1)</f>
        <v>9</v>
      </c>
      <c r="K466" s="2">
        <f>I466+J466-1</f>
        <v>14</v>
      </c>
      <c r="L466" s="5" t="str">
        <f>IF(H466="neutral","—",IF(K466&gt;=5,IF(H466="warm","El Niño","La Niña"),IF(ROW()+J466-1=920,IF(H466="warm","El Niño (ongoing)","La Niña (ongoing)"),"—")))</f>
        <v>La Niña</v>
      </c>
      <c r="M466" s="2" t="inlineStr">
        <is>
          <t xml:space="preserve">1988/89</t>
        </is>
      </c>
    </row>
    <row r="467">
      <c r="A467" s="2" t="inlineStr">
        <is>
          <t xml:space="preserve">1988-10</t>
        </is>
      </c>
      <c r="B467" s="2">
        <v>1988</v>
      </c>
      <c r="C467" s="2">
        <v>10</v>
      </c>
      <c r="D467" s="2" t="inlineStr">
        <is>
          <t xml:space="preserve">SON</t>
        </is>
      </c>
      <c r="E467" t="inlineStr">
        <is>
          <t xml:space="preserve">Sep 1988 – Nov 1988</t>
        </is>
      </c>
      <c r="F467" s="3">
        <v>-1.54</v>
      </c>
      <c r="G467" s="4">
        <f>ROUND(F467,1)</f>
        <v>-1.5</v>
      </c>
      <c r="H467" s="2" t="str">
        <f>IF(G467&gt;=0.5,"warm",IF(G467&lt;=-0.5,"cold","neutral"))</f>
        <v>cold</v>
      </c>
      <c r="I467" s="2">
        <f>IF(H467=H466,I466+1,1)</f>
        <v>7</v>
      </c>
      <c r="J467" s="2">
        <f>IF(H467=H468,J468+1,1)</f>
        <v>8</v>
      </c>
      <c r="K467" s="2">
        <f>I467+J467-1</f>
        <v>14</v>
      </c>
      <c r="L467" s="5" t="str">
        <f>IF(H467="neutral","—",IF(K467&gt;=5,IF(H467="warm","El Niño","La Niña"),IF(ROW()+J467-1=920,IF(H467="warm","El Niño (ongoing)","La Niña (ongoing)"),"—")))</f>
        <v>La Niña</v>
      </c>
      <c r="M467" s="2" t="inlineStr">
        <is>
          <t xml:space="preserve">1988/89</t>
        </is>
      </c>
    </row>
    <row r="468">
      <c r="A468" s="2" t="inlineStr">
        <is>
          <t xml:space="preserve">1988-11</t>
        </is>
      </c>
      <c r="B468" s="2">
        <v>1988</v>
      </c>
      <c r="C468" s="2">
        <v>11</v>
      </c>
      <c r="D468" s="2" t="inlineStr">
        <is>
          <t xml:space="preserve">OND</t>
        </is>
      </c>
      <c r="E468" t="inlineStr">
        <is>
          <t xml:space="preserve">Oct 1988 – Dec 1988</t>
        </is>
      </c>
      <c r="F468" s="3">
        <v>-1.81</v>
      </c>
      <c r="G468" s="4">
        <f>ROUND(F468,1)</f>
        <v>-1.8</v>
      </c>
      <c r="H468" s="2" t="str">
        <f>IF(G468&gt;=0.5,"warm",IF(G468&lt;=-0.5,"cold","neutral"))</f>
        <v>cold</v>
      </c>
      <c r="I468" s="2">
        <f>IF(H468=H467,I467+1,1)</f>
        <v>8</v>
      </c>
      <c r="J468" s="2">
        <f>IF(H468=H469,J469+1,1)</f>
        <v>7</v>
      </c>
      <c r="K468" s="2">
        <f>I468+J468-1</f>
        <v>14</v>
      </c>
      <c r="L468" s="5" t="str">
        <f>IF(H468="neutral","—",IF(K468&gt;=5,IF(H468="warm","El Niño","La Niña"),IF(ROW()+J468-1=920,IF(H468="warm","El Niño (ongoing)","La Niña (ongoing)"),"—")))</f>
        <v>La Niña</v>
      </c>
      <c r="M468" s="2" t="inlineStr">
        <is>
          <t xml:space="preserve">1988/89</t>
        </is>
      </c>
    </row>
    <row r="469">
      <c r="A469" s="2" t="inlineStr">
        <is>
          <t xml:space="preserve">1988-12</t>
        </is>
      </c>
      <c r="B469" s="2">
        <v>1988</v>
      </c>
      <c r="C469" s="2">
        <v>12</v>
      </c>
      <c r="D469" s="2" t="inlineStr">
        <is>
          <t xml:space="preserve">NDJ</t>
        </is>
      </c>
      <c r="E469" t="inlineStr">
        <is>
          <t xml:space="preserve">Nov 1988 – Jan 1989</t>
        </is>
      </c>
      <c r="F469" s="3">
        <v>-1.85</v>
      </c>
      <c r="G469" s="4">
        <f>ROUND(F469,1)</f>
        <v>-1.9</v>
      </c>
      <c r="H469" s="2" t="str">
        <f>IF(G469&gt;=0.5,"warm",IF(G469&lt;=-0.5,"cold","neutral"))</f>
        <v>cold</v>
      </c>
      <c r="I469" s="2">
        <f>IF(H469=H468,I468+1,1)</f>
        <v>9</v>
      </c>
      <c r="J469" s="2">
        <f>IF(H469=H470,J470+1,1)</f>
        <v>6</v>
      </c>
      <c r="K469" s="2">
        <f>I469+J469-1</f>
        <v>14</v>
      </c>
      <c r="L469" s="5" t="str">
        <f>IF(H469="neutral","—",IF(K469&gt;=5,IF(H469="warm","El Niño","La Niña"),IF(ROW()+J469-1=920,IF(H469="warm","El Niño (ongoing)","La Niña (ongoing)"),"—")))</f>
        <v>La Niña</v>
      </c>
      <c r="M469" s="2" t="inlineStr">
        <is>
          <t xml:space="preserve">1988/89</t>
        </is>
      </c>
    </row>
    <row r="470">
      <c r="A470" s="2" t="inlineStr">
        <is>
          <t xml:space="preserve">1989-01</t>
        </is>
      </c>
      <c r="B470" s="2">
        <v>1989</v>
      </c>
      <c r="C470" s="2">
        <v>1</v>
      </c>
      <c r="D470" s="2" t="inlineStr">
        <is>
          <t xml:space="preserve">DJF</t>
        </is>
      </c>
      <c r="E470" t="inlineStr">
        <is>
          <t xml:space="preserve">Dec 1988 – Feb 1989</t>
        </is>
      </c>
      <c r="F470" s="3">
        <v>-1.64</v>
      </c>
      <c r="G470" s="4">
        <f>ROUND(F470,1)</f>
        <v>-1.6</v>
      </c>
      <c r="H470" s="2" t="str">
        <f>IF(G470&gt;=0.5,"warm",IF(G470&lt;=-0.5,"cold","neutral"))</f>
        <v>cold</v>
      </c>
      <c r="I470" s="2">
        <f>IF(H470=H469,I469+1,1)</f>
        <v>10</v>
      </c>
      <c r="J470" s="2">
        <f>IF(H470=H471,J471+1,1)</f>
        <v>5</v>
      </c>
      <c r="K470" s="2">
        <f>I470+J470-1</f>
        <v>14</v>
      </c>
      <c r="L470" s="5" t="str">
        <f>IF(H470="neutral","—",IF(K470&gt;=5,IF(H470="warm","El Niño","La Niña"),IF(ROW()+J470-1=920,IF(H470="warm","El Niño (ongoing)","La Niña (ongoing)"),"—")))</f>
        <v>La Niña</v>
      </c>
      <c r="M470" s="2" t="inlineStr">
        <is>
          <t xml:space="preserve">1988/89</t>
        </is>
      </c>
    </row>
    <row r="471">
      <c r="A471" s="2" t="inlineStr">
        <is>
          <t xml:space="preserve">1989-02</t>
        </is>
      </c>
      <c r="B471" s="2">
        <v>1989</v>
      </c>
      <c r="C471" s="2">
        <v>2</v>
      </c>
      <c r="D471" s="2" t="inlineStr">
        <is>
          <t xml:space="preserve">JFM</t>
        </is>
      </c>
      <c r="E471" t="inlineStr">
        <is>
          <t xml:space="preserve">Jan 1989 – Mar 1989</t>
        </is>
      </c>
      <c r="F471" s="3">
        <v>-1.38</v>
      </c>
      <c r="G471" s="4">
        <f>ROUND(F471,1)</f>
        <v>-1.4</v>
      </c>
      <c r="H471" s="2" t="str">
        <f>IF(G471&gt;=0.5,"warm",IF(G471&lt;=-0.5,"cold","neutral"))</f>
        <v>cold</v>
      </c>
      <c r="I471" s="2">
        <f>IF(H471=H470,I470+1,1)</f>
        <v>11</v>
      </c>
      <c r="J471" s="2">
        <f>IF(H471=H472,J472+1,1)</f>
        <v>4</v>
      </c>
      <c r="K471" s="2">
        <f>I471+J471-1</f>
        <v>14</v>
      </c>
      <c r="L471" s="5" t="str">
        <f>IF(H471="neutral","—",IF(K471&gt;=5,IF(H471="warm","El Niño","La Niña"),IF(ROW()+J471-1=920,IF(H471="warm","El Niño (ongoing)","La Niña (ongoing)"),"—")))</f>
        <v>La Niña</v>
      </c>
      <c r="M471" s="2" t="inlineStr">
        <is>
          <t xml:space="preserve">1988/89</t>
        </is>
      </c>
    </row>
    <row r="472">
      <c r="A472" s="2" t="inlineStr">
        <is>
          <t xml:space="preserve">1989-03</t>
        </is>
      </c>
      <c r="B472" s="2">
        <v>1989</v>
      </c>
      <c r="C472" s="2">
        <v>3</v>
      </c>
      <c r="D472" s="2" t="inlineStr">
        <is>
          <t xml:space="preserve">FMA</t>
        </is>
      </c>
      <c r="E472" t="inlineStr">
        <is>
          <t xml:space="preserve">Feb 1989 – Apr 1989</t>
        </is>
      </c>
      <c r="F472" s="3">
        <v>-1.09</v>
      </c>
      <c r="G472" s="4">
        <f>ROUND(F472,1)</f>
        <v>-1.1</v>
      </c>
      <c r="H472" s="2" t="str">
        <f>IF(G472&gt;=0.5,"warm",IF(G472&lt;=-0.5,"cold","neutral"))</f>
        <v>cold</v>
      </c>
      <c r="I472" s="2">
        <f>IF(H472=H471,I471+1,1)</f>
        <v>12</v>
      </c>
      <c r="J472" s="2">
        <f>IF(H472=H473,J473+1,1)</f>
        <v>3</v>
      </c>
      <c r="K472" s="2">
        <f>I472+J472-1</f>
        <v>14</v>
      </c>
      <c r="L472" s="5" t="str">
        <f>IF(H472="neutral","—",IF(K472&gt;=5,IF(H472="warm","El Niño","La Niña"),IF(ROW()+J472-1=920,IF(H472="warm","El Niño (ongoing)","La Niña (ongoing)"),"—")))</f>
        <v>La Niña</v>
      </c>
      <c r="M472" s="2" t="inlineStr">
        <is>
          <t xml:space="preserve">1988/89</t>
        </is>
      </c>
    </row>
    <row r="473">
      <c r="A473" s="2" t="inlineStr">
        <is>
          <t xml:space="preserve">1989-04</t>
        </is>
      </c>
      <c r="B473" s="2">
        <v>1989</v>
      </c>
      <c r="C473" s="2">
        <v>4</v>
      </c>
      <c r="D473" s="2" t="inlineStr">
        <is>
          <t xml:space="preserve">MAM</t>
        </is>
      </c>
      <c r="E473" t="inlineStr">
        <is>
          <t xml:space="preserve">Mar 1989 – May 1989</t>
        </is>
      </c>
      <c r="F473" s="3">
        <v>-0.85</v>
      </c>
      <c r="G473" s="4">
        <f>ROUND(F473,1)</f>
        <v>-0.9</v>
      </c>
      <c r="H473" s="2" t="str">
        <f>IF(G473&gt;=0.5,"warm",IF(G473&lt;=-0.5,"cold","neutral"))</f>
        <v>cold</v>
      </c>
      <c r="I473" s="2">
        <f>IF(H473=H472,I472+1,1)</f>
        <v>13</v>
      </c>
      <c r="J473" s="2">
        <f>IF(H473=H474,J474+1,1)</f>
        <v>2</v>
      </c>
      <c r="K473" s="2">
        <f>I473+J473-1</f>
        <v>14</v>
      </c>
      <c r="L473" s="5" t="str">
        <f>IF(H473="neutral","—",IF(K473&gt;=5,IF(H473="warm","El Niño","La Niña"),IF(ROW()+J473-1=920,IF(H473="warm","El Niño (ongoing)","La Niña (ongoing)"),"—")))</f>
        <v>La Niña</v>
      </c>
      <c r="M473" s="2" t="inlineStr">
        <is>
          <t xml:space="preserve">1988/89</t>
        </is>
      </c>
    </row>
    <row r="474">
      <c r="A474" s="2" t="inlineStr">
        <is>
          <t xml:space="preserve">1989-05</t>
        </is>
      </c>
      <c r="B474" s="2">
        <v>1989</v>
      </c>
      <c r="C474" s="2">
        <v>5</v>
      </c>
      <c r="D474" s="2" t="inlineStr">
        <is>
          <t xml:space="preserve">AMJ</t>
        </is>
      </c>
      <c r="E474" t="inlineStr">
        <is>
          <t xml:space="preserve">Apr 1989 – Jun 1989</t>
        </is>
      </c>
      <c r="F474" s="3">
        <v>-0.61</v>
      </c>
      <c r="G474" s="4">
        <f>ROUND(F474,1)</f>
        <v>-0.6</v>
      </c>
      <c r="H474" s="2" t="str">
        <f>IF(G474&gt;=0.5,"warm",IF(G474&lt;=-0.5,"cold","neutral"))</f>
        <v>cold</v>
      </c>
      <c r="I474" s="2">
        <f>IF(H474=H473,I473+1,1)</f>
        <v>14</v>
      </c>
      <c r="J474" s="2">
        <f>IF(H474=H475,J475+1,1)</f>
        <v>1</v>
      </c>
      <c r="K474" s="2">
        <f>I474+J474-1</f>
        <v>14</v>
      </c>
      <c r="L474" s="5" t="str">
        <f>IF(H474="neutral","—",IF(K474&gt;=5,IF(H474="warm","El Niño","La Niña"),IF(ROW()+J474-1=920,IF(H474="warm","El Niño (ongoing)","La Niña (ongoing)"),"—")))</f>
        <v>La Niña</v>
      </c>
      <c r="M474" s="2" t="inlineStr">
        <is>
          <t xml:space="preserve">1988/89</t>
        </is>
      </c>
    </row>
    <row r="475">
      <c r="A475" s="2" t="inlineStr">
        <is>
          <t xml:space="preserve">1989-06</t>
        </is>
      </c>
      <c r="B475" s="2">
        <v>1989</v>
      </c>
      <c r="C475" s="2">
        <v>6</v>
      </c>
      <c r="D475" s="2" t="inlineStr">
        <is>
          <t xml:space="preserve">MJJ</t>
        </is>
      </c>
      <c r="E475" t="inlineStr">
        <is>
          <t xml:space="preserve">May 1989 – Jul 1989</t>
        </is>
      </c>
      <c r="F475" s="3">
        <v>-0.4</v>
      </c>
      <c r="G475" s="4">
        <f>ROUND(F475,1)</f>
        <v>-0.4</v>
      </c>
      <c r="H475" s="2" t="str">
        <f>IF(G475&gt;=0.5,"warm",IF(G475&lt;=-0.5,"cold","neutral"))</f>
        <v>neutral</v>
      </c>
      <c r="I475" s="2">
        <f>IF(H475=H474,I474+1,1)</f>
        <v>1</v>
      </c>
      <c r="J475" s="2">
        <f>IF(H475=H476,J476+1,1)</f>
        <v>23</v>
      </c>
      <c r="K475" s="2">
        <f>I475+J475-1</f>
        <v>23</v>
      </c>
      <c r="L475" s="2" t="str">
        <f>IF(H475="neutral","—",IF(K475&gt;=5,IF(H475="warm","El Niño","La Niña"),IF(ROW()+J475-1=920,IF(H475="warm","El Niño (ongoing)","La Niña (ongoing)"),"—")))</f>
        <v>—</v>
      </c>
      <c r="M475" s="2" t="inlineStr">
        <is>
          <t xml:space="preserve">1988/89</t>
        </is>
      </c>
    </row>
    <row r="476">
      <c r="A476" s="2" t="inlineStr">
        <is>
          <t xml:space="preserve">1989-07</t>
        </is>
      </c>
      <c r="B476" s="2">
        <v>1989</v>
      </c>
      <c r="C476" s="2">
        <v>7</v>
      </c>
      <c r="D476" s="2" t="inlineStr">
        <is>
          <t xml:space="preserve">JJA</t>
        </is>
      </c>
      <c r="E476" t="inlineStr">
        <is>
          <t xml:space="preserve">Jun 1989 – Aug 1989</t>
        </is>
      </c>
      <c r="F476" s="3">
        <v>-0.37</v>
      </c>
      <c r="G476" s="4">
        <f>ROUND(F476,1)</f>
        <v>-0.4</v>
      </c>
      <c r="H476" s="2" t="str">
        <f>IF(G476&gt;=0.5,"warm",IF(G476&lt;=-0.5,"cold","neutral"))</f>
        <v>neutral</v>
      </c>
      <c r="I476" s="2">
        <f>IF(H476=H475,I475+1,1)</f>
        <v>2</v>
      </c>
      <c r="J476" s="2">
        <f>IF(H476=H477,J477+1,1)</f>
        <v>22</v>
      </c>
      <c r="K476" s="2">
        <f>I476+J476-1</f>
        <v>23</v>
      </c>
      <c r="L476" s="2" t="str">
        <f>IF(H476="neutral","—",IF(K476&gt;=5,IF(H476="warm","El Niño","La Niña"),IF(ROW()+J476-1=920,IF(H476="warm","El Niño (ongoing)","La Niña (ongoing)"),"—")))</f>
        <v>—</v>
      </c>
      <c r="M476" s="2" t="inlineStr">
        <is>
          <t xml:space="preserve">1989/90</t>
        </is>
      </c>
    </row>
    <row r="477">
      <c r="A477" s="2" t="inlineStr">
        <is>
          <t xml:space="preserve">1989-08</t>
        </is>
      </c>
      <c r="B477" s="2">
        <v>1989</v>
      </c>
      <c r="C477" s="2">
        <v>8</v>
      </c>
      <c r="D477" s="2" t="inlineStr">
        <is>
          <t xml:space="preserve">JAS</t>
        </is>
      </c>
      <c r="E477" t="inlineStr">
        <is>
          <t xml:space="preserve">Jul 1989 – Sep 1989</t>
        </is>
      </c>
      <c r="F477" s="3">
        <v>-0.36</v>
      </c>
      <c r="G477" s="4">
        <f>ROUND(F477,1)</f>
        <v>-0.4</v>
      </c>
      <c r="H477" s="2" t="str">
        <f>IF(G477&gt;=0.5,"warm",IF(G477&lt;=-0.5,"cold","neutral"))</f>
        <v>neutral</v>
      </c>
      <c r="I477" s="2">
        <f>IF(H477=H476,I476+1,1)</f>
        <v>3</v>
      </c>
      <c r="J477" s="2">
        <f>IF(H477=H478,J478+1,1)</f>
        <v>21</v>
      </c>
      <c r="K477" s="2">
        <f>I477+J477-1</f>
        <v>23</v>
      </c>
      <c r="L477" s="2" t="str">
        <f>IF(H477="neutral","—",IF(K477&gt;=5,IF(H477="warm","El Niño","La Niña"),IF(ROW()+J477-1=920,IF(H477="warm","El Niño (ongoing)","La Niña (ongoing)"),"—")))</f>
        <v>—</v>
      </c>
      <c r="M477" s="2" t="inlineStr">
        <is>
          <t xml:space="preserve">1989/90</t>
        </is>
      </c>
    </row>
    <row r="478">
      <c r="A478" s="2" t="inlineStr">
        <is>
          <t xml:space="preserve">1989-09</t>
        </is>
      </c>
      <c r="B478" s="2">
        <v>1989</v>
      </c>
      <c r="C478" s="2">
        <v>9</v>
      </c>
      <c r="D478" s="2" t="inlineStr">
        <is>
          <t xml:space="preserve">ASO</t>
        </is>
      </c>
      <c r="E478" t="inlineStr">
        <is>
          <t xml:space="preserve">Aug 1989 – Oct 1989</t>
        </is>
      </c>
      <c r="F478" s="3">
        <v>-0.33</v>
      </c>
      <c r="G478" s="4">
        <f>ROUND(F478,1)</f>
        <v>-0.3</v>
      </c>
      <c r="H478" s="2" t="str">
        <f>IF(G478&gt;=0.5,"warm",IF(G478&lt;=-0.5,"cold","neutral"))</f>
        <v>neutral</v>
      </c>
      <c r="I478" s="2">
        <f>IF(H478=H477,I477+1,1)</f>
        <v>4</v>
      </c>
      <c r="J478" s="2">
        <f>IF(H478=H479,J479+1,1)</f>
        <v>20</v>
      </c>
      <c r="K478" s="2">
        <f>I478+J478-1</f>
        <v>23</v>
      </c>
      <c r="L478" s="2" t="str">
        <f>IF(H478="neutral","—",IF(K478&gt;=5,IF(H478="warm","El Niño","La Niña"),IF(ROW()+J478-1=920,IF(H478="warm","El Niño (ongoing)","La Niña (ongoing)"),"—")))</f>
        <v>—</v>
      </c>
      <c r="M478" s="2" t="inlineStr">
        <is>
          <t xml:space="preserve">1989/90</t>
        </is>
      </c>
    </row>
    <row r="479">
      <c r="A479" s="2" t="inlineStr">
        <is>
          <t xml:space="preserve">1989-10</t>
        </is>
      </c>
      <c r="B479" s="2">
        <v>1989</v>
      </c>
      <c r="C479" s="2">
        <v>10</v>
      </c>
      <c r="D479" s="2" t="inlineStr">
        <is>
          <t xml:space="preserve">SON</t>
        </is>
      </c>
      <c r="E479" t="inlineStr">
        <is>
          <t xml:space="preserve">Sep 1989 – Nov 1989</t>
        </is>
      </c>
      <c r="F479" s="3">
        <v>-0.25</v>
      </c>
      <c r="G479" s="4">
        <f>ROUND(F479,1)</f>
        <v>-0.3</v>
      </c>
      <c r="H479" s="2" t="str">
        <f>IF(G479&gt;=0.5,"warm",IF(G479&lt;=-0.5,"cold","neutral"))</f>
        <v>neutral</v>
      </c>
      <c r="I479" s="2">
        <f>IF(H479=H478,I478+1,1)</f>
        <v>5</v>
      </c>
      <c r="J479" s="2">
        <f>IF(H479=H480,J480+1,1)</f>
        <v>19</v>
      </c>
      <c r="K479" s="2">
        <f>I479+J479-1</f>
        <v>23</v>
      </c>
      <c r="L479" s="2" t="str">
        <f>IF(H479="neutral","—",IF(K479&gt;=5,IF(H479="warm","El Niño","La Niña"),IF(ROW()+J479-1=920,IF(H479="warm","El Niño (ongoing)","La Niña (ongoing)"),"—")))</f>
        <v>—</v>
      </c>
      <c r="M479" s="2" t="inlineStr">
        <is>
          <t xml:space="preserve">1989/90</t>
        </is>
      </c>
    </row>
    <row r="480">
      <c r="A480" s="2" t="inlineStr">
        <is>
          <t xml:space="preserve">1989-11</t>
        </is>
      </c>
      <c r="B480" s="2">
        <v>1989</v>
      </c>
      <c r="C480" s="2">
        <v>11</v>
      </c>
      <c r="D480" s="2" t="inlineStr">
        <is>
          <t xml:space="preserve">OND</t>
        </is>
      </c>
      <c r="E480" t="inlineStr">
        <is>
          <t xml:space="preserve">Oct 1989 – Dec 1989</t>
        </is>
      </c>
      <c r="F480" s="3">
        <v>-0.12</v>
      </c>
      <c r="G480" s="4">
        <f>ROUND(F480,1)</f>
        <v>-0.1</v>
      </c>
      <c r="H480" s="2" t="str">
        <f>IF(G480&gt;=0.5,"warm",IF(G480&lt;=-0.5,"cold","neutral"))</f>
        <v>neutral</v>
      </c>
      <c r="I480" s="2">
        <f>IF(H480=H479,I479+1,1)</f>
        <v>6</v>
      </c>
      <c r="J480" s="2">
        <f>IF(H480=H481,J481+1,1)</f>
        <v>18</v>
      </c>
      <c r="K480" s="2">
        <f>I480+J480-1</f>
        <v>23</v>
      </c>
      <c r="L480" s="2" t="str">
        <f>IF(H480="neutral","—",IF(K480&gt;=5,IF(H480="warm","El Niño","La Niña"),IF(ROW()+J480-1=920,IF(H480="warm","El Niño (ongoing)","La Niña (ongoing)"),"—")))</f>
        <v>—</v>
      </c>
      <c r="M480" s="2" t="inlineStr">
        <is>
          <t xml:space="preserve">1989/90</t>
        </is>
      </c>
    </row>
    <row r="481">
      <c r="A481" s="2" t="inlineStr">
        <is>
          <t xml:space="preserve">1989-12</t>
        </is>
      </c>
      <c r="B481" s="2">
        <v>1989</v>
      </c>
      <c r="C481" s="2">
        <v>12</v>
      </c>
      <c r="D481" s="2" t="inlineStr">
        <is>
          <t xml:space="preserve">NDJ</t>
        </is>
      </c>
      <c r="E481" t="inlineStr">
        <is>
          <t xml:space="preserve">Nov 1989 – Jan 1990</t>
        </is>
      </c>
      <c r="F481" s="3">
        <v>-0.04</v>
      </c>
      <c r="G481" s="4">
        <f>ROUND(F481,1)</f>
        <v>-0.0</v>
      </c>
      <c r="H481" s="2" t="str">
        <f>IF(G481&gt;=0.5,"warm",IF(G481&lt;=-0.5,"cold","neutral"))</f>
        <v>neutral</v>
      </c>
      <c r="I481" s="2">
        <f>IF(H481=H480,I480+1,1)</f>
        <v>7</v>
      </c>
      <c r="J481" s="2">
        <f>IF(H481=H482,J482+1,1)</f>
        <v>17</v>
      </c>
      <c r="K481" s="2">
        <f>I481+J481-1</f>
        <v>23</v>
      </c>
      <c r="L481" s="2" t="str">
        <f>IF(H481="neutral","—",IF(K481&gt;=5,IF(H481="warm","El Niño","La Niña"),IF(ROW()+J481-1=920,IF(H481="warm","El Niño (ongoing)","La Niña (ongoing)"),"—")))</f>
        <v>—</v>
      </c>
      <c r="M481" s="2" t="inlineStr">
        <is>
          <t xml:space="preserve">1989/90</t>
        </is>
      </c>
    </row>
    <row r="482">
      <c r="A482" s="2" t="inlineStr">
        <is>
          <t xml:space="preserve">1990-01</t>
        </is>
      </c>
      <c r="B482" s="2">
        <v>1990</v>
      </c>
      <c r="C482" s="2">
        <v>1</v>
      </c>
      <c r="D482" s="2" t="inlineStr">
        <is>
          <t xml:space="preserve">DJF</t>
        </is>
      </c>
      <c r="E482" t="inlineStr">
        <is>
          <t xml:space="preserve">Dec 1989 – Feb 1990</t>
        </is>
      </c>
      <c r="F482" s="3">
        <v>0.18</v>
      </c>
      <c r="G482" s="4">
        <f>ROUND(F482,1)</f>
        <v>0.2</v>
      </c>
      <c r="H482" s="2" t="str">
        <f>IF(G482&gt;=0.5,"warm",IF(G482&lt;=-0.5,"cold","neutral"))</f>
        <v>neutral</v>
      </c>
      <c r="I482" s="2">
        <f>IF(H482=H481,I481+1,1)</f>
        <v>8</v>
      </c>
      <c r="J482" s="2">
        <f>IF(H482=H483,J483+1,1)</f>
        <v>16</v>
      </c>
      <c r="K482" s="2">
        <f>I482+J482-1</f>
        <v>23</v>
      </c>
      <c r="L482" s="2" t="str">
        <f>IF(H482="neutral","—",IF(K482&gt;=5,IF(H482="warm","El Niño","La Niña"),IF(ROW()+J482-1=920,IF(H482="warm","El Niño (ongoing)","La Niña (ongoing)"),"—")))</f>
        <v>—</v>
      </c>
      <c r="M482" s="2" t="inlineStr">
        <is>
          <t xml:space="preserve">1989/90</t>
        </is>
      </c>
    </row>
    <row r="483">
      <c r="A483" s="2" t="inlineStr">
        <is>
          <t xml:space="preserve">1990-02</t>
        </is>
      </c>
      <c r="B483" s="2">
        <v>1990</v>
      </c>
      <c r="C483" s="2">
        <v>2</v>
      </c>
      <c r="D483" s="2" t="inlineStr">
        <is>
          <t xml:space="preserve">JFM</t>
        </is>
      </c>
      <c r="E483" t="inlineStr">
        <is>
          <t xml:space="preserve">Jan 1990 – Mar 1990</t>
        </is>
      </c>
      <c r="F483" s="3">
        <v>0.19</v>
      </c>
      <c r="G483" s="4">
        <f>ROUND(F483,1)</f>
        <v>0.2</v>
      </c>
      <c r="H483" s="2" t="str">
        <f>IF(G483&gt;=0.5,"warm",IF(G483&lt;=-0.5,"cold","neutral"))</f>
        <v>neutral</v>
      </c>
      <c r="I483" s="2">
        <f>IF(H483=H482,I482+1,1)</f>
        <v>9</v>
      </c>
      <c r="J483" s="2">
        <f>IF(H483=H484,J484+1,1)</f>
        <v>15</v>
      </c>
      <c r="K483" s="2">
        <f>I483+J483-1</f>
        <v>23</v>
      </c>
      <c r="L483" s="2" t="str">
        <f>IF(H483="neutral","—",IF(K483&gt;=5,IF(H483="warm","El Niño","La Niña"),IF(ROW()+J483-1=920,IF(H483="warm","El Niño (ongoing)","La Niña (ongoing)"),"—")))</f>
        <v>—</v>
      </c>
      <c r="M483" s="2" t="inlineStr">
        <is>
          <t xml:space="preserve">1989/90</t>
        </is>
      </c>
    </row>
    <row r="484">
      <c r="A484" s="2" t="inlineStr">
        <is>
          <t xml:space="preserve">1990-03</t>
        </is>
      </c>
      <c r="B484" s="2">
        <v>1990</v>
      </c>
      <c r="C484" s="2">
        <v>3</v>
      </c>
      <c r="D484" s="2" t="inlineStr">
        <is>
          <t xml:space="preserve">FMA</t>
        </is>
      </c>
      <c r="E484" t="inlineStr">
        <is>
          <t xml:space="preserve">Feb 1990 – Apr 1990</t>
        </is>
      </c>
      <c r="F484" s="3">
        <v>0.3</v>
      </c>
      <c r="G484" s="4">
        <f>ROUND(F484,1)</f>
        <v>0.3</v>
      </c>
      <c r="H484" s="2" t="str">
        <f>IF(G484&gt;=0.5,"warm",IF(G484&lt;=-0.5,"cold","neutral"))</f>
        <v>neutral</v>
      </c>
      <c r="I484" s="2">
        <f>IF(H484=H483,I483+1,1)</f>
        <v>10</v>
      </c>
      <c r="J484" s="2">
        <f>IF(H484=H485,J485+1,1)</f>
        <v>14</v>
      </c>
      <c r="K484" s="2">
        <f>I484+J484-1</f>
        <v>23</v>
      </c>
      <c r="L484" s="2" t="str">
        <f>IF(H484="neutral","—",IF(K484&gt;=5,IF(H484="warm","El Niño","La Niña"),IF(ROW()+J484-1=920,IF(H484="warm","El Niño (ongoing)","La Niña (ongoing)"),"—")))</f>
        <v>—</v>
      </c>
      <c r="M484" s="2" t="inlineStr">
        <is>
          <t xml:space="preserve">1989/90</t>
        </is>
      </c>
    </row>
    <row r="485">
      <c r="A485" s="2" t="inlineStr">
        <is>
          <t xml:space="preserve">1990-04</t>
        </is>
      </c>
      <c r="B485" s="2">
        <v>1990</v>
      </c>
      <c r="C485" s="2">
        <v>4</v>
      </c>
      <c r="D485" s="2" t="inlineStr">
        <is>
          <t xml:space="preserve">MAM</t>
        </is>
      </c>
      <c r="E485" t="inlineStr">
        <is>
          <t xml:space="preserve">Mar 1990 – May 1990</t>
        </is>
      </c>
      <c r="F485" s="3">
        <v>0.27</v>
      </c>
      <c r="G485" s="4">
        <f>ROUND(F485,1)</f>
        <v>0.3</v>
      </c>
      <c r="H485" s="2" t="str">
        <f>IF(G485&gt;=0.5,"warm",IF(G485&lt;=-0.5,"cold","neutral"))</f>
        <v>neutral</v>
      </c>
      <c r="I485" s="2">
        <f>IF(H485=H484,I484+1,1)</f>
        <v>11</v>
      </c>
      <c r="J485" s="2">
        <f>IF(H485=H486,J486+1,1)</f>
        <v>13</v>
      </c>
      <c r="K485" s="2">
        <f>I485+J485-1</f>
        <v>23</v>
      </c>
      <c r="L485" s="2" t="str">
        <f>IF(H485="neutral","—",IF(K485&gt;=5,IF(H485="warm","El Niño","La Niña"),IF(ROW()+J485-1=920,IF(H485="warm","El Niño (ongoing)","La Niña (ongoing)"),"—")))</f>
        <v>—</v>
      </c>
      <c r="M485" s="2" t="inlineStr">
        <is>
          <t xml:space="preserve">1989/90</t>
        </is>
      </c>
    </row>
    <row r="486">
      <c r="A486" s="2" t="inlineStr">
        <is>
          <t xml:space="preserve">1990-05</t>
        </is>
      </c>
      <c r="B486" s="2">
        <v>1990</v>
      </c>
      <c r="C486" s="2">
        <v>5</v>
      </c>
      <c r="D486" s="2" t="inlineStr">
        <is>
          <t xml:space="preserve">AMJ</t>
        </is>
      </c>
      <c r="E486" t="inlineStr">
        <is>
          <t xml:space="preserve">Apr 1990 – Jun 1990</t>
        </is>
      </c>
      <c r="F486" s="3">
        <v>0.25</v>
      </c>
      <c r="G486" s="4">
        <f>ROUND(F486,1)</f>
        <v>0.3</v>
      </c>
      <c r="H486" s="2" t="str">
        <f>IF(G486&gt;=0.5,"warm",IF(G486&lt;=-0.5,"cold","neutral"))</f>
        <v>neutral</v>
      </c>
      <c r="I486" s="2">
        <f>IF(H486=H485,I485+1,1)</f>
        <v>12</v>
      </c>
      <c r="J486" s="2">
        <f>IF(H486=H487,J487+1,1)</f>
        <v>12</v>
      </c>
      <c r="K486" s="2">
        <f>I486+J486-1</f>
        <v>23</v>
      </c>
      <c r="L486" s="2" t="str">
        <f>IF(H486="neutral","—",IF(K486&gt;=5,IF(H486="warm","El Niño","La Niña"),IF(ROW()+J486-1=920,IF(H486="warm","El Niño (ongoing)","La Niña (ongoing)"),"—")))</f>
        <v>—</v>
      </c>
      <c r="M486" s="2" t="inlineStr">
        <is>
          <t xml:space="preserve">1989/90</t>
        </is>
      </c>
    </row>
    <row r="487">
      <c r="A487" s="2" t="inlineStr">
        <is>
          <t xml:space="preserve">1990-06</t>
        </is>
      </c>
      <c r="B487" s="2">
        <v>1990</v>
      </c>
      <c r="C487" s="2">
        <v>6</v>
      </c>
      <c r="D487" s="2" t="inlineStr">
        <is>
          <t xml:space="preserve">MJJ</t>
        </is>
      </c>
      <c r="E487" t="inlineStr">
        <is>
          <t xml:space="preserve">May 1990 – Jul 1990</t>
        </is>
      </c>
      <c r="F487" s="3">
        <v>0.25</v>
      </c>
      <c r="G487" s="4">
        <f>ROUND(F487,1)</f>
        <v>0.3</v>
      </c>
      <c r="H487" s="2" t="str">
        <f>IF(G487&gt;=0.5,"warm",IF(G487&lt;=-0.5,"cold","neutral"))</f>
        <v>neutral</v>
      </c>
      <c r="I487" s="2">
        <f>IF(H487=H486,I486+1,1)</f>
        <v>13</v>
      </c>
      <c r="J487" s="2">
        <f>IF(H487=H488,J488+1,1)</f>
        <v>11</v>
      </c>
      <c r="K487" s="2">
        <f>I487+J487-1</f>
        <v>23</v>
      </c>
      <c r="L487" s="2" t="str">
        <f>IF(H487="neutral","—",IF(K487&gt;=5,IF(H487="warm","El Niño","La Niña"),IF(ROW()+J487-1=920,IF(H487="warm","El Niño (ongoing)","La Niña (ongoing)"),"—")))</f>
        <v>—</v>
      </c>
      <c r="M487" s="2" t="inlineStr">
        <is>
          <t xml:space="preserve">1989/90</t>
        </is>
      </c>
    </row>
    <row r="488">
      <c r="A488" s="2" t="inlineStr">
        <is>
          <t xml:space="preserve">1990-07</t>
        </is>
      </c>
      <c r="B488" s="2">
        <v>1990</v>
      </c>
      <c r="C488" s="2">
        <v>7</v>
      </c>
      <c r="D488" s="2" t="inlineStr">
        <is>
          <t xml:space="preserve">JJA</t>
        </is>
      </c>
      <c r="E488" t="inlineStr">
        <is>
          <t xml:space="preserve">Jun 1990 – Aug 1990</t>
        </is>
      </c>
      <c r="F488" s="3">
        <v>0.26</v>
      </c>
      <c r="G488" s="4">
        <f>ROUND(F488,1)</f>
        <v>0.3</v>
      </c>
      <c r="H488" s="2" t="str">
        <f>IF(G488&gt;=0.5,"warm",IF(G488&lt;=-0.5,"cold","neutral"))</f>
        <v>neutral</v>
      </c>
      <c r="I488" s="2">
        <f>IF(H488=H487,I487+1,1)</f>
        <v>14</v>
      </c>
      <c r="J488" s="2">
        <f>IF(H488=H489,J489+1,1)</f>
        <v>10</v>
      </c>
      <c r="K488" s="2">
        <f>I488+J488-1</f>
        <v>23</v>
      </c>
      <c r="L488" s="2" t="str">
        <f>IF(H488="neutral","—",IF(K488&gt;=5,IF(H488="warm","El Niño","La Niña"),IF(ROW()+J488-1=920,IF(H488="warm","El Niño (ongoing)","La Niña (ongoing)"),"—")))</f>
        <v>—</v>
      </c>
      <c r="M488" s="2" t="inlineStr">
        <is>
          <t xml:space="preserve">1990/91</t>
        </is>
      </c>
    </row>
    <row r="489">
      <c r="A489" s="2" t="inlineStr">
        <is>
          <t xml:space="preserve">1990-08</t>
        </is>
      </c>
      <c r="B489" s="2">
        <v>1990</v>
      </c>
      <c r="C489" s="2">
        <v>8</v>
      </c>
      <c r="D489" s="2" t="inlineStr">
        <is>
          <t xml:space="preserve">JAS</t>
        </is>
      </c>
      <c r="E489" t="inlineStr">
        <is>
          <t xml:space="preserve">Jul 1990 – Sep 1990</t>
        </is>
      </c>
      <c r="F489" s="3">
        <v>0.32</v>
      </c>
      <c r="G489" s="4">
        <f>ROUND(F489,1)</f>
        <v>0.3</v>
      </c>
      <c r="H489" s="2" t="str">
        <f>IF(G489&gt;=0.5,"warm",IF(G489&lt;=-0.5,"cold","neutral"))</f>
        <v>neutral</v>
      </c>
      <c r="I489" s="2">
        <f>IF(H489=H488,I488+1,1)</f>
        <v>15</v>
      </c>
      <c r="J489" s="2">
        <f>IF(H489=H490,J490+1,1)</f>
        <v>9</v>
      </c>
      <c r="K489" s="2">
        <f>I489+J489-1</f>
        <v>23</v>
      </c>
      <c r="L489" s="2" t="str">
        <f>IF(H489="neutral","—",IF(K489&gt;=5,IF(H489="warm","El Niño","La Niña"),IF(ROW()+J489-1=920,IF(H489="warm","El Niño (ongoing)","La Niña (ongoing)"),"—")))</f>
        <v>—</v>
      </c>
      <c r="M489" s="2" t="inlineStr">
        <is>
          <t xml:space="preserve">1990/91</t>
        </is>
      </c>
    </row>
    <row r="490">
      <c r="A490" s="2" t="inlineStr">
        <is>
          <t xml:space="preserve">1990-09</t>
        </is>
      </c>
      <c r="B490" s="2">
        <v>1990</v>
      </c>
      <c r="C490" s="2">
        <v>9</v>
      </c>
      <c r="D490" s="2" t="inlineStr">
        <is>
          <t xml:space="preserve">ASO</t>
        </is>
      </c>
      <c r="E490" t="inlineStr">
        <is>
          <t xml:space="preserve">Aug 1990 – Oct 1990</t>
        </is>
      </c>
      <c r="F490" s="3">
        <v>0.31</v>
      </c>
      <c r="G490" s="4">
        <f>ROUND(F490,1)</f>
        <v>0.3</v>
      </c>
      <c r="H490" s="2" t="str">
        <f>IF(G490&gt;=0.5,"warm",IF(G490&lt;=-0.5,"cold","neutral"))</f>
        <v>neutral</v>
      </c>
      <c r="I490" s="2">
        <f>IF(H490=H489,I489+1,1)</f>
        <v>16</v>
      </c>
      <c r="J490" s="2">
        <f>IF(H490=H491,J491+1,1)</f>
        <v>8</v>
      </c>
      <c r="K490" s="2">
        <f>I490+J490-1</f>
        <v>23</v>
      </c>
      <c r="L490" s="2" t="str">
        <f>IF(H490="neutral","—",IF(K490&gt;=5,IF(H490="warm","El Niño","La Niña"),IF(ROW()+J490-1=920,IF(H490="warm","El Niño (ongoing)","La Niña (ongoing)"),"—")))</f>
        <v>—</v>
      </c>
      <c r="M490" s="2" t="inlineStr">
        <is>
          <t xml:space="preserve">1990/91</t>
        </is>
      </c>
    </row>
    <row r="491">
      <c r="A491" s="2" t="inlineStr">
        <is>
          <t xml:space="preserve">1990-10</t>
        </is>
      </c>
      <c r="B491" s="2">
        <v>1990</v>
      </c>
      <c r="C491" s="2">
        <v>10</v>
      </c>
      <c r="D491" s="2" t="inlineStr">
        <is>
          <t xml:space="preserve">SON</t>
        </is>
      </c>
      <c r="E491" t="inlineStr">
        <is>
          <t xml:space="preserve">Sep 1990 – Nov 1990</t>
        </is>
      </c>
      <c r="F491" s="3">
        <v>0.27</v>
      </c>
      <c r="G491" s="4">
        <f>ROUND(F491,1)</f>
        <v>0.3</v>
      </c>
      <c r="H491" s="2" t="str">
        <f>IF(G491&gt;=0.5,"warm",IF(G491&lt;=-0.5,"cold","neutral"))</f>
        <v>neutral</v>
      </c>
      <c r="I491" s="2">
        <f>IF(H491=H490,I490+1,1)</f>
        <v>17</v>
      </c>
      <c r="J491" s="2">
        <f>IF(H491=H492,J492+1,1)</f>
        <v>7</v>
      </c>
      <c r="K491" s="2">
        <f>I491+J491-1</f>
        <v>23</v>
      </c>
      <c r="L491" s="2" t="str">
        <f>IF(H491="neutral","—",IF(K491&gt;=5,IF(H491="warm","El Niño","La Niña"),IF(ROW()+J491-1=920,IF(H491="warm","El Niño (ongoing)","La Niña (ongoing)"),"—")))</f>
        <v>—</v>
      </c>
      <c r="M491" s="2" t="inlineStr">
        <is>
          <t xml:space="preserve">1990/91</t>
        </is>
      </c>
    </row>
    <row r="492">
      <c r="A492" s="2" t="inlineStr">
        <is>
          <t xml:space="preserve">1990-11</t>
        </is>
      </c>
      <c r="B492" s="2">
        <v>1990</v>
      </c>
      <c r="C492" s="2">
        <v>11</v>
      </c>
      <c r="D492" s="2" t="inlineStr">
        <is>
          <t xml:space="preserve">OND</t>
        </is>
      </c>
      <c r="E492" t="inlineStr">
        <is>
          <t xml:space="preserve">Oct 1990 – Dec 1990</t>
        </is>
      </c>
      <c r="F492" s="3">
        <v>0.31</v>
      </c>
      <c r="G492" s="4">
        <f>ROUND(F492,1)</f>
        <v>0.3</v>
      </c>
      <c r="H492" s="2" t="str">
        <f>IF(G492&gt;=0.5,"warm",IF(G492&lt;=-0.5,"cold","neutral"))</f>
        <v>neutral</v>
      </c>
      <c r="I492" s="2">
        <f>IF(H492=H491,I491+1,1)</f>
        <v>18</v>
      </c>
      <c r="J492" s="2">
        <f>IF(H492=H493,J493+1,1)</f>
        <v>6</v>
      </c>
      <c r="K492" s="2">
        <f>I492+J492-1</f>
        <v>23</v>
      </c>
      <c r="L492" s="2" t="str">
        <f>IF(H492="neutral","—",IF(K492&gt;=5,IF(H492="warm","El Niño","La Niña"),IF(ROW()+J492-1=920,IF(H492="warm","El Niño (ongoing)","La Niña (ongoing)"),"—")))</f>
        <v>—</v>
      </c>
      <c r="M492" s="2" t="inlineStr">
        <is>
          <t xml:space="preserve">1990/91</t>
        </is>
      </c>
    </row>
    <row r="493">
      <c r="A493" s="2" t="inlineStr">
        <is>
          <t xml:space="preserve">1990-12</t>
        </is>
      </c>
      <c r="B493" s="2">
        <v>1990</v>
      </c>
      <c r="C493" s="2">
        <v>12</v>
      </c>
      <c r="D493" s="2" t="inlineStr">
        <is>
          <t xml:space="preserve">NDJ</t>
        </is>
      </c>
      <c r="E493" t="inlineStr">
        <is>
          <t xml:space="preserve">Nov 1990 – Jan 1991</t>
        </is>
      </c>
      <c r="F493" s="3">
        <v>0.34</v>
      </c>
      <c r="G493" s="4">
        <f>ROUND(F493,1)</f>
        <v>0.3</v>
      </c>
      <c r="H493" s="2" t="str">
        <f>IF(G493&gt;=0.5,"warm",IF(G493&lt;=-0.5,"cold","neutral"))</f>
        <v>neutral</v>
      </c>
      <c r="I493" s="2">
        <f>IF(H493=H492,I492+1,1)</f>
        <v>19</v>
      </c>
      <c r="J493" s="2">
        <f>IF(H493=H494,J494+1,1)</f>
        <v>5</v>
      </c>
      <c r="K493" s="2">
        <f>I493+J493-1</f>
        <v>23</v>
      </c>
      <c r="L493" s="2" t="str">
        <f>IF(H493="neutral","—",IF(K493&gt;=5,IF(H493="warm","El Niño","La Niña"),IF(ROW()+J493-1=920,IF(H493="warm","El Niño (ongoing)","La Niña (ongoing)"),"—")))</f>
        <v>—</v>
      </c>
      <c r="M493" s="2" t="inlineStr">
        <is>
          <t xml:space="preserve">1990/91</t>
        </is>
      </c>
    </row>
    <row r="494">
      <c r="A494" s="2" t="inlineStr">
        <is>
          <t xml:space="preserve">1991-01</t>
        </is>
      </c>
      <c r="B494" s="2">
        <v>1991</v>
      </c>
      <c r="C494" s="2">
        <v>1</v>
      </c>
      <c r="D494" s="2" t="inlineStr">
        <is>
          <t xml:space="preserve">DJF</t>
        </is>
      </c>
      <c r="E494" t="inlineStr">
        <is>
          <t xml:space="preserve">Dec 1990 – Feb 1991</t>
        </is>
      </c>
      <c r="F494" s="3">
        <v>0.35</v>
      </c>
      <c r="G494" s="4">
        <f>ROUND(F494,1)</f>
        <v>0.4</v>
      </c>
      <c r="H494" s="2" t="str">
        <f>IF(G494&gt;=0.5,"warm",IF(G494&lt;=-0.5,"cold","neutral"))</f>
        <v>neutral</v>
      </c>
      <c r="I494" s="2">
        <f>IF(H494=H493,I493+1,1)</f>
        <v>20</v>
      </c>
      <c r="J494" s="2">
        <f>IF(H494=H495,J495+1,1)</f>
        <v>4</v>
      </c>
      <c r="K494" s="2">
        <f>I494+J494-1</f>
        <v>23</v>
      </c>
      <c r="L494" s="2" t="str">
        <f>IF(H494="neutral","—",IF(K494&gt;=5,IF(H494="warm","El Niño","La Niña"),IF(ROW()+J494-1=920,IF(H494="warm","El Niño (ongoing)","La Niña (ongoing)"),"—")))</f>
        <v>—</v>
      </c>
      <c r="M494" s="2" t="inlineStr">
        <is>
          <t xml:space="preserve">1990/91</t>
        </is>
      </c>
    </row>
    <row r="495">
      <c r="A495" s="2" t="inlineStr">
        <is>
          <t xml:space="preserve">1991-02</t>
        </is>
      </c>
      <c r="B495" s="2">
        <v>1991</v>
      </c>
      <c r="C495" s="2">
        <v>2</v>
      </c>
      <c r="D495" s="2" t="inlineStr">
        <is>
          <t xml:space="preserve">JFM</t>
        </is>
      </c>
      <c r="E495" t="inlineStr">
        <is>
          <t xml:space="preserve">Jan 1991 – Mar 1991</t>
        </is>
      </c>
      <c r="F495" s="3">
        <v>0.26</v>
      </c>
      <c r="G495" s="4">
        <f>ROUND(F495,1)</f>
        <v>0.3</v>
      </c>
      <c r="H495" s="2" t="str">
        <f>IF(G495&gt;=0.5,"warm",IF(G495&lt;=-0.5,"cold","neutral"))</f>
        <v>neutral</v>
      </c>
      <c r="I495" s="2">
        <f>IF(H495=H494,I494+1,1)</f>
        <v>21</v>
      </c>
      <c r="J495" s="2">
        <f>IF(H495=H496,J496+1,1)</f>
        <v>3</v>
      </c>
      <c r="K495" s="2">
        <f>I495+J495-1</f>
        <v>23</v>
      </c>
      <c r="L495" s="2" t="str">
        <f>IF(H495="neutral","—",IF(K495&gt;=5,IF(H495="warm","El Niño","La Niña"),IF(ROW()+J495-1=920,IF(H495="warm","El Niño (ongoing)","La Niña (ongoing)"),"—")))</f>
        <v>—</v>
      </c>
      <c r="M495" s="2" t="inlineStr">
        <is>
          <t xml:space="preserve">1990/91</t>
        </is>
      </c>
    </row>
    <row r="496">
      <c r="A496" s="2" t="inlineStr">
        <is>
          <t xml:space="preserve">1991-03</t>
        </is>
      </c>
      <c r="B496" s="2">
        <v>1991</v>
      </c>
      <c r="C496" s="2">
        <v>3</v>
      </c>
      <c r="D496" s="2" t="inlineStr">
        <is>
          <t xml:space="preserve">FMA</t>
        </is>
      </c>
      <c r="E496" t="inlineStr">
        <is>
          <t xml:space="preserve">Feb 1991 – Apr 1991</t>
        </is>
      </c>
      <c r="F496" s="3">
        <v>0.23</v>
      </c>
      <c r="G496" s="4">
        <f>ROUND(F496,1)</f>
        <v>0.2</v>
      </c>
      <c r="H496" s="2" t="str">
        <f>IF(G496&gt;=0.5,"warm",IF(G496&lt;=-0.5,"cold","neutral"))</f>
        <v>neutral</v>
      </c>
      <c r="I496" s="2">
        <f>IF(H496=H495,I495+1,1)</f>
        <v>22</v>
      </c>
      <c r="J496" s="2">
        <f>IF(H496=H497,J497+1,1)</f>
        <v>2</v>
      </c>
      <c r="K496" s="2">
        <f>I496+J496-1</f>
        <v>23</v>
      </c>
      <c r="L496" s="2" t="str">
        <f>IF(H496="neutral","—",IF(K496&gt;=5,IF(H496="warm","El Niño","La Niña"),IF(ROW()+J496-1=920,IF(H496="warm","El Niño (ongoing)","La Niña (ongoing)"),"—")))</f>
        <v>—</v>
      </c>
      <c r="M496" s="2" t="inlineStr">
        <is>
          <t xml:space="preserve">1990/91</t>
        </is>
      </c>
    </row>
    <row r="497">
      <c r="A497" s="2" t="inlineStr">
        <is>
          <t xml:space="preserve">1991-04</t>
        </is>
      </c>
      <c r="B497" s="2">
        <v>1991</v>
      </c>
      <c r="C497" s="2">
        <v>4</v>
      </c>
      <c r="D497" s="2" t="inlineStr">
        <is>
          <t xml:space="preserve">MAM</t>
        </is>
      </c>
      <c r="E497" t="inlineStr">
        <is>
          <t xml:space="preserve">Mar 1991 – May 1991</t>
        </is>
      </c>
      <c r="F497" s="3">
        <v>0.29</v>
      </c>
      <c r="G497" s="4">
        <f>ROUND(F497,1)</f>
        <v>0.3</v>
      </c>
      <c r="H497" s="2" t="str">
        <f>IF(G497&gt;=0.5,"warm",IF(G497&lt;=-0.5,"cold","neutral"))</f>
        <v>neutral</v>
      </c>
      <c r="I497" s="2">
        <f>IF(H497=H496,I496+1,1)</f>
        <v>23</v>
      </c>
      <c r="J497" s="2">
        <f>IF(H497=H498,J498+1,1)</f>
        <v>1</v>
      </c>
      <c r="K497" s="2">
        <f>I497+J497-1</f>
        <v>23</v>
      </c>
      <c r="L497" s="2" t="str">
        <f>IF(H497="neutral","—",IF(K497&gt;=5,IF(H497="warm","El Niño","La Niña"),IF(ROW()+J497-1=920,IF(H497="warm","El Niño (ongoing)","La Niña (ongoing)"),"—")))</f>
        <v>—</v>
      </c>
      <c r="M497" s="2" t="inlineStr">
        <is>
          <t xml:space="preserve">1990/91</t>
        </is>
      </c>
    </row>
    <row r="498">
      <c r="A498" s="2" t="inlineStr">
        <is>
          <t xml:space="preserve">1991-05</t>
        </is>
      </c>
      <c r="B498" s="2">
        <v>1991</v>
      </c>
      <c r="C498" s="2">
        <v>5</v>
      </c>
      <c r="D498" s="2" t="inlineStr">
        <is>
          <t xml:space="preserve">AMJ</t>
        </is>
      </c>
      <c r="E498" t="inlineStr">
        <is>
          <t xml:space="preserve">Apr 1991 – Jun 1991</t>
        </is>
      </c>
      <c r="F498" s="3">
        <v>0.49</v>
      </c>
      <c r="G498" s="4">
        <f>ROUND(F498,1)</f>
        <v>0.5</v>
      </c>
      <c r="H498" s="2" t="str">
        <f>IF(G498&gt;=0.5,"warm",IF(G498&lt;=-0.5,"cold","neutral"))</f>
        <v>warm</v>
      </c>
      <c r="I498" s="2">
        <f>IF(H498=H497,I497+1,1)</f>
        <v>1</v>
      </c>
      <c r="J498" s="2">
        <f>IF(H498=H499,J499+1,1)</f>
        <v>14</v>
      </c>
      <c r="K498" s="2">
        <f>I498+J498-1</f>
        <v>14</v>
      </c>
      <c r="L498" s="6" t="str">
        <f>IF(H498="neutral","—",IF(K498&gt;=5,IF(H498="warm","El Niño","La Niña"),IF(ROW()+J498-1=920,IF(H498="warm","El Niño (ongoing)","La Niña (ongoing)"),"—")))</f>
        <v>El Niño</v>
      </c>
      <c r="M498" s="2" t="inlineStr">
        <is>
          <t xml:space="preserve">1990/91</t>
        </is>
      </c>
    </row>
    <row r="499">
      <c r="A499" s="2" t="inlineStr">
        <is>
          <t xml:space="preserve">1991-06</t>
        </is>
      </c>
      <c r="B499" s="2">
        <v>1991</v>
      </c>
      <c r="C499" s="2">
        <v>6</v>
      </c>
      <c r="D499" s="2" t="inlineStr">
        <is>
          <t xml:space="preserve">MJJ</t>
        </is>
      </c>
      <c r="E499" t="inlineStr">
        <is>
          <t xml:space="preserve">May 1991 – Jul 1991</t>
        </is>
      </c>
      <c r="F499" s="3">
        <v>0.63</v>
      </c>
      <c r="G499" s="4">
        <f>ROUND(F499,1)</f>
        <v>0.6</v>
      </c>
      <c r="H499" s="2" t="str">
        <f>IF(G499&gt;=0.5,"warm",IF(G499&lt;=-0.5,"cold","neutral"))</f>
        <v>warm</v>
      </c>
      <c r="I499" s="2">
        <f>IF(H499=H498,I498+1,1)</f>
        <v>2</v>
      </c>
      <c r="J499" s="2">
        <f>IF(H499=H500,J500+1,1)</f>
        <v>13</v>
      </c>
      <c r="K499" s="2">
        <f>I499+J499-1</f>
        <v>14</v>
      </c>
      <c r="L499" s="6" t="str">
        <f>IF(H499="neutral","—",IF(K499&gt;=5,IF(H499="warm","El Niño","La Niña"),IF(ROW()+J499-1=920,IF(H499="warm","El Niño (ongoing)","La Niña (ongoing)"),"—")))</f>
        <v>El Niño</v>
      </c>
      <c r="M499" s="2" t="inlineStr">
        <is>
          <t xml:space="preserve">1990/91</t>
        </is>
      </c>
    </row>
    <row r="500">
      <c r="A500" s="2" t="inlineStr">
        <is>
          <t xml:space="preserve">1991-07</t>
        </is>
      </c>
      <c r="B500" s="2">
        <v>1991</v>
      </c>
      <c r="C500" s="2">
        <v>7</v>
      </c>
      <c r="D500" s="2" t="inlineStr">
        <is>
          <t xml:space="preserve">JJA</t>
        </is>
      </c>
      <c r="E500" t="inlineStr">
        <is>
          <t xml:space="preserve">Jun 1991 – Aug 1991</t>
        </is>
      </c>
      <c r="F500" s="3">
        <v>0.77</v>
      </c>
      <c r="G500" s="4">
        <f>ROUND(F500,1)</f>
        <v>0.8</v>
      </c>
      <c r="H500" s="2" t="str">
        <f>IF(G500&gt;=0.5,"warm",IF(G500&lt;=-0.5,"cold","neutral"))</f>
        <v>warm</v>
      </c>
      <c r="I500" s="2">
        <f>IF(H500=H499,I499+1,1)</f>
        <v>3</v>
      </c>
      <c r="J500" s="2">
        <f>IF(H500=H501,J501+1,1)</f>
        <v>12</v>
      </c>
      <c r="K500" s="2">
        <f>I500+J500-1</f>
        <v>14</v>
      </c>
      <c r="L500" s="6" t="str">
        <f>IF(H500="neutral","—",IF(K500&gt;=5,IF(H500="warm","El Niño","La Niña"),IF(ROW()+J500-1=920,IF(H500="warm","El Niño (ongoing)","La Niña (ongoing)"),"—")))</f>
        <v>El Niño</v>
      </c>
      <c r="M500" s="2" t="inlineStr">
        <is>
          <t xml:space="preserve">1991/92</t>
        </is>
      </c>
    </row>
    <row r="501">
      <c r="A501" s="2" t="inlineStr">
        <is>
          <t xml:space="preserve">1991-08</t>
        </is>
      </c>
      <c r="B501" s="2">
        <v>1991</v>
      </c>
      <c r="C501" s="2">
        <v>8</v>
      </c>
      <c r="D501" s="2" t="inlineStr">
        <is>
          <t xml:space="preserve">JAS</t>
        </is>
      </c>
      <c r="E501" t="inlineStr">
        <is>
          <t xml:space="preserve">Jul 1991 – Sep 1991</t>
        </is>
      </c>
      <c r="F501" s="3">
        <v>0.67</v>
      </c>
      <c r="G501" s="4">
        <f>ROUND(F501,1)</f>
        <v>0.7</v>
      </c>
      <c r="H501" s="2" t="str">
        <f>IF(G501&gt;=0.5,"warm",IF(G501&lt;=-0.5,"cold","neutral"))</f>
        <v>warm</v>
      </c>
      <c r="I501" s="2">
        <f>IF(H501=H500,I500+1,1)</f>
        <v>4</v>
      </c>
      <c r="J501" s="2">
        <f>IF(H501=H502,J502+1,1)</f>
        <v>11</v>
      </c>
      <c r="K501" s="2">
        <f>I501+J501-1</f>
        <v>14</v>
      </c>
      <c r="L501" s="6" t="str">
        <f>IF(H501="neutral","—",IF(K501&gt;=5,IF(H501="warm","El Niño","La Niña"),IF(ROW()+J501-1=920,IF(H501="warm","El Niño (ongoing)","La Niña (ongoing)"),"—")))</f>
        <v>El Niño</v>
      </c>
      <c r="M501" s="2" t="inlineStr">
        <is>
          <t xml:space="preserve">1991/92</t>
        </is>
      </c>
    </row>
    <row r="502">
      <c r="A502" s="2" t="inlineStr">
        <is>
          <t xml:space="preserve">1991-09</t>
        </is>
      </c>
      <c r="B502" s="2">
        <v>1991</v>
      </c>
      <c r="C502" s="2">
        <v>9</v>
      </c>
      <c r="D502" s="2" t="inlineStr">
        <is>
          <t xml:space="preserve">ASO</t>
        </is>
      </c>
      <c r="E502" t="inlineStr">
        <is>
          <t xml:space="preserve">Aug 1991 – Oct 1991</t>
        </is>
      </c>
      <c r="F502" s="3">
        <v>0.72</v>
      </c>
      <c r="G502" s="4">
        <f>ROUND(F502,1)</f>
        <v>0.7</v>
      </c>
      <c r="H502" s="2" t="str">
        <f>IF(G502&gt;=0.5,"warm",IF(G502&lt;=-0.5,"cold","neutral"))</f>
        <v>warm</v>
      </c>
      <c r="I502" s="2">
        <f>IF(H502=H501,I501+1,1)</f>
        <v>5</v>
      </c>
      <c r="J502" s="2">
        <f>IF(H502=H503,J503+1,1)</f>
        <v>10</v>
      </c>
      <c r="K502" s="2">
        <f>I502+J502-1</f>
        <v>14</v>
      </c>
      <c r="L502" s="6" t="str">
        <f>IF(H502="neutral","—",IF(K502&gt;=5,IF(H502="warm","El Niño","La Niña"),IF(ROW()+J502-1=920,IF(H502="warm","El Niño (ongoing)","La Niña (ongoing)"),"—")))</f>
        <v>El Niño</v>
      </c>
      <c r="M502" s="2" t="inlineStr">
        <is>
          <t xml:space="preserve">1991/92</t>
        </is>
      </c>
    </row>
    <row r="503">
      <c r="A503" s="2" t="inlineStr">
        <is>
          <t xml:space="preserve">1991-10</t>
        </is>
      </c>
      <c r="B503" s="2">
        <v>1991</v>
      </c>
      <c r="C503" s="2">
        <v>10</v>
      </c>
      <c r="D503" s="2" t="inlineStr">
        <is>
          <t xml:space="preserve">SON</t>
        </is>
      </c>
      <c r="E503" t="inlineStr">
        <is>
          <t xml:space="preserve">Sep 1991 – Nov 1991</t>
        </is>
      </c>
      <c r="F503" s="3">
        <v>0.83</v>
      </c>
      <c r="G503" s="4">
        <f>ROUND(F503,1)</f>
        <v>0.8</v>
      </c>
      <c r="H503" s="2" t="str">
        <f>IF(G503&gt;=0.5,"warm",IF(G503&lt;=-0.5,"cold","neutral"))</f>
        <v>warm</v>
      </c>
      <c r="I503" s="2">
        <f>IF(H503=H502,I502+1,1)</f>
        <v>6</v>
      </c>
      <c r="J503" s="2">
        <f>IF(H503=H504,J504+1,1)</f>
        <v>9</v>
      </c>
      <c r="K503" s="2">
        <f>I503+J503-1</f>
        <v>14</v>
      </c>
      <c r="L503" s="6" t="str">
        <f>IF(H503="neutral","—",IF(K503&gt;=5,IF(H503="warm","El Niño","La Niña"),IF(ROW()+J503-1=920,IF(H503="warm","El Niño (ongoing)","La Niña (ongoing)"),"—")))</f>
        <v>El Niño</v>
      </c>
      <c r="M503" s="2" t="inlineStr">
        <is>
          <t xml:space="preserve">1991/92</t>
        </is>
      </c>
    </row>
    <row r="504">
      <c r="A504" s="2" t="inlineStr">
        <is>
          <t xml:space="preserve">1991-11</t>
        </is>
      </c>
      <c r="B504" s="2">
        <v>1991</v>
      </c>
      <c r="C504" s="2">
        <v>11</v>
      </c>
      <c r="D504" s="2" t="inlineStr">
        <is>
          <t xml:space="preserve">OND</t>
        </is>
      </c>
      <c r="E504" t="inlineStr">
        <is>
          <t xml:space="preserve">Oct 1991 – Dec 1991</t>
        </is>
      </c>
      <c r="F504" s="3">
        <v>1.18</v>
      </c>
      <c r="G504" s="4">
        <f>ROUND(F504,1)</f>
        <v>1.2</v>
      </c>
      <c r="H504" s="2" t="str">
        <f>IF(G504&gt;=0.5,"warm",IF(G504&lt;=-0.5,"cold","neutral"))</f>
        <v>warm</v>
      </c>
      <c r="I504" s="2">
        <f>IF(H504=H503,I503+1,1)</f>
        <v>7</v>
      </c>
      <c r="J504" s="2">
        <f>IF(H504=H505,J505+1,1)</f>
        <v>8</v>
      </c>
      <c r="K504" s="2">
        <f>I504+J504-1</f>
        <v>14</v>
      </c>
      <c r="L504" s="6" t="str">
        <f>IF(H504="neutral","—",IF(K504&gt;=5,IF(H504="warm","El Niño","La Niña"),IF(ROW()+J504-1=920,IF(H504="warm","El Niño (ongoing)","La Niña (ongoing)"),"—")))</f>
        <v>El Niño</v>
      </c>
      <c r="M504" s="2" t="inlineStr">
        <is>
          <t xml:space="preserve">1991/92</t>
        </is>
      </c>
    </row>
    <row r="505">
      <c r="A505" s="2" t="inlineStr">
        <is>
          <t xml:space="preserve">1991-12</t>
        </is>
      </c>
      <c r="B505" s="2">
        <v>1991</v>
      </c>
      <c r="C505" s="2">
        <v>12</v>
      </c>
      <c r="D505" s="2" t="inlineStr">
        <is>
          <t xml:space="preserve">NDJ</t>
        </is>
      </c>
      <c r="E505" t="inlineStr">
        <is>
          <t xml:space="preserve">Nov 1991 – Jan 1992</t>
        </is>
      </c>
      <c r="F505" s="3">
        <v>1.43</v>
      </c>
      <c r="G505" s="4">
        <f>ROUND(F505,1)</f>
        <v>1.4</v>
      </c>
      <c r="H505" s="2" t="str">
        <f>IF(G505&gt;=0.5,"warm",IF(G505&lt;=-0.5,"cold","neutral"))</f>
        <v>warm</v>
      </c>
      <c r="I505" s="2">
        <f>IF(H505=H504,I504+1,1)</f>
        <v>8</v>
      </c>
      <c r="J505" s="2">
        <f>IF(H505=H506,J506+1,1)</f>
        <v>7</v>
      </c>
      <c r="K505" s="2">
        <f>I505+J505-1</f>
        <v>14</v>
      </c>
      <c r="L505" s="6" t="str">
        <f>IF(H505="neutral","—",IF(K505&gt;=5,IF(H505="warm","El Niño","La Niña"),IF(ROW()+J505-1=920,IF(H505="warm","El Niño (ongoing)","La Niña (ongoing)"),"—")))</f>
        <v>El Niño</v>
      </c>
      <c r="M505" s="2" t="inlineStr">
        <is>
          <t xml:space="preserve">1991/92</t>
        </is>
      </c>
    </row>
    <row r="506">
      <c r="A506" s="2" t="inlineStr">
        <is>
          <t xml:space="preserve">1992-01</t>
        </is>
      </c>
      <c r="B506" s="2">
        <v>1992</v>
      </c>
      <c r="C506" s="2">
        <v>1</v>
      </c>
      <c r="D506" s="2" t="inlineStr">
        <is>
          <t xml:space="preserve">DJF</t>
        </is>
      </c>
      <c r="E506" t="inlineStr">
        <is>
          <t xml:space="preserve">Dec 1991 – Feb 1992</t>
        </is>
      </c>
      <c r="F506" s="3">
        <v>1.54</v>
      </c>
      <c r="G506" s="4">
        <f>ROUND(F506,1)</f>
        <v>1.5</v>
      </c>
      <c r="H506" s="2" t="str">
        <f>IF(G506&gt;=0.5,"warm",IF(G506&lt;=-0.5,"cold","neutral"))</f>
        <v>warm</v>
      </c>
      <c r="I506" s="2">
        <f>IF(H506=H505,I505+1,1)</f>
        <v>9</v>
      </c>
      <c r="J506" s="2">
        <f>IF(H506=H507,J507+1,1)</f>
        <v>6</v>
      </c>
      <c r="K506" s="2">
        <f>I506+J506-1</f>
        <v>14</v>
      </c>
      <c r="L506" s="6" t="str">
        <f>IF(H506="neutral","—",IF(K506&gt;=5,IF(H506="warm","El Niño","La Niña"),IF(ROW()+J506-1=920,IF(H506="warm","El Niño (ongoing)","La Niña (ongoing)"),"—")))</f>
        <v>El Niño</v>
      </c>
      <c r="M506" s="2" t="inlineStr">
        <is>
          <t xml:space="preserve">1991/92</t>
        </is>
      </c>
    </row>
    <row r="507">
      <c r="A507" s="2" t="inlineStr">
        <is>
          <t xml:space="preserve">1992-02</t>
        </is>
      </c>
      <c r="B507" s="2">
        <v>1992</v>
      </c>
      <c r="C507" s="2">
        <v>2</v>
      </c>
      <c r="D507" s="2" t="inlineStr">
        <is>
          <t xml:space="preserve">JFM</t>
        </is>
      </c>
      <c r="E507" t="inlineStr">
        <is>
          <t xml:space="preserve">Jan 1992 – Mar 1992</t>
        </is>
      </c>
      <c r="F507" s="3">
        <v>1.5</v>
      </c>
      <c r="G507" s="4">
        <f>ROUND(F507,1)</f>
        <v>1.5</v>
      </c>
      <c r="H507" s="2" t="str">
        <f>IF(G507&gt;=0.5,"warm",IF(G507&lt;=-0.5,"cold","neutral"))</f>
        <v>warm</v>
      </c>
      <c r="I507" s="2">
        <f>IF(H507=H506,I506+1,1)</f>
        <v>10</v>
      </c>
      <c r="J507" s="2">
        <f>IF(H507=H508,J508+1,1)</f>
        <v>5</v>
      </c>
      <c r="K507" s="2">
        <f>I507+J507-1</f>
        <v>14</v>
      </c>
      <c r="L507" s="6" t="str">
        <f>IF(H507="neutral","—",IF(K507&gt;=5,IF(H507="warm","El Niño","La Niña"),IF(ROW()+J507-1=920,IF(H507="warm","El Niño (ongoing)","La Niña (ongoing)"),"—")))</f>
        <v>El Niño</v>
      </c>
      <c r="M507" s="2" t="inlineStr">
        <is>
          <t xml:space="preserve">1991/92</t>
        </is>
      </c>
    </row>
    <row r="508">
      <c r="A508" s="2" t="inlineStr">
        <is>
          <t xml:space="preserve">1992-03</t>
        </is>
      </c>
      <c r="B508" s="2">
        <v>1992</v>
      </c>
      <c r="C508" s="2">
        <v>3</v>
      </c>
      <c r="D508" s="2" t="inlineStr">
        <is>
          <t xml:space="preserve">FMA</t>
        </is>
      </c>
      <c r="E508" t="inlineStr">
        <is>
          <t xml:space="preserve">Feb 1992 – Apr 1992</t>
        </is>
      </c>
      <c r="F508" s="3">
        <v>1.4</v>
      </c>
      <c r="G508" s="4">
        <f>ROUND(F508,1)</f>
        <v>1.4</v>
      </c>
      <c r="H508" s="2" t="str">
        <f>IF(G508&gt;=0.5,"warm",IF(G508&lt;=-0.5,"cold","neutral"))</f>
        <v>warm</v>
      </c>
      <c r="I508" s="2">
        <f>IF(H508=H507,I507+1,1)</f>
        <v>11</v>
      </c>
      <c r="J508" s="2">
        <f>IF(H508=H509,J509+1,1)</f>
        <v>4</v>
      </c>
      <c r="K508" s="2">
        <f>I508+J508-1</f>
        <v>14</v>
      </c>
      <c r="L508" s="6" t="str">
        <f>IF(H508="neutral","—",IF(K508&gt;=5,IF(H508="warm","El Niño","La Niña"),IF(ROW()+J508-1=920,IF(H508="warm","El Niño (ongoing)","La Niña (ongoing)"),"—")))</f>
        <v>El Niño</v>
      </c>
      <c r="M508" s="2" t="inlineStr">
        <is>
          <t xml:space="preserve">1991/92</t>
        </is>
      </c>
    </row>
    <row r="509">
      <c r="A509" s="2" t="inlineStr">
        <is>
          <t xml:space="preserve">1992-04</t>
        </is>
      </c>
      <c r="B509" s="2">
        <v>1992</v>
      </c>
      <c r="C509" s="2">
        <v>4</v>
      </c>
      <c r="D509" s="2" t="inlineStr">
        <is>
          <t xml:space="preserve">MAM</t>
        </is>
      </c>
      <c r="E509" t="inlineStr">
        <is>
          <t xml:space="preserve">Mar 1992 – May 1992</t>
        </is>
      </c>
      <c r="F509" s="3">
        <v>1.3</v>
      </c>
      <c r="G509" s="4">
        <f>ROUND(F509,1)</f>
        <v>1.3</v>
      </c>
      <c r="H509" s="2" t="str">
        <f>IF(G509&gt;=0.5,"warm",IF(G509&lt;=-0.5,"cold","neutral"))</f>
        <v>warm</v>
      </c>
      <c r="I509" s="2">
        <f>IF(H509=H508,I508+1,1)</f>
        <v>12</v>
      </c>
      <c r="J509" s="2">
        <f>IF(H509=H510,J510+1,1)</f>
        <v>3</v>
      </c>
      <c r="K509" s="2">
        <f>I509+J509-1</f>
        <v>14</v>
      </c>
      <c r="L509" s="6" t="str">
        <f>IF(H509="neutral","—",IF(K509&gt;=5,IF(H509="warm","El Niño","La Niña"),IF(ROW()+J509-1=920,IF(H509="warm","El Niño (ongoing)","La Niña (ongoing)"),"—")))</f>
        <v>El Niño</v>
      </c>
      <c r="M509" s="2" t="inlineStr">
        <is>
          <t xml:space="preserve">1991/92</t>
        </is>
      </c>
    </row>
    <row r="510">
      <c r="A510" s="2" t="inlineStr">
        <is>
          <t xml:space="preserve">1992-05</t>
        </is>
      </c>
      <c r="B510" s="2">
        <v>1992</v>
      </c>
      <c r="C510" s="2">
        <v>5</v>
      </c>
      <c r="D510" s="2" t="inlineStr">
        <is>
          <t xml:space="preserve">AMJ</t>
        </is>
      </c>
      <c r="E510" t="inlineStr">
        <is>
          <t xml:space="preserve">Apr 1992 – Jun 1992</t>
        </is>
      </c>
      <c r="F510" s="3">
        <v>1.08</v>
      </c>
      <c r="G510" s="4">
        <f>ROUND(F510,1)</f>
        <v>1.1</v>
      </c>
      <c r="H510" s="2" t="str">
        <f>IF(G510&gt;=0.5,"warm",IF(G510&lt;=-0.5,"cold","neutral"))</f>
        <v>warm</v>
      </c>
      <c r="I510" s="2">
        <f>IF(H510=H509,I509+1,1)</f>
        <v>13</v>
      </c>
      <c r="J510" s="2">
        <f>IF(H510=H511,J511+1,1)</f>
        <v>2</v>
      </c>
      <c r="K510" s="2">
        <f>I510+J510-1</f>
        <v>14</v>
      </c>
      <c r="L510" s="6" t="str">
        <f>IF(H510="neutral","—",IF(K510&gt;=5,IF(H510="warm","El Niño","La Niña"),IF(ROW()+J510-1=920,IF(H510="warm","El Niño (ongoing)","La Niña (ongoing)"),"—")))</f>
        <v>El Niño</v>
      </c>
      <c r="M510" s="2" t="inlineStr">
        <is>
          <t xml:space="preserve">1991/92</t>
        </is>
      </c>
    </row>
    <row r="511">
      <c r="A511" s="2" t="inlineStr">
        <is>
          <t xml:space="preserve">1992-06</t>
        </is>
      </c>
      <c r="B511" s="2">
        <v>1992</v>
      </c>
      <c r="C511" s="2">
        <v>6</v>
      </c>
      <c r="D511" s="2" t="inlineStr">
        <is>
          <t xml:space="preserve">MJJ</t>
        </is>
      </c>
      <c r="E511" t="inlineStr">
        <is>
          <t xml:space="preserve">May 1992 – Jul 1992</t>
        </is>
      </c>
      <c r="F511" s="3">
        <v>0.72</v>
      </c>
      <c r="G511" s="4">
        <f>ROUND(F511,1)</f>
        <v>0.7</v>
      </c>
      <c r="H511" s="2" t="str">
        <f>IF(G511&gt;=0.5,"warm",IF(G511&lt;=-0.5,"cold","neutral"))</f>
        <v>warm</v>
      </c>
      <c r="I511" s="2">
        <f>IF(H511=H510,I510+1,1)</f>
        <v>14</v>
      </c>
      <c r="J511" s="2">
        <f>IF(H511=H512,J512+1,1)</f>
        <v>1</v>
      </c>
      <c r="K511" s="2">
        <f>I511+J511-1</f>
        <v>14</v>
      </c>
      <c r="L511" s="6" t="str">
        <f>IF(H511="neutral","—",IF(K511&gt;=5,IF(H511="warm","El Niño","La Niña"),IF(ROW()+J511-1=920,IF(H511="warm","El Niño (ongoing)","La Niña (ongoing)"),"—")))</f>
        <v>El Niño</v>
      </c>
      <c r="M511" s="2" t="inlineStr">
        <is>
          <t xml:space="preserve">1991/92</t>
        </is>
      </c>
    </row>
    <row r="512">
      <c r="A512" s="2" t="inlineStr">
        <is>
          <t xml:space="preserve">1992-07</t>
        </is>
      </c>
      <c r="B512" s="2">
        <v>1992</v>
      </c>
      <c r="C512" s="2">
        <v>7</v>
      </c>
      <c r="D512" s="2" t="inlineStr">
        <is>
          <t xml:space="preserve">JJA</t>
        </is>
      </c>
      <c r="E512" t="inlineStr">
        <is>
          <t xml:space="preserve">Jun 1992 – Aug 1992</t>
        </is>
      </c>
      <c r="F512" s="3">
        <v>0.35</v>
      </c>
      <c r="G512" s="4">
        <f>ROUND(F512,1)</f>
        <v>0.4</v>
      </c>
      <c r="H512" s="2" t="str">
        <f>IF(G512&gt;=0.5,"warm",IF(G512&lt;=-0.5,"cold","neutral"))</f>
        <v>neutral</v>
      </c>
      <c r="I512" s="2">
        <f>IF(H512=H511,I511+1,1)</f>
        <v>1</v>
      </c>
      <c r="J512" s="2">
        <f>IF(H512=H513,J513+1,1)</f>
        <v>8</v>
      </c>
      <c r="K512" s="2">
        <f>I512+J512-1</f>
        <v>8</v>
      </c>
      <c r="L512" s="2" t="str">
        <f>IF(H512="neutral","—",IF(K512&gt;=5,IF(H512="warm","El Niño","La Niña"),IF(ROW()+J512-1=920,IF(H512="warm","El Niño (ongoing)","La Niña (ongoing)"),"—")))</f>
        <v>—</v>
      </c>
      <c r="M512" s="2" t="inlineStr">
        <is>
          <t xml:space="preserve">1992/93</t>
        </is>
      </c>
    </row>
    <row r="513">
      <c r="A513" s="2" t="inlineStr">
        <is>
          <t xml:space="preserve">1992-08</t>
        </is>
      </c>
      <c r="B513" s="2">
        <v>1992</v>
      </c>
      <c r="C513" s="2">
        <v>8</v>
      </c>
      <c r="D513" s="2" t="inlineStr">
        <is>
          <t xml:space="preserve">JAS</t>
        </is>
      </c>
      <c r="E513" t="inlineStr">
        <is>
          <t xml:space="preserve">Jul 1992 – Sep 1992</t>
        </is>
      </c>
      <c r="F513" s="3">
        <v>0.08</v>
      </c>
      <c r="G513" s="4">
        <f>ROUND(F513,1)</f>
        <v>0.1</v>
      </c>
      <c r="H513" s="2" t="str">
        <f>IF(G513&gt;=0.5,"warm",IF(G513&lt;=-0.5,"cold","neutral"))</f>
        <v>neutral</v>
      </c>
      <c r="I513" s="2">
        <f>IF(H513=H512,I512+1,1)</f>
        <v>2</v>
      </c>
      <c r="J513" s="2">
        <f>IF(H513=H514,J514+1,1)</f>
        <v>7</v>
      </c>
      <c r="K513" s="2">
        <f>I513+J513-1</f>
        <v>8</v>
      </c>
      <c r="L513" s="2" t="str">
        <f>IF(H513="neutral","—",IF(K513&gt;=5,IF(H513="warm","El Niño","La Niña"),IF(ROW()+J513-1=920,IF(H513="warm","El Niño (ongoing)","La Niña (ongoing)"),"—")))</f>
        <v>—</v>
      </c>
      <c r="M513" s="2" t="inlineStr">
        <is>
          <t xml:space="preserve">1992/93</t>
        </is>
      </c>
    </row>
    <row r="514">
      <c r="A514" s="2" t="inlineStr">
        <is>
          <t xml:space="preserve">1992-09</t>
        </is>
      </c>
      <c r="B514" s="2">
        <v>1992</v>
      </c>
      <c r="C514" s="2">
        <v>9</v>
      </c>
      <c r="D514" s="2" t="inlineStr">
        <is>
          <t xml:space="preserve">ASO</t>
        </is>
      </c>
      <c r="E514" t="inlineStr">
        <is>
          <t xml:space="preserve">Aug 1992 – Oct 1992</t>
        </is>
      </c>
      <c r="F514" s="3">
        <v>-0.15</v>
      </c>
      <c r="G514" s="4">
        <f>ROUND(F514,1)</f>
        <v>-0.2</v>
      </c>
      <c r="H514" s="2" t="str">
        <f>IF(G514&gt;=0.5,"warm",IF(G514&lt;=-0.5,"cold","neutral"))</f>
        <v>neutral</v>
      </c>
      <c r="I514" s="2">
        <f>IF(H514=H513,I513+1,1)</f>
        <v>3</v>
      </c>
      <c r="J514" s="2">
        <f>IF(H514=H515,J515+1,1)</f>
        <v>6</v>
      </c>
      <c r="K514" s="2">
        <f>I514+J514-1</f>
        <v>8</v>
      </c>
      <c r="L514" s="2" t="str">
        <f>IF(H514="neutral","—",IF(K514&gt;=5,IF(H514="warm","El Niño","La Niña"),IF(ROW()+J514-1=920,IF(H514="warm","El Niño (ongoing)","La Niña (ongoing)"),"—")))</f>
        <v>—</v>
      </c>
      <c r="M514" s="2" t="inlineStr">
        <is>
          <t xml:space="preserve">1992/93</t>
        </is>
      </c>
    </row>
    <row r="515">
      <c r="A515" s="2" t="inlineStr">
        <is>
          <t xml:space="preserve">1992-10</t>
        </is>
      </c>
      <c r="B515" s="2">
        <v>1992</v>
      </c>
      <c r="C515" s="2">
        <v>10</v>
      </c>
      <c r="D515" s="2" t="inlineStr">
        <is>
          <t xml:space="preserve">SON</t>
        </is>
      </c>
      <c r="E515" t="inlineStr">
        <is>
          <t xml:space="preserve">Sep 1992 – Nov 1992</t>
        </is>
      </c>
      <c r="F515" s="3">
        <v>-0.22</v>
      </c>
      <c r="G515" s="4">
        <f>ROUND(F515,1)</f>
        <v>-0.2</v>
      </c>
      <c r="H515" s="2" t="str">
        <f>IF(G515&gt;=0.5,"warm",IF(G515&lt;=-0.5,"cold","neutral"))</f>
        <v>neutral</v>
      </c>
      <c r="I515" s="2">
        <f>IF(H515=H514,I514+1,1)</f>
        <v>4</v>
      </c>
      <c r="J515" s="2">
        <f>IF(H515=H516,J516+1,1)</f>
        <v>5</v>
      </c>
      <c r="K515" s="2">
        <f>I515+J515-1</f>
        <v>8</v>
      </c>
      <c r="L515" s="2" t="str">
        <f>IF(H515="neutral","—",IF(K515&gt;=5,IF(H515="warm","El Niño","La Niña"),IF(ROW()+J515-1=920,IF(H515="warm","El Niño (ongoing)","La Niña (ongoing)"),"—")))</f>
        <v>—</v>
      </c>
      <c r="M515" s="2" t="inlineStr">
        <is>
          <t xml:space="preserve">1992/93</t>
        </is>
      </c>
    </row>
    <row r="516">
      <c r="A516" s="2" t="inlineStr">
        <is>
          <t xml:space="preserve">1992-11</t>
        </is>
      </c>
      <c r="B516" s="2">
        <v>1992</v>
      </c>
      <c r="C516" s="2">
        <v>11</v>
      </c>
      <c r="D516" s="2" t="inlineStr">
        <is>
          <t xml:space="preserve">OND</t>
        </is>
      </c>
      <c r="E516" t="inlineStr">
        <is>
          <t xml:space="preserve">Oct 1992 – Dec 1992</t>
        </is>
      </c>
      <c r="F516" s="3">
        <v>-0.24</v>
      </c>
      <c r="G516" s="4">
        <f>ROUND(F516,1)</f>
        <v>-0.2</v>
      </c>
      <c r="H516" s="2" t="str">
        <f>IF(G516&gt;=0.5,"warm",IF(G516&lt;=-0.5,"cold","neutral"))</f>
        <v>neutral</v>
      </c>
      <c r="I516" s="2">
        <f>IF(H516=H515,I515+1,1)</f>
        <v>5</v>
      </c>
      <c r="J516" s="2">
        <f>IF(H516=H517,J517+1,1)</f>
        <v>4</v>
      </c>
      <c r="K516" s="2">
        <f>I516+J516-1</f>
        <v>8</v>
      </c>
      <c r="L516" s="2" t="str">
        <f>IF(H516="neutral","—",IF(K516&gt;=5,IF(H516="warm","El Niño","La Niña"),IF(ROW()+J516-1=920,IF(H516="warm","El Niño (ongoing)","La Niña (ongoing)"),"—")))</f>
        <v>—</v>
      </c>
      <c r="M516" s="2" t="inlineStr">
        <is>
          <t xml:space="preserve">1992/93</t>
        </is>
      </c>
    </row>
    <row r="517">
      <c r="A517" s="2" t="inlineStr">
        <is>
          <t xml:space="preserve">1992-12</t>
        </is>
      </c>
      <c r="B517" s="2">
        <v>1992</v>
      </c>
      <c r="C517" s="2">
        <v>12</v>
      </c>
      <c r="D517" s="2" t="inlineStr">
        <is>
          <t xml:space="preserve">NDJ</t>
        </is>
      </c>
      <c r="E517" t="inlineStr">
        <is>
          <t xml:space="preserve">Nov 1992 – Jan 1993</t>
        </is>
      </c>
      <c r="F517" s="3">
        <v>-0.05</v>
      </c>
      <c r="G517" s="4">
        <f>ROUND(F517,1)</f>
        <v>-0.1</v>
      </c>
      <c r="H517" s="2" t="str">
        <f>IF(G517&gt;=0.5,"warm",IF(G517&lt;=-0.5,"cold","neutral"))</f>
        <v>neutral</v>
      </c>
      <c r="I517" s="2">
        <f>IF(H517=H516,I516+1,1)</f>
        <v>6</v>
      </c>
      <c r="J517" s="2">
        <f>IF(H517=H518,J518+1,1)</f>
        <v>3</v>
      </c>
      <c r="K517" s="2">
        <f>I517+J517-1</f>
        <v>8</v>
      </c>
      <c r="L517" s="2" t="str">
        <f>IF(H517="neutral","—",IF(K517&gt;=5,IF(H517="warm","El Niño","La Niña"),IF(ROW()+J517-1=920,IF(H517="warm","El Niño (ongoing)","La Niña (ongoing)"),"—")))</f>
        <v>—</v>
      </c>
      <c r="M517" s="2" t="inlineStr">
        <is>
          <t xml:space="preserve">1992/93</t>
        </is>
      </c>
    </row>
    <row r="518">
      <c r="A518" s="2" t="inlineStr">
        <is>
          <t xml:space="preserve">1993-01</t>
        </is>
      </c>
      <c r="B518" s="2">
        <v>1993</v>
      </c>
      <c r="C518" s="2">
        <v>1</v>
      </c>
      <c r="D518" s="2" t="inlineStr">
        <is>
          <t xml:space="preserve">DJF</t>
        </is>
      </c>
      <c r="E518" t="inlineStr">
        <is>
          <t xml:space="preserve">Dec 1992 – Feb 1993</t>
        </is>
      </c>
      <c r="F518" s="3">
        <v>0.13</v>
      </c>
      <c r="G518" s="4">
        <f>ROUND(F518,1)</f>
        <v>0.1</v>
      </c>
      <c r="H518" s="2" t="str">
        <f>IF(G518&gt;=0.5,"warm",IF(G518&lt;=-0.5,"cold","neutral"))</f>
        <v>neutral</v>
      </c>
      <c r="I518" s="2">
        <f>IF(H518=H517,I517+1,1)</f>
        <v>7</v>
      </c>
      <c r="J518" s="2">
        <f>IF(H518=H519,J519+1,1)</f>
        <v>2</v>
      </c>
      <c r="K518" s="2">
        <f>I518+J518-1</f>
        <v>8</v>
      </c>
      <c r="L518" s="2" t="str">
        <f>IF(H518="neutral","—",IF(K518&gt;=5,IF(H518="warm","El Niño","La Niña"),IF(ROW()+J518-1=920,IF(H518="warm","El Niño (ongoing)","La Niña (ongoing)"),"—")))</f>
        <v>—</v>
      </c>
      <c r="M518" s="2" t="inlineStr">
        <is>
          <t xml:space="preserve">1992/93</t>
        </is>
      </c>
    </row>
    <row r="519">
      <c r="A519" s="2" t="inlineStr">
        <is>
          <t xml:space="preserve">1993-02</t>
        </is>
      </c>
      <c r="B519" s="2">
        <v>1993</v>
      </c>
      <c r="C519" s="2">
        <v>2</v>
      </c>
      <c r="D519" s="2" t="inlineStr">
        <is>
          <t xml:space="preserve">JFM</t>
        </is>
      </c>
      <c r="E519" t="inlineStr">
        <is>
          <t xml:space="preserve">Jan 1993 – Mar 1993</t>
        </is>
      </c>
      <c r="F519" s="3">
        <v>0.31</v>
      </c>
      <c r="G519" s="4">
        <f>ROUND(F519,1)</f>
        <v>0.3</v>
      </c>
      <c r="H519" s="2" t="str">
        <f>IF(G519&gt;=0.5,"warm",IF(G519&lt;=-0.5,"cold","neutral"))</f>
        <v>neutral</v>
      </c>
      <c r="I519" s="2">
        <f>IF(H519=H518,I518+1,1)</f>
        <v>8</v>
      </c>
      <c r="J519" s="2">
        <f>IF(H519=H520,J520+1,1)</f>
        <v>1</v>
      </c>
      <c r="K519" s="2">
        <f>I519+J519-1</f>
        <v>8</v>
      </c>
      <c r="L519" s="2" t="str">
        <f>IF(H519="neutral","—",IF(K519&gt;=5,IF(H519="warm","El Niño","La Niña"),IF(ROW()+J519-1=920,IF(H519="warm","El Niño (ongoing)","La Niña (ongoing)"),"—")))</f>
        <v>—</v>
      </c>
      <c r="M519" s="2" t="inlineStr">
        <is>
          <t xml:space="preserve">1992/93</t>
        </is>
      </c>
    </row>
    <row r="520">
      <c r="A520" s="2" t="inlineStr">
        <is>
          <t xml:space="preserve">1993-03</t>
        </is>
      </c>
      <c r="B520" s="2">
        <v>1993</v>
      </c>
      <c r="C520" s="2">
        <v>3</v>
      </c>
      <c r="D520" s="2" t="inlineStr">
        <is>
          <t xml:space="preserve">FMA</t>
        </is>
      </c>
      <c r="E520" t="inlineStr">
        <is>
          <t xml:space="preserve">Feb 1993 – Apr 1993</t>
        </is>
      </c>
      <c r="F520" s="3">
        <v>0.5</v>
      </c>
      <c r="G520" s="4">
        <f>ROUND(F520,1)</f>
        <v>0.5</v>
      </c>
      <c r="H520" s="2" t="str">
        <f>IF(G520&gt;=0.5,"warm",IF(G520&lt;=-0.5,"cold","neutral"))</f>
        <v>warm</v>
      </c>
      <c r="I520" s="2">
        <f>IF(H520=H519,I519+1,1)</f>
        <v>1</v>
      </c>
      <c r="J520" s="2">
        <f>IF(H520=H521,J521+1,1)</f>
        <v>4</v>
      </c>
      <c r="K520" s="2">
        <f>I520+J520-1</f>
        <v>4</v>
      </c>
      <c r="L520" s="2" t="str">
        <f>IF(H520="neutral","—",IF(K520&gt;=5,IF(H520="warm","El Niño","La Niña"),IF(ROW()+J520-1=920,IF(H520="warm","El Niño (ongoing)","La Niña (ongoing)"),"—")))</f>
        <v>—</v>
      </c>
      <c r="M520" s="2" t="inlineStr">
        <is>
          <t xml:space="preserve">1992/93</t>
        </is>
      </c>
    </row>
    <row r="521">
      <c r="A521" s="2" t="inlineStr">
        <is>
          <t xml:space="preserve">1993-04</t>
        </is>
      </c>
      <c r="B521" s="2">
        <v>1993</v>
      </c>
      <c r="C521" s="2">
        <v>4</v>
      </c>
      <c r="D521" s="2" t="inlineStr">
        <is>
          <t xml:space="preserve">MAM</t>
        </is>
      </c>
      <c r="E521" t="inlineStr">
        <is>
          <t xml:space="preserve">Mar 1993 – May 1993</t>
        </is>
      </c>
      <c r="F521" s="3">
        <v>0.73</v>
      </c>
      <c r="G521" s="4">
        <f>ROUND(F521,1)</f>
        <v>0.7</v>
      </c>
      <c r="H521" s="2" t="str">
        <f>IF(G521&gt;=0.5,"warm",IF(G521&lt;=-0.5,"cold","neutral"))</f>
        <v>warm</v>
      </c>
      <c r="I521" s="2">
        <f>IF(H521=H520,I520+1,1)</f>
        <v>2</v>
      </c>
      <c r="J521" s="2">
        <f>IF(H521=H522,J522+1,1)</f>
        <v>3</v>
      </c>
      <c r="K521" s="2">
        <f>I521+J521-1</f>
        <v>4</v>
      </c>
      <c r="L521" s="2" t="str">
        <f>IF(H521="neutral","—",IF(K521&gt;=5,IF(H521="warm","El Niño","La Niña"),IF(ROW()+J521-1=920,IF(H521="warm","El Niño (ongoing)","La Niña (ongoing)"),"—")))</f>
        <v>—</v>
      </c>
      <c r="M521" s="2" t="inlineStr">
        <is>
          <t xml:space="preserve">1992/93</t>
        </is>
      </c>
    </row>
    <row r="522">
      <c r="A522" s="2" t="inlineStr">
        <is>
          <t xml:space="preserve">1993-05</t>
        </is>
      </c>
      <c r="B522" s="2">
        <v>1993</v>
      </c>
      <c r="C522" s="2">
        <v>5</v>
      </c>
      <c r="D522" s="2" t="inlineStr">
        <is>
          <t xml:space="preserve">AMJ</t>
        </is>
      </c>
      <c r="E522" t="inlineStr">
        <is>
          <t xml:space="preserve">Apr 1993 – Jun 1993</t>
        </is>
      </c>
      <c r="F522" s="3">
        <v>0.76</v>
      </c>
      <c r="G522" s="4">
        <f>ROUND(F522,1)</f>
        <v>0.8</v>
      </c>
      <c r="H522" s="2" t="str">
        <f>IF(G522&gt;=0.5,"warm",IF(G522&lt;=-0.5,"cold","neutral"))</f>
        <v>warm</v>
      </c>
      <c r="I522" s="2">
        <f>IF(H522=H521,I521+1,1)</f>
        <v>3</v>
      </c>
      <c r="J522" s="2">
        <f>IF(H522=H523,J523+1,1)</f>
        <v>2</v>
      </c>
      <c r="K522" s="2">
        <f>I522+J522-1</f>
        <v>4</v>
      </c>
      <c r="L522" s="2" t="str">
        <f>IF(H522="neutral","—",IF(K522&gt;=5,IF(H522="warm","El Niño","La Niña"),IF(ROW()+J522-1=920,IF(H522="warm","El Niño (ongoing)","La Niña (ongoing)"),"—")))</f>
        <v>—</v>
      </c>
      <c r="M522" s="2" t="inlineStr">
        <is>
          <t xml:space="preserve">1992/93</t>
        </is>
      </c>
    </row>
    <row r="523">
      <c r="A523" s="2" t="inlineStr">
        <is>
          <t xml:space="preserve">1993-06</t>
        </is>
      </c>
      <c r="B523" s="2">
        <v>1993</v>
      </c>
      <c r="C523" s="2">
        <v>6</v>
      </c>
      <c r="D523" s="2" t="inlineStr">
        <is>
          <t xml:space="preserve">MJJ</t>
        </is>
      </c>
      <c r="E523" t="inlineStr">
        <is>
          <t xml:space="preserve">May 1993 – Jul 1993</t>
        </is>
      </c>
      <c r="F523" s="3">
        <v>0.56</v>
      </c>
      <c r="G523" s="4">
        <f>ROUND(F523,1)</f>
        <v>0.6</v>
      </c>
      <c r="H523" s="2" t="str">
        <f>IF(G523&gt;=0.5,"warm",IF(G523&lt;=-0.5,"cold","neutral"))</f>
        <v>warm</v>
      </c>
      <c r="I523" s="2">
        <f>IF(H523=H522,I522+1,1)</f>
        <v>4</v>
      </c>
      <c r="J523" s="2">
        <f>IF(H523=H524,J524+1,1)</f>
        <v>1</v>
      </c>
      <c r="K523" s="2">
        <f>I523+J523-1</f>
        <v>4</v>
      </c>
      <c r="L523" s="2" t="str">
        <f>IF(H523="neutral","—",IF(K523&gt;=5,IF(H523="warm","El Niño","La Niña"),IF(ROW()+J523-1=920,IF(H523="warm","El Niño (ongoing)","La Niña (ongoing)"),"—")))</f>
        <v>—</v>
      </c>
      <c r="M523" s="2" t="inlineStr">
        <is>
          <t xml:space="preserve">1992/93</t>
        </is>
      </c>
    </row>
    <row r="524">
      <c r="A524" s="2" t="inlineStr">
        <is>
          <t xml:space="preserve">1993-07</t>
        </is>
      </c>
      <c r="B524" s="2">
        <v>1993</v>
      </c>
      <c r="C524" s="2">
        <v>7</v>
      </c>
      <c r="D524" s="2" t="inlineStr">
        <is>
          <t xml:space="preserve">JJA</t>
        </is>
      </c>
      <c r="E524" t="inlineStr">
        <is>
          <t xml:space="preserve">Jun 1993 – Aug 1993</t>
        </is>
      </c>
      <c r="F524" s="3">
        <v>0.28</v>
      </c>
      <c r="G524" s="4">
        <f>ROUND(F524,1)</f>
        <v>0.3</v>
      </c>
      <c r="H524" s="2" t="str">
        <f>IF(G524&gt;=0.5,"warm",IF(G524&lt;=-0.5,"cold","neutral"))</f>
        <v>neutral</v>
      </c>
      <c r="I524" s="2">
        <f>IF(H524=H523,I523+1,1)</f>
        <v>1</v>
      </c>
      <c r="J524" s="2">
        <f>IF(H524=H525,J525+1,1)</f>
        <v>14</v>
      </c>
      <c r="K524" s="2">
        <f>I524+J524-1</f>
        <v>14</v>
      </c>
      <c r="L524" s="2" t="str">
        <f>IF(H524="neutral","—",IF(K524&gt;=5,IF(H524="warm","El Niño","La Niña"),IF(ROW()+J524-1=920,IF(H524="warm","El Niño (ongoing)","La Niña (ongoing)"),"—")))</f>
        <v>—</v>
      </c>
      <c r="M524" s="2" t="inlineStr">
        <is>
          <t xml:space="preserve">1993/94</t>
        </is>
      </c>
    </row>
    <row r="525">
      <c r="A525" s="2" t="inlineStr">
        <is>
          <t xml:space="preserve">1993-08</t>
        </is>
      </c>
      <c r="B525" s="2">
        <v>1993</v>
      </c>
      <c r="C525" s="2">
        <v>8</v>
      </c>
      <c r="D525" s="2" t="inlineStr">
        <is>
          <t xml:space="preserve">JAS</t>
        </is>
      </c>
      <c r="E525" t="inlineStr">
        <is>
          <t xml:space="preserve">Jul 1993 – Sep 1993</t>
        </is>
      </c>
      <c r="F525" s="3">
        <v>0.22</v>
      </c>
      <c r="G525" s="4">
        <f>ROUND(F525,1)</f>
        <v>0.2</v>
      </c>
      <c r="H525" s="2" t="str">
        <f>IF(G525&gt;=0.5,"warm",IF(G525&lt;=-0.5,"cold","neutral"))</f>
        <v>neutral</v>
      </c>
      <c r="I525" s="2">
        <f>IF(H525=H524,I524+1,1)</f>
        <v>2</v>
      </c>
      <c r="J525" s="2">
        <f>IF(H525=H526,J526+1,1)</f>
        <v>13</v>
      </c>
      <c r="K525" s="2">
        <f>I525+J525-1</f>
        <v>14</v>
      </c>
      <c r="L525" s="2" t="str">
        <f>IF(H525="neutral","—",IF(K525&gt;=5,IF(H525="warm","El Niño","La Niña"),IF(ROW()+J525-1=920,IF(H525="warm","El Niño (ongoing)","La Niña (ongoing)"),"—")))</f>
        <v>—</v>
      </c>
      <c r="M525" s="2" t="inlineStr">
        <is>
          <t xml:space="preserve">1993/94</t>
        </is>
      </c>
    </row>
    <row r="526">
      <c r="A526" s="2" t="inlineStr">
        <is>
          <t xml:space="preserve">1993-09</t>
        </is>
      </c>
      <c r="B526" s="2">
        <v>1993</v>
      </c>
      <c r="C526" s="2">
        <v>9</v>
      </c>
      <c r="D526" s="2" t="inlineStr">
        <is>
          <t xml:space="preserve">ASO</t>
        </is>
      </c>
      <c r="E526" t="inlineStr">
        <is>
          <t xml:space="preserve">Aug 1993 – Oct 1993</t>
        </is>
      </c>
      <c r="F526" s="3">
        <v>0.2</v>
      </c>
      <c r="G526" s="4">
        <f>ROUND(F526,1)</f>
        <v>0.2</v>
      </c>
      <c r="H526" s="2" t="str">
        <f>IF(G526&gt;=0.5,"warm",IF(G526&lt;=-0.5,"cold","neutral"))</f>
        <v>neutral</v>
      </c>
      <c r="I526" s="2">
        <f>IF(H526=H525,I525+1,1)</f>
        <v>3</v>
      </c>
      <c r="J526" s="2">
        <f>IF(H526=H527,J527+1,1)</f>
        <v>12</v>
      </c>
      <c r="K526" s="2">
        <f>I526+J526-1</f>
        <v>14</v>
      </c>
      <c r="L526" s="2" t="str">
        <f>IF(H526="neutral","—",IF(K526&gt;=5,IF(H526="warm","El Niño","La Niña"),IF(ROW()+J526-1=920,IF(H526="warm","El Niño (ongoing)","La Niña (ongoing)"),"—")))</f>
        <v>—</v>
      </c>
      <c r="M526" s="2" t="inlineStr">
        <is>
          <t xml:space="preserve">1993/94</t>
        </is>
      </c>
    </row>
    <row r="527">
      <c r="A527" s="2" t="inlineStr">
        <is>
          <t xml:space="preserve">1993-10</t>
        </is>
      </c>
      <c r="B527" s="2">
        <v>1993</v>
      </c>
      <c r="C527" s="2">
        <v>10</v>
      </c>
      <c r="D527" s="2" t="inlineStr">
        <is>
          <t xml:space="preserve">SON</t>
        </is>
      </c>
      <c r="E527" t="inlineStr">
        <is>
          <t xml:space="preserve">Sep 1993 – Nov 1993</t>
        </is>
      </c>
      <c r="F527" s="3">
        <v>0.2</v>
      </c>
      <c r="G527" s="4">
        <f>ROUND(F527,1)</f>
        <v>0.2</v>
      </c>
      <c r="H527" s="2" t="str">
        <f>IF(G527&gt;=0.5,"warm",IF(G527&lt;=-0.5,"cold","neutral"))</f>
        <v>neutral</v>
      </c>
      <c r="I527" s="2">
        <f>IF(H527=H526,I526+1,1)</f>
        <v>4</v>
      </c>
      <c r="J527" s="2">
        <f>IF(H527=H528,J528+1,1)</f>
        <v>11</v>
      </c>
      <c r="K527" s="2">
        <f>I527+J527-1</f>
        <v>14</v>
      </c>
      <c r="L527" s="2" t="str">
        <f>IF(H527="neutral","—",IF(K527&gt;=5,IF(H527="warm","El Niño","La Niña"),IF(ROW()+J527-1=920,IF(H527="warm","El Niño (ongoing)","La Niña (ongoing)"),"—")))</f>
        <v>—</v>
      </c>
      <c r="M527" s="2" t="inlineStr">
        <is>
          <t xml:space="preserve">1993/94</t>
        </is>
      </c>
    </row>
    <row r="528">
      <c r="A528" s="2" t="inlineStr">
        <is>
          <t xml:space="preserve">1993-11</t>
        </is>
      </c>
      <c r="B528" s="2">
        <v>1993</v>
      </c>
      <c r="C528" s="2">
        <v>11</v>
      </c>
      <c r="D528" s="2" t="inlineStr">
        <is>
          <t xml:space="preserve">OND</t>
        </is>
      </c>
      <c r="E528" t="inlineStr">
        <is>
          <t xml:space="preserve">Oct 1993 – Dec 1993</t>
        </is>
      </c>
      <c r="F528" s="3">
        <v>0.2</v>
      </c>
      <c r="G528" s="4">
        <f>ROUND(F528,1)</f>
        <v>0.2</v>
      </c>
      <c r="H528" s="2" t="str">
        <f>IF(G528&gt;=0.5,"warm",IF(G528&lt;=-0.5,"cold","neutral"))</f>
        <v>neutral</v>
      </c>
      <c r="I528" s="2">
        <f>IF(H528=H527,I527+1,1)</f>
        <v>5</v>
      </c>
      <c r="J528" s="2">
        <f>IF(H528=H529,J529+1,1)</f>
        <v>10</v>
      </c>
      <c r="K528" s="2">
        <f>I528+J528-1</f>
        <v>14</v>
      </c>
      <c r="L528" s="2" t="str">
        <f>IF(H528="neutral","—",IF(K528&gt;=5,IF(H528="warm","El Niño","La Niña"),IF(ROW()+J528-1=920,IF(H528="warm","El Niño (ongoing)","La Niña (ongoing)"),"—")))</f>
        <v>—</v>
      </c>
      <c r="M528" s="2" t="inlineStr">
        <is>
          <t xml:space="preserve">1993/94</t>
        </is>
      </c>
    </row>
    <row r="529">
      <c r="A529" s="2" t="inlineStr">
        <is>
          <t xml:space="preserve">1993-12</t>
        </is>
      </c>
      <c r="B529" s="2">
        <v>1993</v>
      </c>
      <c r="C529" s="2">
        <v>12</v>
      </c>
      <c r="D529" s="2" t="inlineStr">
        <is>
          <t xml:space="preserve">NDJ</t>
        </is>
      </c>
      <c r="E529" t="inlineStr">
        <is>
          <t xml:space="preserve">Nov 1993 – Jan 1994</t>
        </is>
      </c>
      <c r="F529" s="3">
        <v>0.19</v>
      </c>
      <c r="G529" s="4">
        <f>ROUND(F529,1)</f>
        <v>0.2</v>
      </c>
      <c r="H529" s="2" t="str">
        <f>IF(G529&gt;=0.5,"warm",IF(G529&lt;=-0.5,"cold","neutral"))</f>
        <v>neutral</v>
      </c>
      <c r="I529" s="2">
        <f>IF(H529=H528,I528+1,1)</f>
        <v>6</v>
      </c>
      <c r="J529" s="2">
        <f>IF(H529=H530,J530+1,1)</f>
        <v>9</v>
      </c>
      <c r="K529" s="2">
        <f>I529+J529-1</f>
        <v>14</v>
      </c>
      <c r="L529" s="2" t="str">
        <f>IF(H529="neutral","—",IF(K529&gt;=5,IF(H529="warm","El Niño","La Niña"),IF(ROW()+J529-1=920,IF(H529="warm","El Niño (ongoing)","La Niña (ongoing)"),"—")))</f>
        <v>—</v>
      </c>
      <c r="M529" s="2" t="inlineStr">
        <is>
          <t xml:space="preserve">1993/94</t>
        </is>
      </c>
    </row>
    <row r="530">
      <c r="A530" s="2" t="inlineStr">
        <is>
          <t xml:space="preserve">1994-01</t>
        </is>
      </c>
      <c r="B530" s="2">
        <v>1994</v>
      </c>
      <c r="C530" s="2">
        <v>1</v>
      </c>
      <c r="D530" s="2" t="inlineStr">
        <is>
          <t xml:space="preserve">DJF</t>
        </is>
      </c>
      <c r="E530" t="inlineStr">
        <is>
          <t xml:space="preserve">Dec 1993 – Feb 1994</t>
        </is>
      </c>
      <c r="F530" s="3">
        <v>0.07</v>
      </c>
      <c r="G530" s="4">
        <f>ROUND(F530,1)</f>
        <v>0.1</v>
      </c>
      <c r="H530" s="2" t="str">
        <f>IF(G530&gt;=0.5,"warm",IF(G530&lt;=-0.5,"cold","neutral"))</f>
        <v>neutral</v>
      </c>
      <c r="I530" s="2">
        <f>IF(H530=H529,I529+1,1)</f>
        <v>7</v>
      </c>
      <c r="J530" s="2">
        <f>IF(H530=H531,J531+1,1)</f>
        <v>8</v>
      </c>
      <c r="K530" s="2">
        <f>I530+J530-1</f>
        <v>14</v>
      </c>
      <c r="L530" s="2" t="str">
        <f>IF(H530="neutral","—",IF(K530&gt;=5,IF(H530="warm","El Niño","La Niña"),IF(ROW()+J530-1=920,IF(H530="warm","El Niño (ongoing)","La Niña (ongoing)"),"—")))</f>
        <v>—</v>
      </c>
      <c r="M530" s="2" t="inlineStr">
        <is>
          <t xml:space="preserve">1993/94</t>
        </is>
      </c>
    </row>
    <row r="531">
      <c r="A531" s="2" t="inlineStr">
        <is>
          <t xml:space="preserve">1994-02</t>
        </is>
      </c>
      <c r="B531" s="2">
        <v>1994</v>
      </c>
      <c r="C531" s="2">
        <v>2</v>
      </c>
      <c r="D531" s="2" t="inlineStr">
        <is>
          <t xml:space="preserve">JFM</t>
        </is>
      </c>
      <c r="E531" t="inlineStr">
        <is>
          <t xml:space="preserve">Jan 1994 – Mar 1994</t>
        </is>
      </c>
      <c r="F531" s="3">
        <v>0.0</v>
      </c>
      <c r="G531" s="4">
        <f>ROUND(F531,1)</f>
        <v>0.0</v>
      </c>
      <c r="H531" s="2" t="str">
        <f>IF(G531&gt;=0.5,"warm",IF(G531&lt;=-0.5,"cold","neutral"))</f>
        <v>neutral</v>
      </c>
      <c r="I531" s="2">
        <f>IF(H531=H530,I530+1,1)</f>
        <v>8</v>
      </c>
      <c r="J531" s="2">
        <f>IF(H531=H532,J532+1,1)</f>
        <v>7</v>
      </c>
      <c r="K531" s="2">
        <f>I531+J531-1</f>
        <v>14</v>
      </c>
      <c r="L531" s="2" t="str">
        <f>IF(H531="neutral","—",IF(K531&gt;=5,IF(H531="warm","El Niño","La Niña"),IF(ROW()+J531-1=920,IF(H531="warm","El Niño (ongoing)","La Niña (ongoing)"),"—")))</f>
        <v>—</v>
      </c>
      <c r="M531" s="2" t="inlineStr">
        <is>
          <t xml:space="preserve">1993/94</t>
        </is>
      </c>
    </row>
    <row r="532">
      <c r="A532" s="2" t="inlineStr">
        <is>
          <t xml:space="preserve">1994-03</t>
        </is>
      </c>
      <c r="B532" s="2">
        <v>1994</v>
      </c>
      <c r="C532" s="2">
        <v>3</v>
      </c>
      <c r="D532" s="2" t="inlineStr">
        <is>
          <t xml:space="preserve">FMA</t>
        </is>
      </c>
      <c r="E532" t="inlineStr">
        <is>
          <t xml:space="preserve">Feb 1994 – Apr 1994</t>
        </is>
      </c>
      <c r="F532" s="3">
        <v>0.04</v>
      </c>
      <c r="G532" s="4">
        <f>ROUND(F532,1)</f>
        <v>0.0</v>
      </c>
      <c r="H532" s="2" t="str">
        <f>IF(G532&gt;=0.5,"warm",IF(G532&lt;=-0.5,"cold","neutral"))</f>
        <v>neutral</v>
      </c>
      <c r="I532" s="2">
        <f>IF(H532=H531,I531+1,1)</f>
        <v>9</v>
      </c>
      <c r="J532" s="2">
        <f>IF(H532=H533,J533+1,1)</f>
        <v>6</v>
      </c>
      <c r="K532" s="2">
        <f>I532+J532-1</f>
        <v>14</v>
      </c>
      <c r="L532" s="2" t="str">
        <f>IF(H532="neutral","—",IF(K532&gt;=5,IF(H532="warm","El Niño","La Niña"),IF(ROW()+J532-1=920,IF(H532="warm","El Niño (ongoing)","La Niña (ongoing)"),"—")))</f>
        <v>—</v>
      </c>
      <c r="M532" s="2" t="inlineStr">
        <is>
          <t xml:space="preserve">1993/94</t>
        </is>
      </c>
    </row>
    <row r="533">
      <c r="A533" s="2" t="inlineStr">
        <is>
          <t xml:space="preserve">1994-04</t>
        </is>
      </c>
      <c r="B533" s="2">
        <v>1994</v>
      </c>
      <c r="C533" s="2">
        <v>4</v>
      </c>
      <c r="D533" s="2" t="inlineStr">
        <is>
          <t xml:space="preserve">MAM</t>
        </is>
      </c>
      <c r="E533" t="inlineStr">
        <is>
          <t xml:space="preserve">Mar 1994 – May 1994</t>
        </is>
      </c>
      <c r="F533" s="3">
        <v>0.17</v>
      </c>
      <c r="G533" s="4">
        <f>ROUND(F533,1)</f>
        <v>0.2</v>
      </c>
      <c r="H533" s="2" t="str">
        <f>IF(G533&gt;=0.5,"warm",IF(G533&lt;=-0.5,"cold","neutral"))</f>
        <v>neutral</v>
      </c>
      <c r="I533" s="2">
        <f>IF(H533=H532,I532+1,1)</f>
        <v>10</v>
      </c>
      <c r="J533" s="2">
        <f>IF(H533=H534,J534+1,1)</f>
        <v>5</v>
      </c>
      <c r="K533" s="2">
        <f>I533+J533-1</f>
        <v>14</v>
      </c>
      <c r="L533" s="2" t="str">
        <f>IF(H533="neutral","—",IF(K533&gt;=5,IF(H533="warm","El Niño","La Niña"),IF(ROW()+J533-1=920,IF(H533="warm","El Niño (ongoing)","La Niña (ongoing)"),"—")))</f>
        <v>—</v>
      </c>
      <c r="M533" s="2" t="inlineStr">
        <is>
          <t xml:space="preserve">1993/94</t>
        </is>
      </c>
    </row>
    <row r="534">
      <c r="A534" s="2" t="inlineStr">
        <is>
          <t xml:space="preserve">1994-05</t>
        </is>
      </c>
      <c r="B534" s="2">
        <v>1994</v>
      </c>
      <c r="C534" s="2">
        <v>5</v>
      </c>
      <c r="D534" s="2" t="inlineStr">
        <is>
          <t xml:space="preserve">AMJ</t>
        </is>
      </c>
      <c r="E534" t="inlineStr">
        <is>
          <t xml:space="preserve">Apr 1994 – Jun 1994</t>
        </is>
      </c>
      <c r="F534" s="3">
        <v>0.25</v>
      </c>
      <c r="G534" s="4">
        <f>ROUND(F534,1)</f>
        <v>0.3</v>
      </c>
      <c r="H534" s="2" t="str">
        <f>IF(G534&gt;=0.5,"warm",IF(G534&lt;=-0.5,"cold","neutral"))</f>
        <v>neutral</v>
      </c>
      <c r="I534" s="2">
        <f>IF(H534=H533,I533+1,1)</f>
        <v>11</v>
      </c>
      <c r="J534" s="2">
        <f>IF(H534=H535,J535+1,1)</f>
        <v>4</v>
      </c>
      <c r="K534" s="2">
        <f>I534+J534-1</f>
        <v>14</v>
      </c>
      <c r="L534" s="2" t="str">
        <f>IF(H534="neutral","—",IF(K534&gt;=5,IF(H534="warm","El Niño","La Niña"),IF(ROW()+J534-1=920,IF(H534="warm","El Niño (ongoing)","La Niña (ongoing)"),"—")))</f>
        <v>—</v>
      </c>
      <c r="M534" s="2" t="inlineStr">
        <is>
          <t xml:space="preserve">1993/94</t>
        </is>
      </c>
    </row>
    <row r="535">
      <c r="A535" s="2" t="inlineStr">
        <is>
          <t xml:space="preserve">1994-06</t>
        </is>
      </c>
      <c r="B535" s="2">
        <v>1994</v>
      </c>
      <c r="C535" s="2">
        <v>6</v>
      </c>
      <c r="D535" s="2" t="inlineStr">
        <is>
          <t xml:space="preserve">MJJ</t>
        </is>
      </c>
      <c r="E535" t="inlineStr">
        <is>
          <t xml:space="preserve">May 1994 – Jul 1994</t>
        </is>
      </c>
      <c r="F535" s="3">
        <v>0.23</v>
      </c>
      <c r="G535" s="4">
        <f>ROUND(F535,1)</f>
        <v>0.2</v>
      </c>
      <c r="H535" s="2" t="str">
        <f>IF(G535&gt;=0.5,"warm",IF(G535&lt;=-0.5,"cold","neutral"))</f>
        <v>neutral</v>
      </c>
      <c r="I535" s="2">
        <f>IF(H535=H534,I534+1,1)</f>
        <v>12</v>
      </c>
      <c r="J535" s="2">
        <f>IF(H535=H536,J536+1,1)</f>
        <v>3</v>
      </c>
      <c r="K535" s="2">
        <f>I535+J535-1</f>
        <v>14</v>
      </c>
      <c r="L535" s="2" t="str">
        <f>IF(H535="neutral","—",IF(K535&gt;=5,IF(H535="warm","El Niño","La Niña"),IF(ROW()+J535-1=920,IF(H535="warm","El Niño (ongoing)","La Niña (ongoing)"),"—")))</f>
        <v>—</v>
      </c>
      <c r="M535" s="2" t="inlineStr">
        <is>
          <t xml:space="preserve">1993/94</t>
        </is>
      </c>
    </row>
    <row r="536">
      <c r="A536" s="2" t="inlineStr">
        <is>
          <t xml:space="preserve">1994-07</t>
        </is>
      </c>
      <c r="B536" s="2">
        <v>1994</v>
      </c>
      <c r="C536" s="2">
        <v>7</v>
      </c>
      <c r="D536" s="2" t="inlineStr">
        <is>
          <t xml:space="preserve">JJA</t>
        </is>
      </c>
      <c r="E536" t="inlineStr">
        <is>
          <t xml:space="preserve">Jun 1994 – Aug 1994</t>
        </is>
      </c>
      <c r="F536" s="3">
        <v>0.3</v>
      </c>
      <c r="G536" s="4">
        <f>ROUND(F536,1)</f>
        <v>0.3</v>
      </c>
      <c r="H536" s="2" t="str">
        <f>IF(G536&gt;=0.5,"warm",IF(G536&lt;=-0.5,"cold","neutral"))</f>
        <v>neutral</v>
      </c>
      <c r="I536" s="2">
        <f>IF(H536=H535,I535+1,1)</f>
        <v>13</v>
      </c>
      <c r="J536" s="2">
        <f>IF(H536=H537,J537+1,1)</f>
        <v>2</v>
      </c>
      <c r="K536" s="2">
        <f>I536+J536-1</f>
        <v>14</v>
      </c>
      <c r="L536" s="2" t="str">
        <f>IF(H536="neutral","—",IF(K536&gt;=5,IF(H536="warm","El Niño","La Niña"),IF(ROW()+J536-1=920,IF(H536="warm","El Niño (ongoing)","La Niña (ongoing)"),"—")))</f>
        <v>—</v>
      </c>
      <c r="M536" s="2" t="inlineStr">
        <is>
          <t xml:space="preserve">1994/95</t>
        </is>
      </c>
    </row>
    <row r="537">
      <c r="A537" s="2" t="inlineStr">
        <is>
          <t xml:space="preserve">1994-08</t>
        </is>
      </c>
      <c r="B537" s="2">
        <v>1994</v>
      </c>
      <c r="C537" s="2">
        <v>8</v>
      </c>
      <c r="D537" s="2" t="inlineStr">
        <is>
          <t xml:space="preserve">JAS</t>
        </is>
      </c>
      <c r="E537" t="inlineStr">
        <is>
          <t xml:space="preserve">Jul 1994 – Sep 1994</t>
        </is>
      </c>
      <c r="F537" s="3">
        <v>0.3</v>
      </c>
      <c r="G537" s="4">
        <f>ROUND(F537,1)</f>
        <v>0.3</v>
      </c>
      <c r="H537" s="2" t="str">
        <f>IF(G537&gt;=0.5,"warm",IF(G537&lt;=-0.5,"cold","neutral"))</f>
        <v>neutral</v>
      </c>
      <c r="I537" s="2">
        <f>IF(H537=H536,I536+1,1)</f>
        <v>14</v>
      </c>
      <c r="J537" s="2">
        <f>IF(H537=H538,J538+1,1)</f>
        <v>1</v>
      </c>
      <c r="K537" s="2">
        <f>I537+J537-1</f>
        <v>14</v>
      </c>
      <c r="L537" s="2" t="str">
        <f>IF(H537="neutral","—",IF(K537&gt;=5,IF(H537="warm","El Niño","La Niña"),IF(ROW()+J537-1=920,IF(H537="warm","El Niño (ongoing)","La Niña (ongoing)"),"—")))</f>
        <v>—</v>
      </c>
      <c r="M537" s="2" t="inlineStr">
        <is>
          <t xml:space="preserve">1994/95</t>
        </is>
      </c>
    </row>
    <row r="538">
      <c r="A538" s="2" t="inlineStr">
        <is>
          <t xml:space="preserve">1994-09</t>
        </is>
      </c>
      <c r="B538" s="2">
        <v>1994</v>
      </c>
      <c r="C538" s="2">
        <v>9</v>
      </c>
      <c r="D538" s="2" t="inlineStr">
        <is>
          <t xml:space="preserve">ASO</t>
        </is>
      </c>
      <c r="E538" t="inlineStr">
        <is>
          <t xml:space="preserve">Aug 1994 – Oct 1994</t>
        </is>
      </c>
      <c r="F538" s="3">
        <v>0.47</v>
      </c>
      <c r="G538" s="4">
        <f>ROUND(F538,1)</f>
        <v>0.5</v>
      </c>
      <c r="H538" s="2" t="str">
        <f>IF(G538&gt;=0.5,"warm",IF(G538&lt;=-0.5,"cold","neutral"))</f>
        <v>warm</v>
      </c>
      <c r="I538" s="2">
        <f>IF(H538=H537,I537+1,1)</f>
        <v>1</v>
      </c>
      <c r="J538" s="2">
        <f>IF(H538=H539,J539+1,1)</f>
        <v>7</v>
      </c>
      <c r="K538" s="2">
        <f>I538+J538-1</f>
        <v>7</v>
      </c>
      <c r="L538" s="6" t="str">
        <f>IF(H538="neutral","—",IF(K538&gt;=5,IF(H538="warm","El Niño","La Niña"),IF(ROW()+J538-1=920,IF(H538="warm","El Niño (ongoing)","La Niña (ongoing)"),"—")))</f>
        <v>El Niño</v>
      </c>
      <c r="M538" s="2" t="inlineStr">
        <is>
          <t xml:space="preserve">1994/95</t>
        </is>
      </c>
    </row>
    <row r="539">
      <c r="A539" s="2" t="inlineStr">
        <is>
          <t xml:space="preserve">1994-10</t>
        </is>
      </c>
      <c r="B539" s="2">
        <v>1994</v>
      </c>
      <c r="C539" s="2">
        <v>10</v>
      </c>
      <c r="D539" s="2" t="inlineStr">
        <is>
          <t xml:space="preserve">SON</t>
        </is>
      </c>
      <c r="E539" t="inlineStr">
        <is>
          <t xml:space="preserve">Sep 1994 – Nov 1994</t>
        </is>
      </c>
      <c r="F539" s="3">
        <v>0.66</v>
      </c>
      <c r="G539" s="4">
        <f>ROUND(F539,1)</f>
        <v>0.7</v>
      </c>
      <c r="H539" s="2" t="str">
        <f>IF(G539&gt;=0.5,"warm",IF(G539&lt;=-0.5,"cold","neutral"))</f>
        <v>warm</v>
      </c>
      <c r="I539" s="2">
        <f>IF(H539=H538,I538+1,1)</f>
        <v>2</v>
      </c>
      <c r="J539" s="2">
        <f>IF(H539=H540,J540+1,1)</f>
        <v>6</v>
      </c>
      <c r="K539" s="2">
        <f>I539+J539-1</f>
        <v>7</v>
      </c>
      <c r="L539" s="6" t="str">
        <f>IF(H539="neutral","—",IF(K539&gt;=5,IF(H539="warm","El Niño","La Niña"),IF(ROW()+J539-1=920,IF(H539="warm","El Niño (ongoing)","La Niña (ongoing)"),"—")))</f>
        <v>El Niño</v>
      </c>
      <c r="M539" s="2" t="inlineStr">
        <is>
          <t xml:space="preserve">1994/95</t>
        </is>
      </c>
    </row>
    <row r="540">
      <c r="A540" s="2" t="inlineStr">
        <is>
          <t xml:space="preserve">1994-11</t>
        </is>
      </c>
      <c r="B540" s="2">
        <v>1994</v>
      </c>
      <c r="C540" s="2">
        <v>11</v>
      </c>
      <c r="D540" s="2" t="inlineStr">
        <is>
          <t xml:space="preserve">OND</t>
        </is>
      </c>
      <c r="E540" t="inlineStr">
        <is>
          <t xml:space="preserve">Oct 1994 – Dec 1994</t>
        </is>
      </c>
      <c r="F540" s="3">
        <v>0.93</v>
      </c>
      <c r="G540" s="4">
        <f>ROUND(F540,1)</f>
        <v>0.9</v>
      </c>
      <c r="H540" s="2" t="str">
        <f>IF(G540&gt;=0.5,"warm",IF(G540&lt;=-0.5,"cold","neutral"))</f>
        <v>warm</v>
      </c>
      <c r="I540" s="2">
        <f>IF(H540=H539,I539+1,1)</f>
        <v>3</v>
      </c>
      <c r="J540" s="2">
        <f>IF(H540=H541,J541+1,1)</f>
        <v>5</v>
      </c>
      <c r="K540" s="2">
        <f>I540+J540-1</f>
        <v>7</v>
      </c>
      <c r="L540" s="6" t="str">
        <f>IF(H540="neutral","—",IF(K540&gt;=5,IF(H540="warm","El Niño","La Niña"),IF(ROW()+J540-1=920,IF(H540="warm","El Niño (ongoing)","La Niña (ongoing)"),"—")))</f>
        <v>El Niño</v>
      </c>
      <c r="M540" s="2" t="inlineStr">
        <is>
          <t xml:space="preserve">1994/95</t>
        </is>
      </c>
    </row>
    <row r="541">
      <c r="A541" s="2" t="inlineStr">
        <is>
          <t xml:space="preserve">1994-12</t>
        </is>
      </c>
      <c r="B541" s="2">
        <v>1994</v>
      </c>
      <c r="C541" s="2">
        <v>12</v>
      </c>
      <c r="D541" s="2" t="inlineStr">
        <is>
          <t xml:space="preserve">NDJ</t>
        </is>
      </c>
      <c r="E541" t="inlineStr">
        <is>
          <t xml:space="preserve">Nov 1994 – Jan 1995</t>
        </is>
      </c>
      <c r="F541" s="3">
        <v>0.97</v>
      </c>
      <c r="G541" s="4">
        <f>ROUND(F541,1)</f>
        <v>1.0</v>
      </c>
      <c r="H541" s="2" t="str">
        <f>IF(G541&gt;=0.5,"warm",IF(G541&lt;=-0.5,"cold","neutral"))</f>
        <v>warm</v>
      </c>
      <c r="I541" s="2">
        <f>IF(H541=H540,I540+1,1)</f>
        <v>4</v>
      </c>
      <c r="J541" s="2">
        <f>IF(H541=H542,J542+1,1)</f>
        <v>4</v>
      </c>
      <c r="K541" s="2">
        <f>I541+J541-1</f>
        <v>7</v>
      </c>
      <c r="L541" s="6" t="str">
        <f>IF(H541="neutral","—",IF(K541&gt;=5,IF(H541="warm","El Niño","La Niña"),IF(ROW()+J541-1=920,IF(H541="warm","El Niño (ongoing)","La Niña (ongoing)"),"—")))</f>
        <v>El Niño</v>
      </c>
      <c r="M541" s="2" t="inlineStr">
        <is>
          <t xml:space="preserve">1994/95</t>
        </is>
      </c>
    </row>
    <row r="542">
      <c r="A542" s="2" t="inlineStr">
        <is>
          <t xml:space="preserve">1995-01</t>
        </is>
      </c>
      <c r="B542" s="2">
        <v>1995</v>
      </c>
      <c r="C542" s="2">
        <v>1</v>
      </c>
      <c r="D542" s="2" t="inlineStr">
        <is>
          <t xml:space="preserve">DJF</t>
        </is>
      </c>
      <c r="E542" t="inlineStr">
        <is>
          <t xml:space="preserve">Dec 1994 – Feb 1995</t>
        </is>
      </c>
      <c r="F542" s="3">
        <v>0.88</v>
      </c>
      <c r="G542" s="4">
        <f>ROUND(F542,1)</f>
        <v>0.9</v>
      </c>
      <c r="H542" s="2" t="str">
        <f>IF(G542&gt;=0.5,"warm",IF(G542&lt;=-0.5,"cold","neutral"))</f>
        <v>warm</v>
      </c>
      <c r="I542" s="2">
        <f>IF(H542=H541,I541+1,1)</f>
        <v>5</v>
      </c>
      <c r="J542" s="2">
        <f>IF(H542=H543,J543+1,1)</f>
        <v>3</v>
      </c>
      <c r="K542" s="2">
        <f>I542+J542-1</f>
        <v>7</v>
      </c>
      <c r="L542" s="6" t="str">
        <f>IF(H542="neutral","—",IF(K542&gt;=5,IF(H542="warm","El Niño","La Niña"),IF(ROW()+J542-1=920,IF(H542="warm","El Niño (ongoing)","La Niña (ongoing)"),"—")))</f>
        <v>El Niño</v>
      </c>
      <c r="M542" s="2" t="inlineStr">
        <is>
          <t xml:space="preserve">1994/95</t>
        </is>
      </c>
    </row>
    <row r="543">
      <c r="A543" s="2" t="inlineStr">
        <is>
          <t xml:space="preserve">1995-02</t>
        </is>
      </c>
      <c r="B543" s="2">
        <v>1995</v>
      </c>
      <c r="C543" s="2">
        <v>2</v>
      </c>
      <c r="D543" s="2" t="inlineStr">
        <is>
          <t xml:space="preserve">JFM</t>
        </is>
      </c>
      <c r="E543" t="inlineStr">
        <is>
          <t xml:space="preserve">Jan 1995 – Mar 1995</t>
        </is>
      </c>
      <c r="F543" s="3">
        <v>0.65</v>
      </c>
      <c r="G543" s="4">
        <f>ROUND(F543,1)</f>
        <v>0.7</v>
      </c>
      <c r="H543" s="2" t="str">
        <f>IF(G543&gt;=0.5,"warm",IF(G543&lt;=-0.5,"cold","neutral"))</f>
        <v>warm</v>
      </c>
      <c r="I543" s="2">
        <f>IF(H543=H542,I542+1,1)</f>
        <v>6</v>
      </c>
      <c r="J543" s="2">
        <f>IF(H543=H544,J544+1,1)</f>
        <v>2</v>
      </c>
      <c r="K543" s="2">
        <f>I543+J543-1</f>
        <v>7</v>
      </c>
      <c r="L543" s="6" t="str">
        <f>IF(H543="neutral","—",IF(K543&gt;=5,IF(H543="warm","El Niño","La Niña"),IF(ROW()+J543-1=920,IF(H543="warm","El Niño (ongoing)","La Niña (ongoing)"),"—")))</f>
        <v>El Niño</v>
      </c>
      <c r="M543" s="2" t="inlineStr">
        <is>
          <t xml:space="preserve">1994/95</t>
        </is>
      </c>
    </row>
    <row r="544">
      <c r="A544" s="2" t="inlineStr">
        <is>
          <t xml:space="preserve">1995-03</t>
        </is>
      </c>
      <c r="B544" s="2">
        <v>1995</v>
      </c>
      <c r="C544" s="2">
        <v>3</v>
      </c>
      <c r="D544" s="2" t="inlineStr">
        <is>
          <t xml:space="preserve">FMA</t>
        </is>
      </c>
      <c r="E544" t="inlineStr">
        <is>
          <t xml:space="preserve">Feb 1995 – Apr 1995</t>
        </is>
      </c>
      <c r="F544" s="3">
        <v>0.46</v>
      </c>
      <c r="G544" s="4">
        <f>ROUND(F544,1)</f>
        <v>0.5</v>
      </c>
      <c r="H544" s="2" t="str">
        <f>IF(G544&gt;=0.5,"warm",IF(G544&lt;=-0.5,"cold","neutral"))</f>
        <v>warm</v>
      </c>
      <c r="I544" s="2">
        <f>IF(H544=H543,I543+1,1)</f>
        <v>7</v>
      </c>
      <c r="J544" s="2">
        <f>IF(H544=H545,J545+1,1)</f>
        <v>1</v>
      </c>
      <c r="K544" s="2">
        <f>I544+J544-1</f>
        <v>7</v>
      </c>
      <c r="L544" s="6" t="str">
        <f>IF(H544="neutral","—",IF(K544&gt;=5,IF(H544="warm","El Niño","La Niña"),IF(ROW()+J544-1=920,IF(H544="warm","El Niño (ongoing)","La Niña (ongoing)"),"—")))</f>
        <v>El Niño</v>
      </c>
      <c r="M544" s="2" t="inlineStr">
        <is>
          <t xml:space="preserve">1994/95</t>
        </is>
      </c>
    </row>
    <row r="545">
      <c r="A545" s="2" t="inlineStr">
        <is>
          <t xml:space="preserve">1995-04</t>
        </is>
      </c>
      <c r="B545" s="2">
        <v>1995</v>
      </c>
      <c r="C545" s="2">
        <v>4</v>
      </c>
      <c r="D545" s="2" t="inlineStr">
        <is>
          <t xml:space="preserve">MAM</t>
        </is>
      </c>
      <c r="E545" t="inlineStr">
        <is>
          <t xml:space="preserve">Mar 1995 – May 1995</t>
        </is>
      </c>
      <c r="F545" s="3">
        <v>0.19</v>
      </c>
      <c r="G545" s="4">
        <f>ROUND(F545,1)</f>
        <v>0.2</v>
      </c>
      <c r="H545" s="2" t="str">
        <f>IF(G545&gt;=0.5,"warm",IF(G545&lt;=-0.5,"cold","neutral"))</f>
        <v>neutral</v>
      </c>
      <c r="I545" s="2">
        <f>IF(H545=H544,I544+1,1)</f>
        <v>1</v>
      </c>
      <c r="J545" s="2">
        <f>IF(H545=H546,J546+1,1)</f>
        <v>4</v>
      </c>
      <c r="K545" s="2">
        <f>I545+J545-1</f>
        <v>4</v>
      </c>
      <c r="L545" s="2" t="str">
        <f>IF(H545="neutral","—",IF(K545&gt;=5,IF(H545="warm","El Niño","La Niña"),IF(ROW()+J545-1=920,IF(H545="warm","El Niño (ongoing)","La Niña (ongoing)"),"—")))</f>
        <v>—</v>
      </c>
      <c r="M545" s="2" t="inlineStr">
        <is>
          <t xml:space="preserve">1994/95</t>
        </is>
      </c>
    </row>
    <row r="546">
      <c r="A546" s="2" t="inlineStr">
        <is>
          <t xml:space="preserve">1995-05</t>
        </is>
      </c>
      <c r="B546" s="2">
        <v>1995</v>
      </c>
      <c r="C546" s="2">
        <v>5</v>
      </c>
      <c r="D546" s="2" t="inlineStr">
        <is>
          <t xml:space="preserve">AMJ</t>
        </is>
      </c>
      <c r="E546" t="inlineStr">
        <is>
          <t xml:space="preserve">Apr 1995 – Jun 1995</t>
        </is>
      </c>
      <c r="F546" s="3">
        <v>0.03</v>
      </c>
      <c r="G546" s="4">
        <f>ROUND(F546,1)</f>
        <v>0.0</v>
      </c>
      <c r="H546" s="2" t="str">
        <f>IF(G546&gt;=0.5,"warm",IF(G546&lt;=-0.5,"cold","neutral"))</f>
        <v>neutral</v>
      </c>
      <c r="I546" s="2">
        <f>IF(H546=H545,I545+1,1)</f>
        <v>2</v>
      </c>
      <c r="J546" s="2">
        <f>IF(H546=H547,J547+1,1)</f>
        <v>3</v>
      </c>
      <c r="K546" s="2">
        <f>I546+J546-1</f>
        <v>4</v>
      </c>
      <c r="L546" s="2" t="str">
        <f>IF(H546="neutral","—",IF(K546&gt;=5,IF(H546="warm","El Niño","La Niña"),IF(ROW()+J546-1=920,IF(H546="warm","El Niño (ongoing)","La Niña (ongoing)"),"—")))</f>
        <v>—</v>
      </c>
      <c r="M546" s="2" t="inlineStr">
        <is>
          <t xml:space="preserve">1994/95</t>
        </is>
      </c>
    </row>
    <row r="547">
      <c r="A547" s="2" t="inlineStr">
        <is>
          <t xml:space="preserve">1995-06</t>
        </is>
      </c>
      <c r="B547" s="2">
        <v>1995</v>
      </c>
      <c r="C547" s="2">
        <v>6</v>
      </c>
      <c r="D547" s="2" t="inlineStr">
        <is>
          <t xml:space="preserve">MJJ</t>
        </is>
      </c>
      <c r="E547" t="inlineStr">
        <is>
          <t xml:space="preserve">May 1995 – Jul 1995</t>
        </is>
      </c>
      <c r="F547" s="3">
        <v>-0.11</v>
      </c>
      <c r="G547" s="4">
        <f>ROUND(F547,1)</f>
        <v>-0.1</v>
      </c>
      <c r="H547" s="2" t="str">
        <f>IF(G547&gt;=0.5,"warm",IF(G547&lt;=-0.5,"cold","neutral"))</f>
        <v>neutral</v>
      </c>
      <c r="I547" s="2">
        <f>IF(H547=H546,I546+1,1)</f>
        <v>3</v>
      </c>
      <c r="J547" s="2">
        <f>IF(H547=H548,J548+1,1)</f>
        <v>2</v>
      </c>
      <c r="K547" s="2">
        <f>I547+J547-1</f>
        <v>4</v>
      </c>
      <c r="L547" s="2" t="str">
        <f>IF(H547="neutral","—",IF(K547&gt;=5,IF(H547="warm","El Niño","La Niña"),IF(ROW()+J547-1=920,IF(H547="warm","El Niño (ongoing)","La Niña (ongoing)"),"—")))</f>
        <v>—</v>
      </c>
      <c r="M547" s="2" t="inlineStr">
        <is>
          <t xml:space="preserve">1994/95</t>
        </is>
      </c>
    </row>
    <row r="548">
      <c r="A548" s="2" t="inlineStr">
        <is>
          <t xml:space="preserve">1995-07</t>
        </is>
      </c>
      <c r="B548" s="2">
        <v>1995</v>
      </c>
      <c r="C548" s="2">
        <v>7</v>
      </c>
      <c r="D548" s="2" t="inlineStr">
        <is>
          <t xml:space="preserve">JJA</t>
        </is>
      </c>
      <c r="E548" t="inlineStr">
        <is>
          <t xml:space="preserve">Jun 1995 – Aug 1995</t>
        </is>
      </c>
      <c r="F548" s="3">
        <v>-0.3</v>
      </c>
      <c r="G548" s="4">
        <f>ROUND(F548,1)</f>
        <v>-0.3</v>
      </c>
      <c r="H548" s="2" t="str">
        <f>IF(G548&gt;=0.5,"warm",IF(G548&lt;=-0.5,"cold","neutral"))</f>
        <v>neutral</v>
      </c>
      <c r="I548" s="2">
        <f>IF(H548=H547,I547+1,1)</f>
        <v>4</v>
      </c>
      <c r="J548" s="2">
        <f>IF(H548=H549,J549+1,1)</f>
        <v>1</v>
      </c>
      <c r="K548" s="2">
        <f>I548+J548-1</f>
        <v>4</v>
      </c>
      <c r="L548" s="2" t="str">
        <f>IF(H548="neutral","—",IF(K548&gt;=5,IF(H548="warm","El Niño","La Niña"),IF(ROW()+J548-1=920,IF(H548="warm","El Niño (ongoing)","La Niña (ongoing)"),"—")))</f>
        <v>—</v>
      </c>
      <c r="M548" s="2" t="inlineStr">
        <is>
          <t xml:space="preserve">1995/96</t>
        </is>
      </c>
    </row>
    <row r="549">
      <c r="A549" s="2" t="inlineStr">
        <is>
          <t xml:space="preserve">1995-08</t>
        </is>
      </c>
      <c r="B549" s="2">
        <v>1995</v>
      </c>
      <c r="C549" s="2">
        <v>8</v>
      </c>
      <c r="D549" s="2" t="inlineStr">
        <is>
          <t xml:space="preserve">JAS</t>
        </is>
      </c>
      <c r="E549" t="inlineStr">
        <is>
          <t xml:space="preserve">Jul 1995 – Sep 1995</t>
        </is>
      </c>
      <c r="F549" s="3">
        <v>-0.55</v>
      </c>
      <c r="G549" s="4">
        <f>ROUND(F549,1)</f>
        <v>-0.6</v>
      </c>
      <c r="H549" s="2" t="str">
        <f>IF(G549&gt;=0.5,"warm",IF(G549&lt;=-0.5,"cold","neutral"))</f>
        <v>cold</v>
      </c>
      <c r="I549" s="2">
        <f>IF(H549=H548,I548+1,1)</f>
        <v>1</v>
      </c>
      <c r="J549" s="2">
        <f>IF(H549=H550,J550+1,1)</f>
        <v>8</v>
      </c>
      <c r="K549" s="2">
        <f>I549+J549-1</f>
        <v>8</v>
      </c>
      <c r="L549" s="5" t="str">
        <f>IF(H549="neutral","—",IF(K549&gt;=5,IF(H549="warm","El Niño","La Niña"),IF(ROW()+J549-1=920,IF(H549="warm","El Niño (ongoing)","La Niña (ongoing)"),"—")))</f>
        <v>La Niña</v>
      </c>
      <c r="M549" s="2" t="inlineStr">
        <is>
          <t xml:space="preserve">1995/96</t>
        </is>
      </c>
    </row>
    <row r="550">
      <c r="A550" s="2" t="inlineStr">
        <is>
          <t xml:space="preserve">1995-09</t>
        </is>
      </c>
      <c r="B550" s="2">
        <v>1995</v>
      </c>
      <c r="C550" s="2">
        <v>9</v>
      </c>
      <c r="D550" s="2" t="inlineStr">
        <is>
          <t xml:space="preserve">ASO</t>
        </is>
      </c>
      <c r="E550" t="inlineStr">
        <is>
          <t xml:space="preserve">Aug 1995 – Oct 1995</t>
        </is>
      </c>
      <c r="F550" s="3">
        <v>-0.81</v>
      </c>
      <c r="G550" s="4">
        <f>ROUND(F550,1)</f>
        <v>-0.8</v>
      </c>
      <c r="H550" s="2" t="str">
        <f>IF(G550&gt;=0.5,"warm",IF(G550&lt;=-0.5,"cold","neutral"))</f>
        <v>cold</v>
      </c>
      <c r="I550" s="2">
        <f>IF(H550=H549,I549+1,1)</f>
        <v>2</v>
      </c>
      <c r="J550" s="2">
        <f>IF(H550=H551,J551+1,1)</f>
        <v>7</v>
      </c>
      <c r="K550" s="2">
        <f>I550+J550-1</f>
        <v>8</v>
      </c>
      <c r="L550" s="5" t="str">
        <f>IF(H550="neutral","—",IF(K550&gt;=5,IF(H550="warm","El Niño","La Niña"),IF(ROW()+J550-1=920,IF(H550="warm","El Niño (ongoing)","La Niña (ongoing)"),"—")))</f>
        <v>La Niña</v>
      </c>
      <c r="M550" s="2" t="inlineStr">
        <is>
          <t xml:space="preserve">1995/96</t>
        </is>
      </c>
    </row>
    <row r="551">
      <c r="A551" s="2" t="inlineStr">
        <is>
          <t xml:space="preserve">1995-10</t>
        </is>
      </c>
      <c r="B551" s="2">
        <v>1995</v>
      </c>
      <c r="C551" s="2">
        <v>10</v>
      </c>
      <c r="D551" s="2" t="inlineStr">
        <is>
          <t xml:space="preserve">SON</t>
        </is>
      </c>
      <c r="E551" t="inlineStr">
        <is>
          <t xml:space="preserve">Sep 1995 – Nov 1995</t>
        </is>
      </c>
      <c r="F551" s="3">
        <v>-0.97</v>
      </c>
      <c r="G551" s="4">
        <f>ROUND(F551,1)</f>
        <v>-1.0</v>
      </c>
      <c r="H551" s="2" t="str">
        <f>IF(G551&gt;=0.5,"warm",IF(G551&lt;=-0.5,"cold","neutral"))</f>
        <v>cold</v>
      </c>
      <c r="I551" s="2">
        <f>IF(H551=H550,I550+1,1)</f>
        <v>3</v>
      </c>
      <c r="J551" s="2">
        <f>IF(H551=H552,J552+1,1)</f>
        <v>6</v>
      </c>
      <c r="K551" s="2">
        <f>I551+J551-1</f>
        <v>8</v>
      </c>
      <c r="L551" s="5" t="str">
        <f>IF(H551="neutral","—",IF(K551&gt;=5,IF(H551="warm","El Niño","La Niña"),IF(ROW()+J551-1=920,IF(H551="warm","El Niño (ongoing)","La Niña (ongoing)"),"—")))</f>
        <v>La Niña</v>
      </c>
      <c r="M551" s="2" t="inlineStr">
        <is>
          <t xml:space="preserve">1995/96</t>
        </is>
      </c>
    </row>
    <row r="552">
      <c r="A552" s="2" t="inlineStr">
        <is>
          <t xml:space="preserve">1995-11</t>
        </is>
      </c>
      <c r="B552" s="2">
        <v>1995</v>
      </c>
      <c r="C552" s="2">
        <v>11</v>
      </c>
      <c r="D552" s="2" t="inlineStr">
        <is>
          <t xml:space="preserve">OND</t>
        </is>
      </c>
      <c r="E552" t="inlineStr">
        <is>
          <t xml:space="preserve">Oct 1995 – Dec 1995</t>
        </is>
      </c>
      <c r="F552" s="3">
        <v>-1.05</v>
      </c>
      <c r="G552" s="4">
        <f>ROUND(F552,1)</f>
        <v>-1.1</v>
      </c>
      <c r="H552" s="2" t="str">
        <f>IF(G552&gt;=0.5,"warm",IF(G552&lt;=-0.5,"cold","neutral"))</f>
        <v>cold</v>
      </c>
      <c r="I552" s="2">
        <f>IF(H552=H551,I551+1,1)</f>
        <v>4</v>
      </c>
      <c r="J552" s="2">
        <f>IF(H552=H553,J553+1,1)</f>
        <v>5</v>
      </c>
      <c r="K552" s="2">
        <f>I552+J552-1</f>
        <v>8</v>
      </c>
      <c r="L552" s="5" t="str">
        <f>IF(H552="neutral","—",IF(K552&gt;=5,IF(H552="warm","El Niño","La Niña"),IF(ROW()+J552-1=920,IF(H552="warm","El Niño (ongoing)","La Niña (ongoing)"),"—")))</f>
        <v>La Niña</v>
      </c>
      <c r="M552" s="2" t="inlineStr">
        <is>
          <t xml:space="preserve">1995/96</t>
        </is>
      </c>
    </row>
    <row r="553">
      <c r="A553" s="2" t="inlineStr">
        <is>
          <t xml:space="preserve">1995-12</t>
        </is>
      </c>
      <c r="B553" s="2">
        <v>1995</v>
      </c>
      <c r="C553" s="2">
        <v>12</v>
      </c>
      <c r="D553" s="2" t="inlineStr">
        <is>
          <t xml:space="preserve">NDJ</t>
        </is>
      </c>
      <c r="E553" t="inlineStr">
        <is>
          <t xml:space="preserve">Nov 1995 – Jan 1996</t>
        </is>
      </c>
      <c r="F553" s="3">
        <v>-1.01</v>
      </c>
      <c r="G553" s="4">
        <f>ROUND(F553,1)</f>
        <v>-1.0</v>
      </c>
      <c r="H553" s="2" t="str">
        <f>IF(G553&gt;=0.5,"warm",IF(G553&lt;=-0.5,"cold","neutral"))</f>
        <v>cold</v>
      </c>
      <c r="I553" s="2">
        <f>IF(H553=H552,I552+1,1)</f>
        <v>5</v>
      </c>
      <c r="J553" s="2">
        <f>IF(H553=H554,J554+1,1)</f>
        <v>4</v>
      </c>
      <c r="K553" s="2">
        <f>I553+J553-1</f>
        <v>8</v>
      </c>
      <c r="L553" s="5" t="str">
        <f>IF(H553="neutral","—",IF(K553&gt;=5,IF(H553="warm","El Niño","La Niña"),IF(ROW()+J553-1=920,IF(H553="warm","El Niño (ongoing)","La Niña (ongoing)"),"—")))</f>
        <v>La Niña</v>
      </c>
      <c r="M553" s="2" t="inlineStr">
        <is>
          <t xml:space="preserve">1995/96</t>
        </is>
      </c>
    </row>
    <row r="554">
      <c r="A554" s="2" t="inlineStr">
        <is>
          <t xml:space="preserve">1996-01</t>
        </is>
      </c>
      <c r="B554" s="2">
        <v>1996</v>
      </c>
      <c r="C554" s="2">
        <v>1</v>
      </c>
      <c r="D554" s="2" t="inlineStr">
        <is>
          <t xml:space="preserve">DJF</t>
        </is>
      </c>
      <c r="E554" t="inlineStr">
        <is>
          <t xml:space="preserve">Dec 1995 – Feb 1996</t>
        </is>
      </c>
      <c r="F554" s="3">
        <v>-0.88</v>
      </c>
      <c r="G554" s="4">
        <f>ROUND(F554,1)</f>
        <v>-0.9</v>
      </c>
      <c r="H554" s="2" t="str">
        <f>IF(G554&gt;=0.5,"warm",IF(G554&lt;=-0.5,"cold","neutral"))</f>
        <v>cold</v>
      </c>
      <c r="I554" s="2">
        <f>IF(H554=H553,I553+1,1)</f>
        <v>6</v>
      </c>
      <c r="J554" s="2">
        <f>IF(H554=H555,J555+1,1)</f>
        <v>3</v>
      </c>
      <c r="K554" s="2">
        <f>I554+J554-1</f>
        <v>8</v>
      </c>
      <c r="L554" s="5" t="str">
        <f>IF(H554="neutral","—",IF(K554&gt;=5,IF(H554="warm","El Niño","La Niña"),IF(ROW()+J554-1=920,IF(H554="warm","El Niño (ongoing)","La Niña (ongoing)"),"—")))</f>
        <v>La Niña</v>
      </c>
      <c r="M554" s="2" t="inlineStr">
        <is>
          <t xml:space="preserve">1995/96</t>
        </is>
      </c>
    </row>
    <row r="555">
      <c r="A555" s="2" t="inlineStr">
        <is>
          <t xml:space="preserve">1996-02</t>
        </is>
      </c>
      <c r="B555" s="2">
        <v>1996</v>
      </c>
      <c r="C555" s="2">
        <v>2</v>
      </c>
      <c r="D555" s="2" t="inlineStr">
        <is>
          <t xml:space="preserve">JFM</t>
        </is>
      </c>
      <c r="E555" t="inlineStr">
        <is>
          <t xml:space="preserve">Jan 1996 – Mar 1996</t>
        </is>
      </c>
      <c r="F555" s="3">
        <v>-0.7</v>
      </c>
      <c r="G555" s="4">
        <f>ROUND(F555,1)</f>
        <v>-0.7</v>
      </c>
      <c r="H555" s="2" t="str">
        <f>IF(G555&gt;=0.5,"warm",IF(G555&lt;=-0.5,"cold","neutral"))</f>
        <v>cold</v>
      </c>
      <c r="I555" s="2">
        <f>IF(H555=H554,I554+1,1)</f>
        <v>7</v>
      </c>
      <c r="J555" s="2">
        <f>IF(H555=H556,J556+1,1)</f>
        <v>2</v>
      </c>
      <c r="K555" s="2">
        <f>I555+J555-1</f>
        <v>8</v>
      </c>
      <c r="L555" s="5" t="str">
        <f>IF(H555="neutral","—",IF(K555&gt;=5,IF(H555="warm","El Niño","La Niña"),IF(ROW()+J555-1=920,IF(H555="warm","El Niño (ongoing)","La Niña (ongoing)"),"—")))</f>
        <v>La Niña</v>
      </c>
      <c r="M555" s="2" t="inlineStr">
        <is>
          <t xml:space="preserve">1995/96</t>
        </is>
      </c>
    </row>
    <row r="556">
      <c r="A556" s="2" t="inlineStr">
        <is>
          <t xml:space="preserve">1996-03</t>
        </is>
      </c>
      <c r="B556" s="2">
        <v>1996</v>
      </c>
      <c r="C556" s="2">
        <v>3</v>
      </c>
      <c r="D556" s="2" t="inlineStr">
        <is>
          <t xml:space="preserve">FMA</t>
        </is>
      </c>
      <c r="E556" t="inlineStr">
        <is>
          <t xml:space="preserve">Feb 1996 – Apr 1996</t>
        </is>
      </c>
      <c r="F556" s="3">
        <v>-0.52</v>
      </c>
      <c r="G556" s="4">
        <f>ROUND(F556,1)</f>
        <v>-0.5</v>
      </c>
      <c r="H556" s="2" t="str">
        <f>IF(G556&gt;=0.5,"warm",IF(G556&lt;=-0.5,"cold","neutral"))</f>
        <v>cold</v>
      </c>
      <c r="I556" s="2">
        <f>IF(H556=H555,I555+1,1)</f>
        <v>8</v>
      </c>
      <c r="J556" s="2">
        <f>IF(H556=H557,J557+1,1)</f>
        <v>1</v>
      </c>
      <c r="K556" s="2">
        <f>I556+J556-1</f>
        <v>8</v>
      </c>
      <c r="L556" s="5" t="str">
        <f>IF(H556="neutral","—",IF(K556&gt;=5,IF(H556="warm","El Niño","La Niña"),IF(ROW()+J556-1=920,IF(H556="warm","El Niño (ongoing)","La Niña (ongoing)"),"—")))</f>
        <v>La Niña</v>
      </c>
      <c r="M556" s="2" t="inlineStr">
        <is>
          <t xml:space="preserve">1995/96</t>
        </is>
      </c>
    </row>
    <row r="557">
      <c r="A557" s="2" t="inlineStr">
        <is>
          <t xml:space="preserve">1996-04</t>
        </is>
      </c>
      <c r="B557" s="2">
        <v>1996</v>
      </c>
      <c r="C557" s="2">
        <v>4</v>
      </c>
      <c r="D557" s="2" t="inlineStr">
        <is>
          <t xml:space="preserve">MAM</t>
        </is>
      </c>
      <c r="E557" t="inlineStr">
        <is>
          <t xml:space="preserve">Mar 1996 – May 1996</t>
        </is>
      </c>
      <c r="F557" s="3">
        <v>-0.36</v>
      </c>
      <c r="G557" s="4">
        <f>ROUND(F557,1)</f>
        <v>-0.4</v>
      </c>
      <c r="H557" s="2" t="str">
        <f>IF(G557&gt;=0.5,"warm",IF(G557&lt;=-0.5,"cold","neutral"))</f>
        <v>neutral</v>
      </c>
      <c r="I557" s="2">
        <f>IF(H557=H556,I556+1,1)</f>
        <v>1</v>
      </c>
      <c r="J557" s="2">
        <f>IF(H557=H558,J558+1,1)</f>
        <v>13</v>
      </c>
      <c r="K557" s="2">
        <f>I557+J557-1</f>
        <v>13</v>
      </c>
      <c r="L557" s="2" t="str">
        <f>IF(H557="neutral","—",IF(K557&gt;=5,IF(H557="warm","El Niño","La Niña"),IF(ROW()+J557-1=920,IF(H557="warm","El Niño (ongoing)","La Niña (ongoing)"),"—")))</f>
        <v>—</v>
      </c>
      <c r="M557" s="2" t="inlineStr">
        <is>
          <t xml:space="preserve">1995/96</t>
        </is>
      </c>
    </row>
    <row r="558">
      <c r="A558" s="2" t="inlineStr">
        <is>
          <t xml:space="preserve">1996-05</t>
        </is>
      </c>
      <c r="B558" s="2">
        <v>1996</v>
      </c>
      <c r="C558" s="2">
        <v>5</v>
      </c>
      <c r="D558" s="2" t="inlineStr">
        <is>
          <t xml:space="preserve">AMJ</t>
        </is>
      </c>
      <c r="E558" t="inlineStr">
        <is>
          <t xml:space="preserve">Apr 1996 – Jun 1996</t>
        </is>
      </c>
      <c r="F558" s="3">
        <v>-0.25</v>
      </c>
      <c r="G558" s="4">
        <f>ROUND(F558,1)</f>
        <v>-0.3</v>
      </c>
      <c r="H558" s="2" t="str">
        <f>IF(G558&gt;=0.5,"warm",IF(G558&lt;=-0.5,"cold","neutral"))</f>
        <v>neutral</v>
      </c>
      <c r="I558" s="2">
        <f>IF(H558=H557,I557+1,1)</f>
        <v>2</v>
      </c>
      <c r="J558" s="2">
        <f>IF(H558=H559,J559+1,1)</f>
        <v>12</v>
      </c>
      <c r="K558" s="2">
        <f>I558+J558-1</f>
        <v>13</v>
      </c>
      <c r="L558" s="2" t="str">
        <f>IF(H558="neutral","—",IF(K558&gt;=5,IF(H558="warm","El Niño","La Niña"),IF(ROW()+J558-1=920,IF(H558="warm","El Niño (ongoing)","La Niña (ongoing)"),"—")))</f>
        <v>—</v>
      </c>
      <c r="M558" s="2" t="inlineStr">
        <is>
          <t xml:space="preserve">1995/96</t>
        </is>
      </c>
    </row>
    <row r="559">
      <c r="A559" s="2" t="inlineStr">
        <is>
          <t xml:space="preserve">1996-06</t>
        </is>
      </c>
      <c r="B559" s="2">
        <v>1996</v>
      </c>
      <c r="C559" s="2">
        <v>6</v>
      </c>
      <c r="D559" s="2" t="inlineStr">
        <is>
          <t xml:space="preserve">MJJ</t>
        </is>
      </c>
      <c r="E559" t="inlineStr">
        <is>
          <t xml:space="preserve">May 1996 – Jul 1996</t>
        </is>
      </c>
      <c r="F559" s="3">
        <v>-0.24</v>
      </c>
      <c r="G559" s="4">
        <f>ROUND(F559,1)</f>
        <v>-0.2</v>
      </c>
      <c r="H559" s="2" t="str">
        <f>IF(G559&gt;=0.5,"warm",IF(G559&lt;=-0.5,"cold","neutral"))</f>
        <v>neutral</v>
      </c>
      <c r="I559" s="2">
        <f>IF(H559=H558,I558+1,1)</f>
        <v>3</v>
      </c>
      <c r="J559" s="2">
        <f>IF(H559=H560,J560+1,1)</f>
        <v>11</v>
      </c>
      <c r="K559" s="2">
        <f>I559+J559-1</f>
        <v>13</v>
      </c>
      <c r="L559" s="2" t="str">
        <f>IF(H559="neutral","—",IF(K559&gt;=5,IF(H559="warm","El Niño","La Niña"),IF(ROW()+J559-1=920,IF(H559="warm","El Niño (ongoing)","La Niña (ongoing)"),"—")))</f>
        <v>—</v>
      </c>
      <c r="M559" s="2" t="inlineStr">
        <is>
          <t xml:space="preserve">1995/96</t>
        </is>
      </c>
    </row>
    <row r="560">
      <c r="A560" s="2" t="inlineStr">
        <is>
          <t xml:space="preserve">1996-07</t>
        </is>
      </c>
      <c r="B560" s="2">
        <v>1996</v>
      </c>
      <c r="C560" s="2">
        <v>7</v>
      </c>
      <c r="D560" s="2" t="inlineStr">
        <is>
          <t xml:space="preserve">JJA</t>
        </is>
      </c>
      <c r="E560" t="inlineStr">
        <is>
          <t xml:space="preserve">Jun 1996 – Aug 1996</t>
        </is>
      </c>
      <c r="F560" s="3">
        <v>-0.22</v>
      </c>
      <c r="G560" s="4">
        <f>ROUND(F560,1)</f>
        <v>-0.2</v>
      </c>
      <c r="H560" s="2" t="str">
        <f>IF(G560&gt;=0.5,"warm",IF(G560&lt;=-0.5,"cold","neutral"))</f>
        <v>neutral</v>
      </c>
      <c r="I560" s="2">
        <f>IF(H560=H559,I559+1,1)</f>
        <v>4</v>
      </c>
      <c r="J560" s="2">
        <f>IF(H560=H561,J561+1,1)</f>
        <v>10</v>
      </c>
      <c r="K560" s="2">
        <f>I560+J560-1</f>
        <v>13</v>
      </c>
      <c r="L560" s="2" t="str">
        <f>IF(H560="neutral","—",IF(K560&gt;=5,IF(H560="warm","El Niño","La Niña"),IF(ROW()+J560-1=920,IF(H560="warm","El Niño (ongoing)","La Niña (ongoing)"),"—")))</f>
        <v>—</v>
      </c>
      <c r="M560" s="2" t="inlineStr">
        <is>
          <t xml:space="preserve">1996/97</t>
        </is>
      </c>
    </row>
    <row r="561">
      <c r="A561" s="2" t="inlineStr">
        <is>
          <t xml:space="preserve">1996-08</t>
        </is>
      </c>
      <c r="B561" s="2">
        <v>1996</v>
      </c>
      <c r="C561" s="2">
        <v>8</v>
      </c>
      <c r="D561" s="2" t="inlineStr">
        <is>
          <t xml:space="preserve">JAS</t>
        </is>
      </c>
      <c r="E561" t="inlineStr">
        <is>
          <t xml:space="preserve">Jul 1996 – Sep 1996</t>
        </is>
      </c>
      <c r="F561" s="3">
        <v>-0.27</v>
      </c>
      <c r="G561" s="4">
        <f>ROUND(F561,1)</f>
        <v>-0.3</v>
      </c>
      <c r="H561" s="2" t="str">
        <f>IF(G561&gt;=0.5,"warm",IF(G561&lt;=-0.5,"cold","neutral"))</f>
        <v>neutral</v>
      </c>
      <c r="I561" s="2">
        <f>IF(H561=H560,I560+1,1)</f>
        <v>5</v>
      </c>
      <c r="J561" s="2">
        <f>IF(H561=H562,J562+1,1)</f>
        <v>9</v>
      </c>
      <c r="K561" s="2">
        <f>I561+J561-1</f>
        <v>13</v>
      </c>
      <c r="L561" s="2" t="str">
        <f>IF(H561="neutral","—",IF(K561&gt;=5,IF(H561="warm","El Niño","La Niña"),IF(ROW()+J561-1=920,IF(H561="warm","El Niño (ongoing)","La Niña (ongoing)"),"—")))</f>
        <v>—</v>
      </c>
      <c r="M561" s="2" t="inlineStr">
        <is>
          <t xml:space="preserve">1996/97</t>
        </is>
      </c>
    </row>
    <row r="562">
      <c r="A562" s="2" t="inlineStr">
        <is>
          <t xml:space="preserve">1996-09</t>
        </is>
      </c>
      <c r="B562" s="2">
        <v>1996</v>
      </c>
      <c r="C562" s="2">
        <v>9</v>
      </c>
      <c r="D562" s="2" t="inlineStr">
        <is>
          <t xml:space="preserve">ASO</t>
        </is>
      </c>
      <c r="E562" t="inlineStr">
        <is>
          <t xml:space="preserve">Aug 1996 – Oct 1996</t>
        </is>
      </c>
      <c r="F562" s="3">
        <v>-0.3</v>
      </c>
      <c r="G562" s="4">
        <f>ROUND(F562,1)</f>
        <v>-0.3</v>
      </c>
      <c r="H562" s="2" t="str">
        <f>IF(G562&gt;=0.5,"warm",IF(G562&lt;=-0.5,"cold","neutral"))</f>
        <v>neutral</v>
      </c>
      <c r="I562" s="2">
        <f>IF(H562=H561,I561+1,1)</f>
        <v>6</v>
      </c>
      <c r="J562" s="2">
        <f>IF(H562=H563,J563+1,1)</f>
        <v>8</v>
      </c>
      <c r="K562" s="2">
        <f>I562+J562-1</f>
        <v>13</v>
      </c>
      <c r="L562" s="2" t="str">
        <f>IF(H562="neutral","—",IF(K562&gt;=5,IF(H562="warm","El Niño","La Niña"),IF(ROW()+J562-1=920,IF(H562="warm","El Niño (ongoing)","La Niña (ongoing)"),"—")))</f>
        <v>—</v>
      </c>
      <c r="M562" s="2" t="inlineStr">
        <is>
          <t xml:space="preserve">1996/97</t>
        </is>
      </c>
    </row>
    <row r="563">
      <c r="A563" s="2" t="inlineStr">
        <is>
          <t xml:space="preserve">1996-10</t>
        </is>
      </c>
      <c r="B563" s="2">
        <v>1996</v>
      </c>
      <c r="C563" s="2">
        <v>10</v>
      </c>
      <c r="D563" s="2" t="inlineStr">
        <is>
          <t xml:space="preserve">SON</t>
        </is>
      </c>
      <c r="E563" t="inlineStr">
        <is>
          <t xml:space="preserve">Sep 1996 – Nov 1996</t>
        </is>
      </c>
      <c r="F563" s="3">
        <v>-0.33</v>
      </c>
      <c r="G563" s="4">
        <f>ROUND(F563,1)</f>
        <v>-0.3</v>
      </c>
      <c r="H563" s="2" t="str">
        <f>IF(G563&gt;=0.5,"warm",IF(G563&lt;=-0.5,"cold","neutral"))</f>
        <v>neutral</v>
      </c>
      <c r="I563" s="2">
        <f>IF(H563=H562,I562+1,1)</f>
        <v>7</v>
      </c>
      <c r="J563" s="2">
        <f>IF(H563=H564,J564+1,1)</f>
        <v>7</v>
      </c>
      <c r="K563" s="2">
        <f>I563+J563-1</f>
        <v>13</v>
      </c>
      <c r="L563" s="2" t="str">
        <f>IF(H563="neutral","—",IF(K563&gt;=5,IF(H563="warm","El Niño","La Niña"),IF(ROW()+J563-1=920,IF(H563="warm","El Niño (ongoing)","La Niña (ongoing)"),"—")))</f>
        <v>—</v>
      </c>
      <c r="M563" s="2" t="inlineStr">
        <is>
          <t xml:space="preserve">1996/97</t>
        </is>
      </c>
    </row>
    <row r="564">
      <c r="A564" s="2" t="inlineStr">
        <is>
          <t xml:space="preserve">1996-11</t>
        </is>
      </c>
      <c r="B564" s="2">
        <v>1996</v>
      </c>
      <c r="C564" s="2">
        <v>11</v>
      </c>
      <c r="D564" s="2" t="inlineStr">
        <is>
          <t xml:space="preserve">OND</t>
        </is>
      </c>
      <c r="E564" t="inlineStr">
        <is>
          <t xml:space="preserve">Oct 1996 – Dec 1996</t>
        </is>
      </c>
      <c r="F564" s="3">
        <v>-0.39</v>
      </c>
      <c r="G564" s="4">
        <f>ROUND(F564,1)</f>
        <v>-0.4</v>
      </c>
      <c r="H564" s="2" t="str">
        <f>IF(G564&gt;=0.5,"warm",IF(G564&lt;=-0.5,"cold","neutral"))</f>
        <v>neutral</v>
      </c>
      <c r="I564" s="2">
        <f>IF(H564=H563,I563+1,1)</f>
        <v>8</v>
      </c>
      <c r="J564" s="2">
        <f>IF(H564=H565,J565+1,1)</f>
        <v>6</v>
      </c>
      <c r="K564" s="2">
        <f>I564+J564-1</f>
        <v>13</v>
      </c>
      <c r="L564" s="2" t="str">
        <f>IF(H564="neutral","—",IF(K564&gt;=5,IF(H564="warm","El Niño","La Niña"),IF(ROW()+J564-1=920,IF(H564="warm","El Niño (ongoing)","La Niña (ongoing)"),"—")))</f>
        <v>—</v>
      </c>
      <c r="M564" s="2" t="inlineStr">
        <is>
          <t xml:space="preserve">1996/97</t>
        </is>
      </c>
    </row>
    <row r="565">
      <c r="A565" s="2" t="inlineStr">
        <is>
          <t xml:space="preserve">1996-12</t>
        </is>
      </c>
      <c r="B565" s="2">
        <v>1996</v>
      </c>
      <c r="C565" s="2">
        <v>12</v>
      </c>
      <c r="D565" s="2" t="inlineStr">
        <is>
          <t xml:space="preserve">NDJ</t>
        </is>
      </c>
      <c r="E565" t="inlineStr">
        <is>
          <t xml:space="preserve">Nov 1996 – Jan 1997</t>
        </is>
      </c>
      <c r="F565" s="3">
        <v>-0.41</v>
      </c>
      <c r="G565" s="4">
        <f>ROUND(F565,1)</f>
        <v>-0.4</v>
      </c>
      <c r="H565" s="2" t="str">
        <f>IF(G565&gt;=0.5,"warm",IF(G565&lt;=-0.5,"cold","neutral"))</f>
        <v>neutral</v>
      </c>
      <c r="I565" s="2">
        <f>IF(H565=H564,I564+1,1)</f>
        <v>9</v>
      </c>
      <c r="J565" s="2">
        <f>IF(H565=H566,J566+1,1)</f>
        <v>5</v>
      </c>
      <c r="K565" s="2">
        <f>I565+J565-1</f>
        <v>13</v>
      </c>
      <c r="L565" s="2" t="str">
        <f>IF(H565="neutral","—",IF(K565&gt;=5,IF(H565="warm","El Niño","La Niña"),IF(ROW()+J565-1=920,IF(H565="warm","El Niño (ongoing)","La Niña (ongoing)"),"—")))</f>
        <v>—</v>
      </c>
      <c r="M565" s="2" t="inlineStr">
        <is>
          <t xml:space="preserve">1996/97</t>
        </is>
      </c>
    </row>
    <row r="566">
      <c r="A566" s="2" t="inlineStr">
        <is>
          <t xml:space="preserve">1997-01</t>
        </is>
      </c>
      <c r="B566" s="2">
        <v>1997</v>
      </c>
      <c r="C566" s="2">
        <v>1</v>
      </c>
      <c r="D566" s="2" t="inlineStr">
        <is>
          <t xml:space="preserve">DJF</t>
        </is>
      </c>
      <c r="E566" t="inlineStr">
        <is>
          <t xml:space="preserve">Dec 1996 – Feb 1997</t>
        </is>
      </c>
      <c r="F566" s="3">
        <v>-0.41</v>
      </c>
      <c r="G566" s="4">
        <f>ROUND(F566,1)</f>
        <v>-0.4</v>
      </c>
      <c r="H566" s="2" t="str">
        <f>IF(G566&gt;=0.5,"warm",IF(G566&lt;=-0.5,"cold","neutral"))</f>
        <v>neutral</v>
      </c>
      <c r="I566" s="2">
        <f>IF(H566=H565,I565+1,1)</f>
        <v>10</v>
      </c>
      <c r="J566" s="2">
        <f>IF(H566=H567,J567+1,1)</f>
        <v>4</v>
      </c>
      <c r="K566" s="2">
        <f>I566+J566-1</f>
        <v>13</v>
      </c>
      <c r="L566" s="2" t="str">
        <f>IF(H566="neutral","—",IF(K566&gt;=5,IF(H566="warm","El Niño","La Niña"),IF(ROW()+J566-1=920,IF(H566="warm","El Niño (ongoing)","La Niña (ongoing)"),"—")))</f>
        <v>—</v>
      </c>
      <c r="M566" s="2" t="inlineStr">
        <is>
          <t xml:space="preserve">1996/97</t>
        </is>
      </c>
    </row>
    <row r="567">
      <c r="A567" s="2" t="inlineStr">
        <is>
          <t xml:space="preserve">1997-02</t>
        </is>
      </c>
      <c r="B567" s="2">
        <v>1997</v>
      </c>
      <c r="C567" s="2">
        <v>2</v>
      </c>
      <c r="D567" s="2" t="inlineStr">
        <is>
          <t xml:space="preserve">JFM</t>
        </is>
      </c>
      <c r="E567" t="inlineStr">
        <is>
          <t xml:space="preserve">Jan 1997 – Mar 1997</t>
        </is>
      </c>
      <c r="F567" s="3">
        <v>-0.26</v>
      </c>
      <c r="G567" s="4">
        <f>ROUND(F567,1)</f>
        <v>-0.3</v>
      </c>
      <c r="H567" s="2" t="str">
        <f>IF(G567&gt;=0.5,"warm",IF(G567&lt;=-0.5,"cold","neutral"))</f>
        <v>neutral</v>
      </c>
      <c r="I567" s="2">
        <f>IF(H567=H566,I566+1,1)</f>
        <v>11</v>
      </c>
      <c r="J567" s="2">
        <f>IF(H567=H568,J568+1,1)</f>
        <v>3</v>
      </c>
      <c r="K567" s="2">
        <f>I567+J567-1</f>
        <v>13</v>
      </c>
      <c r="L567" s="2" t="str">
        <f>IF(H567="neutral","—",IF(K567&gt;=5,IF(H567="warm","El Niño","La Niña"),IF(ROW()+J567-1=920,IF(H567="warm","El Niño (ongoing)","La Niña (ongoing)"),"—")))</f>
        <v>—</v>
      </c>
      <c r="M567" s="2" t="inlineStr">
        <is>
          <t xml:space="preserve">1996/97</t>
        </is>
      </c>
    </row>
    <row r="568">
      <c r="A568" s="2" t="inlineStr">
        <is>
          <t xml:space="preserve">1997-03</t>
        </is>
      </c>
      <c r="B568" s="2">
        <v>1997</v>
      </c>
      <c r="C568" s="2">
        <v>3</v>
      </c>
      <c r="D568" s="2" t="inlineStr">
        <is>
          <t xml:space="preserve">FMA</t>
        </is>
      </c>
      <c r="E568" t="inlineStr">
        <is>
          <t xml:space="preserve">Feb 1997 – Apr 1997</t>
        </is>
      </c>
      <c r="F568" s="3">
        <v>-0.03</v>
      </c>
      <c r="G568" s="4">
        <f>ROUND(F568,1)</f>
        <v>-0.0</v>
      </c>
      <c r="H568" s="2" t="str">
        <f>IF(G568&gt;=0.5,"warm",IF(G568&lt;=-0.5,"cold","neutral"))</f>
        <v>neutral</v>
      </c>
      <c r="I568" s="2">
        <f>IF(H568=H567,I567+1,1)</f>
        <v>12</v>
      </c>
      <c r="J568" s="2">
        <f>IF(H568=H569,J569+1,1)</f>
        <v>2</v>
      </c>
      <c r="K568" s="2">
        <f>I568+J568-1</f>
        <v>13</v>
      </c>
      <c r="L568" s="2" t="str">
        <f>IF(H568="neutral","—",IF(K568&gt;=5,IF(H568="warm","El Niño","La Niña"),IF(ROW()+J568-1=920,IF(H568="warm","El Niño (ongoing)","La Niña (ongoing)"),"—")))</f>
        <v>—</v>
      </c>
      <c r="M568" s="2" t="inlineStr">
        <is>
          <t xml:space="preserve">1996/97</t>
        </is>
      </c>
    </row>
    <row r="569">
      <c r="A569" s="2" t="inlineStr">
        <is>
          <t xml:space="preserve">1997-04</t>
        </is>
      </c>
      <c r="B569" s="2">
        <v>1997</v>
      </c>
      <c r="C569" s="2">
        <v>4</v>
      </c>
      <c r="D569" s="2" t="inlineStr">
        <is>
          <t xml:space="preserve">MAM</t>
        </is>
      </c>
      <c r="E569" t="inlineStr">
        <is>
          <t xml:space="preserve">Mar 1997 – May 1997</t>
        </is>
      </c>
      <c r="F569" s="3">
        <v>0.3</v>
      </c>
      <c r="G569" s="4">
        <f>ROUND(F569,1)</f>
        <v>0.3</v>
      </c>
      <c r="H569" s="2" t="str">
        <f>IF(G569&gt;=0.5,"warm",IF(G569&lt;=-0.5,"cold","neutral"))</f>
        <v>neutral</v>
      </c>
      <c r="I569" s="2">
        <f>IF(H569=H568,I568+1,1)</f>
        <v>13</v>
      </c>
      <c r="J569" s="2">
        <f>IF(H569=H570,J570+1,1)</f>
        <v>1</v>
      </c>
      <c r="K569" s="2">
        <f>I569+J569-1</f>
        <v>13</v>
      </c>
      <c r="L569" s="2" t="str">
        <f>IF(H569="neutral","—",IF(K569&gt;=5,IF(H569="warm","El Niño","La Niña"),IF(ROW()+J569-1=920,IF(H569="warm","El Niño (ongoing)","La Niña (ongoing)"),"—")))</f>
        <v>—</v>
      </c>
      <c r="M569" s="2" t="inlineStr">
        <is>
          <t xml:space="preserve">1996/97</t>
        </is>
      </c>
    </row>
    <row r="570">
      <c r="A570" s="2" t="inlineStr">
        <is>
          <t xml:space="preserve">1997-05</t>
        </is>
      </c>
      <c r="B570" s="2">
        <v>1997</v>
      </c>
      <c r="C570" s="2">
        <v>5</v>
      </c>
      <c r="D570" s="2" t="inlineStr">
        <is>
          <t xml:space="preserve">AMJ</t>
        </is>
      </c>
      <c r="E570" t="inlineStr">
        <is>
          <t xml:space="preserve">Apr 1997 – Jun 1997</t>
        </is>
      </c>
      <c r="F570" s="3">
        <v>0.71</v>
      </c>
      <c r="G570" s="4">
        <f>ROUND(F570,1)</f>
        <v>0.7</v>
      </c>
      <c r="H570" s="2" t="str">
        <f>IF(G570&gt;=0.5,"warm",IF(G570&lt;=-0.5,"cold","neutral"))</f>
        <v>warm</v>
      </c>
      <c r="I570" s="2">
        <f>IF(H570=H569,I569+1,1)</f>
        <v>1</v>
      </c>
      <c r="J570" s="2">
        <f>IF(H570=H571,J571+1,1)</f>
        <v>12</v>
      </c>
      <c r="K570" s="2">
        <f>I570+J570-1</f>
        <v>12</v>
      </c>
      <c r="L570" s="6" t="str">
        <f>IF(H570="neutral","—",IF(K570&gt;=5,IF(H570="warm","El Niño","La Niña"),IF(ROW()+J570-1=920,IF(H570="warm","El Niño (ongoing)","La Niña (ongoing)"),"—")))</f>
        <v>El Niño</v>
      </c>
      <c r="M570" s="2" t="inlineStr">
        <is>
          <t xml:space="preserve">1996/97</t>
        </is>
      </c>
    </row>
    <row r="571">
      <c r="A571" s="2" t="inlineStr">
        <is>
          <t xml:space="preserve">1997-06</t>
        </is>
      </c>
      <c r="B571" s="2">
        <v>1997</v>
      </c>
      <c r="C571" s="2">
        <v>6</v>
      </c>
      <c r="D571" s="2" t="inlineStr">
        <is>
          <t xml:space="preserve">MJJ</t>
        </is>
      </c>
      <c r="E571" t="inlineStr">
        <is>
          <t xml:space="preserve">May 1997 – Jul 1997</t>
        </is>
      </c>
      <c r="F571" s="3">
        <v>1.13</v>
      </c>
      <c r="G571" s="4">
        <f>ROUND(F571,1)</f>
        <v>1.1</v>
      </c>
      <c r="H571" s="2" t="str">
        <f>IF(G571&gt;=0.5,"warm",IF(G571&lt;=-0.5,"cold","neutral"))</f>
        <v>warm</v>
      </c>
      <c r="I571" s="2">
        <f>IF(H571=H570,I570+1,1)</f>
        <v>2</v>
      </c>
      <c r="J571" s="2">
        <f>IF(H571=H572,J572+1,1)</f>
        <v>11</v>
      </c>
      <c r="K571" s="2">
        <f>I571+J571-1</f>
        <v>12</v>
      </c>
      <c r="L571" s="6" t="str">
        <f>IF(H571="neutral","—",IF(K571&gt;=5,IF(H571="warm","El Niño","La Niña"),IF(ROW()+J571-1=920,IF(H571="warm","El Niño (ongoing)","La Niña (ongoing)"),"—")))</f>
        <v>El Niño</v>
      </c>
      <c r="M571" s="2" t="inlineStr">
        <is>
          <t xml:space="preserve">1996/97</t>
        </is>
      </c>
    </row>
    <row r="572">
      <c r="A572" s="2" t="inlineStr">
        <is>
          <t xml:space="preserve">1997-07</t>
        </is>
      </c>
      <c r="B572" s="2">
        <v>1997</v>
      </c>
      <c r="C572" s="2">
        <v>7</v>
      </c>
      <c r="D572" s="2" t="inlineStr">
        <is>
          <t xml:space="preserve">JJA</t>
        </is>
      </c>
      <c r="E572" t="inlineStr">
        <is>
          <t xml:space="preserve">Jun 1997 – Aug 1997</t>
        </is>
      </c>
      <c r="F572" s="3">
        <v>1.48</v>
      </c>
      <c r="G572" s="4">
        <f>ROUND(F572,1)</f>
        <v>1.5</v>
      </c>
      <c r="H572" s="2" t="str">
        <f>IF(G572&gt;=0.5,"warm",IF(G572&lt;=-0.5,"cold","neutral"))</f>
        <v>warm</v>
      </c>
      <c r="I572" s="2">
        <f>IF(H572=H571,I571+1,1)</f>
        <v>3</v>
      </c>
      <c r="J572" s="2">
        <f>IF(H572=H573,J573+1,1)</f>
        <v>10</v>
      </c>
      <c r="K572" s="2">
        <f>I572+J572-1</f>
        <v>12</v>
      </c>
      <c r="L572" s="6" t="str">
        <f>IF(H572="neutral","—",IF(K572&gt;=5,IF(H572="warm","El Niño","La Niña"),IF(ROW()+J572-1=920,IF(H572="warm","El Niño (ongoing)","La Niña (ongoing)"),"—")))</f>
        <v>El Niño</v>
      </c>
      <c r="M572" s="2" t="inlineStr">
        <is>
          <t xml:space="preserve">1997/98</t>
        </is>
      </c>
    </row>
    <row r="573">
      <c r="A573" s="2" t="inlineStr">
        <is>
          <t xml:space="preserve">1997-08</t>
        </is>
      </c>
      <c r="B573" s="2">
        <v>1997</v>
      </c>
      <c r="C573" s="2">
        <v>8</v>
      </c>
      <c r="D573" s="2" t="inlineStr">
        <is>
          <t xml:space="preserve">JAS</t>
        </is>
      </c>
      <c r="E573" t="inlineStr">
        <is>
          <t xml:space="preserve">Jul 1997 – Sep 1997</t>
        </is>
      </c>
      <c r="F573" s="3">
        <v>1.79</v>
      </c>
      <c r="G573" s="4">
        <f>ROUND(F573,1)</f>
        <v>1.8</v>
      </c>
      <c r="H573" s="2" t="str">
        <f>IF(G573&gt;=0.5,"warm",IF(G573&lt;=-0.5,"cold","neutral"))</f>
        <v>warm</v>
      </c>
      <c r="I573" s="2">
        <f>IF(H573=H572,I572+1,1)</f>
        <v>4</v>
      </c>
      <c r="J573" s="2">
        <f>IF(H573=H574,J574+1,1)</f>
        <v>9</v>
      </c>
      <c r="K573" s="2">
        <f>I573+J573-1</f>
        <v>12</v>
      </c>
      <c r="L573" s="6" t="str">
        <f>IF(H573="neutral","—",IF(K573&gt;=5,IF(H573="warm","El Niño","La Niña"),IF(ROW()+J573-1=920,IF(H573="warm","El Niño (ongoing)","La Niña (ongoing)"),"—")))</f>
        <v>El Niño</v>
      </c>
      <c r="M573" s="2" t="inlineStr">
        <is>
          <t xml:space="preserve">1997/98</t>
        </is>
      </c>
    </row>
    <row r="574">
      <c r="A574" s="2" t="inlineStr">
        <is>
          <t xml:space="preserve">1997-09</t>
        </is>
      </c>
      <c r="B574" s="2">
        <v>1997</v>
      </c>
      <c r="C574" s="2">
        <v>9</v>
      </c>
      <c r="D574" s="2" t="inlineStr">
        <is>
          <t xml:space="preserve">ASO</t>
        </is>
      </c>
      <c r="E574" t="inlineStr">
        <is>
          <t xml:space="preserve">Aug 1997 – Oct 1997</t>
        </is>
      </c>
      <c r="F574" s="3">
        <v>2.04</v>
      </c>
      <c r="G574" s="4">
        <f>ROUND(F574,1)</f>
        <v>2.0</v>
      </c>
      <c r="H574" s="2" t="str">
        <f>IF(G574&gt;=0.5,"warm",IF(G574&lt;=-0.5,"cold","neutral"))</f>
        <v>warm</v>
      </c>
      <c r="I574" s="2">
        <f>IF(H574=H573,I573+1,1)</f>
        <v>5</v>
      </c>
      <c r="J574" s="2">
        <f>IF(H574=H575,J575+1,1)</f>
        <v>8</v>
      </c>
      <c r="K574" s="2">
        <f>I574+J574-1</f>
        <v>12</v>
      </c>
      <c r="L574" s="6" t="str">
        <f>IF(H574="neutral","—",IF(K574&gt;=5,IF(H574="warm","El Niño","La Niña"),IF(ROW()+J574-1=920,IF(H574="warm","El Niño (ongoing)","La Niña (ongoing)"),"—")))</f>
        <v>El Niño</v>
      </c>
      <c r="M574" s="2" t="inlineStr">
        <is>
          <t xml:space="preserve">1997/98</t>
        </is>
      </c>
    </row>
    <row r="575">
      <c r="A575" s="2" t="inlineStr">
        <is>
          <t xml:space="preserve">1997-10</t>
        </is>
      </c>
      <c r="B575" s="2">
        <v>1997</v>
      </c>
      <c r="C575" s="2">
        <v>10</v>
      </c>
      <c r="D575" s="2" t="inlineStr">
        <is>
          <t xml:space="preserve">SON</t>
        </is>
      </c>
      <c r="E575" t="inlineStr">
        <is>
          <t xml:space="preserve">Sep 1997 – Nov 1997</t>
        </is>
      </c>
      <c r="F575" s="3">
        <v>2.24</v>
      </c>
      <c r="G575" s="4">
        <f>ROUND(F575,1)</f>
        <v>2.2</v>
      </c>
      <c r="H575" s="2" t="str">
        <f>IF(G575&gt;=0.5,"warm",IF(G575&lt;=-0.5,"cold","neutral"))</f>
        <v>warm</v>
      </c>
      <c r="I575" s="2">
        <f>IF(H575=H574,I574+1,1)</f>
        <v>6</v>
      </c>
      <c r="J575" s="2">
        <f>IF(H575=H576,J576+1,1)</f>
        <v>7</v>
      </c>
      <c r="K575" s="2">
        <f>I575+J575-1</f>
        <v>12</v>
      </c>
      <c r="L575" s="6" t="str">
        <f>IF(H575="neutral","—",IF(K575&gt;=5,IF(H575="warm","El Niño","La Niña"),IF(ROW()+J575-1=920,IF(H575="warm","El Niño (ongoing)","La Niña (ongoing)"),"—")))</f>
        <v>El Niño</v>
      </c>
      <c r="M575" s="2" t="inlineStr">
        <is>
          <t xml:space="preserve">1997/98</t>
        </is>
      </c>
    </row>
    <row r="576">
      <c r="A576" s="2" t="inlineStr">
        <is>
          <t xml:space="preserve">1997-11</t>
        </is>
      </c>
      <c r="B576" s="2">
        <v>1997</v>
      </c>
      <c r="C576" s="2">
        <v>11</v>
      </c>
      <c r="D576" s="2" t="inlineStr">
        <is>
          <t xml:space="preserve">OND</t>
        </is>
      </c>
      <c r="E576" t="inlineStr">
        <is>
          <t xml:space="preserve">Oct 1997 – Dec 1997</t>
        </is>
      </c>
      <c r="F576" s="3">
        <v>2.34</v>
      </c>
      <c r="G576" s="4">
        <f>ROUND(F576,1)</f>
        <v>2.3</v>
      </c>
      <c r="H576" s="2" t="str">
        <f>IF(G576&gt;=0.5,"warm",IF(G576&lt;=-0.5,"cold","neutral"))</f>
        <v>warm</v>
      </c>
      <c r="I576" s="2">
        <f>IF(H576=H575,I575+1,1)</f>
        <v>7</v>
      </c>
      <c r="J576" s="2">
        <f>IF(H576=H577,J577+1,1)</f>
        <v>6</v>
      </c>
      <c r="K576" s="2">
        <f>I576+J576-1</f>
        <v>12</v>
      </c>
      <c r="L576" s="6" t="str">
        <f>IF(H576="neutral","—",IF(K576&gt;=5,IF(H576="warm","El Niño","La Niña"),IF(ROW()+J576-1=920,IF(H576="warm","El Niño (ongoing)","La Niña (ongoing)"),"—")))</f>
        <v>El Niño</v>
      </c>
      <c r="M576" s="2" t="inlineStr">
        <is>
          <t xml:space="preserve">1997/98</t>
        </is>
      </c>
    </row>
    <row r="577">
      <c r="A577" s="2" t="inlineStr">
        <is>
          <t xml:space="preserve">1997-12</t>
        </is>
      </c>
      <c r="B577" s="2">
        <v>1997</v>
      </c>
      <c r="C577" s="2">
        <v>12</v>
      </c>
      <c r="D577" s="2" t="inlineStr">
        <is>
          <t xml:space="preserve">NDJ</t>
        </is>
      </c>
      <c r="E577" t="inlineStr">
        <is>
          <t xml:space="preserve">Nov 1997 – Jan 1998</t>
        </is>
      </c>
      <c r="F577" s="3">
        <v>2.37</v>
      </c>
      <c r="G577" s="4">
        <f>ROUND(F577,1)</f>
        <v>2.4</v>
      </c>
      <c r="H577" s="2" t="str">
        <f>IF(G577&gt;=0.5,"warm",IF(G577&lt;=-0.5,"cold","neutral"))</f>
        <v>warm</v>
      </c>
      <c r="I577" s="2">
        <f>IF(H577=H576,I576+1,1)</f>
        <v>8</v>
      </c>
      <c r="J577" s="2">
        <f>IF(H577=H578,J578+1,1)</f>
        <v>5</v>
      </c>
      <c r="K577" s="2">
        <f>I577+J577-1</f>
        <v>12</v>
      </c>
      <c r="L577" s="6" t="str">
        <f>IF(H577="neutral","—",IF(K577&gt;=5,IF(H577="warm","El Niño","La Niña"),IF(ROW()+J577-1=920,IF(H577="warm","El Niño (ongoing)","La Niña (ongoing)"),"—")))</f>
        <v>El Niño</v>
      </c>
      <c r="M577" s="2" t="inlineStr">
        <is>
          <t xml:space="preserve">1997/98</t>
        </is>
      </c>
    </row>
    <row r="578">
      <c r="A578" s="2" t="inlineStr">
        <is>
          <t xml:space="preserve">1998-01</t>
        </is>
      </c>
      <c r="B578" s="2">
        <v>1998</v>
      </c>
      <c r="C578" s="2">
        <v>1</v>
      </c>
      <c r="D578" s="2" t="inlineStr">
        <is>
          <t xml:space="preserve">DJF</t>
        </is>
      </c>
      <c r="E578" t="inlineStr">
        <is>
          <t xml:space="preserve">Dec 1997 – Feb 1998</t>
        </is>
      </c>
      <c r="F578" s="3">
        <v>2.22</v>
      </c>
      <c r="G578" s="4">
        <f>ROUND(F578,1)</f>
        <v>2.2</v>
      </c>
      <c r="H578" s="2" t="str">
        <f>IF(G578&gt;=0.5,"warm",IF(G578&lt;=-0.5,"cold","neutral"))</f>
        <v>warm</v>
      </c>
      <c r="I578" s="2">
        <f>IF(H578=H577,I577+1,1)</f>
        <v>9</v>
      </c>
      <c r="J578" s="2">
        <f>IF(H578=H579,J579+1,1)</f>
        <v>4</v>
      </c>
      <c r="K578" s="2">
        <f>I578+J578-1</f>
        <v>12</v>
      </c>
      <c r="L578" s="6" t="str">
        <f>IF(H578="neutral","—",IF(K578&gt;=5,IF(H578="warm","El Niño","La Niña"),IF(ROW()+J578-1=920,IF(H578="warm","El Niño (ongoing)","La Niña (ongoing)"),"—")))</f>
        <v>El Niño</v>
      </c>
      <c r="M578" s="2" t="inlineStr">
        <is>
          <t xml:space="preserve">1997/98</t>
        </is>
      </c>
    </row>
    <row r="579">
      <c r="A579" s="2" t="inlineStr">
        <is>
          <t xml:space="preserve">1998-02</t>
        </is>
      </c>
      <c r="B579" s="2">
        <v>1998</v>
      </c>
      <c r="C579" s="2">
        <v>2</v>
      </c>
      <c r="D579" s="2" t="inlineStr">
        <is>
          <t xml:space="preserve">JFM</t>
        </is>
      </c>
      <c r="E579" t="inlineStr">
        <is>
          <t xml:space="preserve">Jan 1998 – Mar 1998</t>
        </is>
      </c>
      <c r="F579" s="3">
        <v>1.91</v>
      </c>
      <c r="G579" s="4">
        <f>ROUND(F579,1)</f>
        <v>1.9</v>
      </c>
      <c r="H579" s="2" t="str">
        <f>IF(G579&gt;=0.5,"warm",IF(G579&lt;=-0.5,"cold","neutral"))</f>
        <v>warm</v>
      </c>
      <c r="I579" s="2">
        <f>IF(H579=H578,I578+1,1)</f>
        <v>10</v>
      </c>
      <c r="J579" s="2">
        <f>IF(H579=H580,J580+1,1)</f>
        <v>3</v>
      </c>
      <c r="K579" s="2">
        <f>I579+J579-1</f>
        <v>12</v>
      </c>
      <c r="L579" s="6" t="str">
        <f>IF(H579="neutral","—",IF(K579&gt;=5,IF(H579="warm","El Niño","La Niña"),IF(ROW()+J579-1=920,IF(H579="warm","El Niño (ongoing)","La Niña (ongoing)"),"—")))</f>
        <v>El Niño</v>
      </c>
      <c r="M579" s="2" t="inlineStr">
        <is>
          <t xml:space="preserve">1997/98</t>
        </is>
      </c>
    </row>
    <row r="580">
      <c r="A580" s="2" t="inlineStr">
        <is>
          <t xml:space="preserve">1998-03</t>
        </is>
      </c>
      <c r="B580" s="2">
        <v>1998</v>
      </c>
      <c r="C580" s="2">
        <v>3</v>
      </c>
      <c r="D580" s="2" t="inlineStr">
        <is>
          <t xml:space="preserve">FMA</t>
        </is>
      </c>
      <c r="E580" t="inlineStr">
        <is>
          <t xml:space="preserve">Feb 1998 – Apr 1998</t>
        </is>
      </c>
      <c r="F580" s="3">
        <v>1.4</v>
      </c>
      <c r="G580" s="4">
        <f>ROUND(F580,1)</f>
        <v>1.4</v>
      </c>
      <c r="H580" s="2" t="str">
        <f>IF(G580&gt;=0.5,"warm",IF(G580&lt;=-0.5,"cold","neutral"))</f>
        <v>warm</v>
      </c>
      <c r="I580" s="2">
        <f>IF(H580=H579,I579+1,1)</f>
        <v>11</v>
      </c>
      <c r="J580" s="2">
        <f>IF(H580=H581,J581+1,1)</f>
        <v>2</v>
      </c>
      <c r="K580" s="2">
        <f>I580+J580-1</f>
        <v>12</v>
      </c>
      <c r="L580" s="6" t="str">
        <f>IF(H580="neutral","—",IF(K580&gt;=5,IF(H580="warm","El Niño","La Niña"),IF(ROW()+J580-1=920,IF(H580="warm","El Niño (ongoing)","La Niña (ongoing)"),"—")))</f>
        <v>El Niño</v>
      </c>
      <c r="M580" s="2" t="inlineStr">
        <is>
          <t xml:space="preserve">1997/98</t>
        </is>
      </c>
    </row>
    <row r="581">
      <c r="A581" s="2" t="inlineStr">
        <is>
          <t xml:space="preserve">1998-04</t>
        </is>
      </c>
      <c r="B581" s="2">
        <v>1998</v>
      </c>
      <c r="C581" s="2">
        <v>4</v>
      </c>
      <c r="D581" s="2" t="inlineStr">
        <is>
          <t xml:space="preserve">MAM</t>
        </is>
      </c>
      <c r="E581" t="inlineStr">
        <is>
          <t xml:space="preserve">Mar 1998 – May 1998</t>
        </is>
      </c>
      <c r="F581" s="3">
        <v>1.03</v>
      </c>
      <c r="G581" s="4">
        <f>ROUND(F581,1)</f>
        <v>1.0</v>
      </c>
      <c r="H581" s="2" t="str">
        <f>IF(G581&gt;=0.5,"warm",IF(G581&lt;=-0.5,"cold","neutral"))</f>
        <v>warm</v>
      </c>
      <c r="I581" s="2">
        <f>IF(H581=H580,I580+1,1)</f>
        <v>12</v>
      </c>
      <c r="J581" s="2">
        <f>IF(H581=H582,J582+1,1)</f>
        <v>1</v>
      </c>
      <c r="K581" s="2">
        <f>I581+J581-1</f>
        <v>12</v>
      </c>
      <c r="L581" s="6" t="str">
        <f>IF(H581="neutral","—",IF(K581&gt;=5,IF(H581="warm","El Niño","La Niña"),IF(ROW()+J581-1=920,IF(H581="warm","El Niño (ongoing)","La Niña (ongoing)"),"—")))</f>
        <v>El Niño</v>
      </c>
      <c r="M581" s="2" t="inlineStr">
        <is>
          <t xml:space="preserve">1997/98</t>
        </is>
      </c>
    </row>
    <row r="582">
      <c r="A582" s="2" t="inlineStr">
        <is>
          <t xml:space="preserve">1998-05</t>
        </is>
      </c>
      <c r="B582" s="2">
        <v>1998</v>
      </c>
      <c r="C582" s="2">
        <v>5</v>
      </c>
      <c r="D582" s="2" t="inlineStr">
        <is>
          <t xml:space="preserve">AMJ</t>
        </is>
      </c>
      <c r="E582" t="inlineStr">
        <is>
          <t xml:space="preserve">Apr 1998 – Jun 1998</t>
        </is>
      </c>
      <c r="F582" s="3">
        <v>0.4</v>
      </c>
      <c r="G582" s="4">
        <f>ROUND(F582,1)</f>
        <v>0.4</v>
      </c>
      <c r="H582" s="2" t="str">
        <f>IF(G582&gt;=0.5,"warm",IF(G582&lt;=-0.5,"cold","neutral"))</f>
        <v>neutral</v>
      </c>
      <c r="I582" s="2">
        <f>IF(H582=H581,I581+1,1)</f>
        <v>1</v>
      </c>
      <c r="J582" s="2">
        <f>IF(H582=H583,J583+1,1)</f>
        <v>2</v>
      </c>
      <c r="K582" s="2">
        <f>I582+J582-1</f>
        <v>2</v>
      </c>
      <c r="L582" s="2" t="str">
        <f>IF(H582="neutral","—",IF(K582&gt;=5,IF(H582="warm","El Niño","La Niña"),IF(ROW()+J582-1=920,IF(H582="warm","El Niño (ongoing)","La Niña (ongoing)"),"—")))</f>
        <v>—</v>
      </c>
      <c r="M582" s="2" t="inlineStr">
        <is>
          <t xml:space="preserve">1997/98</t>
        </is>
      </c>
    </row>
    <row r="583">
      <c r="A583" s="2" t="inlineStr">
        <is>
          <t xml:space="preserve">1998-06</t>
        </is>
      </c>
      <c r="B583" s="2">
        <v>1998</v>
      </c>
      <c r="C583" s="2">
        <v>6</v>
      </c>
      <c r="D583" s="2" t="inlineStr">
        <is>
          <t xml:space="preserve">MJJ</t>
        </is>
      </c>
      <c r="E583" t="inlineStr">
        <is>
          <t xml:space="preserve">May 1998 – Jul 1998</t>
        </is>
      </c>
      <c r="F583" s="3">
        <v>-0.08</v>
      </c>
      <c r="G583" s="4">
        <f>ROUND(F583,1)</f>
        <v>-0.1</v>
      </c>
      <c r="H583" s="2" t="str">
        <f>IF(G583&gt;=0.5,"warm",IF(G583&lt;=-0.5,"cold","neutral"))</f>
        <v>neutral</v>
      </c>
      <c r="I583" s="2">
        <f>IF(H583=H582,I582+1,1)</f>
        <v>2</v>
      </c>
      <c r="J583" s="2">
        <f>IF(H583=H584,J584+1,1)</f>
        <v>1</v>
      </c>
      <c r="K583" s="2">
        <f>I583+J583-1</f>
        <v>2</v>
      </c>
      <c r="L583" s="2" t="str">
        <f>IF(H583="neutral","—",IF(K583&gt;=5,IF(H583="warm","El Niño","La Niña"),IF(ROW()+J583-1=920,IF(H583="warm","El Niño (ongoing)","La Niña (ongoing)"),"—")))</f>
        <v>—</v>
      </c>
      <c r="M583" s="2" t="inlineStr">
        <is>
          <t xml:space="preserve">1997/98</t>
        </is>
      </c>
    </row>
    <row r="584">
      <c r="A584" s="2" t="inlineStr">
        <is>
          <t xml:space="preserve">1998-07</t>
        </is>
      </c>
      <c r="B584" s="2">
        <v>1998</v>
      </c>
      <c r="C584" s="2">
        <v>7</v>
      </c>
      <c r="D584" s="2" t="inlineStr">
        <is>
          <t xml:space="preserve">JJA</t>
        </is>
      </c>
      <c r="E584" t="inlineStr">
        <is>
          <t xml:space="preserve">Jun 1998 – Aug 1998</t>
        </is>
      </c>
      <c r="F584" s="3">
        <v>-0.63</v>
      </c>
      <c r="G584" s="4">
        <f>ROUND(F584,1)</f>
        <v>-0.6</v>
      </c>
      <c r="H584" s="2" t="str">
        <f>IF(G584&gt;=0.5,"warm",IF(G584&lt;=-0.5,"cold","neutral"))</f>
        <v>cold</v>
      </c>
      <c r="I584" s="2">
        <f>IF(H584=H583,I583+1,1)</f>
        <v>1</v>
      </c>
      <c r="J584" s="2">
        <f>IF(H584=H585,J585+1,1)</f>
        <v>25</v>
      </c>
      <c r="K584" s="2">
        <f>I584+J584-1</f>
        <v>25</v>
      </c>
      <c r="L584" s="5" t="str">
        <f>IF(H584="neutral","—",IF(K584&gt;=5,IF(H584="warm","El Niño","La Niña"),IF(ROW()+J584-1=920,IF(H584="warm","El Niño (ongoing)","La Niña (ongoing)"),"—")))</f>
        <v>La Niña</v>
      </c>
      <c r="M584" s="2" t="inlineStr">
        <is>
          <t xml:space="preserve">1998/99</t>
        </is>
      </c>
    </row>
    <row r="585">
      <c r="A585" s="2" t="inlineStr">
        <is>
          <t xml:space="preserve">1998-08</t>
        </is>
      </c>
      <c r="B585" s="2">
        <v>1998</v>
      </c>
      <c r="C585" s="2">
        <v>8</v>
      </c>
      <c r="D585" s="2" t="inlineStr">
        <is>
          <t xml:space="preserve">JAS</t>
        </is>
      </c>
      <c r="E585" t="inlineStr">
        <is>
          <t xml:space="preserve">Jul 1998 – Sep 1998</t>
        </is>
      </c>
      <c r="F585" s="3">
        <v>-0.83</v>
      </c>
      <c r="G585" s="4">
        <f>ROUND(F585,1)</f>
        <v>-0.8</v>
      </c>
      <c r="H585" s="2" t="str">
        <f>IF(G585&gt;=0.5,"warm",IF(G585&lt;=-0.5,"cold","neutral"))</f>
        <v>cold</v>
      </c>
      <c r="I585" s="2">
        <f>IF(H585=H584,I584+1,1)</f>
        <v>2</v>
      </c>
      <c r="J585" s="2">
        <f>IF(H585=H586,J586+1,1)</f>
        <v>24</v>
      </c>
      <c r="K585" s="2">
        <f>I585+J585-1</f>
        <v>25</v>
      </c>
      <c r="L585" s="5" t="str">
        <f>IF(H585="neutral","—",IF(K585&gt;=5,IF(H585="warm","El Niño","La Niña"),IF(ROW()+J585-1=920,IF(H585="warm","El Niño (ongoing)","La Niña (ongoing)"),"—")))</f>
        <v>La Niña</v>
      </c>
      <c r="M585" s="2" t="inlineStr">
        <is>
          <t xml:space="preserve">1998/99</t>
        </is>
      </c>
    </row>
    <row r="586">
      <c r="A586" s="2" t="inlineStr">
        <is>
          <t xml:space="preserve">1998-09</t>
        </is>
      </c>
      <c r="B586" s="2">
        <v>1998</v>
      </c>
      <c r="C586" s="2">
        <v>9</v>
      </c>
      <c r="D586" s="2" t="inlineStr">
        <is>
          <t xml:space="preserve">ASO</t>
        </is>
      </c>
      <c r="E586" t="inlineStr">
        <is>
          <t xml:space="preserve">Aug 1998 – Oct 1998</t>
        </is>
      </c>
      <c r="F586" s="3">
        <v>-1.02</v>
      </c>
      <c r="G586" s="4">
        <f>ROUND(F586,1)</f>
        <v>-1.0</v>
      </c>
      <c r="H586" s="2" t="str">
        <f>IF(G586&gt;=0.5,"warm",IF(G586&lt;=-0.5,"cold","neutral"))</f>
        <v>cold</v>
      </c>
      <c r="I586" s="2">
        <f>IF(H586=H585,I585+1,1)</f>
        <v>3</v>
      </c>
      <c r="J586" s="2">
        <f>IF(H586=H587,J587+1,1)</f>
        <v>23</v>
      </c>
      <c r="K586" s="2">
        <f>I586+J586-1</f>
        <v>25</v>
      </c>
      <c r="L586" s="5" t="str">
        <f>IF(H586="neutral","—",IF(K586&gt;=5,IF(H586="warm","El Niño","La Niña"),IF(ROW()+J586-1=920,IF(H586="warm","El Niño (ongoing)","La Niña (ongoing)"),"—")))</f>
        <v>La Niña</v>
      </c>
      <c r="M586" s="2" t="inlineStr">
        <is>
          <t xml:space="preserve">1998/99</t>
        </is>
      </c>
    </row>
    <row r="587">
      <c r="A587" s="2" t="inlineStr">
        <is>
          <t xml:space="preserve">1998-10</t>
        </is>
      </c>
      <c r="B587" s="2">
        <v>1998</v>
      </c>
      <c r="C587" s="2">
        <v>10</v>
      </c>
      <c r="D587" s="2" t="inlineStr">
        <is>
          <t xml:space="preserve">SON</t>
        </is>
      </c>
      <c r="E587" t="inlineStr">
        <is>
          <t xml:space="preserve">Sep 1998 – Nov 1998</t>
        </is>
      </c>
      <c r="F587" s="3">
        <v>-1.12</v>
      </c>
      <c r="G587" s="4">
        <f>ROUND(F587,1)</f>
        <v>-1.1</v>
      </c>
      <c r="H587" s="2" t="str">
        <f>IF(G587&gt;=0.5,"warm",IF(G587&lt;=-0.5,"cold","neutral"))</f>
        <v>cold</v>
      </c>
      <c r="I587" s="2">
        <f>IF(H587=H586,I586+1,1)</f>
        <v>4</v>
      </c>
      <c r="J587" s="2">
        <f>IF(H587=H588,J588+1,1)</f>
        <v>22</v>
      </c>
      <c r="K587" s="2">
        <f>I587+J587-1</f>
        <v>25</v>
      </c>
      <c r="L587" s="5" t="str">
        <f>IF(H587="neutral","—",IF(K587&gt;=5,IF(H587="warm","El Niño","La Niña"),IF(ROW()+J587-1=920,IF(H587="warm","El Niño (ongoing)","La Niña (ongoing)"),"—")))</f>
        <v>La Niña</v>
      </c>
      <c r="M587" s="2" t="inlineStr">
        <is>
          <t xml:space="preserve">1998/99</t>
        </is>
      </c>
    </row>
    <row r="588">
      <c r="A588" s="2" t="inlineStr">
        <is>
          <t xml:space="preserve">1998-11</t>
        </is>
      </c>
      <c r="B588" s="2">
        <v>1998</v>
      </c>
      <c r="C588" s="2">
        <v>11</v>
      </c>
      <c r="D588" s="2" t="inlineStr">
        <is>
          <t xml:space="preserve">OND</t>
        </is>
      </c>
      <c r="E588" t="inlineStr">
        <is>
          <t xml:space="preserve">Oct 1998 – Dec 1998</t>
        </is>
      </c>
      <c r="F588" s="3">
        <v>-1.31</v>
      </c>
      <c r="G588" s="4">
        <f>ROUND(F588,1)</f>
        <v>-1.3</v>
      </c>
      <c r="H588" s="2" t="str">
        <f>IF(G588&gt;=0.5,"warm",IF(G588&lt;=-0.5,"cold","neutral"))</f>
        <v>cold</v>
      </c>
      <c r="I588" s="2">
        <f>IF(H588=H587,I587+1,1)</f>
        <v>5</v>
      </c>
      <c r="J588" s="2">
        <f>IF(H588=H589,J589+1,1)</f>
        <v>21</v>
      </c>
      <c r="K588" s="2">
        <f>I588+J588-1</f>
        <v>25</v>
      </c>
      <c r="L588" s="5" t="str">
        <f>IF(H588="neutral","—",IF(K588&gt;=5,IF(H588="warm","El Niño","La Niña"),IF(ROW()+J588-1=920,IF(H588="warm","El Niño (ongoing)","La Niña (ongoing)"),"—")))</f>
        <v>La Niña</v>
      </c>
      <c r="M588" s="2" t="inlineStr">
        <is>
          <t xml:space="preserve">1998/99</t>
        </is>
      </c>
    </row>
    <row r="589">
      <c r="A589" s="2" t="inlineStr">
        <is>
          <t xml:space="preserve">1998-12</t>
        </is>
      </c>
      <c r="B589" s="2">
        <v>1998</v>
      </c>
      <c r="C589" s="2">
        <v>12</v>
      </c>
      <c r="D589" s="2" t="inlineStr">
        <is>
          <t xml:space="preserve">NDJ</t>
        </is>
      </c>
      <c r="E589" t="inlineStr">
        <is>
          <t xml:space="preserve">Nov 1998 – Jan 1999</t>
        </is>
      </c>
      <c r="F589" s="3">
        <v>-1.47</v>
      </c>
      <c r="G589" s="4">
        <f>ROUND(F589,1)</f>
        <v>-1.5</v>
      </c>
      <c r="H589" s="2" t="str">
        <f>IF(G589&gt;=0.5,"warm",IF(G589&lt;=-0.5,"cold","neutral"))</f>
        <v>cold</v>
      </c>
      <c r="I589" s="2">
        <f>IF(H589=H588,I588+1,1)</f>
        <v>6</v>
      </c>
      <c r="J589" s="2">
        <f>IF(H589=H590,J590+1,1)</f>
        <v>20</v>
      </c>
      <c r="K589" s="2">
        <f>I589+J589-1</f>
        <v>25</v>
      </c>
      <c r="L589" s="5" t="str">
        <f>IF(H589="neutral","—",IF(K589&gt;=5,IF(H589="warm","El Niño","La Niña"),IF(ROW()+J589-1=920,IF(H589="warm","El Niño (ongoing)","La Niña (ongoing)"),"—")))</f>
        <v>La Niña</v>
      </c>
      <c r="M589" s="2" t="inlineStr">
        <is>
          <t xml:space="preserve">1998/99</t>
        </is>
      </c>
    </row>
    <row r="590">
      <c r="A590" s="2" t="inlineStr">
        <is>
          <t xml:space="preserve">1999-01</t>
        </is>
      </c>
      <c r="B590" s="2">
        <v>1999</v>
      </c>
      <c r="C590" s="2">
        <v>1</v>
      </c>
      <c r="D590" s="2" t="inlineStr">
        <is>
          <t xml:space="preserve">DJF</t>
        </is>
      </c>
      <c r="E590" t="inlineStr">
        <is>
          <t xml:space="preserve">Dec 1998 – Feb 1999</t>
        </is>
      </c>
      <c r="F590" s="3">
        <v>-1.51</v>
      </c>
      <c r="G590" s="4">
        <f>ROUND(F590,1)</f>
        <v>-1.5</v>
      </c>
      <c r="H590" s="2" t="str">
        <f>IF(G590&gt;=0.5,"warm",IF(G590&lt;=-0.5,"cold","neutral"))</f>
        <v>cold</v>
      </c>
      <c r="I590" s="2">
        <f>IF(H590=H589,I589+1,1)</f>
        <v>7</v>
      </c>
      <c r="J590" s="2">
        <f>IF(H590=H591,J591+1,1)</f>
        <v>19</v>
      </c>
      <c r="K590" s="2">
        <f>I590+J590-1</f>
        <v>25</v>
      </c>
      <c r="L590" s="5" t="str">
        <f>IF(H590="neutral","—",IF(K590&gt;=5,IF(H590="warm","El Niño","La Niña"),IF(ROW()+J590-1=920,IF(H590="warm","El Niño (ongoing)","La Niña (ongoing)"),"—")))</f>
        <v>La Niña</v>
      </c>
      <c r="M590" s="2" t="inlineStr">
        <is>
          <t xml:space="preserve">1998/99</t>
        </is>
      </c>
    </row>
    <row r="591">
      <c r="A591" s="2" t="inlineStr">
        <is>
          <t xml:space="preserve">1999-02</t>
        </is>
      </c>
      <c r="B591" s="2">
        <v>1999</v>
      </c>
      <c r="C591" s="2">
        <v>2</v>
      </c>
      <c r="D591" s="2" t="inlineStr">
        <is>
          <t xml:space="preserve">JFM</t>
        </is>
      </c>
      <c r="E591" t="inlineStr">
        <is>
          <t xml:space="preserve">Jan 1999 – Mar 1999</t>
        </is>
      </c>
      <c r="F591" s="3">
        <v>-1.25</v>
      </c>
      <c r="G591" s="4">
        <f>ROUND(F591,1)</f>
        <v>-1.3</v>
      </c>
      <c r="H591" s="2" t="str">
        <f>IF(G591&gt;=0.5,"warm",IF(G591&lt;=-0.5,"cold","neutral"))</f>
        <v>cold</v>
      </c>
      <c r="I591" s="2">
        <f>IF(H591=H590,I590+1,1)</f>
        <v>8</v>
      </c>
      <c r="J591" s="2">
        <f>IF(H591=H592,J592+1,1)</f>
        <v>18</v>
      </c>
      <c r="K591" s="2">
        <f>I591+J591-1</f>
        <v>25</v>
      </c>
      <c r="L591" s="5" t="str">
        <f>IF(H591="neutral","—",IF(K591&gt;=5,IF(H591="warm","El Niño","La Niña"),IF(ROW()+J591-1=920,IF(H591="warm","El Niño (ongoing)","La Niña (ongoing)"),"—")))</f>
        <v>La Niña</v>
      </c>
      <c r="M591" s="2" t="inlineStr">
        <is>
          <t xml:space="preserve">1998/99</t>
        </is>
      </c>
    </row>
    <row r="592">
      <c r="A592" s="2" t="inlineStr">
        <is>
          <t xml:space="preserve">1999-03</t>
        </is>
      </c>
      <c r="B592" s="2">
        <v>1999</v>
      </c>
      <c r="C592" s="2">
        <v>3</v>
      </c>
      <c r="D592" s="2" t="inlineStr">
        <is>
          <t xml:space="preserve">FMA</t>
        </is>
      </c>
      <c r="E592" t="inlineStr">
        <is>
          <t xml:space="preserve">Feb 1999 – Apr 1999</t>
        </is>
      </c>
      <c r="F592" s="3">
        <v>-0.93</v>
      </c>
      <c r="G592" s="4">
        <f>ROUND(F592,1)</f>
        <v>-0.9</v>
      </c>
      <c r="H592" s="2" t="str">
        <f>IF(G592&gt;=0.5,"warm",IF(G592&lt;=-0.5,"cold","neutral"))</f>
        <v>cold</v>
      </c>
      <c r="I592" s="2">
        <f>IF(H592=H591,I591+1,1)</f>
        <v>9</v>
      </c>
      <c r="J592" s="2">
        <f>IF(H592=H593,J593+1,1)</f>
        <v>17</v>
      </c>
      <c r="K592" s="2">
        <f>I592+J592-1</f>
        <v>25</v>
      </c>
      <c r="L592" s="5" t="str">
        <f>IF(H592="neutral","—",IF(K592&gt;=5,IF(H592="warm","El Niño","La Niña"),IF(ROW()+J592-1=920,IF(H592="warm","El Niño (ongoing)","La Niña (ongoing)"),"—")))</f>
        <v>La Niña</v>
      </c>
      <c r="M592" s="2" t="inlineStr">
        <is>
          <t xml:space="preserve">1998/99</t>
        </is>
      </c>
    </row>
    <row r="593">
      <c r="A593" s="2" t="inlineStr">
        <is>
          <t xml:space="preserve">1999-04</t>
        </is>
      </c>
      <c r="B593" s="2">
        <v>1999</v>
      </c>
      <c r="C593" s="2">
        <v>4</v>
      </c>
      <c r="D593" s="2" t="inlineStr">
        <is>
          <t xml:space="preserve">MAM</t>
        </is>
      </c>
      <c r="E593" t="inlineStr">
        <is>
          <t xml:space="preserve">Mar 1999 – May 1999</t>
        </is>
      </c>
      <c r="F593" s="3">
        <v>-0.8</v>
      </c>
      <c r="G593" s="4">
        <f>ROUND(F593,1)</f>
        <v>-0.8</v>
      </c>
      <c r="H593" s="2" t="str">
        <f>IF(G593&gt;=0.5,"warm",IF(G593&lt;=-0.5,"cold","neutral"))</f>
        <v>cold</v>
      </c>
      <c r="I593" s="2">
        <f>IF(H593=H592,I592+1,1)</f>
        <v>10</v>
      </c>
      <c r="J593" s="2">
        <f>IF(H593=H594,J594+1,1)</f>
        <v>16</v>
      </c>
      <c r="K593" s="2">
        <f>I593+J593-1</f>
        <v>25</v>
      </c>
      <c r="L593" s="5" t="str">
        <f>IF(H593="neutral","—",IF(K593&gt;=5,IF(H593="warm","El Niño","La Niña"),IF(ROW()+J593-1=920,IF(H593="warm","El Niño (ongoing)","La Niña (ongoing)"),"—")))</f>
        <v>La Niña</v>
      </c>
      <c r="M593" s="2" t="inlineStr">
        <is>
          <t xml:space="preserve">1998/99</t>
        </is>
      </c>
    </row>
    <row r="594">
      <c r="A594" s="2" t="inlineStr">
        <is>
          <t xml:space="preserve">1999-05</t>
        </is>
      </c>
      <c r="B594" s="2">
        <v>1999</v>
      </c>
      <c r="C594" s="2">
        <v>5</v>
      </c>
      <c r="D594" s="2" t="inlineStr">
        <is>
          <t xml:space="preserve">AMJ</t>
        </is>
      </c>
      <c r="E594" t="inlineStr">
        <is>
          <t xml:space="preserve">Apr 1999 – Jun 1999</t>
        </is>
      </c>
      <c r="F594" s="3">
        <v>-0.79</v>
      </c>
      <c r="G594" s="4">
        <f>ROUND(F594,1)</f>
        <v>-0.8</v>
      </c>
      <c r="H594" s="2" t="str">
        <f>IF(G594&gt;=0.5,"warm",IF(G594&lt;=-0.5,"cold","neutral"))</f>
        <v>cold</v>
      </c>
      <c r="I594" s="2">
        <f>IF(H594=H593,I593+1,1)</f>
        <v>11</v>
      </c>
      <c r="J594" s="2">
        <f>IF(H594=H595,J595+1,1)</f>
        <v>15</v>
      </c>
      <c r="K594" s="2">
        <f>I594+J594-1</f>
        <v>25</v>
      </c>
      <c r="L594" s="5" t="str">
        <f>IF(H594="neutral","—",IF(K594&gt;=5,IF(H594="warm","El Niño","La Niña"),IF(ROW()+J594-1=920,IF(H594="warm","El Niño (ongoing)","La Niña (ongoing)"),"—")))</f>
        <v>La Niña</v>
      </c>
      <c r="M594" s="2" t="inlineStr">
        <is>
          <t xml:space="preserve">1998/99</t>
        </is>
      </c>
    </row>
    <row r="595">
      <c r="A595" s="2" t="inlineStr">
        <is>
          <t xml:space="preserve">1999-06</t>
        </is>
      </c>
      <c r="B595" s="2">
        <v>1999</v>
      </c>
      <c r="C595" s="2">
        <v>6</v>
      </c>
      <c r="D595" s="2" t="inlineStr">
        <is>
          <t xml:space="preserve">MJJ</t>
        </is>
      </c>
      <c r="E595" t="inlineStr">
        <is>
          <t xml:space="preserve">May 1999 – Jul 1999</t>
        </is>
      </c>
      <c r="F595" s="3">
        <v>-0.84</v>
      </c>
      <c r="G595" s="4">
        <f>ROUND(F595,1)</f>
        <v>-0.8</v>
      </c>
      <c r="H595" s="2" t="str">
        <f>IF(G595&gt;=0.5,"warm",IF(G595&lt;=-0.5,"cold","neutral"))</f>
        <v>cold</v>
      </c>
      <c r="I595" s="2">
        <f>IF(H595=H594,I594+1,1)</f>
        <v>12</v>
      </c>
      <c r="J595" s="2">
        <f>IF(H595=H596,J596+1,1)</f>
        <v>14</v>
      </c>
      <c r="K595" s="2">
        <f>I595+J595-1</f>
        <v>25</v>
      </c>
      <c r="L595" s="5" t="str">
        <f>IF(H595="neutral","—",IF(K595&gt;=5,IF(H595="warm","El Niño","La Niña"),IF(ROW()+J595-1=920,IF(H595="warm","El Niño (ongoing)","La Niña (ongoing)"),"—")))</f>
        <v>La Niña</v>
      </c>
      <c r="M595" s="2" t="inlineStr">
        <is>
          <t xml:space="preserve">1998/99</t>
        </is>
      </c>
    </row>
    <row r="596">
      <c r="A596" s="2" t="inlineStr">
        <is>
          <t xml:space="preserve">1999-07</t>
        </is>
      </c>
      <c r="B596" s="2">
        <v>1999</v>
      </c>
      <c r="C596" s="2">
        <v>7</v>
      </c>
      <c r="D596" s="2" t="inlineStr">
        <is>
          <t xml:space="preserve">JJA</t>
        </is>
      </c>
      <c r="E596" t="inlineStr">
        <is>
          <t xml:space="preserve">Jun 1999 – Aug 1999</t>
        </is>
      </c>
      <c r="F596" s="3">
        <v>-0.9</v>
      </c>
      <c r="G596" s="4">
        <f>ROUND(F596,1)</f>
        <v>-0.9</v>
      </c>
      <c r="H596" s="2" t="str">
        <f>IF(G596&gt;=0.5,"warm",IF(G596&lt;=-0.5,"cold","neutral"))</f>
        <v>cold</v>
      </c>
      <c r="I596" s="2">
        <f>IF(H596=H595,I595+1,1)</f>
        <v>13</v>
      </c>
      <c r="J596" s="2">
        <f>IF(H596=H597,J597+1,1)</f>
        <v>13</v>
      </c>
      <c r="K596" s="2">
        <f>I596+J596-1</f>
        <v>25</v>
      </c>
      <c r="L596" s="5" t="str">
        <f>IF(H596="neutral","—",IF(K596&gt;=5,IF(H596="warm","El Niño","La Niña"),IF(ROW()+J596-1=920,IF(H596="warm","El Niño (ongoing)","La Niña (ongoing)"),"—")))</f>
        <v>La Niña</v>
      </c>
      <c r="M596" s="2" t="inlineStr">
        <is>
          <t xml:space="preserve">1999/00</t>
        </is>
      </c>
    </row>
    <row r="597">
      <c r="A597" s="2" t="inlineStr">
        <is>
          <t xml:space="preserve">1999-08</t>
        </is>
      </c>
      <c r="B597" s="2">
        <v>1999</v>
      </c>
      <c r="C597" s="2">
        <v>8</v>
      </c>
      <c r="D597" s="2" t="inlineStr">
        <is>
          <t xml:space="preserve">JAS</t>
        </is>
      </c>
      <c r="E597" t="inlineStr">
        <is>
          <t xml:space="preserve">Jul 1999 – Sep 1999</t>
        </is>
      </c>
      <c r="F597" s="3">
        <v>-0.94</v>
      </c>
      <c r="G597" s="4">
        <f>ROUND(F597,1)</f>
        <v>-0.9</v>
      </c>
      <c r="H597" s="2" t="str">
        <f>IF(G597&gt;=0.5,"warm",IF(G597&lt;=-0.5,"cold","neutral"))</f>
        <v>cold</v>
      </c>
      <c r="I597" s="2">
        <f>IF(H597=H596,I596+1,1)</f>
        <v>14</v>
      </c>
      <c r="J597" s="2">
        <f>IF(H597=H598,J598+1,1)</f>
        <v>12</v>
      </c>
      <c r="K597" s="2">
        <f>I597+J597-1</f>
        <v>25</v>
      </c>
      <c r="L597" s="5" t="str">
        <f>IF(H597="neutral","—",IF(K597&gt;=5,IF(H597="warm","El Niño","La Niña"),IF(ROW()+J597-1=920,IF(H597="warm","El Niño (ongoing)","La Niña (ongoing)"),"—")))</f>
        <v>La Niña</v>
      </c>
      <c r="M597" s="2" t="inlineStr">
        <is>
          <t xml:space="preserve">1999/00</t>
        </is>
      </c>
    </row>
    <row r="598">
      <c r="A598" s="2" t="inlineStr">
        <is>
          <t xml:space="preserve">1999-09</t>
        </is>
      </c>
      <c r="B598" s="2">
        <v>1999</v>
      </c>
      <c r="C598" s="2">
        <v>9</v>
      </c>
      <c r="D598" s="2" t="inlineStr">
        <is>
          <t xml:space="preserve">ASO</t>
        </is>
      </c>
      <c r="E598" t="inlineStr">
        <is>
          <t xml:space="preserve">Aug 1999 – Oct 1999</t>
        </is>
      </c>
      <c r="F598" s="3">
        <v>-1.0</v>
      </c>
      <c r="G598" s="4">
        <f>ROUND(F598,1)</f>
        <v>-1.0</v>
      </c>
      <c r="H598" s="2" t="str">
        <f>IF(G598&gt;=0.5,"warm",IF(G598&lt;=-0.5,"cold","neutral"))</f>
        <v>cold</v>
      </c>
      <c r="I598" s="2">
        <f>IF(H598=H597,I597+1,1)</f>
        <v>15</v>
      </c>
      <c r="J598" s="2">
        <f>IF(H598=H599,J599+1,1)</f>
        <v>11</v>
      </c>
      <c r="K598" s="2">
        <f>I598+J598-1</f>
        <v>25</v>
      </c>
      <c r="L598" s="5" t="str">
        <f>IF(H598="neutral","—",IF(K598&gt;=5,IF(H598="warm","El Niño","La Niña"),IF(ROW()+J598-1=920,IF(H598="warm","El Niño (ongoing)","La Niña (ongoing)"),"—")))</f>
        <v>La Niña</v>
      </c>
      <c r="M598" s="2" t="inlineStr">
        <is>
          <t xml:space="preserve">1999/00</t>
        </is>
      </c>
    </row>
    <row r="599">
      <c r="A599" s="2" t="inlineStr">
        <is>
          <t xml:space="preserve">1999-10</t>
        </is>
      </c>
      <c r="B599" s="2">
        <v>1999</v>
      </c>
      <c r="C599" s="2">
        <v>10</v>
      </c>
      <c r="D599" s="2" t="inlineStr">
        <is>
          <t xml:space="preserve">SON</t>
        </is>
      </c>
      <c r="E599" t="inlineStr">
        <is>
          <t xml:space="preserve">Sep 1999 – Nov 1999</t>
        </is>
      </c>
      <c r="F599" s="3">
        <v>-1.13</v>
      </c>
      <c r="G599" s="4">
        <f>ROUND(F599,1)</f>
        <v>-1.1</v>
      </c>
      <c r="H599" s="2" t="str">
        <f>IF(G599&gt;=0.5,"warm",IF(G599&lt;=-0.5,"cold","neutral"))</f>
        <v>cold</v>
      </c>
      <c r="I599" s="2">
        <f>IF(H599=H598,I598+1,1)</f>
        <v>16</v>
      </c>
      <c r="J599" s="2">
        <f>IF(H599=H600,J600+1,1)</f>
        <v>10</v>
      </c>
      <c r="K599" s="2">
        <f>I599+J599-1</f>
        <v>25</v>
      </c>
      <c r="L599" s="5" t="str">
        <f>IF(H599="neutral","—",IF(K599&gt;=5,IF(H599="warm","El Niño","La Niña"),IF(ROW()+J599-1=920,IF(H599="warm","El Niño (ongoing)","La Niña (ongoing)"),"—")))</f>
        <v>La Niña</v>
      </c>
      <c r="M599" s="2" t="inlineStr">
        <is>
          <t xml:space="preserve">1999/00</t>
        </is>
      </c>
    </row>
    <row r="600">
      <c r="A600" s="2" t="inlineStr">
        <is>
          <t xml:space="preserve">1999-11</t>
        </is>
      </c>
      <c r="B600" s="2">
        <v>1999</v>
      </c>
      <c r="C600" s="2">
        <v>11</v>
      </c>
      <c r="D600" s="2" t="inlineStr">
        <is>
          <t xml:space="preserve">OND</t>
        </is>
      </c>
      <c r="E600" t="inlineStr">
        <is>
          <t xml:space="preserve">Oct 1999 – Dec 1999</t>
        </is>
      </c>
      <c r="F600" s="3">
        <v>-1.35</v>
      </c>
      <c r="G600" s="4">
        <f>ROUND(F600,1)</f>
        <v>-1.4</v>
      </c>
      <c r="H600" s="2" t="str">
        <f>IF(G600&gt;=0.5,"warm",IF(G600&lt;=-0.5,"cold","neutral"))</f>
        <v>cold</v>
      </c>
      <c r="I600" s="2">
        <f>IF(H600=H599,I599+1,1)</f>
        <v>17</v>
      </c>
      <c r="J600" s="2">
        <f>IF(H600=H601,J601+1,1)</f>
        <v>9</v>
      </c>
      <c r="K600" s="2">
        <f>I600+J600-1</f>
        <v>25</v>
      </c>
      <c r="L600" s="5" t="str">
        <f>IF(H600="neutral","—",IF(K600&gt;=5,IF(H600="warm","El Niño","La Niña"),IF(ROW()+J600-1=920,IF(H600="warm","El Niño (ongoing)","La Niña (ongoing)"),"—")))</f>
        <v>La Niña</v>
      </c>
      <c r="M600" s="2" t="inlineStr">
        <is>
          <t xml:space="preserve">1999/00</t>
        </is>
      </c>
    </row>
    <row r="601">
      <c r="A601" s="2" t="inlineStr">
        <is>
          <t xml:space="preserve">1999-12</t>
        </is>
      </c>
      <c r="B601" s="2">
        <v>1999</v>
      </c>
      <c r="C601" s="2">
        <v>12</v>
      </c>
      <c r="D601" s="2" t="inlineStr">
        <is>
          <t xml:space="preserve">NDJ</t>
        </is>
      </c>
      <c r="E601" t="inlineStr">
        <is>
          <t xml:space="preserve">Nov 1999 – Jan 2000</t>
        </is>
      </c>
      <c r="F601" s="3">
        <v>-1.53</v>
      </c>
      <c r="G601" s="4">
        <f>ROUND(F601,1)</f>
        <v>-1.5</v>
      </c>
      <c r="H601" s="2" t="str">
        <f>IF(G601&gt;=0.5,"warm",IF(G601&lt;=-0.5,"cold","neutral"))</f>
        <v>cold</v>
      </c>
      <c r="I601" s="2">
        <f>IF(H601=H600,I600+1,1)</f>
        <v>18</v>
      </c>
      <c r="J601" s="2">
        <f>IF(H601=H602,J602+1,1)</f>
        <v>8</v>
      </c>
      <c r="K601" s="2">
        <f>I601+J601-1</f>
        <v>25</v>
      </c>
      <c r="L601" s="5" t="str">
        <f>IF(H601="neutral","—",IF(K601&gt;=5,IF(H601="warm","El Niño","La Niña"),IF(ROW()+J601-1=920,IF(H601="warm","El Niño (ongoing)","La Niña (ongoing)"),"—")))</f>
        <v>La Niña</v>
      </c>
      <c r="M601" s="2" t="inlineStr">
        <is>
          <t xml:space="preserve">1999/00</t>
        </is>
      </c>
    </row>
    <row r="602">
      <c r="A602" s="2" t="inlineStr">
        <is>
          <t xml:space="preserve">2000-01</t>
        </is>
      </c>
      <c r="B602" s="2">
        <v>2000</v>
      </c>
      <c r="C602" s="2">
        <v>1</v>
      </c>
      <c r="D602" s="2" t="inlineStr">
        <is>
          <t xml:space="preserve">DJF</t>
        </is>
      </c>
      <c r="E602" t="inlineStr">
        <is>
          <t xml:space="preserve">Dec 1999 – Feb 2000</t>
        </is>
      </c>
      <c r="F602" s="3">
        <v>-1.47</v>
      </c>
      <c r="G602" s="4">
        <f>ROUND(F602,1)</f>
        <v>-1.5</v>
      </c>
      <c r="H602" s="2" t="str">
        <f>IF(G602&gt;=0.5,"warm",IF(G602&lt;=-0.5,"cold","neutral"))</f>
        <v>cold</v>
      </c>
      <c r="I602" s="2">
        <f>IF(H602=H601,I601+1,1)</f>
        <v>19</v>
      </c>
      <c r="J602" s="2">
        <f>IF(H602=H603,J603+1,1)</f>
        <v>7</v>
      </c>
      <c r="K602" s="2">
        <f>I602+J602-1</f>
        <v>25</v>
      </c>
      <c r="L602" s="5" t="str">
        <f>IF(H602="neutral","—",IF(K602&gt;=5,IF(H602="warm","El Niño","La Niña"),IF(ROW()+J602-1=920,IF(H602="warm","El Niño (ongoing)","La Niña (ongoing)"),"—")))</f>
        <v>La Niña</v>
      </c>
      <c r="M602" s="2" t="inlineStr">
        <is>
          <t xml:space="preserve">1999/00</t>
        </is>
      </c>
    </row>
    <row r="603">
      <c r="A603" s="2" t="inlineStr">
        <is>
          <t xml:space="preserve">2000-02</t>
        </is>
      </c>
      <c r="B603" s="2">
        <v>2000</v>
      </c>
      <c r="C603" s="2">
        <v>2</v>
      </c>
      <c r="D603" s="2" t="inlineStr">
        <is>
          <t xml:space="preserve">JFM</t>
        </is>
      </c>
      <c r="E603" t="inlineStr">
        <is>
          <t xml:space="preserve">Jan 2000 – Mar 2000</t>
        </is>
      </c>
      <c r="F603" s="3">
        <v>-1.26</v>
      </c>
      <c r="G603" s="4">
        <f>ROUND(F603,1)</f>
        <v>-1.3</v>
      </c>
      <c r="H603" s="2" t="str">
        <f>IF(G603&gt;=0.5,"warm",IF(G603&lt;=-0.5,"cold","neutral"))</f>
        <v>cold</v>
      </c>
      <c r="I603" s="2">
        <f>IF(H603=H602,I602+1,1)</f>
        <v>20</v>
      </c>
      <c r="J603" s="2">
        <f>IF(H603=H604,J604+1,1)</f>
        <v>6</v>
      </c>
      <c r="K603" s="2">
        <f>I603+J603-1</f>
        <v>25</v>
      </c>
      <c r="L603" s="5" t="str">
        <f>IF(H603="neutral","—",IF(K603&gt;=5,IF(H603="warm","El Niño","La Niña"),IF(ROW()+J603-1=920,IF(H603="warm","El Niño (ongoing)","La Niña (ongoing)"),"—")))</f>
        <v>La Niña</v>
      </c>
      <c r="M603" s="2" t="inlineStr">
        <is>
          <t xml:space="preserve">1999/00</t>
        </is>
      </c>
    </row>
    <row r="604">
      <c r="A604" s="2" t="inlineStr">
        <is>
          <t xml:space="preserve">2000-03</t>
        </is>
      </c>
      <c r="B604" s="2">
        <v>2000</v>
      </c>
      <c r="C604" s="2">
        <v>3</v>
      </c>
      <c r="D604" s="2" t="inlineStr">
        <is>
          <t xml:space="preserve">FMA</t>
        </is>
      </c>
      <c r="E604" t="inlineStr">
        <is>
          <t xml:space="preserve">Feb 2000 – Apr 2000</t>
        </is>
      </c>
      <c r="F604" s="3">
        <v>-0.98</v>
      </c>
      <c r="G604" s="4">
        <f>ROUND(F604,1)</f>
        <v>-1.0</v>
      </c>
      <c r="H604" s="2" t="str">
        <f>IF(G604&gt;=0.5,"warm",IF(G604&lt;=-0.5,"cold","neutral"))</f>
        <v>cold</v>
      </c>
      <c r="I604" s="2">
        <f>IF(H604=H603,I603+1,1)</f>
        <v>21</v>
      </c>
      <c r="J604" s="2">
        <f>IF(H604=H605,J605+1,1)</f>
        <v>5</v>
      </c>
      <c r="K604" s="2">
        <f>I604+J604-1</f>
        <v>25</v>
      </c>
      <c r="L604" s="5" t="str">
        <f>IF(H604="neutral","—",IF(K604&gt;=5,IF(H604="warm","El Niño","La Niña"),IF(ROW()+J604-1=920,IF(H604="warm","El Niño (ongoing)","La Niña (ongoing)"),"—")))</f>
        <v>La Niña</v>
      </c>
      <c r="M604" s="2" t="inlineStr">
        <is>
          <t xml:space="preserve">1999/00</t>
        </is>
      </c>
    </row>
    <row r="605">
      <c r="A605" s="2" t="inlineStr">
        <is>
          <t xml:space="preserve">2000-04</t>
        </is>
      </c>
      <c r="B605" s="2">
        <v>2000</v>
      </c>
      <c r="C605" s="2">
        <v>4</v>
      </c>
      <c r="D605" s="2" t="inlineStr">
        <is>
          <t xml:space="preserve">MAM</t>
        </is>
      </c>
      <c r="E605" t="inlineStr">
        <is>
          <t xml:space="preserve">Mar 2000 – May 2000</t>
        </is>
      </c>
      <c r="F605" s="3">
        <v>-0.81</v>
      </c>
      <c r="G605" s="4">
        <f>ROUND(F605,1)</f>
        <v>-0.8</v>
      </c>
      <c r="H605" s="2" t="str">
        <f>IF(G605&gt;=0.5,"warm",IF(G605&lt;=-0.5,"cold","neutral"))</f>
        <v>cold</v>
      </c>
      <c r="I605" s="2">
        <f>IF(H605=H604,I604+1,1)</f>
        <v>22</v>
      </c>
      <c r="J605" s="2">
        <f>IF(H605=H606,J606+1,1)</f>
        <v>4</v>
      </c>
      <c r="K605" s="2">
        <f>I605+J605-1</f>
        <v>25</v>
      </c>
      <c r="L605" s="5" t="str">
        <f>IF(H605="neutral","—",IF(K605&gt;=5,IF(H605="warm","El Niño","La Niña"),IF(ROW()+J605-1=920,IF(H605="warm","El Niño (ongoing)","La Niña (ongoing)"),"—")))</f>
        <v>La Niña</v>
      </c>
      <c r="M605" s="2" t="inlineStr">
        <is>
          <t xml:space="preserve">1999/00</t>
        </is>
      </c>
    </row>
    <row r="606">
      <c r="A606" s="2" t="inlineStr">
        <is>
          <t xml:space="preserve">2000-05</t>
        </is>
      </c>
      <c r="B606" s="2">
        <v>2000</v>
      </c>
      <c r="C606" s="2">
        <v>5</v>
      </c>
      <c r="D606" s="2" t="inlineStr">
        <is>
          <t xml:space="preserve">AMJ</t>
        </is>
      </c>
      <c r="E606" t="inlineStr">
        <is>
          <t xml:space="preserve">Apr 2000 – Jun 2000</t>
        </is>
      </c>
      <c r="F606" s="3">
        <v>-0.67</v>
      </c>
      <c r="G606" s="4">
        <f>ROUND(F606,1)</f>
        <v>-0.7</v>
      </c>
      <c r="H606" s="2" t="str">
        <f>IF(G606&gt;=0.5,"warm",IF(G606&lt;=-0.5,"cold","neutral"))</f>
        <v>cold</v>
      </c>
      <c r="I606" s="2">
        <f>IF(H606=H605,I605+1,1)</f>
        <v>23</v>
      </c>
      <c r="J606" s="2">
        <f>IF(H606=H607,J607+1,1)</f>
        <v>3</v>
      </c>
      <c r="K606" s="2">
        <f>I606+J606-1</f>
        <v>25</v>
      </c>
      <c r="L606" s="5" t="str">
        <f>IF(H606="neutral","—",IF(K606&gt;=5,IF(H606="warm","El Niño","La Niña"),IF(ROW()+J606-1=920,IF(H606="warm","El Niño (ongoing)","La Niña (ongoing)"),"—")))</f>
        <v>La Niña</v>
      </c>
      <c r="M606" s="2" t="inlineStr">
        <is>
          <t xml:space="preserve">1999/00</t>
        </is>
      </c>
    </row>
    <row r="607">
      <c r="A607" s="2" t="inlineStr">
        <is>
          <t xml:space="preserve">2000-06</t>
        </is>
      </c>
      <c r="B607" s="2">
        <v>2000</v>
      </c>
      <c r="C607" s="2">
        <v>6</v>
      </c>
      <c r="D607" s="2" t="inlineStr">
        <is>
          <t xml:space="preserve">MJJ</t>
        </is>
      </c>
      <c r="E607" t="inlineStr">
        <is>
          <t xml:space="preserve">May 2000 – Jul 2000</t>
        </is>
      </c>
      <c r="F607" s="3">
        <v>-0.62</v>
      </c>
      <c r="G607" s="4">
        <f>ROUND(F607,1)</f>
        <v>-0.6</v>
      </c>
      <c r="H607" s="2" t="str">
        <f>IF(G607&gt;=0.5,"warm",IF(G607&lt;=-0.5,"cold","neutral"))</f>
        <v>cold</v>
      </c>
      <c r="I607" s="2">
        <f>IF(H607=H606,I606+1,1)</f>
        <v>24</v>
      </c>
      <c r="J607" s="2">
        <f>IF(H607=H608,J608+1,1)</f>
        <v>2</v>
      </c>
      <c r="K607" s="2">
        <f>I607+J607-1</f>
        <v>25</v>
      </c>
      <c r="L607" s="5" t="str">
        <f>IF(H607="neutral","—",IF(K607&gt;=5,IF(H607="warm","El Niño","La Niña"),IF(ROW()+J607-1=920,IF(H607="warm","El Niño (ongoing)","La Niña (ongoing)"),"—")))</f>
        <v>La Niña</v>
      </c>
      <c r="M607" s="2" t="inlineStr">
        <is>
          <t xml:space="preserve">1999/00</t>
        </is>
      </c>
    </row>
    <row r="608">
      <c r="A608" s="2" t="inlineStr">
        <is>
          <t xml:space="preserve">2000-07</t>
        </is>
      </c>
      <c r="B608" s="2">
        <v>2000</v>
      </c>
      <c r="C608" s="2">
        <v>7</v>
      </c>
      <c r="D608" s="2" t="inlineStr">
        <is>
          <t xml:space="preserve">JJA</t>
        </is>
      </c>
      <c r="E608" t="inlineStr">
        <is>
          <t xml:space="preserve">Jun 2000 – Aug 2000</t>
        </is>
      </c>
      <c r="F608" s="3">
        <v>-0.48</v>
      </c>
      <c r="G608" s="4">
        <f>ROUND(F608,1)</f>
        <v>-0.5</v>
      </c>
      <c r="H608" s="2" t="str">
        <f>IF(G608&gt;=0.5,"warm",IF(G608&lt;=-0.5,"cold","neutral"))</f>
        <v>cold</v>
      </c>
      <c r="I608" s="2">
        <f>IF(H608=H607,I607+1,1)</f>
        <v>25</v>
      </c>
      <c r="J608" s="2">
        <f>IF(H608=H609,J609+1,1)</f>
        <v>1</v>
      </c>
      <c r="K608" s="2">
        <f>I608+J608-1</f>
        <v>25</v>
      </c>
      <c r="L608" s="5" t="str">
        <f>IF(H608="neutral","—",IF(K608&gt;=5,IF(H608="warm","El Niño","La Niña"),IF(ROW()+J608-1=920,IF(H608="warm","El Niño (ongoing)","La Niña (ongoing)"),"—")))</f>
        <v>La Niña</v>
      </c>
      <c r="M608" s="2" t="inlineStr">
        <is>
          <t xml:space="preserve">2000/01</t>
        </is>
      </c>
    </row>
    <row r="609">
      <c r="A609" s="2" t="inlineStr">
        <is>
          <t xml:space="preserve">2000-08</t>
        </is>
      </c>
      <c r="B609" s="2">
        <v>2000</v>
      </c>
      <c r="C609" s="2">
        <v>8</v>
      </c>
      <c r="D609" s="2" t="inlineStr">
        <is>
          <t xml:space="preserve">JAS</t>
        </is>
      </c>
      <c r="E609" t="inlineStr">
        <is>
          <t xml:space="preserve">Jul 2000 – Sep 2000</t>
        </is>
      </c>
      <c r="F609" s="3">
        <v>-0.4</v>
      </c>
      <c r="G609" s="4">
        <f>ROUND(F609,1)</f>
        <v>-0.4</v>
      </c>
      <c r="H609" s="2" t="str">
        <f>IF(G609&gt;=0.5,"warm",IF(G609&lt;=-0.5,"cold","neutral"))</f>
        <v>neutral</v>
      </c>
      <c r="I609" s="2">
        <f>IF(H609=H608,I608+1,1)</f>
        <v>1</v>
      </c>
      <c r="J609" s="2">
        <f>IF(H609=H610,J610+1,1)</f>
        <v>2</v>
      </c>
      <c r="K609" s="2">
        <f>I609+J609-1</f>
        <v>2</v>
      </c>
      <c r="L609" s="2" t="str">
        <f>IF(H609="neutral","—",IF(K609&gt;=5,IF(H609="warm","El Niño","La Niña"),IF(ROW()+J609-1=920,IF(H609="warm","El Niño (ongoing)","La Niña (ongoing)"),"—")))</f>
        <v>—</v>
      </c>
      <c r="M609" s="2" t="inlineStr">
        <is>
          <t xml:space="preserve">2000/01</t>
        </is>
      </c>
    </row>
    <row r="610">
      <c r="A610" s="2" t="inlineStr">
        <is>
          <t xml:space="preserve">2000-09</t>
        </is>
      </c>
      <c r="B610" s="2">
        <v>2000</v>
      </c>
      <c r="C610" s="2">
        <v>9</v>
      </c>
      <c r="D610" s="2" t="inlineStr">
        <is>
          <t xml:space="preserve">ASO</t>
        </is>
      </c>
      <c r="E610" t="inlineStr">
        <is>
          <t xml:space="preserve">Aug 2000 – Oct 2000</t>
        </is>
      </c>
      <c r="F610" s="3">
        <v>-0.42</v>
      </c>
      <c r="G610" s="4">
        <f>ROUND(F610,1)</f>
        <v>-0.4</v>
      </c>
      <c r="H610" s="2" t="str">
        <f>IF(G610&gt;=0.5,"warm",IF(G610&lt;=-0.5,"cold","neutral"))</f>
        <v>neutral</v>
      </c>
      <c r="I610" s="2">
        <f>IF(H610=H609,I609+1,1)</f>
        <v>2</v>
      </c>
      <c r="J610" s="2">
        <f>IF(H610=H611,J611+1,1)</f>
        <v>1</v>
      </c>
      <c r="K610" s="2">
        <f>I610+J610-1</f>
        <v>2</v>
      </c>
      <c r="L610" s="2" t="str">
        <f>IF(H610="neutral","—",IF(K610&gt;=5,IF(H610="warm","El Niño","La Niña"),IF(ROW()+J610-1=920,IF(H610="warm","El Niño (ongoing)","La Niña (ongoing)"),"—")))</f>
        <v>—</v>
      </c>
      <c r="M610" s="2" t="inlineStr">
        <is>
          <t xml:space="preserve">2000/01</t>
        </is>
      </c>
    </row>
    <row r="611">
      <c r="A611" s="2" t="inlineStr">
        <is>
          <t xml:space="preserve">2000-10</t>
        </is>
      </c>
      <c r="B611" s="2">
        <v>2000</v>
      </c>
      <c r="C611" s="2">
        <v>10</v>
      </c>
      <c r="D611" s="2" t="inlineStr">
        <is>
          <t xml:space="preserve">SON</t>
        </is>
      </c>
      <c r="E611" t="inlineStr">
        <is>
          <t xml:space="preserve">Sep 2000 – Nov 2000</t>
        </is>
      </c>
      <c r="F611" s="3">
        <v>-0.54</v>
      </c>
      <c r="G611" s="4">
        <f>ROUND(F611,1)</f>
        <v>-0.5</v>
      </c>
      <c r="H611" s="2" t="str">
        <f>IF(G611&gt;=0.5,"warm",IF(G611&lt;=-0.5,"cold","neutral"))</f>
        <v>cold</v>
      </c>
      <c r="I611" s="2">
        <f>IF(H611=H610,I610+1,1)</f>
        <v>1</v>
      </c>
      <c r="J611" s="2">
        <f>IF(H611=H612,J612+1,1)</f>
        <v>5</v>
      </c>
      <c r="K611" s="2">
        <f>I611+J611-1</f>
        <v>5</v>
      </c>
      <c r="L611" s="5" t="str">
        <f>IF(H611="neutral","—",IF(K611&gt;=5,IF(H611="warm","El Niño","La Niña"),IF(ROW()+J611-1=920,IF(H611="warm","El Niño (ongoing)","La Niña (ongoing)"),"—")))</f>
        <v>La Niña</v>
      </c>
      <c r="M611" s="2" t="inlineStr">
        <is>
          <t xml:space="preserve">2000/01</t>
        </is>
      </c>
    </row>
    <row r="612">
      <c r="A612" s="2" t="inlineStr">
        <is>
          <t xml:space="preserve">2000-11</t>
        </is>
      </c>
      <c r="B612" s="2">
        <v>2000</v>
      </c>
      <c r="C612" s="2">
        <v>11</v>
      </c>
      <c r="D612" s="2" t="inlineStr">
        <is>
          <t xml:space="preserve">OND</t>
        </is>
      </c>
      <c r="E612" t="inlineStr">
        <is>
          <t xml:space="preserve">Oct 2000 – Dec 2000</t>
        </is>
      </c>
      <c r="F612" s="3">
        <v>-0.76</v>
      </c>
      <c r="G612" s="4">
        <f>ROUND(F612,1)</f>
        <v>-0.8</v>
      </c>
      <c r="H612" s="2" t="str">
        <f>IF(G612&gt;=0.5,"warm",IF(G612&lt;=-0.5,"cold","neutral"))</f>
        <v>cold</v>
      </c>
      <c r="I612" s="2">
        <f>IF(H612=H611,I611+1,1)</f>
        <v>2</v>
      </c>
      <c r="J612" s="2">
        <f>IF(H612=H613,J613+1,1)</f>
        <v>4</v>
      </c>
      <c r="K612" s="2">
        <f>I612+J612-1</f>
        <v>5</v>
      </c>
      <c r="L612" s="5" t="str">
        <f>IF(H612="neutral","—",IF(K612&gt;=5,IF(H612="warm","El Niño","La Niña"),IF(ROW()+J612-1=920,IF(H612="warm","El Niño (ongoing)","La Niña (ongoing)"),"—")))</f>
        <v>La Niña</v>
      </c>
      <c r="M612" s="2" t="inlineStr">
        <is>
          <t xml:space="preserve">2000/01</t>
        </is>
      </c>
    </row>
    <row r="613">
      <c r="A613" s="2" t="inlineStr">
        <is>
          <t xml:space="preserve">2000-12</t>
        </is>
      </c>
      <c r="B613" s="2">
        <v>2000</v>
      </c>
      <c r="C613" s="2">
        <v>12</v>
      </c>
      <c r="D613" s="2" t="inlineStr">
        <is>
          <t xml:space="preserve">NDJ</t>
        </is>
      </c>
      <c r="E613" t="inlineStr">
        <is>
          <t xml:space="preserve">Nov 2000 – Jan 2001</t>
        </is>
      </c>
      <c r="F613" s="3">
        <v>-0.78</v>
      </c>
      <c r="G613" s="4">
        <f>ROUND(F613,1)</f>
        <v>-0.8</v>
      </c>
      <c r="H613" s="2" t="str">
        <f>IF(G613&gt;=0.5,"warm",IF(G613&lt;=-0.5,"cold","neutral"))</f>
        <v>cold</v>
      </c>
      <c r="I613" s="2">
        <f>IF(H613=H612,I612+1,1)</f>
        <v>3</v>
      </c>
      <c r="J613" s="2">
        <f>IF(H613=H614,J614+1,1)</f>
        <v>3</v>
      </c>
      <c r="K613" s="2">
        <f>I613+J613-1</f>
        <v>5</v>
      </c>
      <c r="L613" s="5" t="str">
        <f>IF(H613="neutral","—",IF(K613&gt;=5,IF(H613="warm","El Niño","La Niña"),IF(ROW()+J613-1=920,IF(H613="warm","El Niño (ongoing)","La Niña (ongoing)"),"—")))</f>
        <v>La Niña</v>
      </c>
      <c r="M613" s="2" t="inlineStr">
        <is>
          <t xml:space="preserve">2000/01</t>
        </is>
      </c>
    </row>
    <row r="614">
      <c r="A614" s="2" t="inlineStr">
        <is>
          <t xml:space="preserve">2001-01</t>
        </is>
      </c>
      <c r="B614" s="2">
        <v>2001</v>
      </c>
      <c r="C614" s="2">
        <v>1</v>
      </c>
      <c r="D614" s="2" t="inlineStr">
        <is>
          <t xml:space="preserve">DJF</t>
        </is>
      </c>
      <c r="E614" t="inlineStr">
        <is>
          <t xml:space="preserve">Dec 2000 – Feb 2001</t>
        </is>
      </c>
      <c r="F614" s="3">
        <v>-0.76</v>
      </c>
      <c r="G614" s="4">
        <f>ROUND(F614,1)</f>
        <v>-0.8</v>
      </c>
      <c r="H614" s="2" t="str">
        <f>IF(G614&gt;=0.5,"warm",IF(G614&lt;=-0.5,"cold","neutral"))</f>
        <v>cold</v>
      </c>
      <c r="I614" s="2">
        <f>IF(H614=H613,I613+1,1)</f>
        <v>4</v>
      </c>
      <c r="J614" s="2">
        <f>IF(H614=H615,J615+1,1)</f>
        <v>2</v>
      </c>
      <c r="K614" s="2">
        <f>I614+J614-1</f>
        <v>5</v>
      </c>
      <c r="L614" s="5" t="str">
        <f>IF(H614="neutral","—",IF(K614&gt;=5,IF(H614="warm","El Niño","La Niña"),IF(ROW()+J614-1=920,IF(H614="warm","El Niño (ongoing)","La Niña (ongoing)"),"—")))</f>
        <v>La Niña</v>
      </c>
      <c r="M614" s="2" t="inlineStr">
        <is>
          <t xml:space="preserve">2000/01</t>
        </is>
      </c>
    </row>
    <row r="615">
      <c r="A615" s="2" t="inlineStr">
        <is>
          <t xml:space="preserve">2001-02</t>
        </is>
      </c>
      <c r="B615" s="2">
        <v>2001</v>
      </c>
      <c r="C615" s="2">
        <v>2</v>
      </c>
      <c r="D615" s="2" t="inlineStr">
        <is>
          <t xml:space="preserve">JFM</t>
        </is>
      </c>
      <c r="E615" t="inlineStr">
        <is>
          <t xml:space="preserve">Jan 2001 – Mar 2001</t>
        </is>
      </c>
      <c r="F615" s="3">
        <v>-0.54</v>
      </c>
      <c r="G615" s="4">
        <f>ROUND(F615,1)</f>
        <v>-0.5</v>
      </c>
      <c r="H615" s="2" t="str">
        <f>IF(G615&gt;=0.5,"warm",IF(G615&lt;=-0.5,"cold","neutral"))</f>
        <v>cold</v>
      </c>
      <c r="I615" s="2">
        <f>IF(H615=H614,I614+1,1)</f>
        <v>5</v>
      </c>
      <c r="J615" s="2">
        <f>IF(H615=H616,J616+1,1)</f>
        <v>1</v>
      </c>
      <c r="K615" s="2">
        <f>I615+J615-1</f>
        <v>5</v>
      </c>
      <c r="L615" s="5" t="str">
        <f>IF(H615="neutral","—",IF(K615&gt;=5,IF(H615="warm","El Niño","La Niña"),IF(ROW()+J615-1=920,IF(H615="warm","El Niño (ongoing)","La Niña (ongoing)"),"—")))</f>
        <v>La Niña</v>
      </c>
      <c r="M615" s="2" t="inlineStr">
        <is>
          <t xml:space="preserve">2000/01</t>
        </is>
      </c>
    </row>
    <row r="616">
      <c r="A616" s="2" t="inlineStr">
        <is>
          <t xml:space="preserve">2001-03</t>
        </is>
      </c>
      <c r="B616" s="2">
        <v>2001</v>
      </c>
      <c r="C616" s="2">
        <v>3</v>
      </c>
      <c r="D616" s="2" t="inlineStr">
        <is>
          <t xml:space="preserve">FMA</t>
        </is>
      </c>
      <c r="E616" t="inlineStr">
        <is>
          <t xml:space="preserve">Feb 2001 – Apr 2001</t>
        </is>
      </c>
      <c r="F616" s="3">
        <v>-0.43</v>
      </c>
      <c r="G616" s="4">
        <f>ROUND(F616,1)</f>
        <v>-0.4</v>
      </c>
      <c r="H616" s="2" t="str">
        <f>IF(G616&gt;=0.5,"warm",IF(G616&lt;=-0.5,"cold","neutral"))</f>
        <v>neutral</v>
      </c>
      <c r="I616" s="2">
        <f>IF(H616=H615,I615+1,1)</f>
        <v>1</v>
      </c>
      <c r="J616" s="2">
        <f>IF(H616=H617,J617+1,1)</f>
        <v>15</v>
      </c>
      <c r="K616" s="2">
        <f>I616+J616-1</f>
        <v>15</v>
      </c>
      <c r="L616" s="2" t="str">
        <f>IF(H616="neutral","—",IF(K616&gt;=5,IF(H616="warm","El Niño","La Niña"),IF(ROW()+J616-1=920,IF(H616="warm","El Niño (ongoing)","La Niña (ongoing)"),"—")))</f>
        <v>—</v>
      </c>
      <c r="M616" s="2" t="inlineStr">
        <is>
          <t xml:space="preserve">2000/01</t>
        </is>
      </c>
    </row>
    <row r="617">
      <c r="A617" s="2" t="inlineStr">
        <is>
          <t xml:space="preserve">2001-04</t>
        </is>
      </c>
      <c r="B617" s="2">
        <v>2001</v>
      </c>
      <c r="C617" s="2">
        <v>4</v>
      </c>
      <c r="D617" s="2" t="inlineStr">
        <is>
          <t xml:space="preserve">MAM</t>
        </is>
      </c>
      <c r="E617" t="inlineStr">
        <is>
          <t xml:space="preserve">Mar 2001 – May 2001</t>
        </is>
      </c>
      <c r="F617" s="3">
        <v>-0.29</v>
      </c>
      <c r="G617" s="4">
        <f>ROUND(F617,1)</f>
        <v>-0.3</v>
      </c>
      <c r="H617" s="2" t="str">
        <f>IF(G617&gt;=0.5,"warm",IF(G617&lt;=-0.5,"cold","neutral"))</f>
        <v>neutral</v>
      </c>
      <c r="I617" s="2">
        <f>IF(H617=H616,I616+1,1)</f>
        <v>2</v>
      </c>
      <c r="J617" s="2">
        <f>IF(H617=H618,J618+1,1)</f>
        <v>14</v>
      </c>
      <c r="K617" s="2">
        <f>I617+J617-1</f>
        <v>15</v>
      </c>
      <c r="L617" s="2" t="str">
        <f>IF(H617="neutral","—",IF(K617&gt;=5,IF(H617="warm","El Niño","La Niña"),IF(ROW()+J617-1=920,IF(H617="warm","El Niño (ongoing)","La Niña (ongoing)"),"—")))</f>
        <v>—</v>
      </c>
      <c r="M617" s="2" t="inlineStr">
        <is>
          <t xml:space="preserve">2000/01</t>
        </is>
      </c>
    </row>
    <row r="618">
      <c r="A618" s="2" t="inlineStr">
        <is>
          <t xml:space="preserve">2001-05</t>
        </is>
      </c>
      <c r="B618" s="2">
        <v>2001</v>
      </c>
      <c r="C618" s="2">
        <v>5</v>
      </c>
      <c r="D618" s="2" t="inlineStr">
        <is>
          <t xml:space="preserve">AMJ</t>
        </is>
      </c>
      <c r="E618" t="inlineStr">
        <is>
          <t xml:space="preserve">Apr 2001 – Jun 2001</t>
        </is>
      </c>
      <c r="F618" s="3">
        <v>-0.19</v>
      </c>
      <c r="G618" s="4">
        <f>ROUND(F618,1)</f>
        <v>-0.2</v>
      </c>
      <c r="H618" s="2" t="str">
        <f>IF(G618&gt;=0.5,"warm",IF(G618&lt;=-0.5,"cold","neutral"))</f>
        <v>neutral</v>
      </c>
      <c r="I618" s="2">
        <f>IF(H618=H617,I617+1,1)</f>
        <v>3</v>
      </c>
      <c r="J618" s="2">
        <f>IF(H618=H619,J619+1,1)</f>
        <v>13</v>
      </c>
      <c r="K618" s="2">
        <f>I618+J618-1</f>
        <v>15</v>
      </c>
      <c r="L618" s="2" t="str">
        <f>IF(H618="neutral","—",IF(K618&gt;=5,IF(H618="warm","El Niño","La Niña"),IF(ROW()+J618-1=920,IF(H618="warm","El Niño (ongoing)","La Niña (ongoing)"),"—")))</f>
        <v>—</v>
      </c>
      <c r="M618" s="2" t="inlineStr">
        <is>
          <t xml:space="preserve">2000/01</t>
        </is>
      </c>
    </row>
    <row r="619">
      <c r="A619" s="2" t="inlineStr">
        <is>
          <t xml:space="preserve">2001-06</t>
        </is>
      </c>
      <c r="B619" s="2">
        <v>2001</v>
      </c>
      <c r="C619" s="2">
        <v>6</v>
      </c>
      <c r="D619" s="2" t="inlineStr">
        <is>
          <t xml:space="preserve">MJJ</t>
        </is>
      </c>
      <c r="E619" t="inlineStr">
        <is>
          <t xml:space="preserve">May 2001 – Jul 2001</t>
        </is>
      </c>
      <c r="F619" s="3">
        <v>-0.08</v>
      </c>
      <c r="G619" s="4">
        <f>ROUND(F619,1)</f>
        <v>-0.1</v>
      </c>
      <c r="H619" s="2" t="str">
        <f>IF(G619&gt;=0.5,"warm",IF(G619&lt;=-0.5,"cold","neutral"))</f>
        <v>neutral</v>
      </c>
      <c r="I619" s="2">
        <f>IF(H619=H618,I618+1,1)</f>
        <v>4</v>
      </c>
      <c r="J619" s="2">
        <f>IF(H619=H620,J620+1,1)</f>
        <v>12</v>
      </c>
      <c r="K619" s="2">
        <f>I619+J619-1</f>
        <v>15</v>
      </c>
      <c r="L619" s="2" t="str">
        <f>IF(H619="neutral","—",IF(K619&gt;=5,IF(H619="warm","El Niño","La Niña"),IF(ROW()+J619-1=920,IF(H619="warm","El Niño (ongoing)","La Niña (ongoing)"),"—")))</f>
        <v>—</v>
      </c>
      <c r="M619" s="2" t="inlineStr">
        <is>
          <t xml:space="preserve">2000/01</t>
        </is>
      </c>
    </row>
    <row r="620">
      <c r="A620" s="2" t="inlineStr">
        <is>
          <t xml:space="preserve">2001-07</t>
        </is>
      </c>
      <c r="B620" s="2">
        <v>2001</v>
      </c>
      <c r="C620" s="2">
        <v>7</v>
      </c>
      <c r="D620" s="2" t="inlineStr">
        <is>
          <t xml:space="preserve">JJA</t>
        </is>
      </c>
      <c r="E620" t="inlineStr">
        <is>
          <t xml:space="preserve">Jun 2001 – Aug 2001</t>
        </is>
      </c>
      <c r="F620" s="3">
        <v>-0.05</v>
      </c>
      <c r="G620" s="4">
        <f>ROUND(F620,1)</f>
        <v>-0.1</v>
      </c>
      <c r="H620" s="2" t="str">
        <f>IF(G620&gt;=0.5,"warm",IF(G620&lt;=-0.5,"cold","neutral"))</f>
        <v>neutral</v>
      </c>
      <c r="I620" s="2">
        <f>IF(H620=H619,I619+1,1)</f>
        <v>5</v>
      </c>
      <c r="J620" s="2">
        <f>IF(H620=H621,J621+1,1)</f>
        <v>11</v>
      </c>
      <c r="K620" s="2">
        <f>I620+J620-1</f>
        <v>15</v>
      </c>
      <c r="L620" s="2" t="str">
        <f>IF(H620="neutral","—",IF(K620&gt;=5,IF(H620="warm","El Niño","La Niña"),IF(ROW()+J620-1=920,IF(H620="warm","El Niño (ongoing)","La Niña (ongoing)"),"—")))</f>
        <v>—</v>
      </c>
      <c r="M620" s="2" t="inlineStr">
        <is>
          <t xml:space="preserve">2001/02</t>
        </is>
      </c>
    </row>
    <row r="621">
      <c r="A621" s="2" t="inlineStr">
        <is>
          <t xml:space="preserve">2001-08</t>
        </is>
      </c>
      <c r="B621" s="2">
        <v>2001</v>
      </c>
      <c r="C621" s="2">
        <v>8</v>
      </c>
      <c r="D621" s="2" t="inlineStr">
        <is>
          <t xml:space="preserve">JAS</t>
        </is>
      </c>
      <c r="E621" t="inlineStr">
        <is>
          <t xml:space="preserve">Jul 2001 – Sep 2001</t>
        </is>
      </c>
      <c r="F621" s="3">
        <v>-0.13</v>
      </c>
      <c r="G621" s="4">
        <f>ROUND(F621,1)</f>
        <v>-0.1</v>
      </c>
      <c r="H621" s="2" t="str">
        <f>IF(G621&gt;=0.5,"warm",IF(G621&lt;=-0.5,"cold","neutral"))</f>
        <v>neutral</v>
      </c>
      <c r="I621" s="2">
        <f>IF(H621=H620,I620+1,1)</f>
        <v>6</v>
      </c>
      <c r="J621" s="2">
        <f>IF(H621=H622,J622+1,1)</f>
        <v>10</v>
      </c>
      <c r="K621" s="2">
        <f>I621+J621-1</f>
        <v>15</v>
      </c>
      <c r="L621" s="2" t="str">
        <f>IF(H621="neutral","—",IF(K621&gt;=5,IF(H621="warm","El Niño","La Niña"),IF(ROW()+J621-1=920,IF(H621="warm","El Niño (ongoing)","La Niña (ongoing)"),"—")))</f>
        <v>—</v>
      </c>
      <c r="M621" s="2" t="inlineStr">
        <is>
          <t xml:space="preserve">2001/02</t>
        </is>
      </c>
    </row>
    <row r="622">
      <c r="A622" s="2" t="inlineStr">
        <is>
          <t xml:space="preserve">2001-09</t>
        </is>
      </c>
      <c r="B622" s="2">
        <v>2001</v>
      </c>
      <c r="C622" s="2">
        <v>9</v>
      </c>
      <c r="D622" s="2" t="inlineStr">
        <is>
          <t xml:space="preserve">ASO</t>
        </is>
      </c>
      <c r="E622" t="inlineStr">
        <is>
          <t xml:space="preserve">Aug 2001 – Oct 2001</t>
        </is>
      </c>
      <c r="F622" s="3">
        <v>-0.15</v>
      </c>
      <c r="G622" s="4">
        <f>ROUND(F622,1)</f>
        <v>-0.2</v>
      </c>
      <c r="H622" s="2" t="str">
        <f>IF(G622&gt;=0.5,"warm",IF(G622&lt;=-0.5,"cold","neutral"))</f>
        <v>neutral</v>
      </c>
      <c r="I622" s="2">
        <f>IF(H622=H621,I621+1,1)</f>
        <v>7</v>
      </c>
      <c r="J622" s="2">
        <f>IF(H622=H623,J623+1,1)</f>
        <v>9</v>
      </c>
      <c r="K622" s="2">
        <f>I622+J622-1</f>
        <v>15</v>
      </c>
      <c r="L622" s="2" t="str">
        <f>IF(H622="neutral","—",IF(K622&gt;=5,IF(H622="warm","El Niño","La Niña"),IF(ROW()+J622-1=920,IF(H622="warm","El Niño (ongoing)","La Niña (ongoing)"),"—")))</f>
        <v>—</v>
      </c>
      <c r="M622" s="2" t="inlineStr">
        <is>
          <t xml:space="preserve">2001/02</t>
        </is>
      </c>
    </row>
    <row r="623">
      <c r="A623" s="2" t="inlineStr">
        <is>
          <t xml:space="preserve">2001-10</t>
        </is>
      </c>
      <c r="B623" s="2">
        <v>2001</v>
      </c>
      <c r="C623" s="2">
        <v>10</v>
      </c>
      <c r="D623" s="2" t="inlineStr">
        <is>
          <t xml:space="preserve">SON</t>
        </is>
      </c>
      <c r="E623" t="inlineStr">
        <is>
          <t xml:space="preserve">Sep 2001 – Nov 2001</t>
        </is>
      </c>
      <c r="F623" s="3">
        <v>-0.26</v>
      </c>
      <c r="G623" s="4">
        <f>ROUND(F623,1)</f>
        <v>-0.3</v>
      </c>
      <c r="H623" s="2" t="str">
        <f>IF(G623&gt;=0.5,"warm",IF(G623&lt;=-0.5,"cold","neutral"))</f>
        <v>neutral</v>
      </c>
      <c r="I623" s="2">
        <f>IF(H623=H622,I622+1,1)</f>
        <v>8</v>
      </c>
      <c r="J623" s="2">
        <f>IF(H623=H624,J624+1,1)</f>
        <v>8</v>
      </c>
      <c r="K623" s="2">
        <f>I623+J623-1</f>
        <v>15</v>
      </c>
      <c r="L623" s="2" t="str">
        <f>IF(H623="neutral","—",IF(K623&gt;=5,IF(H623="warm","El Niño","La Niña"),IF(ROW()+J623-1=920,IF(H623="warm","El Niño (ongoing)","La Niña (ongoing)"),"—")))</f>
        <v>—</v>
      </c>
      <c r="M623" s="2" t="inlineStr">
        <is>
          <t xml:space="preserve">2001/02</t>
        </is>
      </c>
    </row>
    <row r="624">
      <c r="A624" s="2" t="inlineStr">
        <is>
          <t xml:space="preserve">2001-11</t>
        </is>
      </c>
      <c r="B624" s="2">
        <v>2001</v>
      </c>
      <c r="C624" s="2">
        <v>11</v>
      </c>
      <c r="D624" s="2" t="inlineStr">
        <is>
          <t xml:space="preserve">OND</t>
        </is>
      </c>
      <c r="E624" t="inlineStr">
        <is>
          <t xml:space="preserve">Oct 2001 – Dec 2001</t>
        </is>
      </c>
      <c r="F624" s="3">
        <v>-0.33</v>
      </c>
      <c r="G624" s="4">
        <f>ROUND(F624,1)</f>
        <v>-0.3</v>
      </c>
      <c r="H624" s="2" t="str">
        <f>IF(G624&gt;=0.5,"warm",IF(G624&lt;=-0.5,"cold","neutral"))</f>
        <v>neutral</v>
      </c>
      <c r="I624" s="2">
        <f>IF(H624=H623,I623+1,1)</f>
        <v>9</v>
      </c>
      <c r="J624" s="2">
        <f>IF(H624=H625,J625+1,1)</f>
        <v>7</v>
      </c>
      <c r="K624" s="2">
        <f>I624+J624-1</f>
        <v>15</v>
      </c>
      <c r="L624" s="2" t="str">
        <f>IF(H624="neutral","—",IF(K624&gt;=5,IF(H624="warm","El Niño","La Niña"),IF(ROW()+J624-1=920,IF(H624="warm","El Niño (ongoing)","La Niña (ongoing)"),"—")))</f>
        <v>—</v>
      </c>
      <c r="M624" s="2" t="inlineStr">
        <is>
          <t xml:space="preserve">2001/02</t>
        </is>
      </c>
    </row>
    <row r="625">
      <c r="A625" s="2" t="inlineStr">
        <is>
          <t xml:space="preserve">2001-12</t>
        </is>
      </c>
      <c r="B625" s="2">
        <v>2001</v>
      </c>
      <c r="C625" s="2">
        <v>12</v>
      </c>
      <c r="D625" s="2" t="inlineStr">
        <is>
          <t xml:space="preserve">NDJ</t>
        </is>
      </c>
      <c r="E625" t="inlineStr">
        <is>
          <t xml:space="preserve">Nov 2001 – Jan 2002</t>
        </is>
      </c>
      <c r="F625" s="3">
        <v>-0.32</v>
      </c>
      <c r="G625" s="4">
        <f>ROUND(F625,1)</f>
        <v>-0.3</v>
      </c>
      <c r="H625" s="2" t="str">
        <f>IF(G625&gt;=0.5,"warm",IF(G625&lt;=-0.5,"cold","neutral"))</f>
        <v>neutral</v>
      </c>
      <c r="I625" s="2">
        <f>IF(H625=H624,I624+1,1)</f>
        <v>10</v>
      </c>
      <c r="J625" s="2">
        <f>IF(H625=H626,J626+1,1)</f>
        <v>6</v>
      </c>
      <c r="K625" s="2">
        <f>I625+J625-1</f>
        <v>15</v>
      </c>
      <c r="L625" s="2" t="str">
        <f>IF(H625="neutral","—",IF(K625&gt;=5,IF(H625="warm","El Niño","La Niña"),IF(ROW()+J625-1=920,IF(H625="warm","El Niño (ongoing)","La Niña (ongoing)"),"—")))</f>
        <v>—</v>
      </c>
      <c r="M625" s="2" t="inlineStr">
        <is>
          <t xml:space="preserve">2001/02</t>
        </is>
      </c>
    </row>
    <row r="626">
      <c r="A626" s="2" t="inlineStr">
        <is>
          <t xml:space="preserve">2002-01</t>
        </is>
      </c>
      <c r="B626" s="2">
        <v>2002</v>
      </c>
      <c r="C626" s="2">
        <v>1</v>
      </c>
      <c r="D626" s="2" t="inlineStr">
        <is>
          <t xml:space="preserve">DJF</t>
        </is>
      </c>
      <c r="E626" t="inlineStr">
        <is>
          <t xml:space="preserve">Dec 2001 – Feb 2002</t>
        </is>
      </c>
      <c r="F626" s="3">
        <v>-0.15</v>
      </c>
      <c r="G626" s="4">
        <f>ROUND(F626,1)</f>
        <v>-0.2</v>
      </c>
      <c r="H626" s="2" t="str">
        <f>IF(G626&gt;=0.5,"warm",IF(G626&lt;=-0.5,"cold","neutral"))</f>
        <v>neutral</v>
      </c>
      <c r="I626" s="2">
        <f>IF(H626=H625,I625+1,1)</f>
        <v>11</v>
      </c>
      <c r="J626" s="2">
        <f>IF(H626=H627,J627+1,1)</f>
        <v>5</v>
      </c>
      <c r="K626" s="2">
        <f>I626+J626-1</f>
        <v>15</v>
      </c>
      <c r="L626" s="2" t="str">
        <f>IF(H626="neutral","—",IF(K626&gt;=5,IF(H626="warm","El Niño","La Niña"),IF(ROW()+J626-1=920,IF(H626="warm","El Niño (ongoing)","La Niña (ongoing)"),"—")))</f>
        <v>—</v>
      </c>
      <c r="M626" s="2" t="inlineStr">
        <is>
          <t xml:space="preserve">2001/02</t>
        </is>
      </c>
    </row>
    <row r="627">
      <c r="A627" s="2" t="inlineStr">
        <is>
          <t xml:space="preserve">2002-02</t>
        </is>
      </c>
      <c r="B627" s="2">
        <v>2002</v>
      </c>
      <c r="C627" s="2">
        <v>2</v>
      </c>
      <c r="D627" s="2" t="inlineStr">
        <is>
          <t xml:space="preserve">JFM</t>
        </is>
      </c>
      <c r="E627" t="inlineStr">
        <is>
          <t xml:space="preserve">Jan 2002 – Mar 2002</t>
        </is>
      </c>
      <c r="F627" s="3">
        <v>0.07</v>
      </c>
      <c r="G627" s="4">
        <f>ROUND(F627,1)</f>
        <v>0.1</v>
      </c>
      <c r="H627" s="2" t="str">
        <f>IF(G627&gt;=0.5,"warm",IF(G627&lt;=-0.5,"cold","neutral"))</f>
        <v>neutral</v>
      </c>
      <c r="I627" s="2">
        <f>IF(H627=H626,I626+1,1)</f>
        <v>12</v>
      </c>
      <c r="J627" s="2">
        <f>IF(H627=H628,J628+1,1)</f>
        <v>4</v>
      </c>
      <c r="K627" s="2">
        <f>I627+J627-1</f>
        <v>15</v>
      </c>
      <c r="L627" s="2" t="str">
        <f>IF(H627="neutral","—",IF(K627&gt;=5,IF(H627="warm","El Niño","La Niña"),IF(ROW()+J627-1=920,IF(H627="warm","El Niño (ongoing)","La Niña (ongoing)"),"—")))</f>
        <v>—</v>
      </c>
      <c r="M627" s="2" t="inlineStr">
        <is>
          <t xml:space="preserve">2001/02</t>
        </is>
      </c>
    </row>
    <row r="628">
      <c r="A628" s="2" t="inlineStr">
        <is>
          <t xml:space="preserve">2002-03</t>
        </is>
      </c>
      <c r="B628" s="2">
        <v>2002</v>
      </c>
      <c r="C628" s="2">
        <v>3</v>
      </c>
      <c r="D628" s="2" t="inlineStr">
        <is>
          <t xml:space="preserve">FMA</t>
        </is>
      </c>
      <c r="E628" t="inlineStr">
        <is>
          <t xml:space="preserve">Feb 2002 – Apr 2002</t>
        </is>
      </c>
      <c r="F628" s="3">
        <v>0.11</v>
      </c>
      <c r="G628" s="4">
        <f>ROUND(F628,1)</f>
        <v>0.1</v>
      </c>
      <c r="H628" s="2" t="str">
        <f>IF(G628&gt;=0.5,"warm",IF(G628&lt;=-0.5,"cold","neutral"))</f>
        <v>neutral</v>
      </c>
      <c r="I628" s="2">
        <f>IF(H628=H627,I627+1,1)</f>
        <v>13</v>
      </c>
      <c r="J628" s="2">
        <f>IF(H628=H629,J629+1,1)</f>
        <v>3</v>
      </c>
      <c r="K628" s="2">
        <f>I628+J628-1</f>
        <v>15</v>
      </c>
      <c r="L628" s="2" t="str">
        <f>IF(H628="neutral","—",IF(K628&gt;=5,IF(H628="warm","El Niño","La Niña"),IF(ROW()+J628-1=920,IF(H628="warm","El Niño (ongoing)","La Niña (ongoing)"),"—")))</f>
        <v>—</v>
      </c>
      <c r="M628" s="2" t="inlineStr">
        <is>
          <t xml:space="preserve">2001/02</t>
        </is>
      </c>
    </row>
    <row r="629">
      <c r="A629" s="2" t="inlineStr">
        <is>
          <t xml:space="preserve">2002-04</t>
        </is>
      </c>
      <c r="B629" s="2">
        <v>2002</v>
      </c>
      <c r="C629" s="2">
        <v>4</v>
      </c>
      <c r="D629" s="2" t="inlineStr">
        <is>
          <t xml:space="preserve">MAM</t>
        </is>
      </c>
      <c r="E629" t="inlineStr">
        <is>
          <t xml:space="preserve">Mar 2002 – May 2002</t>
        </is>
      </c>
      <c r="F629" s="3">
        <v>0.15</v>
      </c>
      <c r="G629" s="4">
        <f>ROUND(F629,1)</f>
        <v>0.2</v>
      </c>
      <c r="H629" s="2" t="str">
        <f>IF(G629&gt;=0.5,"warm",IF(G629&lt;=-0.5,"cold","neutral"))</f>
        <v>neutral</v>
      </c>
      <c r="I629" s="2">
        <f>IF(H629=H628,I628+1,1)</f>
        <v>14</v>
      </c>
      <c r="J629" s="2">
        <f>IF(H629=H630,J630+1,1)</f>
        <v>2</v>
      </c>
      <c r="K629" s="2">
        <f>I629+J629-1</f>
        <v>15</v>
      </c>
      <c r="L629" s="2" t="str">
        <f>IF(H629="neutral","—",IF(K629&gt;=5,IF(H629="warm","El Niño","La Niña"),IF(ROW()+J629-1=920,IF(H629="warm","El Niño (ongoing)","La Niña (ongoing)"),"—")))</f>
        <v>—</v>
      </c>
      <c r="M629" s="2" t="inlineStr">
        <is>
          <t xml:space="preserve">2001/02</t>
        </is>
      </c>
    </row>
    <row r="630">
      <c r="A630" s="2" t="inlineStr">
        <is>
          <t xml:space="preserve">2002-05</t>
        </is>
      </c>
      <c r="B630" s="2">
        <v>2002</v>
      </c>
      <c r="C630" s="2">
        <v>5</v>
      </c>
      <c r="D630" s="2" t="inlineStr">
        <is>
          <t xml:space="preserve">AMJ</t>
        </is>
      </c>
      <c r="E630" t="inlineStr">
        <is>
          <t xml:space="preserve">Apr 2002 – Jun 2002</t>
        </is>
      </c>
      <c r="F630" s="3">
        <v>0.3</v>
      </c>
      <c r="G630" s="4">
        <f>ROUND(F630,1)</f>
        <v>0.3</v>
      </c>
      <c r="H630" s="2" t="str">
        <f>IF(G630&gt;=0.5,"warm",IF(G630&lt;=-0.5,"cold","neutral"))</f>
        <v>neutral</v>
      </c>
      <c r="I630" s="2">
        <f>IF(H630=H629,I629+1,1)</f>
        <v>15</v>
      </c>
      <c r="J630" s="2">
        <f>IF(H630=H631,J631+1,1)</f>
        <v>1</v>
      </c>
      <c r="K630" s="2">
        <f>I630+J630-1</f>
        <v>15</v>
      </c>
      <c r="L630" s="2" t="str">
        <f>IF(H630="neutral","—",IF(K630&gt;=5,IF(H630="warm","El Niño","La Niña"),IF(ROW()+J630-1=920,IF(H630="warm","El Niño (ongoing)","La Niña (ongoing)"),"—")))</f>
        <v>—</v>
      </c>
      <c r="M630" s="2" t="inlineStr">
        <is>
          <t xml:space="preserve">2001/02</t>
        </is>
      </c>
    </row>
    <row r="631">
      <c r="A631" s="2" t="inlineStr">
        <is>
          <t xml:space="preserve">2002-06</t>
        </is>
      </c>
      <c r="B631" s="2">
        <v>2002</v>
      </c>
      <c r="C631" s="2">
        <v>6</v>
      </c>
      <c r="D631" s="2" t="inlineStr">
        <is>
          <t xml:space="preserve">MJJ</t>
        </is>
      </c>
      <c r="E631" t="inlineStr">
        <is>
          <t xml:space="preserve">May 2002 – Jul 2002</t>
        </is>
      </c>
      <c r="F631" s="3">
        <v>0.45</v>
      </c>
      <c r="G631" s="4">
        <f>ROUND(F631,1)</f>
        <v>0.5</v>
      </c>
      <c r="H631" s="2" t="str">
        <f>IF(G631&gt;=0.5,"warm",IF(G631&lt;=-0.5,"cold","neutral"))</f>
        <v>warm</v>
      </c>
      <c r="I631" s="2">
        <f>IF(H631=H630,I630+1,1)</f>
        <v>1</v>
      </c>
      <c r="J631" s="2">
        <f>IF(H631=H632,J632+1,1)</f>
        <v>9</v>
      </c>
      <c r="K631" s="2">
        <f>I631+J631-1</f>
        <v>9</v>
      </c>
      <c r="L631" s="6" t="str">
        <f>IF(H631="neutral","—",IF(K631&gt;=5,IF(H631="warm","El Niño","La Niña"),IF(ROW()+J631-1=920,IF(H631="warm","El Niño (ongoing)","La Niña (ongoing)"),"—")))</f>
        <v>El Niño</v>
      </c>
      <c r="M631" s="2" t="inlineStr">
        <is>
          <t xml:space="preserve">2001/02</t>
        </is>
      </c>
    </row>
    <row r="632">
      <c r="A632" s="2" t="inlineStr">
        <is>
          <t xml:space="preserve">2002-07</t>
        </is>
      </c>
      <c r="B632" s="2">
        <v>2002</v>
      </c>
      <c r="C632" s="2">
        <v>7</v>
      </c>
      <c r="D632" s="2" t="inlineStr">
        <is>
          <t xml:space="preserve">JJA</t>
        </is>
      </c>
      <c r="E632" t="inlineStr">
        <is>
          <t xml:space="preserve">Jun 2002 – Aug 2002</t>
        </is>
      </c>
      <c r="F632" s="3">
        <v>0.57</v>
      </c>
      <c r="G632" s="4">
        <f>ROUND(F632,1)</f>
        <v>0.6</v>
      </c>
      <c r="H632" s="2" t="str">
        <f>IF(G632&gt;=0.5,"warm",IF(G632&lt;=-0.5,"cold","neutral"))</f>
        <v>warm</v>
      </c>
      <c r="I632" s="2">
        <f>IF(H632=H631,I631+1,1)</f>
        <v>2</v>
      </c>
      <c r="J632" s="2">
        <f>IF(H632=H633,J633+1,1)</f>
        <v>8</v>
      </c>
      <c r="K632" s="2">
        <f>I632+J632-1</f>
        <v>9</v>
      </c>
      <c r="L632" s="6" t="str">
        <f>IF(H632="neutral","—",IF(K632&gt;=5,IF(H632="warm","El Niño","La Niña"),IF(ROW()+J632-1=920,IF(H632="warm","El Niño (ongoing)","La Niña (ongoing)"),"—")))</f>
        <v>El Niño</v>
      </c>
      <c r="M632" s="2" t="inlineStr">
        <is>
          <t xml:space="preserve">2002/03</t>
        </is>
      </c>
    </row>
    <row r="633">
      <c r="A633" s="2" t="inlineStr">
        <is>
          <t xml:space="preserve">2002-08</t>
        </is>
      </c>
      <c r="B633" s="2">
        <v>2002</v>
      </c>
      <c r="C633" s="2">
        <v>8</v>
      </c>
      <c r="D633" s="2" t="inlineStr">
        <is>
          <t xml:space="preserve">JAS</t>
        </is>
      </c>
      <c r="E633" t="inlineStr">
        <is>
          <t xml:space="preserve">Jul 2002 – Sep 2002</t>
        </is>
      </c>
      <c r="F633" s="3">
        <v>0.63</v>
      </c>
      <c r="G633" s="4">
        <f>ROUND(F633,1)</f>
        <v>0.6</v>
      </c>
      <c r="H633" s="2" t="str">
        <f>IF(G633&gt;=0.5,"warm",IF(G633&lt;=-0.5,"cold","neutral"))</f>
        <v>warm</v>
      </c>
      <c r="I633" s="2">
        <f>IF(H633=H632,I632+1,1)</f>
        <v>3</v>
      </c>
      <c r="J633" s="2">
        <f>IF(H633=H634,J634+1,1)</f>
        <v>7</v>
      </c>
      <c r="K633" s="2">
        <f>I633+J633-1</f>
        <v>9</v>
      </c>
      <c r="L633" s="6" t="str">
        <f>IF(H633="neutral","—",IF(K633&gt;=5,IF(H633="warm","El Niño","La Niña"),IF(ROW()+J633-1=920,IF(H633="warm","El Niño (ongoing)","La Niña (ongoing)"),"—")))</f>
        <v>El Niño</v>
      </c>
      <c r="M633" s="2" t="inlineStr">
        <is>
          <t xml:space="preserve">2002/03</t>
        </is>
      </c>
    </row>
    <row r="634">
      <c r="A634" s="2" t="inlineStr">
        <is>
          <t xml:space="preserve">2002-09</t>
        </is>
      </c>
      <c r="B634" s="2">
        <v>2002</v>
      </c>
      <c r="C634" s="2">
        <v>9</v>
      </c>
      <c r="D634" s="2" t="inlineStr">
        <is>
          <t xml:space="preserve">ASO</t>
        </is>
      </c>
      <c r="E634" t="inlineStr">
        <is>
          <t xml:space="preserve">Aug 2002 – Oct 2002</t>
        </is>
      </c>
      <c r="F634" s="3">
        <v>0.78</v>
      </c>
      <c r="G634" s="4">
        <f>ROUND(F634,1)</f>
        <v>0.8</v>
      </c>
      <c r="H634" s="2" t="str">
        <f>IF(G634&gt;=0.5,"warm",IF(G634&lt;=-0.5,"cold","neutral"))</f>
        <v>warm</v>
      </c>
      <c r="I634" s="2">
        <f>IF(H634=H633,I633+1,1)</f>
        <v>4</v>
      </c>
      <c r="J634" s="2">
        <f>IF(H634=H635,J635+1,1)</f>
        <v>6</v>
      </c>
      <c r="K634" s="2">
        <f>I634+J634-1</f>
        <v>9</v>
      </c>
      <c r="L634" s="6" t="str">
        <f>IF(H634="neutral","—",IF(K634&gt;=5,IF(H634="warm","El Niño","La Niña"),IF(ROW()+J634-1=920,IF(H634="warm","El Niño (ongoing)","La Niña (ongoing)"),"—")))</f>
        <v>El Niño</v>
      </c>
      <c r="M634" s="2" t="inlineStr">
        <is>
          <t xml:space="preserve">2002/03</t>
        </is>
      </c>
    </row>
    <row r="635">
      <c r="A635" s="2" t="inlineStr">
        <is>
          <t xml:space="preserve">2002-10</t>
        </is>
      </c>
      <c r="B635" s="2">
        <v>2002</v>
      </c>
      <c r="C635" s="2">
        <v>10</v>
      </c>
      <c r="D635" s="2" t="inlineStr">
        <is>
          <t xml:space="preserve">SON</t>
        </is>
      </c>
      <c r="E635" t="inlineStr">
        <is>
          <t xml:space="preserve">Sep 2002 – Nov 2002</t>
        </is>
      </c>
      <c r="F635" s="3">
        <v>0.99</v>
      </c>
      <c r="G635" s="4">
        <f>ROUND(F635,1)</f>
        <v>1.0</v>
      </c>
      <c r="H635" s="2" t="str">
        <f>IF(G635&gt;=0.5,"warm",IF(G635&lt;=-0.5,"cold","neutral"))</f>
        <v>warm</v>
      </c>
      <c r="I635" s="2">
        <f>IF(H635=H634,I634+1,1)</f>
        <v>5</v>
      </c>
      <c r="J635" s="2">
        <f>IF(H635=H636,J636+1,1)</f>
        <v>5</v>
      </c>
      <c r="K635" s="2">
        <f>I635+J635-1</f>
        <v>9</v>
      </c>
      <c r="L635" s="6" t="str">
        <f>IF(H635="neutral","—",IF(K635&gt;=5,IF(H635="warm","El Niño","La Niña"),IF(ROW()+J635-1=920,IF(H635="warm","El Niño (ongoing)","La Niña (ongoing)"),"—")))</f>
        <v>El Niño</v>
      </c>
      <c r="M635" s="2" t="inlineStr">
        <is>
          <t xml:space="preserve">2002/03</t>
        </is>
      </c>
    </row>
    <row r="636">
      <c r="A636" s="2" t="inlineStr">
        <is>
          <t xml:space="preserve">2002-11</t>
        </is>
      </c>
      <c r="B636" s="2">
        <v>2002</v>
      </c>
      <c r="C636" s="2">
        <v>11</v>
      </c>
      <c r="D636" s="2" t="inlineStr">
        <is>
          <t xml:space="preserve">OND</t>
        </is>
      </c>
      <c r="E636" t="inlineStr">
        <is>
          <t xml:space="preserve">Oct 2002 – Dec 2002</t>
        </is>
      </c>
      <c r="F636" s="3">
        <v>1.19</v>
      </c>
      <c r="G636" s="4">
        <f>ROUND(F636,1)</f>
        <v>1.2</v>
      </c>
      <c r="H636" s="2" t="str">
        <f>IF(G636&gt;=0.5,"warm",IF(G636&lt;=-0.5,"cold","neutral"))</f>
        <v>warm</v>
      </c>
      <c r="I636" s="2">
        <f>IF(H636=H635,I635+1,1)</f>
        <v>6</v>
      </c>
      <c r="J636" s="2">
        <f>IF(H636=H637,J637+1,1)</f>
        <v>4</v>
      </c>
      <c r="K636" s="2">
        <f>I636+J636-1</f>
        <v>9</v>
      </c>
      <c r="L636" s="6" t="str">
        <f>IF(H636="neutral","—",IF(K636&gt;=5,IF(H636="warm","El Niño","La Niña"),IF(ROW()+J636-1=920,IF(H636="warm","El Niño (ongoing)","La Niña (ongoing)"),"—")))</f>
        <v>El Niño</v>
      </c>
      <c r="M636" s="2" t="inlineStr">
        <is>
          <t xml:space="preserve">2002/03</t>
        </is>
      </c>
    </row>
    <row r="637">
      <c r="A637" s="2" t="inlineStr">
        <is>
          <t xml:space="preserve">2002-12</t>
        </is>
      </c>
      <c r="B637" s="2">
        <v>2002</v>
      </c>
      <c r="C637" s="2">
        <v>12</v>
      </c>
      <c r="D637" s="2" t="inlineStr">
        <is>
          <t xml:space="preserve">NDJ</t>
        </is>
      </c>
      <c r="E637" t="inlineStr">
        <is>
          <t xml:space="preserve">Nov 2002 – Jan 2003</t>
        </is>
      </c>
      <c r="F637" s="3">
        <v>1.08</v>
      </c>
      <c r="G637" s="4">
        <f>ROUND(F637,1)</f>
        <v>1.1</v>
      </c>
      <c r="H637" s="2" t="str">
        <f>IF(G637&gt;=0.5,"warm",IF(G637&lt;=-0.5,"cold","neutral"))</f>
        <v>warm</v>
      </c>
      <c r="I637" s="2">
        <f>IF(H637=H636,I636+1,1)</f>
        <v>7</v>
      </c>
      <c r="J637" s="2">
        <f>IF(H637=H638,J638+1,1)</f>
        <v>3</v>
      </c>
      <c r="K637" s="2">
        <f>I637+J637-1</f>
        <v>9</v>
      </c>
      <c r="L637" s="6" t="str">
        <f>IF(H637="neutral","—",IF(K637&gt;=5,IF(H637="warm","El Niño","La Niña"),IF(ROW()+J637-1=920,IF(H637="warm","El Niño (ongoing)","La Niña (ongoing)"),"—")))</f>
        <v>El Niño</v>
      </c>
      <c r="M637" s="2" t="inlineStr">
        <is>
          <t xml:space="preserve">2002/03</t>
        </is>
      </c>
    </row>
    <row r="638">
      <c r="A638" s="2" t="inlineStr">
        <is>
          <t xml:space="preserve">2003-01</t>
        </is>
      </c>
      <c r="B638" s="2">
        <v>2003</v>
      </c>
      <c r="C638" s="2">
        <v>1</v>
      </c>
      <c r="D638" s="2" t="inlineStr">
        <is>
          <t xml:space="preserve">DJF</t>
        </is>
      </c>
      <c r="E638" t="inlineStr">
        <is>
          <t xml:space="preserve">Dec 2002 – Feb 2003</t>
        </is>
      </c>
      <c r="F638" s="3">
        <v>0.9</v>
      </c>
      <c r="G638" s="4">
        <f>ROUND(F638,1)</f>
        <v>0.9</v>
      </c>
      <c r="H638" s="2" t="str">
        <f>IF(G638&gt;=0.5,"warm",IF(G638&lt;=-0.5,"cold","neutral"))</f>
        <v>warm</v>
      </c>
      <c r="I638" s="2">
        <f>IF(H638=H637,I637+1,1)</f>
        <v>8</v>
      </c>
      <c r="J638" s="2">
        <f>IF(H638=H639,J639+1,1)</f>
        <v>2</v>
      </c>
      <c r="K638" s="2">
        <f>I638+J638-1</f>
        <v>9</v>
      </c>
      <c r="L638" s="6" t="str">
        <f>IF(H638="neutral","—",IF(K638&gt;=5,IF(H638="warm","El Niño","La Niña"),IF(ROW()+J638-1=920,IF(H638="warm","El Niño (ongoing)","La Niña (ongoing)"),"—")))</f>
        <v>El Niño</v>
      </c>
      <c r="M638" s="2" t="inlineStr">
        <is>
          <t xml:space="preserve">2002/03</t>
        </is>
      </c>
    </row>
    <row r="639">
      <c r="A639" s="2" t="inlineStr">
        <is>
          <t xml:space="preserve">2003-02</t>
        </is>
      </c>
      <c r="B639" s="2">
        <v>2003</v>
      </c>
      <c r="C639" s="2">
        <v>2</v>
      </c>
      <c r="D639" s="2" t="inlineStr">
        <is>
          <t xml:space="preserve">JFM</t>
        </is>
      </c>
      <c r="E639" t="inlineStr">
        <is>
          <t xml:space="preserve">Jan 2003 – Mar 2003</t>
        </is>
      </c>
      <c r="F639" s="3">
        <v>0.59</v>
      </c>
      <c r="G639" s="4">
        <f>ROUND(F639,1)</f>
        <v>0.6</v>
      </c>
      <c r="H639" s="2" t="str">
        <f>IF(G639&gt;=0.5,"warm",IF(G639&lt;=-0.5,"cold","neutral"))</f>
        <v>warm</v>
      </c>
      <c r="I639" s="2">
        <f>IF(H639=H638,I638+1,1)</f>
        <v>9</v>
      </c>
      <c r="J639" s="2">
        <f>IF(H639=H640,J640+1,1)</f>
        <v>1</v>
      </c>
      <c r="K639" s="2">
        <f>I639+J639-1</f>
        <v>9</v>
      </c>
      <c r="L639" s="6" t="str">
        <f>IF(H639="neutral","—",IF(K639&gt;=5,IF(H639="warm","El Niño","La Niña"),IF(ROW()+J639-1=920,IF(H639="warm","El Niño (ongoing)","La Niña (ongoing)"),"—")))</f>
        <v>El Niño</v>
      </c>
      <c r="M639" s="2" t="inlineStr">
        <is>
          <t xml:space="preserve">2002/03</t>
        </is>
      </c>
    </row>
    <row r="640">
      <c r="A640" s="2" t="inlineStr">
        <is>
          <t xml:space="preserve">2003-03</t>
        </is>
      </c>
      <c r="B640" s="2">
        <v>2003</v>
      </c>
      <c r="C640" s="2">
        <v>3</v>
      </c>
      <c r="D640" s="2" t="inlineStr">
        <is>
          <t xml:space="preserve">FMA</t>
        </is>
      </c>
      <c r="E640" t="inlineStr">
        <is>
          <t xml:space="preserve">Feb 2003 – Apr 2003</t>
        </is>
      </c>
      <c r="F640" s="3">
        <v>0.38</v>
      </c>
      <c r="G640" s="4">
        <f>ROUND(F640,1)</f>
        <v>0.4</v>
      </c>
      <c r="H640" s="2" t="str">
        <f>IF(G640&gt;=0.5,"warm",IF(G640&lt;=-0.5,"cold","neutral"))</f>
        <v>neutral</v>
      </c>
      <c r="I640" s="2">
        <f>IF(H640=H639,I639+1,1)</f>
        <v>1</v>
      </c>
      <c r="J640" s="2">
        <f>IF(H640=H641,J641+1,1)</f>
        <v>17</v>
      </c>
      <c r="K640" s="2">
        <f>I640+J640-1</f>
        <v>17</v>
      </c>
      <c r="L640" s="2" t="str">
        <f>IF(H640="neutral","—",IF(K640&gt;=5,IF(H640="warm","El Niño","La Niña"),IF(ROW()+J640-1=920,IF(H640="warm","El Niño (ongoing)","La Niña (ongoing)"),"—")))</f>
        <v>—</v>
      </c>
      <c r="M640" s="2" t="inlineStr">
        <is>
          <t xml:space="preserve">2002/03</t>
        </is>
      </c>
    </row>
    <row r="641">
      <c r="A641" s="2" t="inlineStr">
        <is>
          <t xml:space="preserve">2003-04</t>
        </is>
      </c>
      <c r="B641" s="2">
        <v>2003</v>
      </c>
      <c r="C641" s="2">
        <v>4</v>
      </c>
      <c r="D641" s="2" t="inlineStr">
        <is>
          <t xml:space="preserve">MAM</t>
        </is>
      </c>
      <c r="E641" t="inlineStr">
        <is>
          <t xml:space="preserve">Mar 2003 – May 2003</t>
        </is>
      </c>
      <c r="F641" s="3">
        <v>-0.01</v>
      </c>
      <c r="G641" s="4">
        <f>ROUND(F641,1)</f>
        <v>-0.0</v>
      </c>
      <c r="H641" s="2" t="str">
        <f>IF(G641&gt;=0.5,"warm",IF(G641&lt;=-0.5,"cold","neutral"))</f>
        <v>neutral</v>
      </c>
      <c r="I641" s="2">
        <f>IF(H641=H640,I640+1,1)</f>
        <v>2</v>
      </c>
      <c r="J641" s="2">
        <f>IF(H641=H642,J642+1,1)</f>
        <v>16</v>
      </c>
      <c r="K641" s="2">
        <f>I641+J641-1</f>
        <v>17</v>
      </c>
      <c r="L641" s="2" t="str">
        <f>IF(H641="neutral","—",IF(K641&gt;=5,IF(H641="warm","El Niño","La Niña"),IF(ROW()+J641-1=920,IF(H641="warm","El Niño (ongoing)","La Niña (ongoing)"),"—")))</f>
        <v>—</v>
      </c>
      <c r="M641" s="2" t="inlineStr">
        <is>
          <t xml:space="preserve">2002/03</t>
        </is>
      </c>
    </row>
    <row r="642">
      <c r="A642" s="2" t="inlineStr">
        <is>
          <t xml:space="preserve">2003-05</t>
        </is>
      </c>
      <c r="B642" s="2">
        <v>2003</v>
      </c>
      <c r="C642" s="2">
        <v>5</v>
      </c>
      <c r="D642" s="2" t="inlineStr">
        <is>
          <t xml:space="preserve">AMJ</t>
        </is>
      </c>
      <c r="E642" t="inlineStr">
        <is>
          <t xml:space="preserve">Apr 2003 – Jun 2003</t>
        </is>
      </c>
      <c r="F642" s="3">
        <v>-0.18</v>
      </c>
      <c r="G642" s="4">
        <f>ROUND(F642,1)</f>
        <v>-0.2</v>
      </c>
      <c r="H642" s="2" t="str">
        <f>IF(G642&gt;=0.5,"warm",IF(G642&lt;=-0.5,"cold","neutral"))</f>
        <v>neutral</v>
      </c>
      <c r="I642" s="2">
        <f>IF(H642=H641,I641+1,1)</f>
        <v>3</v>
      </c>
      <c r="J642" s="2">
        <f>IF(H642=H643,J643+1,1)</f>
        <v>15</v>
      </c>
      <c r="K642" s="2">
        <f>I642+J642-1</f>
        <v>17</v>
      </c>
      <c r="L642" s="2" t="str">
        <f>IF(H642="neutral","—",IF(K642&gt;=5,IF(H642="warm","El Niño","La Niña"),IF(ROW()+J642-1=920,IF(H642="warm","El Niño (ongoing)","La Niña (ongoing)"),"—")))</f>
        <v>—</v>
      </c>
      <c r="M642" s="2" t="inlineStr">
        <is>
          <t xml:space="preserve">2002/03</t>
        </is>
      </c>
    </row>
    <row r="643">
      <c r="A643" s="2" t="inlineStr">
        <is>
          <t xml:space="preserve">2003-06</t>
        </is>
      </c>
      <c r="B643" s="2">
        <v>2003</v>
      </c>
      <c r="C643" s="2">
        <v>6</v>
      </c>
      <c r="D643" s="2" t="inlineStr">
        <is>
          <t xml:space="preserve">MJJ</t>
        </is>
      </c>
      <c r="E643" t="inlineStr">
        <is>
          <t xml:space="preserve">May 2003 – Jul 2003</t>
        </is>
      </c>
      <c r="F643" s="3">
        <v>-0.13</v>
      </c>
      <c r="G643" s="4">
        <f>ROUND(F643,1)</f>
        <v>-0.1</v>
      </c>
      <c r="H643" s="2" t="str">
        <f>IF(G643&gt;=0.5,"warm",IF(G643&lt;=-0.5,"cold","neutral"))</f>
        <v>neutral</v>
      </c>
      <c r="I643" s="2">
        <f>IF(H643=H642,I642+1,1)</f>
        <v>4</v>
      </c>
      <c r="J643" s="2">
        <f>IF(H643=H644,J644+1,1)</f>
        <v>14</v>
      </c>
      <c r="K643" s="2">
        <f>I643+J643-1</f>
        <v>17</v>
      </c>
      <c r="L643" s="2" t="str">
        <f>IF(H643="neutral","—",IF(K643&gt;=5,IF(H643="warm","El Niño","La Niña"),IF(ROW()+J643-1=920,IF(H643="warm","El Niño (ongoing)","La Niña (ongoing)"),"—")))</f>
        <v>—</v>
      </c>
      <c r="M643" s="2" t="inlineStr">
        <is>
          <t xml:space="preserve">2002/03</t>
        </is>
      </c>
    </row>
    <row r="644">
      <c r="A644" s="2" t="inlineStr">
        <is>
          <t xml:space="preserve">2003-07</t>
        </is>
      </c>
      <c r="B644" s="2">
        <v>2003</v>
      </c>
      <c r="C644" s="2">
        <v>7</v>
      </c>
      <c r="D644" s="2" t="inlineStr">
        <is>
          <t xml:space="preserve">JJA</t>
        </is>
      </c>
      <c r="E644" t="inlineStr">
        <is>
          <t xml:space="preserve">Jun 2003 – Aug 2003</t>
        </is>
      </c>
      <c r="F644" s="3">
        <v>0.09</v>
      </c>
      <c r="G644" s="4">
        <f>ROUND(F644,1)</f>
        <v>0.1</v>
      </c>
      <c r="H644" s="2" t="str">
        <f>IF(G644&gt;=0.5,"warm",IF(G644&lt;=-0.5,"cold","neutral"))</f>
        <v>neutral</v>
      </c>
      <c r="I644" s="2">
        <f>IF(H644=H643,I643+1,1)</f>
        <v>5</v>
      </c>
      <c r="J644" s="2">
        <f>IF(H644=H645,J645+1,1)</f>
        <v>13</v>
      </c>
      <c r="K644" s="2">
        <f>I644+J644-1</f>
        <v>17</v>
      </c>
      <c r="L644" s="2" t="str">
        <f>IF(H644="neutral","—",IF(K644&gt;=5,IF(H644="warm","El Niño","La Niña"),IF(ROW()+J644-1=920,IF(H644="warm","El Niño (ongoing)","La Niña (ongoing)"),"—")))</f>
        <v>—</v>
      </c>
      <c r="M644" s="2" t="inlineStr">
        <is>
          <t xml:space="preserve">2003/04</t>
        </is>
      </c>
    </row>
    <row r="645">
      <c r="A645" s="2" t="inlineStr">
        <is>
          <t xml:space="preserve">2003-08</t>
        </is>
      </c>
      <c r="B645" s="2">
        <v>2003</v>
      </c>
      <c r="C645" s="2">
        <v>8</v>
      </c>
      <c r="D645" s="2" t="inlineStr">
        <is>
          <t xml:space="preserve">JAS</t>
        </is>
      </c>
      <c r="E645" t="inlineStr">
        <is>
          <t xml:space="preserve">Jul 2003 – Sep 2003</t>
        </is>
      </c>
      <c r="F645" s="3">
        <v>0.14</v>
      </c>
      <c r="G645" s="4">
        <f>ROUND(F645,1)</f>
        <v>0.1</v>
      </c>
      <c r="H645" s="2" t="str">
        <f>IF(G645&gt;=0.5,"warm",IF(G645&lt;=-0.5,"cold","neutral"))</f>
        <v>neutral</v>
      </c>
      <c r="I645" s="2">
        <f>IF(H645=H644,I644+1,1)</f>
        <v>6</v>
      </c>
      <c r="J645" s="2">
        <f>IF(H645=H646,J646+1,1)</f>
        <v>12</v>
      </c>
      <c r="K645" s="2">
        <f>I645+J645-1</f>
        <v>17</v>
      </c>
      <c r="L645" s="2" t="str">
        <f>IF(H645="neutral","—",IF(K645&gt;=5,IF(H645="warm","El Niño","La Niña"),IF(ROW()+J645-1=920,IF(H645="warm","El Niño (ongoing)","La Niña (ongoing)"),"—")))</f>
        <v>—</v>
      </c>
      <c r="M645" s="2" t="inlineStr">
        <is>
          <t xml:space="preserve">2003/04</t>
        </is>
      </c>
    </row>
    <row r="646">
      <c r="A646" s="2" t="inlineStr">
        <is>
          <t xml:space="preserve">2003-09</t>
        </is>
      </c>
      <c r="B646" s="2">
        <v>2003</v>
      </c>
      <c r="C646" s="2">
        <v>9</v>
      </c>
      <c r="D646" s="2" t="inlineStr">
        <is>
          <t xml:space="preserve">ASO</t>
        </is>
      </c>
      <c r="E646" t="inlineStr">
        <is>
          <t xml:space="preserve">Aug 2003 – Oct 2003</t>
        </is>
      </c>
      <c r="F646" s="3">
        <v>0.23</v>
      </c>
      <c r="G646" s="4">
        <f>ROUND(F646,1)</f>
        <v>0.2</v>
      </c>
      <c r="H646" s="2" t="str">
        <f>IF(G646&gt;=0.5,"warm",IF(G646&lt;=-0.5,"cold","neutral"))</f>
        <v>neutral</v>
      </c>
      <c r="I646" s="2">
        <f>IF(H646=H645,I645+1,1)</f>
        <v>7</v>
      </c>
      <c r="J646" s="2">
        <f>IF(H646=H647,J647+1,1)</f>
        <v>11</v>
      </c>
      <c r="K646" s="2">
        <f>I646+J646-1</f>
        <v>17</v>
      </c>
      <c r="L646" s="2" t="str">
        <f>IF(H646="neutral","—",IF(K646&gt;=5,IF(H646="warm","El Niño","La Niña"),IF(ROW()+J646-1=920,IF(H646="warm","El Niño (ongoing)","La Niña (ongoing)"),"—")))</f>
        <v>—</v>
      </c>
      <c r="M646" s="2" t="inlineStr">
        <is>
          <t xml:space="preserve">2003/04</t>
        </is>
      </c>
    </row>
    <row r="647">
      <c r="A647" s="2" t="inlineStr">
        <is>
          <t xml:space="preserve">2003-10</t>
        </is>
      </c>
      <c r="B647" s="2">
        <v>2003</v>
      </c>
      <c r="C647" s="2">
        <v>10</v>
      </c>
      <c r="D647" s="2" t="inlineStr">
        <is>
          <t xml:space="preserve">SON</t>
        </is>
      </c>
      <c r="E647" t="inlineStr">
        <is>
          <t xml:space="preserve">Sep 2003 – Nov 2003</t>
        </is>
      </c>
      <c r="F647" s="3">
        <v>0.23</v>
      </c>
      <c r="G647" s="4">
        <f>ROUND(F647,1)</f>
        <v>0.2</v>
      </c>
      <c r="H647" s="2" t="str">
        <f>IF(G647&gt;=0.5,"warm",IF(G647&lt;=-0.5,"cold","neutral"))</f>
        <v>neutral</v>
      </c>
      <c r="I647" s="2">
        <f>IF(H647=H646,I646+1,1)</f>
        <v>8</v>
      </c>
      <c r="J647" s="2">
        <f>IF(H647=H648,J648+1,1)</f>
        <v>10</v>
      </c>
      <c r="K647" s="2">
        <f>I647+J647-1</f>
        <v>17</v>
      </c>
      <c r="L647" s="2" t="str">
        <f>IF(H647="neutral","—",IF(K647&gt;=5,IF(H647="warm","El Niño","La Niña"),IF(ROW()+J647-1=920,IF(H647="warm","El Niño (ongoing)","La Niña (ongoing)"),"—")))</f>
        <v>—</v>
      </c>
      <c r="M647" s="2" t="inlineStr">
        <is>
          <t xml:space="preserve">2003/04</t>
        </is>
      </c>
    </row>
    <row r="648">
      <c r="A648" s="2" t="inlineStr">
        <is>
          <t xml:space="preserve">2003-11</t>
        </is>
      </c>
      <c r="B648" s="2">
        <v>2003</v>
      </c>
      <c r="C648" s="2">
        <v>11</v>
      </c>
      <c r="D648" s="2" t="inlineStr">
        <is>
          <t xml:space="preserve">OND</t>
        </is>
      </c>
      <c r="E648" t="inlineStr">
        <is>
          <t xml:space="preserve">Oct 2003 – Dec 2003</t>
        </is>
      </c>
      <c r="F648" s="3">
        <v>0.29</v>
      </c>
      <c r="G648" s="4">
        <f>ROUND(F648,1)</f>
        <v>0.3</v>
      </c>
      <c r="H648" s="2" t="str">
        <f>IF(G648&gt;=0.5,"warm",IF(G648&lt;=-0.5,"cold","neutral"))</f>
        <v>neutral</v>
      </c>
      <c r="I648" s="2">
        <f>IF(H648=H647,I647+1,1)</f>
        <v>9</v>
      </c>
      <c r="J648" s="2">
        <f>IF(H648=H649,J649+1,1)</f>
        <v>9</v>
      </c>
      <c r="K648" s="2">
        <f>I648+J648-1</f>
        <v>17</v>
      </c>
      <c r="L648" s="2" t="str">
        <f>IF(H648="neutral","—",IF(K648&gt;=5,IF(H648="warm","El Niño","La Niña"),IF(ROW()+J648-1=920,IF(H648="warm","El Niño (ongoing)","La Niña (ongoing)"),"—")))</f>
        <v>—</v>
      </c>
      <c r="M648" s="2" t="inlineStr">
        <is>
          <t xml:space="preserve">2003/04</t>
        </is>
      </c>
    </row>
    <row r="649">
      <c r="A649" s="2" t="inlineStr">
        <is>
          <t xml:space="preserve">2003-12</t>
        </is>
      </c>
      <c r="B649" s="2">
        <v>2003</v>
      </c>
      <c r="C649" s="2">
        <v>12</v>
      </c>
      <c r="D649" s="2" t="inlineStr">
        <is>
          <t xml:space="preserve">NDJ</t>
        </is>
      </c>
      <c r="E649" t="inlineStr">
        <is>
          <t xml:space="preserve">Nov 2003 – Jan 2004</t>
        </is>
      </c>
      <c r="F649" s="3">
        <v>0.29</v>
      </c>
      <c r="G649" s="4">
        <f>ROUND(F649,1)</f>
        <v>0.3</v>
      </c>
      <c r="H649" s="2" t="str">
        <f>IF(G649&gt;=0.5,"warm",IF(G649&lt;=-0.5,"cold","neutral"))</f>
        <v>neutral</v>
      </c>
      <c r="I649" s="2">
        <f>IF(H649=H648,I648+1,1)</f>
        <v>10</v>
      </c>
      <c r="J649" s="2">
        <f>IF(H649=H650,J650+1,1)</f>
        <v>8</v>
      </c>
      <c r="K649" s="2">
        <f>I649+J649-1</f>
        <v>17</v>
      </c>
      <c r="L649" s="2" t="str">
        <f>IF(H649="neutral","—",IF(K649&gt;=5,IF(H649="warm","El Niño","La Niña"),IF(ROW()+J649-1=920,IF(H649="warm","El Niño (ongoing)","La Niña (ongoing)"),"—")))</f>
        <v>—</v>
      </c>
      <c r="M649" s="2" t="inlineStr">
        <is>
          <t xml:space="preserve">2003/04</t>
        </is>
      </c>
    </row>
    <row r="650">
      <c r="A650" s="2" t="inlineStr">
        <is>
          <t xml:space="preserve">2004-01</t>
        </is>
      </c>
      <c r="B650" s="2">
        <v>2004</v>
      </c>
      <c r="C650" s="2">
        <v>1</v>
      </c>
      <c r="D650" s="2" t="inlineStr">
        <is>
          <t xml:space="preserve">DJF</t>
        </is>
      </c>
      <c r="E650" t="inlineStr">
        <is>
          <t xml:space="preserve">Dec 2003 – Feb 2004</t>
        </is>
      </c>
      <c r="F650" s="3">
        <v>0.34</v>
      </c>
      <c r="G650" s="4">
        <f>ROUND(F650,1)</f>
        <v>0.3</v>
      </c>
      <c r="H650" s="2" t="str">
        <f>IF(G650&gt;=0.5,"warm",IF(G650&lt;=-0.5,"cold","neutral"))</f>
        <v>neutral</v>
      </c>
      <c r="I650" s="2">
        <f>IF(H650=H649,I649+1,1)</f>
        <v>11</v>
      </c>
      <c r="J650" s="2">
        <f>IF(H650=H651,J651+1,1)</f>
        <v>7</v>
      </c>
      <c r="K650" s="2">
        <f>I650+J650-1</f>
        <v>17</v>
      </c>
      <c r="L650" s="2" t="str">
        <f>IF(H650="neutral","—",IF(K650&gt;=5,IF(H650="warm","El Niño","La Niña"),IF(ROW()+J650-1=920,IF(H650="warm","El Niño (ongoing)","La Niña (ongoing)"),"—")))</f>
        <v>—</v>
      </c>
      <c r="M650" s="2" t="inlineStr">
        <is>
          <t xml:space="preserve">2003/04</t>
        </is>
      </c>
    </row>
    <row r="651">
      <c r="A651" s="2" t="inlineStr">
        <is>
          <t xml:space="preserve">2004-02</t>
        </is>
      </c>
      <c r="B651" s="2">
        <v>2004</v>
      </c>
      <c r="C651" s="2">
        <v>2</v>
      </c>
      <c r="D651" s="2" t="inlineStr">
        <is>
          <t xml:space="preserve">JFM</t>
        </is>
      </c>
      <c r="E651" t="inlineStr">
        <is>
          <t xml:space="preserve">Jan 2004 – Mar 2004</t>
        </is>
      </c>
      <c r="F651" s="3">
        <v>0.27</v>
      </c>
      <c r="G651" s="4">
        <f>ROUND(F651,1)</f>
        <v>0.3</v>
      </c>
      <c r="H651" s="2" t="str">
        <f>IF(G651&gt;=0.5,"warm",IF(G651&lt;=-0.5,"cold","neutral"))</f>
        <v>neutral</v>
      </c>
      <c r="I651" s="2">
        <f>IF(H651=H650,I650+1,1)</f>
        <v>12</v>
      </c>
      <c r="J651" s="2">
        <f>IF(H651=H652,J652+1,1)</f>
        <v>6</v>
      </c>
      <c r="K651" s="2">
        <f>I651+J651-1</f>
        <v>17</v>
      </c>
      <c r="L651" s="2" t="str">
        <f>IF(H651="neutral","—",IF(K651&gt;=5,IF(H651="warm","El Niño","La Niña"),IF(ROW()+J651-1=920,IF(H651="warm","El Niño (ongoing)","La Niña (ongoing)"),"—")))</f>
        <v>—</v>
      </c>
      <c r="M651" s="2" t="inlineStr">
        <is>
          <t xml:space="preserve">2003/04</t>
        </is>
      </c>
    </row>
    <row r="652">
      <c r="A652" s="2" t="inlineStr">
        <is>
          <t xml:space="preserve">2004-03</t>
        </is>
      </c>
      <c r="B652" s="2">
        <v>2004</v>
      </c>
      <c r="C652" s="2">
        <v>3</v>
      </c>
      <c r="D652" s="2" t="inlineStr">
        <is>
          <t xml:space="preserve">FMA</t>
        </is>
      </c>
      <c r="E652" t="inlineStr">
        <is>
          <t xml:space="preserve">Feb 2004 – Apr 2004</t>
        </is>
      </c>
      <c r="F652" s="3">
        <v>0.19</v>
      </c>
      <c r="G652" s="4">
        <f>ROUND(F652,1)</f>
        <v>0.2</v>
      </c>
      <c r="H652" s="2" t="str">
        <f>IF(G652&gt;=0.5,"warm",IF(G652&lt;=-0.5,"cold","neutral"))</f>
        <v>neutral</v>
      </c>
      <c r="I652" s="2">
        <f>IF(H652=H651,I651+1,1)</f>
        <v>13</v>
      </c>
      <c r="J652" s="2">
        <f>IF(H652=H653,J653+1,1)</f>
        <v>5</v>
      </c>
      <c r="K652" s="2">
        <f>I652+J652-1</f>
        <v>17</v>
      </c>
      <c r="L652" s="2" t="str">
        <f>IF(H652="neutral","—",IF(K652&gt;=5,IF(H652="warm","El Niño","La Niña"),IF(ROW()+J652-1=920,IF(H652="warm","El Niño (ongoing)","La Niña (ongoing)"),"—")))</f>
        <v>—</v>
      </c>
      <c r="M652" s="2" t="inlineStr">
        <is>
          <t xml:space="preserve">2003/04</t>
        </is>
      </c>
    </row>
    <row r="653">
      <c r="A653" s="2" t="inlineStr">
        <is>
          <t xml:space="preserve">2004-04</t>
        </is>
      </c>
      <c r="B653" s="2">
        <v>2004</v>
      </c>
      <c r="C653" s="2">
        <v>4</v>
      </c>
      <c r="D653" s="2" t="inlineStr">
        <is>
          <t xml:space="preserve">MAM</t>
        </is>
      </c>
      <c r="E653" t="inlineStr">
        <is>
          <t xml:space="preserve">Mar 2004 – May 2004</t>
        </is>
      </c>
      <c r="F653" s="3">
        <v>0.1</v>
      </c>
      <c r="G653" s="4">
        <f>ROUND(F653,1)</f>
        <v>0.1</v>
      </c>
      <c r="H653" s="2" t="str">
        <f>IF(G653&gt;=0.5,"warm",IF(G653&lt;=-0.5,"cold","neutral"))</f>
        <v>neutral</v>
      </c>
      <c r="I653" s="2">
        <f>IF(H653=H652,I652+1,1)</f>
        <v>14</v>
      </c>
      <c r="J653" s="2">
        <f>IF(H653=H654,J654+1,1)</f>
        <v>4</v>
      </c>
      <c r="K653" s="2">
        <f>I653+J653-1</f>
        <v>17</v>
      </c>
      <c r="L653" s="2" t="str">
        <f>IF(H653="neutral","—",IF(K653&gt;=5,IF(H653="warm","El Niño","La Niña"),IF(ROW()+J653-1=920,IF(H653="warm","El Niño (ongoing)","La Niña (ongoing)"),"—")))</f>
        <v>—</v>
      </c>
      <c r="M653" s="2" t="inlineStr">
        <is>
          <t xml:space="preserve">2003/04</t>
        </is>
      </c>
    </row>
    <row r="654">
      <c r="A654" s="2" t="inlineStr">
        <is>
          <t xml:space="preserve">2004-05</t>
        </is>
      </c>
      <c r="B654" s="2">
        <v>2004</v>
      </c>
      <c r="C654" s="2">
        <v>5</v>
      </c>
      <c r="D654" s="2" t="inlineStr">
        <is>
          <t xml:space="preserve">AMJ</t>
        </is>
      </c>
      <c r="E654" t="inlineStr">
        <is>
          <t xml:space="preserve">Apr 2004 – Jun 2004</t>
        </is>
      </c>
      <c r="F654" s="3">
        <v>0.12</v>
      </c>
      <c r="G654" s="4">
        <f>ROUND(F654,1)</f>
        <v>0.1</v>
      </c>
      <c r="H654" s="2" t="str">
        <f>IF(G654&gt;=0.5,"warm",IF(G654&lt;=-0.5,"cold","neutral"))</f>
        <v>neutral</v>
      </c>
      <c r="I654" s="2">
        <f>IF(H654=H653,I653+1,1)</f>
        <v>15</v>
      </c>
      <c r="J654" s="2">
        <f>IF(H654=H655,J655+1,1)</f>
        <v>3</v>
      </c>
      <c r="K654" s="2">
        <f>I654+J654-1</f>
        <v>17</v>
      </c>
      <c r="L654" s="2" t="str">
        <f>IF(H654="neutral","—",IF(K654&gt;=5,IF(H654="warm","El Niño","La Niña"),IF(ROW()+J654-1=920,IF(H654="warm","El Niño (ongoing)","La Niña (ongoing)"),"—")))</f>
        <v>—</v>
      </c>
      <c r="M654" s="2" t="inlineStr">
        <is>
          <t xml:space="preserve">2003/04</t>
        </is>
      </c>
    </row>
    <row r="655">
      <c r="A655" s="2" t="inlineStr">
        <is>
          <t xml:space="preserve">2004-06</t>
        </is>
      </c>
      <c r="B655" s="2">
        <v>2004</v>
      </c>
      <c r="C655" s="2">
        <v>6</v>
      </c>
      <c r="D655" s="2" t="inlineStr">
        <is>
          <t xml:space="preserve">MJJ</t>
        </is>
      </c>
      <c r="E655" t="inlineStr">
        <is>
          <t xml:space="preserve">May 2004 – Jul 2004</t>
        </is>
      </c>
      <c r="F655" s="3">
        <v>0.22</v>
      </c>
      <c r="G655" s="4">
        <f>ROUND(F655,1)</f>
        <v>0.2</v>
      </c>
      <c r="H655" s="2" t="str">
        <f>IF(G655&gt;=0.5,"warm",IF(G655&lt;=-0.5,"cold","neutral"))</f>
        <v>neutral</v>
      </c>
      <c r="I655" s="2">
        <f>IF(H655=H654,I654+1,1)</f>
        <v>16</v>
      </c>
      <c r="J655" s="2">
        <f>IF(H655=H656,J656+1,1)</f>
        <v>2</v>
      </c>
      <c r="K655" s="2">
        <f>I655+J655-1</f>
        <v>17</v>
      </c>
      <c r="L655" s="2" t="str">
        <f>IF(H655="neutral","—",IF(K655&gt;=5,IF(H655="warm","El Niño","La Niña"),IF(ROW()+J655-1=920,IF(H655="warm","El Niño (ongoing)","La Niña (ongoing)"),"—")))</f>
        <v>—</v>
      </c>
      <c r="M655" s="2" t="inlineStr">
        <is>
          <t xml:space="preserve">2003/04</t>
        </is>
      </c>
    </row>
    <row r="656">
      <c r="A656" s="2" t="inlineStr">
        <is>
          <t xml:space="preserve">2004-07</t>
        </is>
      </c>
      <c r="B656" s="2">
        <v>2004</v>
      </c>
      <c r="C656" s="2">
        <v>7</v>
      </c>
      <c r="D656" s="2" t="inlineStr">
        <is>
          <t xml:space="preserve">JJA</t>
        </is>
      </c>
      <c r="E656" t="inlineStr">
        <is>
          <t xml:space="preserve">Jun 2004 – Aug 2004</t>
        </is>
      </c>
      <c r="F656" s="3">
        <v>0.39</v>
      </c>
      <c r="G656" s="4">
        <f>ROUND(F656,1)</f>
        <v>0.4</v>
      </c>
      <c r="H656" s="2" t="str">
        <f>IF(G656&gt;=0.5,"warm",IF(G656&lt;=-0.5,"cold","neutral"))</f>
        <v>neutral</v>
      </c>
      <c r="I656" s="2">
        <f>IF(H656=H655,I655+1,1)</f>
        <v>17</v>
      </c>
      <c r="J656" s="2">
        <f>IF(H656=H657,J657+1,1)</f>
        <v>1</v>
      </c>
      <c r="K656" s="2">
        <f>I656+J656-1</f>
        <v>17</v>
      </c>
      <c r="L656" s="2" t="str">
        <f>IF(H656="neutral","—",IF(K656&gt;=5,IF(H656="warm","El Niño","La Niña"),IF(ROW()+J656-1=920,IF(H656="warm","El Niño (ongoing)","La Niña (ongoing)"),"—")))</f>
        <v>—</v>
      </c>
      <c r="M656" s="2" t="inlineStr">
        <is>
          <t xml:space="preserve">2004/05</t>
        </is>
      </c>
    </row>
    <row r="657">
      <c r="A657" s="2" t="inlineStr">
        <is>
          <t xml:space="preserve">2004-08</t>
        </is>
      </c>
      <c r="B657" s="2">
        <v>2004</v>
      </c>
      <c r="C657" s="2">
        <v>8</v>
      </c>
      <c r="D657" s="2" t="inlineStr">
        <is>
          <t xml:space="preserve">JAS</t>
        </is>
      </c>
      <c r="E657" t="inlineStr">
        <is>
          <t xml:space="preserve">Jul 2004 – Sep 2004</t>
        </is>
      </c>
      <c r="F657" s="3">
        <v>0.54</v>
      </c>
      <c r="G657" s="4">
        <f>ROUND(F657,1)</f>
        <v>0.5</v>
      </c>
      <c r="H657" s="2" t="str">
        <f>IF(G657&gt;=0.5,"warm",IF(G657&lt;=-0.5,"cold","neutral"))</f>
        <v>warm</v>
      </c>
      <c r="I657" s="2">
        <f>IF(H657=H656,I656+1,1)</f>
        <v>1</v>
      </c>
      <c r="J657" s="2">
        <f>IF(H657=H658,J658+1,1)</f>
        <v>7</v>
      </c>
      <c r="K657" s="2">
        <f>I657+J657-1</f>
        <v>7</v>
      </c>
      <c r="L657" s="6" t="str">
        <f>IF(H657="neutral","—",IF(K657&gt;=5,IF(H657="warm","El Niño","La Niña"),IF(ROW()+J657-1=920,IF(H657="warm","El Niño (ongoing)","La Niña (ongoing)"),"—")))</f>
        <v>El Niño</v>
      </c>
      <c r="M657" s="2" t="inlineStr">
        <is>
          <t xml:space="preserve">2004/05</t>
        </is>
      </c>
    </row>
    <row r="658">
      <c r="A658" s="2" t="inlineStr">
        <is>
          <t xml:space="preserve">2004-09</t>
        </is>
      </c>
      <c r="B658" s="2">
        <v>2004</v>
      </c>
      <c r="C658" s="2">
        <v>9</v>
      </c>
      <c r="D658" s="2" t="inlineStr">
        <is>
          <t xml:space="preserve">ASO</t>
        </is>
      </c>
      <c r="E658" t="inlineStr">
        <is>
          <t xml:space="preserve">Aug 2004 – Oct 2004</t>
        </is>
      </c>
      <c r="F658" s="3">
        <v>0.58</v>
      </c>
      <c r="G658" s="4">
        <f>ROUND(F658,1)</f>
        <v>0.6</v>
      </c>
      <c r="H658" s="2" t="str">
        <f>IF(G658&gt;=0.5,"warm",IF(G658&lt;=-0.5,"cold","neutral"))</f>
        <v>warm</v>
      </c>
      <c r="I658" s="2">
        <f>IF(H658=H657,I657+1,1)</f>
        <v>2</v>
      </c>
      <c r="J658" s="2">
        <f>IF(H658=H659,J659+1,1)</f>
        <v>6</v>
      </c>
      <c r="K658" s="2">
        <f>I658+J658-1</f>
        <v>7</v>
      </c>
      <c r="L658" s="6" t="str">
        <f>IF(H658="neutral","—",IF(K658&gt;=5,IF(H658="warm","El Niño","La Niña"),IF(ROW()+J658-1=920,IF(H658="warm","El Niño (ongoing)","La Niña (ongoing)"),"—")))</f>
        <v>El Niño</v>
      </c>
      <c r="M658" s="2" t="inlineStr">
        <is>
          <t xml:space="preserve">2004/05</t>
        </is>
      </c>
    </row>
    <row r="659">
      <c r="A659" s="2" t="inlineStr">
        <is>
          <t xml:space="preserve">2004-10</t>
        </is>
      </c>
      <c r="B659" s="2">
        <v>2004</v>
      </c>
      <c r="C659" s="2">
        <v>10</v>
      </c>
      <c r="D659" s="2" t="inlineStr">
        <is>
          <t xml:space="preserve">SON</t>
        </is>
      </c>
      <c r="E659" t="inlineStr">
        <is>
          <t xml:space="preserve">Sep 2004 – Nov 2004</t>
        </is>
      </c>
      <c r="F659" s="3">
        <v>0.61</v>
      </c>
      <c r="G659" s="4">
        <f>ROUND(F659,1)</f>
        <v>0.6</v>
      </c>
      <c r="H659" s="2" t="str">
        <f>IF(G659&gt;=0.5,"warm",IF(G659&lt;=-0.5,"cold","neutral"))</f>
        <v>warm</v>
      </c>
      <c r="I659" s="2">
        <f>IF(H659=H658,I658+1,1)</f>
        <v>3</v>
      </c>
      <c r="J659" s="2">
        <f>IF(H659=H660,J660+1,1)</f>
        <v>5</v>
      </c>
      <c r="K659" s="2">
        <f>I659+J659-1</f>
        <v>7</v>
      </c>
      <c r="L659" s="6" t="str">
        <f>IF(H659="neutral","—",IF(K659&gt;=5,IF(H659="warm","El Niño","La Niña"),IF(ROW()+J659-1=920,IF(H659="warm","El Niño (ongoing)","La Niña (ongoing)"),"—")))</f>
        <v>El Niño</v>
      </c>
      <c r="M659" s="2" t="inlineStr">
        <is>
          <t xml:space="preserve">2004/05</t>
        </is>
      </c>
    </row>
    <row r="660">
      <c r="A660" s="2" t="inlineStr">
        <is>
          <t xml:space="preserve">2004-11</t>
        </is>
      </c>
      <c r="B660" s="2">
        <v>2004</v>
      </c>
      <c r="C660" s="2">
        <v>11</v>
      </c>
      <c r="D660" s="2" t="inlineStr">
        <is>
          <t xml:space="preserve">OND</t>
        </is>
      </c>
      <c r="E660" t="inlineStr">
        <is>
          <t xml:space="preserve">Oct 2004 – Dec 2004</t>
        </is>
      </c>
      <c r="F660" s="3">
        <v>0.64</v>
      </c>
      <c r="G660" s="4">
        <f>ROUND(F660,1)</f>
        <v>0.6</v>
      </c>
      <c r="H660" s="2" t="str">
        <f>IF(G660&gt;=0.5,"warm",IF(G660&lt;=-0.5,"cold","neutral"))</f>
        <v>warm</v>
      </c>
      <c r="I660" s="2">
        <f>IF(H660=H659,I659+1,1)</f>
        <v>4</v>
      </c>
      <c r="J660" s="2">
        <f>IF(H660=H661,J661+1,1)</f>
        <v>4</v>
      </c>
      <c r="K660" s="2">
        <f>I660+J660-1</f>
        <v>7</v>
      </c>
      <c r="L660" s="6" t="str">
        <f>IF(H660="neutral","—",IF(K660&gt;=5,IF(H660="warm","El Niño","La Niña"),IF(ROW()+J660-1=920,IF(H660="warm","El Niño (ongoing)","La Niña (ongoing)"),"—")))</f>
        <v>El Niño</v>
      </c>
      <c r="M660" s="2" t="inlineStr">
        <is>
          <t xml:space="preserve">2004/05</t>
        </is>
      </c>
    </row>
    <row r="661">
      <c r="A661" s="2" t="inlineStr">
        <is>
          <t xml:space="preserve">2004-12</t>
        </is>
      </c>
      <c r="B661" s="2">
        <v>2004</v>
      </c>
      <c r="C661" s="2">
        <v>12</v>
      </c>
      <c r="D661" s="2" t="inlineStr">
        <is>
          <t xml:space="preserve">NDJ</t>
        </is>
      </c>
      <c r="E661" t="inlineStr">
        <is>
          <t xml:space="preserve">Nov 2004 – Jan 2005</t>
        </is>
      </c>
      <c r="F661" s="3">
        <v>0.71</v>
      </c>
      <c r="G661" s="4">
        <f>ROUND(F661,1)</f>
        <v>0.7</v>
      </c>
      <c r="H661" s="2" t="str">
        <f>IF(G661&gt;=0.5,"warm",IF(G661&lt;=-0.5,"cold","neutral"))</f>
        <v>warm</v>
      </c>
      <c r="I661" s="2">
        <f>IF(H661=H660,I660+1,1)</f>
        <v>5</v>
      </c>
      <c r="J661" s="2">
        <f>IF(H661=H662,J662+1,1)</f>
        <v>3</v>
      </c>
      <c r="K661" s="2">
        <f>I661+J661-1</f>
        <v>7</v>
      </c>
      <c r="L661" s="6" t="str">
        <f>IF(H661="neutral","—",IF(K661&gt;=5,IF(H661="warm","El Niño","La Niña"),IF(ROW()+J661-1=920,IF(H661="warm","El Niño (ongoing)","La Niña (ongoing)"),"—")))</f>
        <v>El Niño</v>
      </c>
      <c r="M661" s="2" t="inlineStr">
        <is>
          <t xml:space="preserve">2004/05</t>
        </is>
      </c>
    </row>
    <row r="662">
      <c r="A662" s="2" t="inlineStr">
        <is>
          <t xml:space="preserve">2005-01</t>
        </is>
      </c>
      <c r="B662" s="2">
        <v>2005</v>
      </c>
      <c r="C662" s="2">
        <v>1</v>
      </c>
      <c r="D662" s="2" t="inlineStr">
        <is>
          <t xml:space="preserve">DJF</t>
        </is>
      </c>
      <c r="E662" t="inlineStr">
        <is>
          <t xml:space="preserve">Dec 2004 – Feb 2005</t>
        </is>
      </c>
      <c r="F662" s="3">
        <v>0.62</v>
      </c>
      <c r="G662" s="4">
        <f>ROUND(F662,1)</f>
        <v>0.6</v>
      </c>
      <c r="H662" s="2" t="str">
        <f>IF(G662&gt;=0.5,"warm",IF(G662&lt;=-0.5,"cold","neutral"))</f>
        <v>warm</v>
      </c>
      <c r="I662" s="2">
        <f>IF(H662=H661,I661+1,1)</f>
        <v>6</v>
      </c>
      <c r="J662" s="2">
        <f>IF(H662=H663,J663+1,1)</f>
        <v>2</v>
      </c>
      <c r="K662" s="2">
        <f>I662+J662-1</f>
        <v>7</v>
      </c>
      <c r="L662" s="6" t="str">
        <f>IF(H662="neutral","—",IF(K662&gt;=5,IF(H662="warm","El Niño","La Niña"),IF(ROW()+J662-1=920,IF(H662="warm","El Niño (ongoing)","La Niña (ongoing)"),"—")))</f>
        <v>El Niño</v>
      </c>
      <c r="M662" s="2" t="inlineStr">
        <is>
          <t xml:space="preserve">2004/05</t>
        </is>
      </c>
    </row>
    <row r="663">
      <c r="A663" s="2" t="inlineStr">
        <is>
          <t xml:space="preserve">2005-02</t>
        </is>
      </c>
      <c r="B663" s="2">
        <v>2005</v>
      </c>
      <c r="C663" s="2">
        <v>2</v>
      </c>
      <c r="D663" s="2" t="inlineStr">
        <is>
          <t xml:space="preserve">JFM</t>
        </is>
      </c>
      <c r="E663" t="inlineStr">
        <is>
          <t xml:space="preserve">Jan 2005 – Mar 2005</t>
        </is>
      </c>
      <c r="F663" s="3">
        <v>0.55</v>
      </c>
      <c r="G663" s="4">
        <f>ROUND(F663,1)</f>
        <v>0.6</v>
      </c>
      <c r="H663" s="2" t="str">
        <f>IF(G663&gt;=0.5,"warm",IF(G663&lt;=-0.5,"cold","neutral"))</f>
        <v>warm</v>
      </c>
      <c r="I663" s="2">
        <f>IF(H663=H662,I662+1,1)</f>
        <v>7</v>
      </c>
      <c r="J663" s="2">
        <f>IF(H663=H664,J664+1,1)</f>
        <v>1</v>
      </c>
      <c r="K663" s="2">
        <f>I663+J663-1</f>
        <v>7</v>
      </c>
      <c r="L663" s="6" t="str">
        <f>IF(H663="neutral","—",IF(K663&gt;=5,IF(H663="warm","El Niño","La Niña"),IF(ROW()+J663-1=920,IF(H663="warm","El Niño (ongoing)","La Niña (ongoing)"),"—")))</f>
        <v>El Niño</v>
      </c>
      <c r="M663" s="2" t="inlineStr">
        <is>
          <t xml:space="preserve">2004/05</t>
        </is>
      </c>
    </row>
    <row r="664">
      <c r="A664" s="2" t="inlineStr">
        <is>
          <t xml:space="preserve">2005-03</t>
        </is>
      </c>
      <c r="B664" s="2">
        <v>2005</v>
      </c>
      <c r="C664" s="2">
        <v>3</v>
      </c>
      <c r="D664" s="2" t="inlineStr">
        <is>
          <t xml:space="preserve">FMA</t>
        </is>
      </c>
      <c r="E664" t="inlineStr">
        <is>
          <t xml:space="preserve">Feb 2005 – Apr 2005</t>
        </is>
      </c>
      <c r="F664" s="3">
        <v>0.4</v>
      </c>
      <c r="G664" s="4">
        <f>ROUND(F664,1)</f>
        <v>0.4</v>
      </c>
      <c r="H664" s="2" t="str">
        <f>IF(G664&gt;=0.5,"warm",IF(G664&lt;=-0.5,"cold","neutral"))</f>
        <v>neutral</v>
      </c>
      <c r="I664" s="2">
        <f>IF(H664=H663,I663+1,1)</f>
        <v>1</v>
      </c>
      <c r="J664" s="2">
        <f>IF(H664=H665,J665+1,1)</f>
        <v>8</v>
      </c>
      <c r="K664" s="2">
        <f>I664+J664-1</f>
        <v>8</v>
      </c>
      <c r="L664" s="2" t="str">
        <f>IF(H664="neutral","—",IF(K664&gt;=5,IF(H664="warm","El Niño","La Niña"),IF(ROW()+J664-1=920,IF(H664="warm","El Niño (ongoing)","La Niña (ongoing)"),"—")))</f>
        <v>—</v>
      </c>
      <c r="M664" s="2" t="inlineStr">
        <is>
          <t xml:space="preserve">2004/05</t>
        </is>
      </c>
    </row>
    <row r="665">
      <c r="A665" s="2" t="inlineStr">
        <is>
          <t xml:space="preserve">2005-04</t>
        </is>
      </c>
      <c r="B665" s="2">
        <v>2005</v>
      </c>
      <c r="C665" s="2">
        <v>4</v>
      </c>
      <c r="D665" s="2" t="inlineStr">
        <is>
          <t xml:space="preserve">MAM</t>
        </is>
      </c>
      <c r="E665" t="inlineStr">
        <is>
          <t xml:space="preserve">Mar 2005 – May 2005</t>
        </is>
      </c>
      <c r="F665" s="3">
        <v>0.37</v>
      </c>
      <c r="G665" s="4">
        <f>ROUND(F665,1)</f>
        <v>0.4</v>
      </c>
      <c r="H665" s="2" t="str">
        <f>IF(G665&gt;=0.5,"warm",IF(G665&lt;=-0.5,"cold","neutral"))</f>
        <v>neutral</v>
      </c>
      <c r="I665" s="2">
        <f>IF(H665=H664,I664+1,1)</f>
        <v>2</v>
      </c>
      <c r="J665" s="2">
        <f>IF(H665=H666,J666+1,1)</f>
        <v>7</v>
      </c>
      <c r="K665" s="2">
        <f>I665+J665-1</f>
        <v>8</v>
      </c>
      <c r="L665" s="2" t="str">
        <f>IF(H665="neutral","—",IF(K665&gt;=5,IF(H665="warm","El Niño","La Niña"),IF(ROW()+J665-1=920,IF(H665="warm","El Niño (ongoing)","La Niña (ongoing)"),"—")))</f>
        <v>—</v>
      </c>
      <c r="M665" s="2" t="inlineStr">
        <is>
          <t xml:space="preserve">2004/05</t>
        </is>
      </c>
    </row>
    <row r="666">
      <c r="A666" s="2" t="inlineStr">
        <is>
          <t xml:space="preserve">2005-05</t>
        </is>
      </c>
      <c r="B666" s="2">
        <v>2005</v>
      </c>
      <c r="C666" s="2">
        <v>5</v>
      </c>
      <c r="D666" s="2" t="inlineStr">
        <is>
          <t xml:space="preserve">AMJ</t>
        </is>
      </c>
      <c r="E666" t="inlineStr">
        <is>
          <t xml:space="preserve">Apr 2005 – Jun 2005</t>
        </is>
      </c>
      <c r="F666" s="3">
        <v>0.27</v>
      </c>
      <c r="G666" s="4">
        <f>ROUND(F666,1)</f>
        <v>0.3</v>
      </c>
      <c r="H666" s="2" t="str">
        <f>IF(G666&gt;=0.5,"warm",IF(G666&lt;=-0.5,"cold","neutral"))</f>
        <v>neutral</v>
      </c>
      <c r="I666" s="2">
        <f>IF(H666=H665,I665+1,1)</f>
        <v>3</v>
      </c>
      <c r="J666" s="2">
        <f>IF(H666=H667,J667+1,1)</f>
        <v>6</v>
      </c>
      <c r="K666" s="2">
        <f>I666+J666-1</f>
        <v>8</v>
      </c>
      <c r="L666" s="2" t="str">
        <f>IF(H666="neutral","—",IF(K666&gt;=5,IF(H666="warm","El Niño","La Niña"),IF(ROW()+J666-1=920,IF(H666="warm","El Niño (ongoing)","La Niña (ongoing)"),"—")))</f>
        <v>—</v>
      </c>
      <c r="M666" s="2" t="inlineStr">
        <is>
          <t xml:space="preserve">2004/05</t>
        </is>
      </c>
    </row>
    <row r="667">
      <c r="A667" s="2" t="inlineStr">
        <is>
          <t xml:space="preserve">2005-06</t>
        </is>
      </c>
      <c r="B667" s="2">
        <v>2005</v>
      </c>
      <c r="C667" s="2">
        <v>6</v>
      </c>
      <c r="D667" s="2" t="inlineStr">
        <is>
          <t xml:space="preserve">MJJ</t>
        </is>
      </c>
      <c r="E667" t="inlineStr">
        <is>
          <t xml:space="preserve">May 2005 – Jul 2005</t>
        </is>
      </c>
      <c r="F667" s="3">
        <v>0.09</v>
      </c>
      <c r="G667" s="4">
        <f>ROUND(F667,1)</f>
        <v>0.1</v>
      </c>
      <c r="H667" s="2" t="str">
        <f>IF(G667&gt;=0.5,"warm",IF(G667&lt;=-0.5,"cold","neutral"))</f>
        <v>neutral</v>
      </c>
      <c r="I667" s="2">
        <f>IF(H667=H666,I666+1,1)</f>
        <v>4</v>
      </c>
      <c r="J667" s="2">
        <f>IF(H667=H668,J668+1,1)</f>
        <v>5</v>
      </c>
      <c r="K667" s="2">
        <f>I667+J667-1</f>
        <v>8</v>
      </c>
      <c r="L667" s="2" t="str">
        <f>IF(H667="neutral","—",IF(K667&gt;=5,IF(H667="warm","El Niño","La Niña"),IF(ROW()+J667-1=920,IF(H667="warm","El Niño (ongoing)","La Niña (ongoing)"),"—")))</f>
        <v>—</v>
      </c>
      <c r="M667" s="2" t="inlineStr">
        <is>
          <t xml:space="preserve">2004/05</t>
        </is>
      </c>
    </row>
    <row r="668">
      <c r="A668" s="2" t="inlineStr">
        <is>
          <t xml:space="preserve">2005-07</t>
        </is>
      </c>
      <c r="B668" s="2">
        <v>2005</v>
      </c>
      <c r="C668" s="2">
        <v>7</v>
      </c>
      <c r="D668" s="2" t="inlineStr">
        <is>
          <t xml:space="preserve">JJA</t>
        </is>
      </c>
      <c r="E668" t="inlineStr">
        <is>
          <t xml:space="preserve">Jun 2005 – Aug 2005</t>
        </is>
      </c>
      <c r="F668" s="3">
        <v>-0.04</v>
      </c>
      <c r="G668" s="4">
        <f>ROUND(F668,1)</f>
        <v>-0.0</v>
      </c>
      <c r="H668" s="2" t="str">
        <f>IF(G668&gt;=0.5,"warm",IF(G668&lt;=-0.5,"cold","neutral"))</f>
        <v>neutral</v>
      </c>
      <c r="I668" s="2">
        <f>IF(H668=H667,I667+1,1)</f>
        <v>5</v>
      </c>
      <c r="J668" s="2">
        <f>IF(H668=H669,J669+1,1)</f>
        <v>4</v>
      </c>
      <c r="K668" s="2">
        <f>I668+J668-1</f>
        <v>8</v>
      </c>
      <c r="L668" s="2" t="str">
        <f>IF(H668="neutral","—",IF(K668&gt;=5,IF(H668="warm","El Niño","La Niña"),IF(ROW()+J668-1=920,IF(H668="warm","El Niño (ongoing)","La Niña (ongoing)"),"—")))</f>
        <v>—</v>
      </c>
      <c r="M668" s="2" t="inlineStr">
        <is>
          <t xml:space="preserve">2005/06</t>
        </is>
      </c>
    </row>
    <row r="669">
      <c r="A669" s="2" t="inlineStr">
        <is>
          <t xml:space="preserve">2005-08</t>
        </is>
      </c>
      <c r="B669" s="2">
        <v>2005</v>
      </c>
      <c r="C669" s="2">
        <v>8</v>
      </c>
      <c r="D669" s="2" t="inlineStr">
        <is>
          <t xml:space="preserve">JAS</t>
        </is>
      </c>
      <c r="E669" t="inlineStr">
        <is>
          <t xml:space="preserve">Jul 2005 – Sep 2005</t>
        </is>
      </c>
      <c r="F669" s="3">
        <v>-0.14</v>
      </c>
      <c r="G669" s="4">
        <f>ROUND(F669,1)</f>
        <v>-0.1</v>
      </c>
      <c r="H669" s="2" t="str">
        <f>IF(G669&gt;=0.5,"warm",IF(G669&lt;=-0.5,"cold","neutral"))</f>
        <v>neutral</v>
      </c>
      <c r="I669" s="2">
        <f>IF(H669=H668,I668+1,1)</f>
        <v>6</v>
      </c>
      <c r="J669" s="2">
        <f>IF(H669=H670,J670+1,1)</f>
        <v>3</v>
      </c>
      <c r="K669" s="2">
        <f>I669+J669-1</f>
        <v>8</v>
      </c>
      <c r="L669" s="2" t="str">
        <f>IF(H669="neutral","—",IF(K669&gt;=5,IF(H669="warm","El Niño","La Niña"),IF(ROW()+J669-1=920,IF(H669="warm","El Niño (ongoing)","La Niña (ongoing)"),"—")))</f>
        <v>—</v>
      </c>
      <c r="M669" s="2" t="inlineStr">
        <is>
          <t xml:space="preserve">2005/06</t>
        </is>
      </c>
    </row>
    <row r="670">
      <c r="A670" s="2" t="inlineStr">
        <is>
          <t xml:space="preserve">2005-09</t>
        </is>
      </c>
      <c r="B670" s="2">
        <v>2005</v>
      </c>
      <c r="C670" s="2">
        <v>9</v>
      </c>
      <c r="D670" s="2" t="inlineStr">
        <is>
          <t xml:space="preserve">ASO</t>
        </is>
      </c>
      <c r="E670" t="inlineStr">
        <is>
          <t xml:space="preserve">Aug 2005 – Oct 2005</t>
        </is>
      </c>
      <c r="F670" s="3">
        <v>-0.11</v>
      </c>
      <c r="G670" s="4">
        <f>ROUND(F670,1)</f>
        <v>-0.1</v>
      </c>
      <c r="H670" s="2" t="str">
        <f>IF(G670&gt;=0.5,"warm",IF(G670&lt;=-0.5,"cold","neutral"))</f>
        <v>neutral</v>
      </c>
      <c r="I670" s="2">
        <f>IF(H670=H669,I669+1,1)</f>
        <v>7</v>
      </c>
      <c r="J670" s="2">
        <f>IF(H670=H671,J671+1,1)</f>
        <v>2</v>
      </c>
      <c r="K670" s="2">
        <f>I670+J670-1</f>
        <v>8</v>
      </c>
      <c r="L670" s="2" t="str">
        <f>IF(H670="neutral","—",IF(K670&gt;=5,IF(H670="warm","El Niño","La Niña"),IF(ROW()+J670-1=920,IF(H670="warm","El Niño (ongoing)","La Niña (ongoing)"),"—")))</f>
        <v>—</v>
      </c>
      <c r="M670" s="2" t="inlineStr">
        <is>
          <t xml:space="preserve">2005/06</t>
        </is>
      </c>
    </row>
    <row r="671">
      <c r="A671" s="2" t="inlineStr">
        <is>
          <t xml:space="preserve">2005-10</t>
        </is>
      </c>
      <c r="B671" s="2">
        <v>2005</v>
      </c>
      <c r="C671" s="2">
        <v>10</v>
      </c>
      <c r="D671" s="2" t="inlineStr">
        <is>
          <t xml:space="preserve">SON</t>
        </is>
      </c>
      <c r="E671" t="inlineStr">
        <is>
          <t xml:space="preserve">Sep 2005 – Nov 2005</t>
        </is>
      </c>
      <c r="F671" s="3">
        <v>-0.27</v>
      </c>
      <c r="G671" s="4">
        <f>ROUND(F671,1)</f>
        <v>-0.3</v>
      </c>
      <c r="H671" s="2" t="str">
        <f>IF(G671&gt;=0.5,"warm",IF(G671&lt;=-0.5,"cold","neutral"))</f>
        <v>neutral</v>
      </c>
      <c r="I671" s="2">
        <f>IF(H671=H670,I670+1,1)</f>
        <v>8</v>
      </c>
      <c r="J671" s="2">
        <f>IF(H671=H672,J672+1,1)</f>
        <v>1</v>
      </c>
      <c r="K671" s="2">
        <f>I671+J671-1</f>
        <v>8</v>
      </c>
      <c r="L671" s="2" t="str">
        <f>IF(H671="neutral","—",IF(K671&gt;=5,IF(H671="warm","El Niño","La Niña"),IF(ROW()+J671-1=920,IF(H671="warm","El Niño (ongoing)","La Niña (ongoing)"),"—")))</f>
        <v>—</v>
      </c>
      <c r="M671" s="2" t="inlineStr">
        <is>
          <t xml:space="preserve">2005/06</t>
        </is>
      </c>
    </row>
    <row r="672">
      <c r="A672" s="2" t="inlineStr">
        <is>
          <t xml:space="preserve">2005-11</t>
        </is>
      </c>
      <c r="B672" s="2">
        <v>2005</v>
      </c>
      <c r="C672" s="2">
        <v>11</v>
      </c>
      <c r="D672" s="2" t="inlineStr">
        <is>
          <t xml:space="preserve">OND</t>
        </is>
      </c>
      <c r="E672" t="inlineStr">
        <is>
          <t xml:space="preserve">Oct 2005 – Dec 2005</t>
        </is>
      </c>
      <c r="F672" s="3">
        <v>-0.57</v>
      </c>
      <c r="G672" s="4">
        <f>ROUND(F672,1)</f>
        <v>-0.6</v>
      </c>
      <c r="H672" s="2" t="str">
        <f>IF(G672&gt;=0.5,"warm",IF(G672&lt;=-0.5,"cold","neutral"))</f>
        <v>cold</v>
      </c>
      <c r="I672" s="2">
        <f>IF(H672=H671,I671+1,1)</f>
        <v>1</v>
      </c>
      <c r="J672" s="2">
        <f>IF(H672=H673,J673+1,1)</f>
        <v>6</v>
      </c>
      <c r="K672" s="2">
        <f>I672+J672-1</f>
        <v>6</v>
      </c>
      <c r="L672" s="5" t="str">
        <f>IF(H672="neutral","—",IF(K672&gt;=5,IF(H672="warm","El Niño","La Niña"),IF(ROW()+J672-1=920,IF(H672="warm","El Niño (ongoing)","La Niña (ongoing)"),"—")))</f>
        <v>La Niña</v>
      </c>
      <c r="M672" s="2" t="inlineStr">
        <is>
          <t xml:space="preserve">2005/06</t>
        </is>
      </c>
    </row>
    <row r="673">
      <c r="A673" s="2" t="inlineStr">
        <is>
          <t xml:space="preserve">2005-12</t>
        </is>
      </c>
      <c r="B673" s="2">
        <v>2005</v>
      </c>
      <c r="C673" s="2">
        <v>12</v>
      </c>
      <c r="D673" s="2" t="inlineStr">
        <is>
          <t xml:space="preserve">NDJ</t>
        </is>
      </c>
      <c r="E673" t="inlineStr">
        <is>
          <t xml:space="preserve">Nov 2005 – Jan 2006</t>
        </is>
      </c>
      <c r="F673" s="3">
        <v>-0.82</v>
      </c>
      <c r="G673" s="4">
        <f>ROUND(F673,1)</f>
        <v>-0.8</v>
      </c>
      <c r="H673" s="2" t="str">
        <f>IF(G673&gt;=0.5,"warm",IF(G673&lt;=-0.5,"cold","neutral"))</f>
        <v>cold</v>
      </c>
      <c r="I673" s="2">
        <f>IF(H673=H672,I672+1,1)</f>
        <v>2</v>
      </c>
      <c r="J673" s="2">
        <f>IF(H673=H674,J674+1,1)</f>
        <v>5</v>
      </c>
      <c r="K673" s="2">
        <f>I673+J673-1</f>
        <v>6</v>
      </c>
      <c r="L673" s="5" t="str">
        <f>IF(H673="neutral","—",IF(K673&gt;=5,IF(H673="warm","El Niño","La Niña"),IF(ROW()+J673-1=920,IF(H673="warm","El Niño (ongoing)","La Niña (ongoing)"),"—")))</f>
        <v>La Niña</v>
      </c>
      <c r="M673" s="2" t="inlineStr">
        <is>
          <t xml:space="preserve">2005/06</t>
        </is>
      </c>
    </row>
    <row r="674">
      <c r="A674" s="2" t="inlineStr">
        <is>
          <t xml:space="preserve">2006-01</t>
        </is>
      </c>
      <c r="B674" s="2">
        <v>2006</v>
      </c>
      <c r="C674" s="2">
        <v>1</v>
      </c>
      <c r="D674" s="2" t="inlineStr">
        <is>
          <t xml:space="preserve">DJF</t>
        </is>
      </c>
      <c r="E674" t="inlineStr">
        <is>
          <t xml:space="preserve">Dec 2005 – Feb 2006</t>
        </is>
      </c>
      <c r="F674" s="3">
        <v>-0.86</v>
      </c>
      <c r="G674" s="4">
        <f>ROUND(F674,1)</f>
        <v>-0.9</v>
      </c>
      <c r="H674" s="2" t="str">
        <f>IF(G674&gt;=0.5,"warm",IF(G674&lt;=-0.5,"cold","neutral"))</f>
        <v>cold</v>
      </c>
      <c r="I674" s="2">
        <f>IF(H674=H673,I673+1,1)</f>
        <v>3</v>
      </c>
      <c r="J674" s="2">
        <f>IF(H674=H675,J675+1,1)</f>
        <v>4</v>
      </c>
      <c r="K674" s="2">
        <f>I674+J674-1</f>
        <v>6</v>
      </c>
      <c r="L674" s="5" t="str">
        <f>IF(H674="neutral","—",IF(K674&gt;=5,IF(H674="warm","El Niño","La Niña"),IF(ROW()+J674-1=920,IF(H674="warm","El Niño (ongoing)","La Niña (ongoing)"),"—")))</f>
        <v>La Niña</v>
      </c>
      <c r="M674" s="2" t="inlineStr">
        <is>
          <t xml:space="preserve">2005/06</t>
        </is>
      </c>
    </row>
    <row r="675">
      <c r="A675" s="2" t="inlineStr">
        <is>
          <t xml:space="preserve">2006-02</t>
        </is>
      </c>
      <c r="B675" s="2">
        <v>2006</v>
      </c>
      <c r="C675" s="2">
        <v>2</v>
      </c>
      <c r="D675" s="2" t="inlineStr">
        <is>
          <t xml:space="preserve">JFM</t>
        </is>
      </c>
      <c r="E675" t="inlineStr">
        <is>
          <t xml:space="preserve">Jan 2006 – Mar 2006</t>
        </is>
      </c>
      <c r="F675" s="3">
        <v>-0.8</v>
      </c>
      <c r="G675" s="4">
        <f>ROUND(F675,1)</f>
        <v>-0.8</v>
      </c>
      <c r="H675" s="2" t="str">
        <f>IF(G675&gt;=0.5,"warm",IF(G675&lt;=-0.5,"cold","neutral"))</f>
        <v>cold</v>
      </c>
      <c r="I675" s="2">
        <f>IF(H675=H674,I674+1,1)</f>
        <v>4</v>
      </c>
      <c r="J675" s="2">
        <f>IF(H675=H676,J676+1,1)</f>
        <v>3</v>
      </c>
      <c r="K675" s="2">
        <f>I675+J675-1</f>
        <v>6</v>
      </c>
      <c r="L675" s="5" t="str">
        <f>IF(H675="neutral","—",IF(K675&gt;=5,IF(H675="warm","El Niño","La Niña"),IF(ROW()+J675-1=920,IF(H675="warm","El Niño (ongoing)","La Niña (ongoing)"),"—")))</f>
        <v>La Niña</v>
      </c>
      <c r="M675" s="2" t="inlineStr">
        <is>
          <t xml:space="preserve">2005/06</t>
        </is>
      </c>
    </row>
    <row r="676">
      <c r="A676" s="2" t="inlineStr">
        <is>
          <t xml:space="preserve">2006-03</t>
        </is>
      </c>
      <c r="B676" s="2">
        <v>2006</v>
      </c>
      <c r="C676" s="2">
        <v>3</v>
      </c>
      <c r="D676" s="2" t="inlineStr">
        <is>
          <t xml:space="preserve">FMA</t>
        </is>
      </c>
      <c r="E676" t="inlineStr">
        <is>
          <t xml:space="preserve">Feb 2006 – Apr 2006</t>
        </is>
      </c>
      <c r="F676" s="3">
        <v>-0.63</v>
      </c>
      <c r="G676" s="4">
        <f>ROUND(F676,1)</f>
        <v>-0.6</v>
      </c>
      <c r="H676" s="2" t="str">
        <f>IF(G676&gt;=0.5,"warm",IF(G676&lt;=-0.5,"cold","neutral"))</f>
        <v>cold</v>
      </c>
      <c r="I676" s="2">
        <f>IF(H676=H675,I675+1,1)</f>
        <v>5</v>
      </c>
      <c r="J676" s="2">
        <f>IF(H676=H677,J677+1,1)</f>
        <v>2</v>
      </c>
      <c r="K676" s="2">
        <f>I676+J676-1</f>
        <v>6</v>
      </c>
      <c r="L676" s="5" t="str">
        <f>IF(H676="neutral","—",IF(K676&gt;=5,IF(H676="warm","El Niño","La Niña"),IF(ROW()+J676-1=920,IF(H676="warm","El Niño (ongoing)","La Niña (ongoing)"),"—")))</f>
        <v>La Niña</v>
      </c>
      <c r="M676" s="2" t="inlineStr">
        <is>
          <t xml:space="preserve">2005/06</t>
        </is>
      </c>
    </row>
    <row r="677">
      <c r="A677" s="2" t="inlineStr">
        <is>
          <t xml:space="preserve">2006-04</t>
        </is>
      </c>
      <c r="B677" s="2">
        <v>2006</v>
      </c>
      <c r="C677" s="2">
        <v>4</v>
      </c>
      <c r="D677" s="2" t="inlineStr">
        <is>
          <t xml:space="preserve">MAM</t>
        </is>
      </c>
      <c r="E677" t="inlineStr">
        <is>
          <t xml:space="preserve">Mar 2006 – May 2006</t>
        </is>
      </c>
      <c r="F677" s="3">
        <v>-0.45</v>
      </c>
      <c r="G677" s="4">
        <f>ROUND(F677,1)</f>
        <v>-0.5</v>
      </c>
      <c r="H677" s="2" t="str">
        <f>IF(G677&gt;=0.5,"warm",IF(G677&lt;=-0.5,"cold","neutral"))</f>
        <v>cold</v>
      </c>
      <c r="I677" s="2">
        <f>IF(H677=H676,I676+1,1)</f>
        <v>6</v>
      </c>
      <c r="J677" s="2">
        <f>IF(H677=H678,J678+1,1)</f>
        <v>1</v>
      </c>
      <c r="K677" s="2">
        <f>I677+J677-1</f>
        <v>6</v>
      </c>
      <c r="L677" s="5" t="str">
        <f>IF(H677="neutral","—",IF(K677&gt;=5,IF(H677="warm","El Niño","La Niña"),IF(ROW()+J677-1=920,IF(H677="warm","El Niño (ongoing)","La Niña (ongoing)"),"—")))</f>
        <v>La Niña</v>
      </c>
      <c r="M677" s="2" t="inlineStr">
        <is>
          <t xml:space="preserve">2005/06</t>
        </is>
      </c>
    </row>
    <row r="678">
      <c r="A678" s="2" t="inlineStr">
        <is>
          <t xml:space="preserve">2006-05</t>
        </is>
      </c>
      <c r="B678" s="2">
        <v>2006</v>
      </c>
      <c r="C678" s="2">
        <v>5</v>
      </c>
      <c r="D678" s="2" t="inlineStr">
        <is>
          <t xml:space="preserve">AMJ</t>
        </is>
      </c>
      <c r="E678" t="inlineStr">
        <is>
          <t xml:space="preserve">Apr 2006 – Jun 2006</t>
        </is>
      </c>
      <c r="F678" s="3">
        <v>-0.19</v>
      </c>
      <c r="G678" s="4">
        <f>ROUND(F678,1)</f>
        <v>-0.2</v>
      </c>
      <c r="H678" s="2" t="str">
        <f>IF(G678&gt;=0.5,"warm",IF(G678&lt;=-0.5,"cold","neutral"))</f>
        <v>neutral</v>
      </c>
      <c r="I678" s="2">
        <f>IF(H678=H677,I677+1,1)</f>
        <v>1</v>
      </c>
      <c r="J678" s="2">
        <f>IF(H678=H679,J679+1,1)</f>
        <v>4</v>
      </c>
      <c r="K678" s="2">
        <f>I678+J678-1</f>
        <v>4</v>
      </c>
      <c r="L678" s="2" t="str">
        <f>IF(H678="neutral","—",IF(K678&gt;=5,IF(H678="warm","El Niño","La Niña"),IF(ROW()+J678-1=920,IF(H678="warm","El Niño (ongoing)","La Niña (ongoing)"),"—")))</f>
        <v>—</v>
      </c>
      <c r="M678" s="2" t="inlineStr">
        <is>
          <t xml:space="preserve">2005/06</t>
        </is>
      </c>
    </row>
    <row r="679">
      <c r="A679" s="2" t="inlineStr">
        <is>
          <t xml:space="preserve">2006-06</t>
        </is>
      </c>
      <c r="B679" s="2">
        <v>2006</v>
      </c>
      <c r="C679" s="2">
        <v>6</v>
      </c>
      <c r="D679" s="2" t="inlineStr">
        <is>
          <t xml:space="preserve">MJJ</t>
        </is>
      </c>
      <c r="E679" t="inlineStr">
        <is>
          <t xml:space="preserve">May 2006 – Jul 2006</t>
        </is>
      </c>
      <c r="F679" s="3">
        <v>-0.05</v>
      </c>
      <c r="G679" s="4">
        <f>ROUND(F679,1)</f>
        <v>-0.1</v>
      </c>
      <c r="H679" s="2" t="str">
        <f>IF(G679&gt;=0.5,"warm",IF(G679&lt;=-0.5,"cold","neutral"))</f>
        <v>neutral</v>
      </c>
      <c r="I679" s="2">
        <f>IF(H679=H678,I678+1,1)</f>
        <v>2</v>
      </c>
      <c r="J679" s="2">
        <f>IF(H679=H680,J680+1,1)</f>
        <v>3</v>
      </c>
      <c r="K679" s="2">
        <f>I679+J679-1</f>
        <v>4</v>
      </c>
      <c r="L679" s="2" t="str">
        <f>IF(H679="neutral","—",IF(K679&gt;=5,IF(H679="warm","El Niño","La Niña"),IF(ROW()+J679-1=920,IF(H679="warm","El Niño (ongoing)","La Niña (ongoing)"),"—")))</f>
        <v>—</v>
      </c>
      <c r="M679" s="2" t="inlineStr">
        <is>
          <t xml:space="preserve">2005/06</t>
        </is>
      </c>
    </row>
    <row r="680">
      <c r="A680" s="2" t="inlineStr">
        <is>
          <t xml:space="preserve">2006-07</t>
        </is>
      </c>
      <c r="B680" s="2">
        <v>2006</v>
      </c>
      <c r="C680" s="2">
        <v>7</v>
      </c>
      <c r="D680" s="2" t="inlineStr">
        <is>
          <t xml:space="preserve">JJA</t>
        </is>
      </c>
      <c r="E680" t="inlineStr">
        <is>
          <t xml:space="preserve">Jun 2006 – Aug 2006</t>
        </is>
      </c>
      <c r="F680" s="3">
        <v>0.12</v>
      </c>
      <c r="G680" s="4">
        <f>ROUND(F680,1)</f>
        <v>0.1</v>
      </c>
      <c r="H680" s="2" t="str">
        <f>IF(G680&gt;=0.5,"warm",IF(G680&lt;=-0.5,"cold","neutral"))</f>
        <v>neutral</v>
      </c>
      <c r="I680" s="2">
        <f>IF(H680=H679,I679+1,1)</f>
        <v>3</v>
      </c>
      <c r="J680" s="2">
        <f>IF(H680=H681,J681+1,1)</f>
        <v>2</v>
      </c>
      <c r="K680" s="2">
        <f>I680+J680-1</f>
        <v>4</v>
      </c>
      <c r="L680" s="2" t="str">
        <f>IF(H680="neutral","—",IF(K680&gt;=5,IF(H680="warm","El Niño","La Niña"),IF(ROW()+J680-1=920,IF(H680="warm","El Niño (ongoing)","La Niña (ongoing)"),"—")))</f>
        <v>—</v>
      </c>
      <c r="M680" s="2" t="inlineStr">
        <is>
          <t xml:space="preserve">2006/07</t>
        </is>
      </c>
    </row>
    <row r="681">
      <c r="A681" s="2" t="inlineStr">
        <is>
          <t xml:space="preserve">2006-08</t>
        </is>
      </c>
      <c r="B681" s="2">
        <v>2006</v>
      </c>
      <c r="C681" s="2">
        <v>8</v>
      </c>
      <c r="D681" s="2" t="inlineStr">
        <is>
          <t xml:space="preserve">JAS</t>
        </is>
      </c>
      <c r="E681" t="inlineStr">
        <is>
          <t xml:space="preserve">Jul 2006 – Sep 2006</t>
        </is>
      </c>
      <c r="F681" s="3">
        <v>0.33</v>
      </c>
      <c r="G681" s="4">
        <f>ROUND(F681,1)</f>
        <v>0.3</v>
      </c>
      <c r="H681" s="2" t="str">
        <f>IF(G681&gt;=0.5,"warm",IF(G681&lt;=-0.5,"cold","neutral"))</f>
        <v>neutral</v>
      </c>
      <c r="I681" s="2">
        <f>IF(H681=H680,I680+1,1)</f>
        <v>4</v>
      </c>
      <c r="J681" s="2">
        <f>IF(H681=H682,J682+1,1)</f>
        <v>1</v>
      </c>
      <c r="K681" s="2">
        <f>I681+J681-1</f>
        <v>4</v>
      </c>
      <c r="L681" s="2" t="str">
        <f>IF(H681="neutral","—",IF(K681&gt;=5,IF(H681="warm","El Niño","La Niña"),IF(ROW()+J681-1=920,IF(H681="warm","El Niño (ongoing)","La Niña (ongoing)"),"—")))</f>
        <v>—</v>
      </c>
      <c r="M681" s="2" t="inlineStr">
        <is>
          <t xml:space="preserve">2006/07</t>
        </is>
      </c>
    </row>
    <row r="682">
      <c r="A682" s="2" t="inlineStr">
        <is>
          <t xml:space="preserve">2006-09</t>
        </is>
      </c>
      <c r="B682" s="2">
        <v>2006</v>
      </c>
      <c r="C682" s="2">
        <v>9</v>
      </c>
      <c r="D682" s="2" t="inlineStr">
        <is>
          <t xml:space="preserve">ASO</t>
        </is>
      </c>
      <c r="E682" t="inlineStr">
        <is>
          <t xml:space="preserve">Aug 2006 – Oct 2006</t>
        </is>
      </c>
      <c r="F682" s="3">
        <v>0.54</v>
      </c>
      <c r="G682" s="4">
        <f>ROUND(F682,1)</f>
        <v>0.5</v>
      </c>
      <c r="H682" s="2" t="str">
        <f>IF(G682&gt;=0.5,"warm",IF(G682&lt;=-0.5,"cold","neutral"))</f>
        <v>warm</v>
      </c>
      <c r="I682" s="2">
        <f>IF(H682=H681,I681+1,1)</f>
        <v>1</v>
      </c>
      <c r="J682" s="2">
        <f>IF(H682=H683,J683+1,1)</f>
        <v>5</v>
      </c>
      <c r="K682" s="2">
        <f>I682+J682-1</f>
        <v>5</v>
      </c>
      <c r="L682" s="6" t="str">
        <f>IF(H682="neutral","—",IF(K682&gt;=5,IF(H682="warm","El Niño","La Niña"),IF(ROW()+J682-1=920,IF(H682="warm","El Niño (ongoing)","La Niña (ongoing)"),"—")))</f>
        <v>El Niño</v>
      </c>
      <c r="M682" s="2" t="inlineStr">
        <is>
          <t xml:space="preserve">2006/07</t>
        </is>
      </c>
    </row>
    <row r="683">
      <c r="A683" s="2" t="inlineStr">
        <is>
          <t xml:space="preserve">2006-10</t>
        </is>
      </c>
      <c r="B683" s="2">
        <v>2006</v>
      </c>
      <c r="C683" s="2">
        <v>10</v>
      </c>
      <c r="D683" s="2" t="inlineStr">
        <is>
          <t xml:space="preserve">SON</t>
        </is>
      </c>
      <c r="E683" t="inlineStr">
        <is>
          <t xml:space="preserve">Sep 2006 – Nov 2006</t>
        </is>
      </c>
      <c r="F683" s="3">
        <v>0.71</v>
      </c>
      <c r="G683" s="4">
        <f>ROUND(F683,1)</f>
        <v>0.7</v>
      </c>
      <c r="H683" s="2" t="str">
        <f>IF(G683&gt;=0.5,"warm",IF(G683&lt;=-0.5,"cold","neutral"))</f>
        <v>warm</v>
      </c>
      <c r="I683" s="2">
        <f>IF(H683=H682,I682+1,1)</f>
        <v>2</v>
      </c>
      <c r="J683" s="2">
        <f>IF(H683=H684,J684+1,1)</f>
        <v>4</v>
      </c>
      <c r="K683" s="2">
        <f>I683+J683-1</f>
        <v>5</v>
      </c>
      <c r="L683" s="6" t="str">
        <f>IF(H683="neutral","—",IF(K683&gt;=5,IF(H683="warm","El Niño","La Niña"),IF(ROW()+J683-1=920,IF(H683="warm","El Niño (ongoing)","La Niña (ongoing)"),"—")))</f>
        <v>El Niño</v>
      </c>
      <c r="M683" s="2" t="inlineStr">
        <is>
          <t xml:space="preserve">2006/07</t>
        </is>
      </c>
    </row>
    <row r="684">
      <c r="A684" s="2" t="inlineStr">
        <is>
          <t xml:space="preserve">2006-11</t>
        </is>
      </c>
      <c r="B684" s="2">
        <v>2006</v>
      </c>
      <c r="C684" s="2">
        <v>11</v>
      </c>
      <c r="D684" s="2" t="inlineStr">
        <is>
          <t xml:space="preserve">OND</t>
        </is>
      </c>
      <c r="E684" t="inlineStr">
        <is>
          <t xml:space="preserve">Oct 2006 – Dec 2006</t>
        </is>
      </c>
      <c r="F684" s="3">
        <v>0.88</v>
      </c>
      <c r="G684" s="4">
        <f>ROUND(F684,1)</f>
        <v>0.9</v>
      </c>
      <c r="H684" s="2" t="str">
        <f>IF(G684&gt;=0.5,"warm",IF(G684&lt;=-0.5,"cold","neutral"))</f>
        <v>warm</v>
      </c>
      <c r="I684" s="2">
        <f>IF(H684=H683,I683+1,1)</f>
        <v>3</v>
      </c>
      <c r="J684" s="2">
        <f>IF(H684=H685,J685+1,1)</f>
        <v>3</v>
      </c>
      <c r="K684" s="2">
        <f>I684+J684-1</f>
        <v>5</v>
      </c>
      <c r="L684" s="6" t="str">
        <f>IF(H684="neutral","—",IF(K684&gt;=5,IF(H684="warm","El Niño","La Niña"),IF(ROW()+J684-1=920,IF(H684="warm","El Niño (ongoing)","La Niña (ongoing)"),"—")))</f>
        <v>El Niño</v>
      </c>
      <c r="M684" s="2" t="inlineStr">
        <is>
          <t xml:space="preserve">2006/07</t>
        </is>
      </c>
    </row>
    <row r="685">
      <c r="A685" s="2" t="inlineStr">
        <is>
          <t xml:space="preserve">2006-12</t>
        </is>
      </c>
      <c r="B685" s="2">
        <v>2006</v>
      </c>
      <c r="C685" s="2">
        <v>12</v>
      </c>
      <c r="D685" s="2" t="inlineStr">
        <is>
          <t xml:space="preserve">NDJ</t>
        </is>
      </c>
      <c r="E685" t="inlineStr">
        <is>
          <t xml:space="preserve">Nov 2006 – Jan 2007</t>
        </is>
      </c>
      <c r="F685" s="3">
        <v>0.88</v>
      </c>
      <c r="G685" s="4">
        <f>ROUND(F685,1)</f>
        <v>0.9</v>
      </c>
      <c r="H685" s="2" t="str">
        <f>IF(G685&gt;=0.5,"warm",IF(G685&lt;=-0.5,"cold","neutral"))</f>
        <v>warm</v>
      </c>
      <c r="I685" s="2">
        <f>IF(H685=H684,I684+1,1)</f>
        <v>4</v>
      </c>
      <c r="J685" s="2">
        <f>IF(H685=H686,J686+1,1)</f>
        <v>2</v>
      </c>
      <c r="K685" s="2">
        <f>I685+J685-1</f>
        <v>5</v>
      </c>
      <c r="L685" s="6" t="str">
        <f>IF(H685="neutral","—",IF(K685&gt;=5,IF(H685="warm","El Niño","La Niña"),IF(ROW()+J685-1=920,IF(H685="warm","El Niño (ongoing)","La Niña (ongoing)"),"—")))</f>
        <v>El Niño</v>
      </c>
      <c r="M685" s="2" t="inlineStr">
        <is>
          <t xml:space="preserve">2006/07</t>
        </is>
      </c>
    </row>
    <row r="686">
      <c r="A686" s="2" t="inlineStr">
        <is>
          <t xml:space="preserve">2007-01</t>
        </is>
      </c>
      <c r="B686" s="2">
        <v>2007</v>
      </c>
      <c r="C686" s="2">
        <v>1</v>
      </c>
      <c r="D686" s="2" t="inlineStr">
        <is>
          <t xml:space="preserve">DJF</t>
        </is>
      </c>
      <c r="E686" t="inlineStr">
        <is>
          <t xml:space="preserve">Dec 2006 – Feb 2007</t>
        </is>
      </c>
      <c r="F686" s="3">
        <v>0.62</v>
      </c>
      <c r="G686" s="4">
        <f>ROUND(F686,1)</f>
        <v>0.6</v>
      </c>
      <c r="H686" s="2" t="str">
        <f>IF(G686&gt;=0.5,"warm",IF(G686&lt;=-0.5,"cold","neutral"))</f>
        <v>warm</v>
      </c>
      <c r="I686" s="2">
        <f>IF(H686=H685,I685+1,1)</f>
        <v>5</v>
      </c>
      <c r="J686" s="2">
        <f>IF(H686=H687,J687+1,1)</f>
        <v>1</v>
      </c>
      <c r="K686" s="2">
        <f>I686+J686-1</f>
        <v>5</v>
      </c>
      <c r="L686" s="6" t="str">
        <f>IF(H686="neutral","—",IF(K686&gt;=5,IF(H686="warm","El Niño","La Niña"),IF(ROW()+J686-1=920,IF(H686="warm","El Niño (ongoing)","La Niña (ongoing)"),"—")))</f>
        <v>El Niño</v>
      </c>
      <c r="M686" s="2" t="inlineStr">
        <is>
          <t xml:space="preserve">2006/07</t>
        </is>
      </c>
    </row>
    <row r="687">
      <c r="A687" s="2" t="inlineStr">
        <is>
          <t xml:space="preserve">2007-02</t>
        </is>
      </c>
      <c r="B687" s="2">
        <v>2007</v>
      </c>
      <c r="C687" s="2">
        <v>2</v>
      </c>
      <c r="D687" s="2" t="inlineStr">
        <is>
          <t xml:space="preserve">JFM</t>
        </is>
      </c>
      <c r="E687" t="inlineStr">
        <is>
          <t xml:space="preserve">Jan 2007 – Mar 2007</t>
        </is>
      </c>
      <c r="F687" s="3">
        <v>0.19</v>
      </c>
      <c r="G687" s="4">
        <f>ROUND(F687,1)</f>
        <v>0.2</v>
      </c>
      <c r="H687" s="2" t="str">
        <f>IF(G687&gt;=0.5,"warm",IF(G687&lt;=-0.5,"cold","neutral"))</f>
        <v>neutral</v>
      </c>
      <c r="I687" s="2">
        <f>IF(H687=H686,I686+1,1)</f>
        <v>1</v>
      </c>
      <c r="J687" s="2">
        <f>IF(H687=H688,J688+1,1)</f>
        <v>5</v>
      </c>
      <c r="K687" s="2">
        <f>I687+J687-1</f>
        <v>5</v>
      </c>
      <c r="L687" s="2" t="str">
        <f>IF(H687="neutral","—",IF(K687&gt;=5,IF(H687="warm","El Niño","La Niña"),IF(ROW()+J687-1=920,IF(H687="warm","El Niño (ongoing)","La Niña (ongoing)"),"—")))</f>
        <v>—</v>
      </c>
      <c r="M687" s="2" t="inlineStr">
        <is>
          <t xml:space="preserve">2006/07</t>
        </is>
      </c>
    </row>
    <row r="688">
      <c r="A688" s="2" t="inlineStr">
        <is>
          <t xml:space="preserve">2007-03</t>
        </is>
      </c>
      <c r="B688" s="2">
        <v>2007</v>
      </c>
      <c r="C688" s="2">
        <v>3</v>
      </c>
      <c r="D688" s="2" t="inlineStr">
        <is>
          <t xml:space="preserve">FMA</t>
        </is>
      </c>
      <c r="E688" t="inlineStr">
        <is>
          <t xml:space="preserve">Feb 2007 – Apr 2007</t>
        </is>
      </c>
      <c r="F688" s="3">
        <v>-0.12</v>
      </c>
      <c r="G688" s="4">
        <f>ROUND(F688,1)</f>
        <v>-0.1</v>
      </c>
      <c r="H688" s="2" t="str">
        <f>IF(G688&gt;=0.5,"warm",IF(G688&lt;=-0.5,"cold","neutral"))</f>
        <v>neutral</v>
      </c>
      <c r="I688" s="2">
        <f>IF(H688=H687,I687+1,1)</f>
        <v>2</v>
      </c>
      <c r="J688" s="2">
        <f>IF(H688=H689,J689+1,1)</f>
        <v>4</v>
      </c>
      <c r="K688" s="2">
        <f>I688+J688-1</f>
        <v>5</v>
      </c>
      <c r="L688" s="2" t="str">
        <f>IF(H688="neutral","—",IF(K688&gt;=5,IF(H688="warm","El Niño","La Niña"),IF(ROW()+J688-1=920,IF(H688="warm","El Niño (ongoing)","La Niña (ongoing)"),"—")))</f>
        <v>—</v>
      </c>
      <c r="M688" s="2" t="inlineStr">
        <is>
          <t xml:space="preserve">2006/07</t>
        </is>
      </c>
    </row>
    <row r="689">
      <c r="A689" s="2" t="inlineStr">
        <is>
          <t xml:space="preserve">2007-04</t>
        </is>
      </c>
      <c r="B689" s="2">
        <v>2007</v>
      </c>
      <c r="C689" s="2">
        <v>4</v>
      </c>
      <c r="D689" s="2" t="inlineStr">
        <is>
          <t xml:space="preserve">MAM</t>
        </is>
      </c>
      <c r="E689" t="inlineStr">
        <is>
          <t xml:space="preserve">Mar 2007 – May 2007</t>
        </is>
      </c>
      <c r="F689" s="3">
        <v>-0.32</v>
      </c>
      <c r="G689" s="4">
        <f>ROUND(F689,1)</f>
        <v>-0.3</v>
      </c>
      <c r="H689" s="2" t="str">
        <f>IF(G689&gt;=0.5,"warm",IF(G689&lt;=-0.5,"cold","neutral"))</f>
        <v>neutral</v>
      </c>
      <c r="I689" s="2">
        <f>IF(H689=H688,I688+1,1)</f>
        <v>3</v>
      </c>
      <c r="J689" s="2">
        <f>IF(H689=H690,J690+1,1)</f>
        <v>3</v>
      </c>
      <c r="K689" s="2">
        <f>I689+J689-1</f>
        <v>5</v>
      </c>
      <c r="L689" s="2" t="str">
        <f>IF(H689="neutral","—",IF(K689&gt;=5,IF(H689="warm","El Niño","La Niña"),IF(ROW()+J689-1=920,IF(H689="warm","El Niño (ongoing)","La Niña (ongoing)"),"—")))</f>
        <v>—</v>
      </c>
      <c r="M689" s="2" t="inlineStr">
        <is>
          <t xml:space="preserve">2006/07</t>
        </is>
      </c>
    </row>
    <row r="690">
      <c r="A690" s="2" t="inlineStr">
        <is>
          <t xml:space="preserve">2007-05</t>
        </is>
      </c>
      <c r="B690" s="2">
        <v>2007</v>
      </c>
      <c r="C690" s="2">
        <v>5</v>
      </c>
      <c r="D690" s="2" t="inlineStr">
        <is>
          <t xml:space="preserve">AMJ</t>
        </is>
      </c>
      <c r="E690" t="inlineStr">
        <is>
          <t xml:space="preserve">Apr 2007 – Jun 2007</t>
        </is>
      </c>
      <c r="F690" s="3">
        <v>-0.34</v>
      </c>
      <c r="G690" s="4">
        <f>ROUND(F690,1)</f>
        <v>-0.3</v>
      </c>
      <c r="H690" s="2" t="str">
        <f>IF(G690&gt;=0.5,"warm",IF(G690&lt;=-0.5,"cold","neutral"))</f>
        <v>neutral</v>
      </c>
      <c r="I690" s="2">
        <f>IF(H690=H689,I689+1,1)</f>
        <v>4</v>
      </c>
      <c r="J690" s="2">
        <f>IF(H690=H691,J691+1,1)</f>
        <v>2</v>
      </c>
      <c r="K690" s="2">
        <f>I690+J690-1</f>
        <v>5</v>
      </c>
      <c r="L690" s="2" t="str">
        <f>IF(H690="neutral","—",IF(K690&gt;=5,IF(H690="warm","El Niño","La Niña"),IF(ROW()+J690-1=920,IF(H690="warm","El Niño (ongoing)","La Niña (ongoing)"),"—")))</f>
        <v>—</v>
      </c>
      <c r="M690" s="2" t="inlineStr">
        <is>
          <t xml:space="preserve">2006/07</t>
        </is>
      </c>
    </row>
    <row r="691">
      <c r="A691" s="2" t="inlineStr">
        <is>
          <t xml:space="preserve">2007-06</t>
        </is>
      </c>
      <c r="B691" s="2">
        <v>2007</v>
      </c>
      <c r="C691" s="2">
        <v>6</v>
      </c>
      <c r="D691" s="2" t="inlineStr">
        <is>
          <t xml:space="preserve">MJJ</t>
        </is>
      </c>
      <c r="E691" t="inlineStr">
        <is>
          <t xml:space="preserve">May 2007 – Jul 2007</t>
        </is>
      </c>
      <c r="F691" s="3">
        <v>-0.41</v>
      </c>
      <c r="G691" s="4">
        <f>ROUND(F691,1)</f>
        <v>-0.4</v>
      </c>
      <c r="H691" s="2" t="str">
        <f>IF(G691&gt;=0.5,"warm",IF(G691&lt;=-0.5,"cold","neutral"))</f>
        <v>neutral</v>
      </c>
      <c r="I691" s="2">
        <f>IF(H691=H690,I690+1,1)</f>
        <v>5</v>
      </c>
      <c r="J691" s="2">
        <f>IF(H691=H692,J692+1,1)</f>
        <v>1</v>
      </c>
      <c r="K691" s="2">
        <f>I691+J691-1</f>
        <v>5</v>
      </c>
      <c r="L691" s="2" t="str">
        <f>IF(H691="neutral","—",IF(K691&gt;=5,IF(H691="warm","El Niño","La Niña"),IF(ROW()+J691-1=920,IF(H691="warm","El Niño (ongoing)","La Niña (ongoing)"),"—")))</f>
        <v>—</v>
      </c>
      <c r="M691" s="2" t="inlineStr">
        <is>
          <t xml:space="preserve">2006/07</t>
        </is>
      </c>
    </row>
    <row r="692">
      <c r="A692" s="2" t="inlineStr">
        <is>
          <t xml:space="preserve">2007-07</t>
        </is>
      </c>
      <c r="B692" s="2">
        <v>2007</v>
      </c>
      <c r="C692" s="2">
        <v>7</v>
      </c>
      <c r="D692" s="2" t="inlineStr">
        <is>
          <t xml:space="preserve">JJA</t>
        </is>
      </c>
      <c r="E692" t="inlineStr">
        <is>
          <t xml:space="preserve">Jun 2007 – Aug 2007</t>
        </is>
      </c>
      <c r="F692" s="3">
        <v>-0.49</v>
      </c>
      <c r="G692" s="4">
        <f>ROUND(F692,1)</f>
        <v>-0.5</v>
      </c>
      <c r="H692" s="2" t="str">
        <f>IF(G692&gt;=0.5,"warm",IF(G692&lt;=-0.5,"cold","neutral"))</f>
        <v>cold</v>
      </c>
      <c r="I692" s="2">
        <f>IF(H692=H691,I691+1,1)</f>
        <v>1</v>
      </c>
      <c r="J692" s="2">
        <f>IF(H692=H693,J693+1,1)</f>
        <v>12</v>
      </c>
      <c r="K692" s="2">
        <f>I692+J692-1</f>
        <v>12</v>
      </c>
      <c r="L692" s="5" t="str">
        <f>IF(H692="neutral","—",IF(K692&gt;=5,IF(H692="warm","El Niño","La Niña"),IF(ROW()+J692-1=920,IF(H692="warm","El Niño (ongoing)","La Niña (ongoing)"),"—")))</f>
        <v>La Niña</v>
      </c>
      <c r="M692" s="2" t="inlineStr">
        <is>
          <t xml:space="preserve">2007/08</t>
        </is>
      </c>
    </row>
    <row r="693">
      <c r="A693" s="2" t="inlineStr">
        <is>
          <t xml:space="preserve">2007-08</t>
        </is>
      </c>
      <c r="B693" s="2">
        <v>2007</v>
      </c>
      <c r="C693" s="2">
        <v>8</v>
      </c>
      <c r="D693" s="2" t="inlineStr">
        <is>
          <t xml:space="preserve">JAS</t>
        </is>
      </c>
      <c r="E693" t="inlineStr">
        <is>
          <t xml:space="preserve">Jul 2007 – Sep 2007</t>
        </is>
      </c>
      <c r="F693" s="3">
        <v>-0.77</v>
      </c>
      <c r="G693" s="4">
        <f>ROUND(F693,1)</f>
        <v>-0.8</v>
      </c>
      <c r="H693" s="2" t="str">
        <f>IF(G693&gt;=0.5,"warm",IF(G693&lt;=-0.5,"cold","neutral"))</f>
        <v>cold</v>
      </c>
      <c r="I693" s="2">
        <f>IF(H693=H692,I692+1,1)</f>
        <v>2</v>
      </c>
      <c r="J693" s="2">
        <f>IF(H693=H694,J694+1,1)</f>
        <v>11</v>
      </c>
      <c r="K693" s="2">
        <f>I693+J693-1</f>
        <v>12</v>
      </c>
      <c r="L693" s="5" t="str">
        <f>IF(H693="neutral","—",IF(K693&gt;=5,IF(H693="warm","El Niño","La Niña"),IF(ROW()+J693-1=920,IF(H693="warm","El Niño (ongoing)","La Niña (ongoing)"),"—")))</f>
        <v>La Niña</v>
      </c>
      <c r="M693" s="2" t="inlineStr">
        <is>
          <t xml:space="preserve">2007/08</t>
        </is>
      </c>
    </row>
    <row r="694">
      <c r="A694" s="2" t="inlineStr">
        <is>
          <t xml:space="preserve">2007-09</t>
        </is>
      </c>
      <c r="B694" s="2">
        <v>2007</v>
      </c>
      <c r="C694" s="2">
        <v>9</v>
      </c>
      <c r="D694" s="2" t="inlineStr">
        <is>
          <t xml:space="preserve">ASO</t>
        </is>
      </c>
      <c r="E694" t="inlineStr">
        <is>
          <t xml:space="preserve">Aug 2007 – Oct 2007</t>
        </is>
      </c>
      <c r="F694" s="3">
        <v>-1.05</v>
      </c>
      <c r="G694" s="4">
        <f>ROUND(F694,1)</f>
        <v>-1.1</v>
      </c>
      <c r="H694" s="2" t="str">
        <f>IF(G694&gt;=0.5,"warm",IF(G694&lt;=-0.5,"cold","neutral"))</f>
        <v>cold</v>
      </c>
      <c r="I694" s="2">
        <f>IF(H694=H693,I693+1,1)</f>
        <v>3</v>
      </c>
      <c r="J694" s="2">
        <f>IF(H694=H695,J695+1,1)</f>
        <v>10</v>
      </c>
      <c r="K694" s="2">
        <f>I694+J694-1</f>
        <v>12</v>
      </c>
      <c r="L694" s="5" t="str">
        <f>IF(H694="neutral","—",IF(K694&gt;=5,IF(H694="warm","El Niño","La Niña"),IF(ROW()+J694-1=920,IF(H694="warm","El Niño (ongoing)","La Niña (ongoing)"),"—")))</f>
        <v>La Niña</v>
      </c>
      <c r="M694" s="2" t="inlineStr">
        <is>
          <t xml:space="preserve">2007/08</t>
        </is>
      </c>
    </row>
    <row r="695">
      <c r="A695" s="2" t="inlineStr">
        <is>
          <t xml:space="preserve">2007-10</t>
        </is>
      </c>
      <c r="B695" s="2">
        <v>2007</v>
      </c>
      <c r="C695" s="2">
        <v>10</v>
      </c>
      <c r="D695" s="2" t="inlineStr">
        <is>
          <t xml:space="preserve">SON</t>
        </is>
      </c>
      <c r="E695" t="inlineStr">
        <is>
          <t xml:space="preserve">Sep 2007 – Nov 2007</t>
        </is>
      </c>
      <c r="F695" s="3">
        <v>-1.38</v>
      </c>
      <c r="G695" s="4">
        <f>ROUND(F695,1)</f>
        <v>-1.4</v>
      </c>
      <c r="H695" s="2" t="str">
        <f>IF(G695&gt;=0.5,"warm",IF(G695&lt;=-0.5,"cold","neutral"))</f>
        <v>cold</v>
      </c>
      <c r="I695" s="2">
        <f>IF(H695=H694,I694+1,1)</f>
        <v>4</v>
      </c>
      <c r="J695" s="2">
        <f>IF(H695=H696,J696+1,1)</f>
        <v>9</v>
      </c>
      <c r="K695" s="2">
        <f>I695+J695-1</f>
        <v>12</v>
      </c>
      <c r="L695" s="5" t="str">
        <f>IF(H695="neutral","—",IF(K695&gt;=5,IF(H695="warm","El Niño","La Niña"),IF(ROW()+J695-1=920,IF(H695="warm","El Niño (ongoing)","La Niña (ongoing)"),"—")))</f>
        <v>La Niña</v>
      </c>
      <c r="M695" s="2" t="inlineStr">
        <is>
          <t xml:space="preserve">2007/08</t>
        </is>
      </c>
    </row>
    <row r="696">
      <c r="A696" s="2" t="inlineStr">
        <is>
          <t xml:space="preserve">2007-11</t>
        </is>
      </c>
      <c r="B696" s="2">
        <v>2007</v>
      </c>
      <c r="C696" s="2">
        <v>11</v>
      </c>
      <c r="D696" s="2" t="inlineStr">
        <is>
          <t xml:space="preserve">OND</t>
        </is>
      </c>
      <c r="E696" t="inlineStr">
        <is>
          <t xml:space="preserve">Oct 2007 – Dec 2007</t>
        </is>
      </c>
      <c r="F696" s="3">
        <v>-1.57</v>
      </c>
      <c r="G696" s="4">
        <f>ROUND(F696,1)</f>
        <v>-1.6</v>
      </c>
      <c r="H696" s="2" t="str">
        <f>IF(G696&gt;=0.5,"warm",IF(G696&lt;=-0.5,"cold","neutral"))</f>
        <v>cold</v>
      </c>
      <c r="I696" s="2">
        <f>IF(H696=H695,I695+1,1)</f>
        <v>5</v>
      </c>
      <c r="J696" s="2">
        <f>IF(H696=H697,J697+1,1)</f>
        <v>8</v>
      </c>
      <c r="K696" s="2">
        <f>I696+J696-1</f>
        <v>12</v>
      </c>
      <c r="L696" s="5" t="str">
        <f>IF(H696="neutral","—",IF(K696&gt;=5,IF(H696="warm","El Niño","La Niña"),IF(ROW()+J696-1=920,IF(H696="warm","El Niño (ongoing)","La Niña (ongoing)"),"—")))</f>
        <v>La Niña</v>
      </c>
      <c r="M696" s="2" t="inlineStr">
        <is>
          <t xml:space="preserve">2007/08</t>
        </is>
      </c>
    </row>
    <row r="697">
      <c r="A697" s="2" t="inlineStr">
        <is>
          <t xml:space="preserve">2007-12</t>
        </is>
      </c>
      <c r="B697" s="2">
        <v>2007</v>
      </c>
      <c r="C697" s="2">
        <v>12</v>
      </c>
      <c r="D697" s="2" t="inlineStr">
        <is>
          <t xml:space="preserve">NDJ</t>
        </is>
      </c>
      <c r="E697" t="inlineStr">
        <is>
          <t xml:space="preserve">Nov 2007 – Jan 2008</t>
        </is>
      </c>
      <c r="F697" s="3">
        <v>-1.72</v>
      </c>
      <c r="G697" s="4">
        <f>ROUND(F697,1)</f>
        <v>-1.7</v>
      </c>
      <c r="H697" s="2" t="str">
        <f>IF(G697&gt;=0.5,"warm",IF(G697&lt;=-0.5,"cold","neutral"))</f>
        <v>cold</v>
      </c>
      <c r="I697" s="2">
        <f>IF(H697=H696,I696+1,1)</f>
        <v>6</v>
      </c>
      <c r="J697" s="2">
        <f>IF(H697=H698,J698+1,1)</f>
        <v>7</v>
      </c>
      <c r="K697" s="2">
        <f>I697+J697-1</f>
        <v>12</v>
      </c>
      <c r="L697" s="5" t="str">
        <f>IF(H697="neutral","—",IF(K697&gt;=5,IF(H697="warm","El Niño","La Niña"),IF(ROW()+J697-1=920,IF(H697="warm","El Niño (ongoing)","La Niña (ongoing)"),"—")))</f>
        <v>La Niña</v>
      </c>
      <c r="M697" s="2" t="inlineStr">
        <is>
          <t xml:space="preserve">2007/08</t>
        </is>
      </c>
    </row>
    <row r="698">
      <c r="A698" s="2" t="inlineStr">
        <is>
          <t xml:space="preserve">2008-01</t>
        </is>
      </c>
      <c r="B698" s="2">
        <v>2008</v>
      </c>
      <c r="C698" s="2">
        <v>1</v>
      </c>
      <c r="D698" s="2" t="inlineStr">
        <is>
          <t xml:space="preserve">DJF</t>
        </is>
      </c>
      <c r="E698" t="inlineStr">
        <is>
          <t xml:space="preserve">Dec 2007 – Feb 2008</t>
        </is>
      </c>
      <c r="F698" s="3">
        <v>-1.76</v>
      </c>
      <c r="G698" s="4">
        <f>ROUND(F698,1)</f>
        <v>-1.8</v>
      </c>
      <c r="H698" s="2" t="str">
        <f>IF(G698&gt;=0.5,"warm",IF(G698&lt;=-0.5,"cold","neutral"))</f>
        <v>cold</v>
      </c>
      <c r="I698" s="2">
        <f>IF(H698=H697,I697+1,1)</f>
        <v>7</v>
      </c>
      <c r="J698" s="2">
        <f>IF(H698=H699,J699+1,1)</f>
        <v>6</v>
      </c>
      <c r="K698" s="2">
        <f>I698+J698-1</f>
        <v>12</v>
      </c>
      <c r="L698" s="5" t="str">
        <f>IF(H698="neutral","—",IF(K698&gt;=5,IF(H698="warm","El Niño","La Niña"),IF(ROW()+J698-1=920,IF(H698="warm","El Niño (ongoing)","La Niña (ongoing)"),"—")))</f>
        <v>La Niña</v>
      </c>
      <c r="M698" s="2" t="inlineStr">
        <is>
          <t xml:space="preserve">2007/08</t>
        </is>
      </c>
    </row>
    <row r="699">
      <c r="A699" s="2" t="inlineStr">
        <is>
          <t xml:space="preserve">2008-02</t>
        </is>
      </c>
      <c r="B699" s="2">
        <v>2008</v>
      </c>
      <c r="C699" s="2">
        <v>2</v>
      </c>
      <c r="D699" s="2" t="inlineStr">
        <is>
          <t xml:space="preserve">JFM</t>
        </is>
      </c>
      <c r="E699" t="inlineStr">
        <is>
          <t xml:space="preserve">Jan 2008 – Mar 2008</t>
        </is>
      </c>
      <c r="F699" s="3">
        <v>-1.61</v>
      </c>
      <c r="G699" s="4">
        <f>ROUND(F699,1)</f>
        <v>-1.6</v>
      </c>
      <c r="H699" s="2" t="str">
        <f>IF(G699&gt;=0.5,"warm",IF(G699&lt;=-0.5,"cold","neutral"))</f>
        <v>cold</v>
      </c>
      <c r="I699" s="2">
        <f>IF(H699=H698,I698+1,1)</f>
        <v>8</v>
      </c>
      <c r="J699" s="2">
        <f>IF(H699=H700,J700+1,1)</f>
        <v>5</v>
      </c>
      <c r="K699" s="2">
        <f>I699+J699-1</f>
        <v>12</v>
      </c>
      <c r="L699" s="5" t="str">
        <f>IF(H699="neutral","—",IF(K699&gt;=5,IF(H699="warm","El Niño","La Niña"),IF(ROW()+J699-1=920,IF(H699="warm","El Niño (ongoing)","La Niña (ongoing)"),"—")))</f>
        <v>La Niña</v>
      </c>
      <c r="M699" s="2" t="inlineStr">
        <is>
          <t xml:space="preserve">2007/08</t>
        </is>
      </c>
    </row>
    <row r="700">
      <c r="A700" s="2" t="inlineStr">
        <is>
          <t xml:space="preserve">2008-03</t>
        </is>
      </c>
      <c r="B700" s="2">
        <v>2008</v>
      </c>
      <c r="C700" s="2">
        <v>3</v>
      </c>
      <c r="D700" s="2" t="inlineStr">
        <is>
          <t xml:space="preserve">FMA</t>
        </is>
      </c>
      <c r="E700" t="inlineStr">
        <is>
          <t xml:space="preserve">Feb 2008 – Apr 2008</t>
        </is>
      </c>
      <c r="F700" s="3">
        <v>-1.37</v>
      </c>
      <c r="G700" s="4">
        <f>ROUND(F700,1)</f>
        <v>-1.4</v>
      </c>
      <c r="H700" s="2" t="str">
        <f>IF(G700&gt;=0.5,"warm",IF(G700&lt;=-0.5,"cold","neutral"))</f>
        <v>cold</v>
      </c>
      <c r="I700" s="2">
        <f>IF(H700=H699,I699+1,1)</f>
        <v>9</v>
      </c>
      <c r="J700" s="2">
        <f>IF(H700=H701,J701+1,1)</f>
        <v>4</v>
      </c>
      <c r="K700" s="2">
        <f>I700+J700-1</f>
        <v>12</v>
      </c>
      <c r="L700" s="5" t="str">
        <f>IF(H700="neutral","—",IF(K700&gt;=5,IF(H700="warm","El Niño","La Niña"),IF(ROW()+J700-1=920,IF(H700="warm","El Niño (ongoing)","La Niña (ongoing)"),"—")))</f>
        <v>La Niña</v>
      </c>
      <c r="M700" s="2" t="inlineStr">
        <is>
          <t xml:space="preserve">2007/08</t>
        </is>
      </c>
    </row>
    <row r="701">
      <c r="A701" s="2" t="inlineStr">
        <is>
          <t xml:space="preserve">2008-04</t>
        </is>
      </c>
      <c r="B701" s="2">
        <v>2008</v>
      </c>
      <c r="C701" s="2">
        <v>4</v>
      </c>
      <c r="D701" s="2" t="inlineStr">
        <is>
          <t xml:space="preserve">MAM</t>
        </is>
      </c>
      <c r="E701" t="inlineStr">
        <is>
          <t xml:space="preserve">Mar 2008 – May 2008</t>
        </is>
      </c>
      <c r="F701" s="3">
        <v>-1.05</v>
      </c>
      <c r="G701" s="4">
        <f>ROUND(F701,1)</f>
        <v>-1.1</v>
      </c>
      <c r="H701" s="2" t="str">
        <f>IF(G701&gt;=0.5,"warm",IF(G701&lt;=-0.5,"cold","neutral"))</f>
        <v>cold</v>
      </c>
      <c r="I701" s="2">
        <f>IF(H701=H700,I700+1,1)</f>
        <v>10</v>
      </c>
      <c r="J701" s="2">
        <f>IF(H701=H702,J702+1,1)</f>
        <v>3</v>
      </c>
      <c r="K701" s="2">
        <f>I701+J701-1</f>
        <v>12</v>
      </c>
      <c r="L701" s="5" t="str">
        <f>IF(H701="neutral","—",IF(K701&gt;=5,IF(H701="warm","El Niño","La Niña"),IF(ROW()+J701-1=920,IF(H701="warm","El Niño (ongoing)","La Niña (ongoing)"),"—")))</f>
        <v>La Niña</v>
      </c>
      <c r="M701" s="2" t="inlineStr">
        <is>
          <t xml:space="preserve">2007/08</t>
        </is>
      </c>
    </row>
    <row r="702">
      <c r="A702" s="2" t="inlineStr">
        <is>
          <t xml:space="preserve">2008-05</t>
        </is>
      </c>
      <c r="B702" s="2">
        <v>2008</v>
      </c>
      <c r="C702" s="2">
        <v>5</v>
      </c>
      <c r="D702" s="2" t="inlineStr">
        <is>
          <t xml:space="preserve">AMJ</t>
        </is>
      </c>
      <c r="E702" t="inlineStr">
        <is>
          <t xml:space="preserve">Apr 2008 – Jun 2008</t>
        </is>
      </c>
      <c r="F702" s="3">
        <v>-0.85</v>
      </c>
      <c r="G702" s="4">
        <f>ROUND(F702,1)</f>
        <v>-0.9</v>
      </c>
      <c r="H702" s="2" t="str">
        <f>IF(G702&gt;=0.5,"warm",IF(G702&lt;=-0.5,"cold","neutral"))</f>
        <v>cold</v>
      </c>
      <c r="I702" s="2">
        <f>IF(H702=H701,I701+1,1)</f>
        <v>11</v>
      </c>
      <c r="J702" s="2">
        <f>IF(H702=H703,J703+1,1)</f>
        <v>2</v>
      </c>
      <c r="K702" s="2">
        <f>I702+J702-1</f>
        <v>12</v>
      </c>
      <c r="L702" s="5" t="str">
        <f>IF(H702="neutral","—",IF(K702&gt;=5,IF(H702="warm","El Niño","La Niña"),IF(ROW()+J702-1=920,IF(H702="warm","El Niño (ongoing)","La Niña (ongoing)"),"—")))</f>
        <v>La Niña</v>
      </c>
      <c r="M702" s="2" t="inlineStr">
        <is>
          <t xml:space="preserve">2007/08</t>
        </is>
      </c>
    </row>
    <row r="703">
      <c r="A703" s="2" t="inlineStr">
        <is>
          <t xml:space="preserve">2008-06</t>
        </is>
      </c>
      <c r="B703" s="2">
        <v>2008</v>
      </c>
      <c r="C703" s="2">
        <v>6</v>
      </c>
      <c r="D703" s="2" t="inlineStr">
        <is>
          <t xml:space="preserve">MJJ</t>
        </is>
      </c>
      <c r="E703" t="inlineStr">
        <is>
          <t xml:space="preserve">May 2008 – Jul 2008</t>
        </is>
      </c>
      <c r="F703" s="3">
        <v>-0.56</v>
      </c>
      <c r="G703" s="4">
        <f>ROUND(F703,1)</f>
        <v>-0.6</v>
      </c>
      <c r="H703" s="2" t="str">
        <f>IF(G703&gt;=0.5,"warm",IF(G703&lt;=-0.5,"cold","neutral"))</f>
        <v>cold</v>
      </c>
      <c r="I703" s="2">
        <f>IF(H703=H702,I702+1,1)</f>
        <v>12</v>
      </c>
      <c r="J703" s="2">
        <f>IF(H703=H704,J704+1,1)</f>
        <v>1</v>
      </c>
      <c r="K703" s="2">
        <f>I703+J703-1</f>
        <v>12</v>
      </c>
      <c r="L703" s="5" t="str">
        <f>IF(H703="neutral","—",IF(K703&gt;=5,IF(H703="warm","El Niño","La Niña"),IF(ROW()+J703-1=920,IF(H703="warm","El Niño (ongoing)","La Niña (ongoing)"),"—")))</f>
        <v>La Niña</v>
      </c>
      <c r="M703" s="2" t="inlineStr">
        <is>
          <t xml:space="preserve">2007/08</t>
        </is>
      </c>
    </row>
    <row r="704">
      <c r="A704" s="2" t="inlineStr">
        <is>
          <t xml:space="preserve">2008-07</t>
        </is>
      </c>
      <c r="B704" s="2">
        <v>2008</v>
      </c>
      <c r="C704" s="2">
        <v>7</v>
      </c>
      <c r="D704" s="2" t="inlineStr">
        <is>
          <t xml:space="preserve">JJA</t>
        </is>
      </c>
      <c r="E704" t="inlineStr">
        <is>
          <t xml:space="preserve">Jun 2008 – Aug 2008</t>
        </is>
      </c>
      <c r="F704" s="3">
        <v>-0.33</v>
      </c>
      <c r="G704" s="4">
        <f>ROUND(F704,1)</f>
        <v>-0.3</v>
      </c>
      <c r="H704" s="2" t="str">
        <f>IF(G704&gt;=0.5,"warm",IF(G704&lt;=-0.5,"cold","neutral"))</f>
        <v>neutral</v>
      </c>
      <c r="I704" s="2">
        <f>IF(H704=H703,I703+1,1)</f>
        <v>1</v>
      </c>
      <c r="J704" s="2">
        <f>IF(H704=H705,J705+1,1)</f>
        <v>4</v>
      </c>
      <c r="K704" s="2">
        <f>I704+J704-1</f>
        <v>4</v>
      </c>
      <c r="L704" s="2" t="str">
        <f>IF(H704="neutral","—",IF(K704&gt;=5,IF(H704="warm","El Niño","La Niña"),IF(ROW()+J704-1=920,IF(H704="warm","El Niño (ongoing)","La Niña (ongoing)"),"—")))</f>
        <v>—</v>
      </c>
      <c r="M704" s="2" t="inlineStr">
        <is>
          <t xml:space="preserve">2008/09</t>
        </is>
      </c>
    </row>
    <row r="705">
      <c r="A705" s="2" t="inlineStr">
        <is>
          <t xml:space="preserve">2008-08</t>
        </is>
      </c>
      <c r="B705" s="2">
        <v>2008</v>
      </c>
      <c r="C705" s="2">
        <v>8</v>
      </c>
      <c r="D705" s="2" t="inlineStr">
        <is>
          <t xml:space="preserve">JAS</t>
        </is>
      </c>
      <c r="E705" t="inlineStr">
        <is>
          <t xml:space="preserve">Jul 2008 – Sep 2008</t>
        </is>
      </c>
      <c r="F705" s="3">
        <v>-0.2</v>
      </c>
      <c r="G705" s="4">
        <f>ROUND(F705,1)</f>
        <v>-0.2</v>
      </c>
      <c r="H705" s="2" t="str">
        <f>IF(G705&gt;=0.5,"warm",IF(G705&lt;=-0.5,"cold","neutral"))</f>
        <v>neutral</v>
      </c>
      <c r="I705" s="2">
        <f>IF(H705=H704,I704+1,1)</f>
        <v>2</v>
      </c>
      <c r="J705" s="2">
        <f>IF(H705=H706,J706+1,1)</f>
        <v>3</v>
      </c>
      <c r="K705" s="2">
        <f>I705+J705-1</f>
        <v>4</v>
      </c>
      <c r="L705" s="2" t="str">
        <f>IF(H705="neutral","—",IF(K705&gt;=5,IF(H705="warm","El Niño","La Niña"),IF(ROW()+J705-1=920,IF(H705="warm","El Niño (ongoing)","La Niña (ongoing)"),"—")))</f>
        <v>—</v>
      </c>
      <c r="M705" s="2" t="inlineStr">
        <is>
          <t xml:space="preserve">2008/09</t>
        </is>
      </c>
    </row>
    <row r="706">
      <c r="A706" s="2" t="inlineStr">
        <is>
          <t xml:space="preserve">2008-09</t>
        </is>
      </c>
      <c r="B706" s="2">
        <v>2008</v>
      </c>
      <c r="C706" s="2">
        <v>9</v>
      </c>
      <c r="D706" s="2" t="inlineStr">
        <is>
          <t xml:space="preserve">ASO</t>
        </is>
      </c>
      <c r="E706" t="inlineStr">
        <is>
          <t xml:space="preserve">Aug 2008 – Oct 2008</t>
        </is>
      </c>
      <c r="F706" s="3">
        <v>-0.25</v>
      </c>
      <c r="G706" s="4">
        <f>ROUND(F706,1)</f>
        <v>-0.3</v>
      </c>
      <c r="H706" s="2" t="str">
        <f>IF(G706&gt;=0.5,"warm",IF(G706&lt;=-0.5,"cold","neutral"))</f>
        <v>neutral</v>
      </c>
      <c r="I706" s="2">
        <f>IF(H706=H705,I705+1,1)</f>
        <v>3</v>
      </c>
      <c r="J706" s="2">
        <f>IF(H706=H707,J707+1,1)</f>
        <v>2</v>
      </c>
      <c r="K706" s="2">
        <f>I706+J706-1</f>
        <v>4</v>
      </c>
      <c r="L706" s="2" t="str">
        <f>IF(H706="neutral","—",IF(K706&gt;=5,IF(H706="warm","El Niño","La Niña"),IF(ROW()+J706-1=920,IF(H706="warm","El Niño (ongoing)","La Niña (ongoing)"),"—")))</f>
        <v>—</v>
      </c>
      <c r="M706" s="2" t="inlineStr">
        <is>
          <t xml:space="preserve">2008/09</t>
        </is>
      </c>
    </row>
    <row r="707">
      <c r="A707" s="2" t="inlineStr">
        <is>
          <t xml:space="preserve">2008-10</t>
        </is>
      </c>
      <c r="B707" s="2">
        <v>2008</v>
      </c>
      <c r="C707" s="2">
        <v>10</v>
      </c>
      <c r="D707" s="2" t="inlineStr">
        <is>
          <t xml:space="preserve">SON</t>
        </is>
      </c>
      <c r="E707" t="inlineStr">
        <is>
          <t xml:space="preserve">Sep 2008 – Nov 2008</t>
        </is>
      </c>
      <c r="F707" s="3">
        <v>-0.36</v>
      </c>
      <c r="G707" s="4">
        <f>ROUND(F707,1)</f>
        <v>-0.4</v>
      </c>
      <c r="H707" s="2" t="str">
        <f>IF(G707&gt;=0.5,"warm",IF(G707&lt;=-0.5,"cold","neutral"))</f>
        <v>neutral</v>
      </c>
      <c r="I707" s="2">
        <f>IF(H707=H706,I706+1,1)</f>
        <v>4</v>
      </c>
      <c r="J707" s="2">
        <f>IF(H707=H708,J708+1,1)</f>
        <v>1</v>
      </c>
      <c r="K707" s="2">
        <f>I707+J707-1</f>
        <v>4</v>
      </c>
      <c r="L707" s="2" t="str">
        <f>IF(H707="neutral","—",IF(K707&gt;=5,IF(H707="warm","El Niño","La Niña"),IF(ROW()+J707-1=920,IF(H707="warm","El Niño (ongoing)","La Niña (ongoing)"),"—")))</f>
        <v>—</v>
      </c>
      <c r="M707" s="2" t="inlineStr">
        <is>
          <t xml:space="preserve">2008/09</t>
        </is>
      </c>
    </row>
    <row r="708">
      <c r="A708" s="2" t="inlineStr">
        <is>
          <t xml:space="preserve">2008-11</t>
        </is>
      </c>
      <c r="B708" s="2">
        <v>2008</v>
      </c>
      <c r="C708" s="2">
        <v>11</v>
      </c>
      <c r="D708" s="2" t="inlineStr">
        <is>
          <t xml:space="preserve">OND</t>
        </is>
      </c>
      <c r="E708" t="inlineStr">
        <is>
          <t xml:space="preserve">Oct 2008 – Dec 2008</t>
        </is>
      </c>
      <c r="F708" s="3">
        <v>-0.57</v>
      </c>
      <c r="G708" s="4">
        <f>ROUND(F708,1)</f>
        <v>-0.6</v>
      </c>
      <c r="H708" s="2" t="str">
        <f>IF(G708&gt;=0.5,"warm",IF(G708&lt;=-0.5,"cold","neutral"))</f>
        <v>cold</v>
      </c>
      <c r="I708" s="2">
        <f>IF(H708=H707,I707+1,1)</f>
        <v>1</v>
      </c>
      <c r="J708" s="2">
        <f>IF(H708=H709,J709+1,1)</f>
        <v>5</v>
      </c>
      <c r="K708" s="2">
        <f>I708+J708-1</f>
        <v>5</v>
      </c>
      <c r="L708" s="5" t="str">
        <f>IF(H708="neutral","—",IF(K708&gt;=5,IF(H708="warm","El Niño","La Niña"),IF(ROW()+J708-1=920,IF(H708="warm","El Niño (ongoing)","La Niña (ongoing)"),"—")))</f>
        <v>La Niña</v>
      </c>
      <c r="M708" s="2" t="inlineStr">
        <is>
          <t xml:space="preserve">2008/09</t>
        </is>
      </c>
    </row>
    <row r="709">
      <c r="A709" s="2" t="inlineStr">
        <is>
          <t xml:space="preserve">2008-12</t>
        </is>
      </c>
      <c r="B709" s="2">
        <v>2008</v>
      </c>
      <c r="C709" s="2">
        <v>12</v>
      </c>
      <c r="D709" s="2" t="inlineStr">
        <is>
          <t xml:space="preserve">NDJ</t>
        </is>
      </c>
      <c r="E709" t="inlineStr">
        <is>
          <t xml:space="preserve">Nov 2008 – Jan 2009</t>
        </is>
      </c>
      <c r="F709" s="3">
        <v>-0.79</v>
      </c>
      <c r="G709" s="4">
        <f>ROUND(F709,1)</f>
        <v>-0.8</v>
      </c>
      <c r="H709" s="2" t="str">
        <f>IF(G709&gt;=0.5,"warm",IF(G709&lt;=-0.5,"cold","neutral"))</f>
        <v>cold</v>
      </c>
      <c r="I709" s="2">
        <f>IF(H709=H708,I708+1,1)</f>
        <v>2</v>
      </c>
      <c r="J709" s="2">
        <f>IF(H709=H710,J710+1,1)</f>
        <v>4</v>
      </c>
      <c r="K709" s="2">
        <f>I709+J709-1</f>
        <v>5</v>
      </c>
      <c r="L709" s="5" t="str">
        <f>IF(H709="neutral","—",IF(K709&gt;=5,IF(H709="warm","El Niño","La Niña"),IF(ROW()+J709-1=920,IF(H709="warm","El Niño (ongoing)","La Niña (ongoing)"),"—")))</f>
        <v>La Niña</v>
      </c>
      <c r="M709" s="2" t="inlineStr">
        <is>
          <t xml:space="preserve">2008/09</t>
        </is>
      </c>
    </row>
    <row r="710">
      <c r="A710" s="2" t="inlineStr">
        <is>
          <t xml:space="preserve">2009-01</t>
        </is>
      </c>
      <c r="B710" s="2">
        <v>2009</v>
      </c>
      <c r="C710" s="2">
        <v>1</v>
      </c>
      <c r="D710" s="2" t="inlineStr">
        <is>
          <t xml:space="preserve">DJF</t>
        </is>
      </c>
      <c r="E710" t="inlineStr">
        <is>
          <t xml:space="preserve">Dec 2008 – Feb 2009</t>
        </is>
      </c>
      <c r="F710" s="3">
        <v>-0.89</v>
      </c>
      <c r="G710" s="4">
        <f>ROUND(F710,1)</f>
        <v>-0.9</v>
      </c>
      <c r="H710" s="2" t="str">
        <f>IF(G710&gt;=0.5,"warm",IF(G710&lt;=-0.5,"cold","neutral"))</f>
        <v>cold</v>
      </c>
      <c r="I710" s="2">
        <f>IF(H710=H709,I709+1,1)</f>
        <v>3</v>
      </c>
      <c r="J710" s="2">
        <f>IF(H710=H711,J711+1,1)</f>
        <v>3</v>
      </c>
      <c r="K710" s="2">
        <f>I710+J710-1</f>
        <v>5</v>
      </c>
      <c r="L710" s="5" t="str">
        <f>IF(H710="neutral","—",IF(K710&gt;=5,IF(H710="warm","El Niño","La Niña"),IF(ROW()+J710-1=920,IF(H710="warm","El Niño (ongoing)","La Niña (ongoing)"),"—")))</f>
        <v>La Niña</v>
      </c>
      <c r="M710" s="2" t="inlineStr">
        <is>
          <t xml:space="preserve">2008/09</t>
        </is>
      </c>
    </row>
    <row r="711">
      <c r="A711" s="2" t="inlineStr">
        <is>
          <t xml:space="preserve">2009-02</t>
        </is>
      </c>
      <c r="B711" s="2">
        <v>2009</v>
      </c>
      <c r="C711" s="2">
        <v>2</v>
      </c>
      <c r="D711" s="2" t="inlineStr">
        <is>
          <t xml:space="preserve">JFM</t>
        </is>
      </c>
      <c r="E711" t="inlineStr">
        <is>
          <t xml:space="preserve">Jan 2009 – Mar 2009</t>
        </is>
      </c>
      <c r="F711" s="3">
        <v>-0.84</v>
      </c>
      <c r="G711" s="4">
        <f>ROUND(F711,1)</f>
        <v>-0.8</v>
      </c>
      <c r="H711" s="2" t="str">
        <f>IF(G711&gt;=0.5,"warm",IF(G711&lt;=-0.5,"cold","neutral"))</f>
        <v>cold</v>
      </c>
      <c r="I711" s="2">
        <f>IF(H711=H710,I710+1,1)</f>
        <v>4</v>
      </c>
      <c r="J711" s="2">
        <f>IF(H711=H712,J712+1,1)</f>
        <v>2</v>
      </c>
      <c r="K711" s="2">
        <f>I711+J711-1</f>
        <v>5</v>
      </c>
      <c r="L711" s="5" t="str">
        <f>IF(H711="neutral","—",IF(K711&gt;=5,IF(H711="warm","El Niño","La Niña"),IF(ROW()+J711-1=920,IF(H711="warm","El Niño (ongoing)","La Niña (ongoing)"),"—")))</f>
        <v>La Niña</v>
      </c>
      <c r="M711" s="2" t="inlineStr">
        <is>
          <t xml:space="preserve">2008/09</t>
        </is>
      </c>
    </row>
    <row r="712">
      <c r="A712" s="2" t="inlineStr">
        <is>
          <t xml:space="preserve">2009-03</t>
        </is>
      </c>
      <c r="B712" s="2">
        <v>2009</v>
      </c>
      <c r="C712" s="2">
        <v>3</v>
      </c>
      <c r="D712" s="2" t="inlineStr">
        <is>
          <t xml:space="preserve">FMA</t>
        </is>
      </c>
      <c r="E712" t="inlineStr">
        <is>
          <t xml:space="preserve">Feb 2009 – Apr 2009</t>
        </is>
      </c>
      <c r="F712" s="3">
        <v>-0.63</v>
      </c>
      <c r="G712" s="4">
        <f>ROUND(F712,1)</f>
        <v>-0.6</v>
      </c>
      <c r="H712" s="2" t="str">
        <f>IF(G712&gt;=0.5,"warm",IF(G712&lt;=-0.5,"cold","neutral"))</f>
        <v>cold</v>
      </c>
      <c r="I712" s="2">
        <f>IF(H712=H711,I711+1,1)</f>
        <v>5</v>
      </c>
      <c r="J712" s="2">
        <f>IF(H712=H713,J713+1,1)</f>
        <v>1</v>
      </c>
      <c r="K712" s="2">
        <f>I712+J712-1</f>
        <v>5</v>
      </c>
      <c r="L712" s="5" t="str">
        <f>IF(H712="neutral","—",IF(K712&gt;=5,IF(H712="warm","El Niño","La Niña"),IF(ROW()+J712-1=920,IF(H712="warm","El Niño (ongoing)","La Niña (ongoing)"),"—")))</f>
        <v>La Niña</v>
      </c>
      <c r="M712" s="2" t="inlineStr">
        <is>
          <t xml:space="preserve">2008/09</t>
        </is>
      </c>
    </row>
    <row r="713">
      <c r="A713" s="2" t="inlineStr">
        <is>
          <t xml:space="preserve">2009-04</t>
        </is>
      </c>
      <c r="B713" s="2">
        <v>2009</v>
      </c>
      <c r="C713" s="2">
        <v>4</v>
      </c>
      <c r="D713" s="2" t="inlineStr">
        <is>
          <t xml:space="preserve">MAM</t>
        </is>
      </c>
      <c r="E713" t="inlineStr">
        <is>
          <t xml:space="preserve">Mar 2009 – May 2009</t>
        </is>
      </c>
      <c r="F713" s="3">
        <v>-0.35</v>
      </c>
      <c r="G713" s="4">
        <f>ROUND(F713,1)</f>
        <v>-0.4</v>
      </c>
      <c r="H713" s="2" t="str">
        <f>IF(G713&gt;=0.5,"warm",IF(G713&lt;=-0.5,"cold","neutral"))</f>
        <v>neutral</v>
      </c>
      <c r="I713" s="2">
        <f>IF(H713=H712,I712+1,1)</f>
        <v>1</v>
      </c>
      <c r="J713" s="2">
        <f>IF(H713=H714,J714+1,1)</f>
        <v>3</v>
      </c>
      <c r="K713" s="2">
        <f>I713+J713-1</f>
        <v>3</v>
      </c>
      <c r="L713" s="2" t="str">
        <f>IF(H713="neutral","—",IF(K713&gt;=5,IF(H713="warm","El Niño","La Niña"),IF(ROW()+J713-1=920,IF(H713="warm","El Niño (ongoing)","La Niña (ongoing)"),"—")))</f>
        <v>—</v>
      </c>
      <c r="M713" s="2" t="inlineStr">
        <is>
          <t xml:space="preserve">2008/09</t>
        </is>
      </c>
    </row>
    <row r="714">
      <c r="A714" s="2" t="inlineStr">
        <is>
          <t xml:space="preserve">2009-05</t>
        </is>
      </c>
      <c r="B714" s="2">
        <v>2009</v>
      </c>
      <c r="C714" s="2">
        <v>5</v>
      </c>
      <c r="D714" s="2" t="inlineStr">
        <is>
          <t xml:space="preserve">AMJ</t>
        </is>
      </c>
      <c r="E714" t="inlineStr">
        <is>
          <t xml:space="preserve">Apr 2009 – Jun 2009</t>
        </is>
      </c>
      <c r="F714" s="3">
        <v>0.03</v>
      </c>
      <c r="G714" s="4">
        <f>ROUND(F714,1)</f>
        <v>0.0</v>
      </c>
      <c r="H714" s="2" t="str">
        <f>IF(G714&gt;=0.5,"warm",IF(G714&lt;=-0.5,"cold","neutral"))</f>
        <v>neutral</v>
      </c>
      <c r="I714" s="2">
        <f>IF(H714=H713,I713+1,1)</f>
        <v>2</v>
      </c>
      <c r="J714" s="2">
        <f>IF(H714=H715,J715+1,1)</f>
        <v>2</v>
      </c>
      <c r="K714" s="2">
        <f>I714+J714-1</f>
        <v>3</v>
      </c>
      <c r="L714" s="2" t="str">
        <f>IF(H714="neutral","—",IF(K714&gt;=5,IF(H714="warm","El Niño","La Niña"),IF(ROW()+J714-1=920,IF(H714="warm","El Niño (ongoing)","La Niña (ongoing)"),"—")))</f>
        <v>—</v>
      </c>
      <c r="M714" s="2" t="inlineStr">
        <is>
          <t xml:space="preserve">2008/09</t>
        </is>
      </c>
    </row>
    <row r="715">
      <c r="A715" s="2" t="inlineStr">
        <is>
          <t xml:space="preserve">2009-06</t>
        </is>
      </c>
      <c r="B715" s="2">
        <v>2009</v>
      </c>
      <c r="C715" s="2">
        <v>6</v>
      </c>
      <c r="D715" s="2" t="inlineStr">
        <is>
          <t xml:space="preserve">MJJ</t>
        </is>
      </c>
      <c r="E715" t="inlineStr">
        <is>
          <t xml:space="preserve">May 2009 – Jul 2009</t>
        </is>
      </c>
      <c r="F715" s="3">
        <v>0.34</v>
      </c>
      <c r="G715" s="4">
        <f>ROUND(F715,1)</f>
        <v>0.3</v>
      </c>
      <c r="H715" s="2" t="str">
        <f>IF(G715&gt;=0.5,"warm",IF(G715&lt;=-0.5,"cold","neutral"))</f>
        <v>neutral</v>
      </c>
      <c r="I715" s="2">
        <f>IF(H715=H714,I714+1,1)</f>
        <v>3</v>
      </c>
      <c r="J715" s="2">
        <f>IF(H715=H716,J716+1,1)</f>
        <v>1</v>
      </c>
      <c r="K715" s="2">
        <f>I715+J715-1</f>
        <v>3</v>
      </c>
      <c r="L715" s="2" t="str">
        <f>IF(H715="neutral","—",IF(K715&gt;=5,IF(H715="warm","El Niño","La Niña"),IF(ROW()+J715-1=920,IF(H715="warm","El Niño (ongoing)","La Niña (ongoing)"),"—")))</f>
        <v>—</v>
      </c>
      <c r="M715" s="2" t="inlineStr">
        <is>
          <t xml:space="preserve">2008/09</t>
        </is>
      </c>
    </row>
    <row r="716">
      <c r="A716" s="2" t="inlineStr">
        <is>
          <t xml:space="preserve">2009-07</t>
        </is>
      </c>
      <c r="B716" s="2">
        <v>2009</v>
      </c>
      <c r="C716" s="2">
        <v>7</v>
      </c>
      <c r="D716" s="2" t="inlineStr">
        <is>
          <t xml:space="preserve">JJA</t>
        </is>
      </c>
      <c r="E716" t="inlineStr">
        <is>
          <t xml:space="preserve">Jun 2009 – Aug 2009</t>
        </is>
      </c>
      <c r="F716" s="3">
        <v>0.5</v>
      </c>
      <c r="G716" s="4">
        <f>ROUND(F716,1)</f>
        <v>0.5</v>
      </c>
      <c r="H716" s="2" t="str">
        <f>IF(G716&gt;=0.5,"warm",IF(G716&lt;=-0.5,"cold","neutral"))</f>
        <v>warm</v>
      </c>
      <c r="I716" s="2">
        <f>IF(H716=H715,I715+1,1)</f>
        <v>1</v>
      </c>
      <c r="J716" s="2">
        <f>IF(H716=H717,J717+1,1)</f>
        <v>9</v>
      </c>
      <c r="K716" s="2">
        <f>I716+J716-1</f>
        <v>9</v>
      </c>
      <c r="L716" s="6" t="str">
        <f>IF(H716="neutral","—",IF(K716&gt;=5,IF(H716="warm","El Niño","La Niña"),IF(ROW()+J716-1=920,IF(H716="warm","El Niño (ongoing)","La Niña (ongoing)"),"—")))</f>
        <v>El Niño</v>
      </c>
      <c r="M716" s="2" t="inlineStr">
        <is>
          <t xml:space="preserve">2009/10</t>
        </is>
      </c>
    </row>
    <row r="717">
      <c r="A717" s="2" t="inlineStr">
        <is>
          <t xml:space="preserve">2009-08</t>
        </is>
      </c>
      <c r="B717" s="2">
        <v>2009</v>
      </c>
      <c r="C717" s="2">
        <v>8</v>
      </c>
      <c r="D717" s="2" t="inlineStr">
        <is>
          <t xml:space="preserve">JAS</t>
        </is>
      </c>
      <c r="E717" t="inlineStr">
        <is>
          <t xml:space="preserve">Jul 2009 – Sep 2009</t>
        </is>
      </c>
      <c r="F717" s="3">
        <v>0.56</v>
      </c>
      <c r="G717" s="4">
        <f>ROUND(F717,1)</f>
        <v>0.6</v>
      </c>
      <c r="H717" s="2" t="str">
        <f>IF(G717&gt;=0.5,"warm",IF(G717&lt;=-0.5,"cold","neutral"))</f>
        <v>warm</v>
      </c>
      <c r="I717" s="2">
        <f>IF(H717=H716,I716+1,1)</f>
        <v>2</v>
      </c>
      <c r="J717" s="2">
        <f>IF(H717=H718,J718+1,1)</f>
        <v>8</v>
      </c>
      <c r="K717" s="2">
        <f>I717+J717-1</f>
        <v>9</v>
      </c>
      <c r="L717" s="6" t="str">
        <f>IF(H717="neutral","—",IF(K717&gt;=5,IF(H717="warm","El Niño","La Niña"),IF(ROW()+J717-1=920,IF(H717="warm","El Niño (ongoing)","La Niña (ongoing)"),"—")))</f>
        <v>El Niño</v>
      </c>
      <c r="M717" s="2" t="inlineStr">
        <is>
          <t xml:space="preserve">2009/10</t>
        </is>
      </c>
    </row>
    <row r="718">
      <c r="A718" s="2" t="inlineStr">
        <is>
          <t xml:space="preserve">2009-09</t>
        </is>
      </c>
      <c r="B718" s="2">
        <v>2009</v>
      </c>
      <c r="C718" s="2">
        <v>9</v>
      </c>
      <c r="D718" s="2" t="inlineStr">
        <is>
          <t xml:space="preserve">ASO</t>
        </is>
      </c>
      <c r="E718" t="inlineStr">
        <is>
          <t xml:space="preserve">Aug 2009 – Oct 2009</t>
        </is>
      </c>
      <c r="F718" s="3">
        <v>0.66</v>
      </c>
      <c r="G718" s="4">
        <f>ROUND(F718,1)</f>
        <v>0.7</v>
      </c>
      <c r="H718" s="2" t="str">
        <f>IF(G718&gt;=0.5,"warm",IF(G718&lt;=-0.5,"cold","neutral"))</f>
        <v>warm</v>
      </c>
      <c r="I718" s="2">
        <f>IF(H718=H717,I717+1,1)</f>
        <v>3</v>
      </c>
      <c r="J718" s="2">
        <f>IF(H718=H719,J719+1,1)</f>
        <v>7</v>
      </c>
      <c r="K718" s="2">
        <f>I718+J718-1</f>
        <v>9</v>
      </c>
      <c r="L718" s="6" t="str">
        <f>IF(H718="neutral","—",IF(K718&gt;=5,IF(H718="warm","El Niño","La Niña"),IF(ROW()+J718-1=920,IF(H718="warm","El Niño (ongoing)","La Niña (ongoing)"),"—")))</f>
        <v>El Niño</v>
      </c>
      <c r="M718" s="2" t="inlineStr">
        <is>
          <t xml:space="preserve">2009/10</t>
        </is>
      </c>
    </row>
    <row r="719">
      <c r="A719" s="2" t="inlineStr">
        <is>
          <t xml:space="preserve">2009-10</t>
        </is>
      </c>
      <c r="B719" s="2">
        <v>2009</v>
      </c>
      <c r="C719" s="2">
        <v>10</v>
      </c>
      <c r="D719" s="2" t="inlineStr">
        <is>
          <t xml:space="preserve">SON</t>
        </is>
      </c>
      <c r="E719" t="inlineStr">
        <is>
          <t xml:space="preserve">Sep 2009 – Nov 2009</t>
        </is>
      </c>
      <c r="F719" s="3">
        <v>0.92</v>
      </c>
      <c r="G719" s="4">
        <f>ROUND(F719,1)</f>
        <v>0.9</v>
      </c>
      <c r="H719" s="2" t="str">
        <f>IF(G719&gt;=0.5,"warm",IF(G719&lt;=-0.5,"cold","neutral"))</f>
        <v>warm</v>
      </c>
      <c r="I719" s="2">
        <f>IF(H719=H718,I718+1,1)</f>
        <v>4</v>
      </c>
      <c r="J719" s="2">
        <f>IF(H719=H720,J720+1,1)</f>
        <v>6</v>
      </c>
      <c r="K719" s="2">
        <f>I719+J719-1</f>
        <v>9</v>
      </c>
      <c r="L719" s="6" t="str">
        <f>IF(H719="neutral","—",IF(K719&gt;=5,IF(H719="warm","El Niño","La Niña"),IF(ROW()+J719-1=920,IF(H719="warm","El Niño (ongoing)","La Niña (ongoing)"),"—")))</f>
        <v>El Niño</v>
      </c>
      <c r="M719" s="2" t="inlineStr">
        <is>
          <t xml:space="preserve">2009/10</t>
        </is>
      </c>
    </row>
    <row r="720">
      <c r="A720" s="2" t="inlineStr">
        <is>
          <t xml:space="preserve">2009-11</t>
        </is>
      </c>
      <c r="B720" s="2">
        <v>2009</v>
      </c>
      <c r="C720" s="2">
        <v>11</v>
      </c>
      <c r="D720" s="2" t="inlineStr">
        <is>
          <t xml:space="preserve">OND</t>
        </is>
      </c>
      <c r="E720" t="inlineStr">
        <is>
          <t xml:space="preserve">Oct 2009 – Dec 2009</t>
        </is>
      </c>
      <c r="F720" s="3">
        <v>1.31</v>
      </c>
      <c r="G720" s="4">
        <f>ROUND(F720,1)</f>
        <v>1.3</v>
      </c>
      <c r="H720" s="2" t="str">
        <f>IF(G720&gt;=0.5,"warm",IF(G720&lt;=-0.5,"cold","neutral"))</f>
        <v>warm</v>
      </c>
      <c r="I720" s="2">
        <f>IF(H720=H719,I719+1,1)</f>
        <v>5</v>
      </c>
      <c r="J720" s="2">
        <f>IF(H720=H721,J721+1,1)</f>
        <v>5</v>
      </c>
      <c r="K720" s="2">
        <f>I720+J720-1</f>
        <v>9</v>
      </c>
      <c r="L720" s="6" t="str">
        <f>IF(H720="neutral","—",IF(K720&gt;=5,IF(H720="warm","El Niño","La Niña"),IF(ROW()+J720-1=920,IF(H720="warm","El Niño (ongoing)","La Niña (ongoing)"),"—")))</f>
        <v>El Niño</v>
      </c>
      <c r="M720" s="2" t="inlineStr">
        <is>
          <t xml:space="preserve">2009/10</t>
        </is>
      </c>
    </row>
    <row r="721">
      <c r="A721" s="2" t="inlineStr">
        <is>
          <t xml:space="preserve">2009-12</t>
        </is>
      </c>
      <c r="B721" s="2">
        <v>2009</v>
      </c>
      <c r="C721" s="2">
        <v>12</v>
      </c>
      <c r="D721" s="2" t="inlineStr">
        <is>
          <t xml:space="preserve">NDJ</t>
        </is>
      </c>
      <c r="E721" t="inlineStr">
        <is>
          <t xml:space="preserve">Nov 2009 – Jan 2010</t>
        </is>
      </c>
      <c r="F721" s="3">
        <v>1.5</v>
      </c>
      <c r="G721" s="4">
        <f>ROUND(F721,1)</f>
        <v>1.5</v>
      </c>
      <c r="H721" s="2" t="str">
        <f>IF(G721&gt;=0.5,"warm",IF(G721&lt;=-0.5,"cold","neutral"))</f>
        <v>warm</v>
      </c>
      <c r="I721" s="2">
        <f>IF(H721=H720,I720+1,1)</f>
        <v>6</v>
      </c>
      <c r="J721" s="2">
        <f>IF(H721=H722,J722+1,1)</f>
        <v>4</v>
      </c>
      <c r="K721" s="2">
        <f>I721+J721-1</f>
        <v>9</v>
      </c>
      <c r="L721" s="6" t="str">
        <f>IF(H721="neutral","—",IF(K721&gt;=5,IF(H721="warm","El Niño","La Niña"),IF(ROW()+J721-1=920,IF(H721="warm","El Niño (ongoing)","La Niña (ongoing)"),"—")))</f>
        <v>El Niño</v>
      </c>
      <c r="M721" s="2" t="inlineStr">
        <is>
          <t xml:space="preserve">2009/10</t>
        </is>
      </c>
    </row>
    <row r="722">
      <c r="A722" s="2" t="inlineStr">
        <is>
          <t xml:space="preserve">2010-01</t>
        </is>
      </c>
      <c r="B722" s="2">
        <v>2010</v>
      </c>
      <c r="C722" s="2">
        <v>1</v>
      </c>
      <c r="D722" s="2" t="inlineStr">
        <is>
          <t xml:space="preserve">DJF</t>
        </is>
      </c>
      <c r="E722" t="inlineStr">
        <is>
          <t xml:space="preserve">Dec 2009 – Feb 2010</t>
        </is>
      </c>
      <c r="F722" s="3">
        <v>1.47</v>
      </c>
      <c r="G722" s="4">
        <f>ROUND(F722,1)</f>
        <v>1.5</v>
      </c>
      <c r="H722" s="2" t="str">
        <f>IF(G722&gt;=0.5,"warm",IF(G722&lt;=-0.5,"cold","neutral"))</f>
        <v>warm</v>
      </c>
      <c r="I722" s="2">
        <f>IF(H722=H721,I721+1,1)</f>
        <v>7</v>
      </c>
      <c r="J722" s="2">
        <f>IF(H722=H723,J723+1,1)</f>
        <v>3</v>
      </c>
      <c r="K722" s="2">
        <f>I722+J722-1</f>
        <v>9</v>
      </c>
      <c r="L722" s="6" t="str">
        <f>IF(H722="neutral","—",IF(K722&gt;=5,IF(H722="warm","El Niño","La Niña"),IF(ROW()+J722-1=920,IF(H722="warm","El Niño (ongoing)","La Niña (ongoing)"),"—")))</f>
        <v>El Niño</v>
      </c>
      <c r="M722" s="2" t="inlineStr">
        <is>
          <t xml:space="preserve">2009/10</t>
        </is>
      </c>
    </row>
    <row r="723">
      <c r="A723" s="2" t="inlineStr">
        <is>
          <t xml:space="preserve">2010-02</t>
        </is>
      </c>
      <c r="B723" s="2">
        <v>2010</v>
      </c>
      <c r="C723" s="2">
        <v>2</v>
      </c>
      <c r="D723" s="2" t="inlineStr">
        <is>
          <t xml:space="preserve">JFM</t>
        </is>
      </c>
      <c r="E723" t="inlineStr">
        <is>
          <t xml:space="preserve">Jan 2010 – Mar 2010</t>
        </is>
      </c>
      <c r="F723" s="3">
        <v>1.21</v>
      </c>
      <c r="G723" s="4">
        <f>ROUND(F723,1)</f>
        <v>1.2</v>
      </c>
      <c r="H723" s="2" t="str">
        <f>IF(G723&gt;=0.5,"warm",IF(G723&lt;=-0.5,"cold","neutral"))</f>
        <v>warm</v>
      </c>
      <c r="I723" s="2">
        <f>IF(H723=H722,I722+1,1)</f>
        <v>8</v>
      </c>
      <c r="J723" s="2">
        <f>IF(H723=H724,J724+1,1)</f>
        <v>2</v>
      </c>
      <c r="K723" s="2">
        <f>I723+J723-1</f>
        <v>9</v>
      </c>
      <c r="L723" s="6" t="str">
        <f>IF(H723="neutral","—",IF(K723&gt;=5,IF(H723="warm","El Niño","La Niña"),IF(ROW()+J723-1=920,IF(H723="warm","El Niño (ongoing)","La Niña (ongoing)"),"—")))</f>
        <v>El Niño</v>
      </c>
      <c r="M723" s="2" t="inlineStr">
        <is>
          <t xml:space="preserve">2009/10</t>
        </is>
      </c>
    </row>
    <row r="724">
      <c r="A724" s="2" t="inlineStr">
        <is>
          <t xml:space="preserve">2010-03</t>
        </is>
      </c>
      <c r="B724" s="2">
        <v>2010</v>
      </c>
      <c r="C724" s="2">
        <v>3</v>
      </c>
      <c r="D724" s="2" t="inlineStr">
        <is>
          <t xml:space="preserve">FMA</t>
        </is>
      </c>
      <c r="E724" t="inlineStr">
        <is>
          <t xml:space="preserve">Feb 2010 – Apr 2010</t>
        </is>
      </c>
      <c r="F724" s="3">
        <v>0.88</v>
      </c>
      <c r="G724" s="4">
        <f>ROUND(F724,1)</f>
        <v>0.9</v>
      </c>
      <c r="H724" s="2" t="str">
        <f>IF(G724&gt;=0.5,"warm",IF(G724&lt;=-0.5,"cold","neutral"))</f>
        <v>warm</v>
      </c>
      <c r="I724" s="2">
        <f>IF(H724=H723,I723+1,1)</f>
        <v>9</v>
      </c>
      <c r="J724" s="2">
        <f>IF(H724=H725,J725+1,1)</f>
        <v>1</v>
      </c>
      <c r="K724" s="2">
        <f>I724+J724-1</f>
        <v>9</v>
      </c>
      <c r="L724" s="6" t="str">
        <f>IF(H724="neutral","—",IF(K724&gt;=5,IF(H724="warm","El Niño","La Niña"),IF(ROW()+J724-1=920,IF(H724="warm","El Niño (ongoing)","La Niña (ongoing)"),"—")))</f>
        <v>El Niño</v>
      </c>
      <c r="M724" s="2" t="inlineStr">
        <is>
          <t xml:space="preserve">2009/10</t>
        </is>
      </c>
    </row>
    <row r="725">
      <c r="A725" s="2" t="inlineStr">
        <is>
          <t xml:space="preserve">2010-04</t>
        </is>
      </c>
      <c r="B725" s="2">
        <v>2010</v>
      </c>
      <c r="C725" s="2">
        <v>4</v>
      </c>
      <c r="D725" s="2" t="inlineStr">
        <is>
          <t xml:space="preserve">MAM</t>
        </is>
      </c>
      <c r="E725" t="inlineStr">
        <is>
          <t xml:space="preserve">Mar 2010 – May 2010</t>
        </is>
      </c>
      <c r="F725" s="3">
        <v>0.38</v>
      </c>
      <c r="G725" s="4">
        <f>ROUND(F725,1)</f>
        <v>0.4</v>
      </c>
      <c r="H725" s="2" t="str">
        <f>IF(G725&gt;=0.5,"warm",IF(G725&lt;=-0.5,"cold","neutral"))</f>
        <v>neutral</v>
      </c>
      <c r="I725" s="2">
        <f>IF(H725=H724,I724+1,1)</f>
        <v>1</v>
      </c>
      <c r="J725" s="2">
        <f>IF(H725=H726,J726+1,1)</f>
        <v>2</v>
      </c>
      <c r="K725" s="2">
        <f>I725+J725-1</f>
        <v>2</v>
      </c>
      <c r="L725" s="2" t="str">
        <f>IF(H725="neutral","—",IF(K725&gt;=5,IF(H725="warm","El Niño","La Niña"),IF(ROW()+J725-1=920,IF(H725="warm","El Niño (ongoing)","La Niña (ongoing)"),"—")))</f>
        <v>—</v>
      </c>
      <c r="M725" s="2" t="inlineStr">
        <is>
          <t xml:space="preserve">2009/10</t>
        </is>
      </c>
    </row>
    <row r="726">
      <c r="A726" s="2" t="inlineStr">
        <is>
          <t xml:space="preserve">2010-05</t>
        </is>
      </c>
      <c r="B726" s="2">
        <v>2010</v>
      </c>
      <c r="C726" s="2">
        <v>5</v>
      </c>
      <c r="D726" s="2" t="inlineStr">
        <is>
          <t xml:space="preserve">AMJ</t>
        </is>
      </c>
      <c r="E726" t="inlineStr">
        <is>
          <t xml:space="preserve">Apr 2010 – Jun 2010</t>
        </is>
      </c>
      <c r="F726" s="3">
        <v>-0.16</v>
      </c>
      <c r="G726" s="4">
        <f>ROUND(F726,1)</f>
        <v>-0.2</v>
      </c>
      <c r="H726" s="2" t="str">
        <f>IF(G726&gt;=0.5,"warm",IF(G726&lt;=-0.5,"cold","neutral"))</f>
        <v>neutral</v>
      </c>
      <c r="I726" s="2">
        <f>IF(H726=H725,I725+1,1)</f>
        <v>2</v>
      </c>
      <c r="J726" s="2">
        <f>IF(H726=H727,J727+1,1)</f>
        <v>1</v>
      </c>
      <c r="K726" s="2">
        <f>I726+J726-1</f>
        <v>2</v>
      </c>
      <c r="L726" s="2" t="str">
        <f>IF(H726="neutral","—",IF(K726&gt;=5,IF(H726="warm","El Niño","La Niña"),IF(ROW()+J726-1=920,IF(H726="warm","El Niño (ongoing)","La Niña (ongoing)"),"—")))</f>
        <v>—</v>
      </c>
      <c r="M726" s="2" t="inlineStr">
        <is>
          <t xml:space="preserve">2009/10</t>
        </is>
      </c>
    </row>
    <row r="727">
      <c r="A727" s="2" t="inlineStr">
        <is>
          <t xml:space="preserve">2010-06</t>
        </is>
      </c>
      <c r="B727" s="2">
        <v>2010</v>
      </c>
      <c r="C727" s="2">
        <v>6</v>
      </c>
      <c r="D727" s="2" t="inlineStr">
        <is>
          <t xml:space="preserve">MJJ</t>
        </is>
      </c>
      <c r="E727" t="inlineStr">
        <is>
          <t xml:space="preserve">May 2010 – Jul 2010</t>
        </is>
      </c>
      <c r="F727" s="3">
        <v>-0.66</v>
      </c>
      <c r="G727" s="4">
        <f>ROUND(F727,1)</f>
        <v>-0.7</v>
      </c>
      <c r="H727" s="2" t="str">
        <f>IF(G727&gt;=0.5,"warm",IF(G727&lt;=-0.5,"cold","neutral"))</f>
        <v>cold</v>
      </c>
      <c r="I727" s="2">
        <f>IF(H727=H726,I726+1,1)</f>
        <v>1</v>
      </c>
      <c r="J727" s="2">
        <f>IF(H727=H728,J728+1,1)</f>
        <v>12</v>
      </c>
      <c r="K727" s="2">
        <f>I727+J727-1</f>
        <v>12</v>
      </c>
      <c r="L727" s="5" t="str">
        <f>IF(H727="neutral","—",IF(K727&gt;=5,IF(H727="warm","El Niño","La Niña"),IF(ROW()+J727-1=920,IF(H727="warm","El Niño (ongoing)","La Niña (ongoing)"),"—")))</f>
        <v>La Niña</v>
      </c>
      <c r="M727" s="2" t="inlineStr">
        <is>
          <t xml:space="preserve">2009/10</t>
        </is>
      </c>
    </row>
    <row r="728">
      <c r="A728" s="2" t="inlineStr">
        <is>
          <t xml:space="preserve">2010-07</t>
        </is>
      </c>
      <c r="B728" s="2">
        <v>2010</v>
      </c>
      <c r="C728" s="2">
        <v>7</v>
      </c>
      <c r="D728" s="2" t="inlineStr">
        <is>
          <t xml:space="preserve">JJA</t>
        </is>
      </c>
      <c r="E728" t="inlineStr">
        <is>
          <t xml:space="preserve">Jun 2010 – Aug 2010</t>
        </is>
      </c>
      <c r="F728" s="3">
        <v>-0.98</v>
      </c>
      <c r="G728" s="4">
        <f>ROUND(F728,1)</f>
        <v>-1.0</v>
      </c>
      <c r="H728" s="2" t="str">
        <f>IF(G728&gt;=0.5,"warm",IF(G728&lt;=-0.5,"cold","neutral"))</f>
        <v>cold</v>
      </c>
      <c r="I728" s="2">
        <f>IF(H728=H727,I727+1,1)</f>
        <v>2</v>
      </c>
      <c r="J728" s="2">
        <f>IF(H728=H729,J729+1,1)</f>
        <v>11</v>
      </c>
      <c r="K728" s="2">
        <f>I728+J728-1</f>
        <v>12</v>
      </c>
      <c r="L728" s="5" t="str">
        <f>IF(H728="neutral","—",IF(K728&gt;=5,IF(H728="warm","El Niño","La Niña"),IF(ROW()+J728-1=920,IF(H728="warm","El Niño (ongoing)","La Niña (ongoing)"),"—")))</f>
        <v>La Niña</v>
      </c>
      <c r="M728" s="2" t="inlineStr">
        <is>
          <t xml:space="preserve">2010/11</t>
        </is>
      </c>
    </row>
    <row r="729">
      <c r="A729" s="2" t="inlineStr">
        <is>
          <t xml:space="preserve">2010-08</t>
        </is>
      </c>
      <c r="B729" s="2">
        <v>2010</v>
      </c>
      <c r="C729" s="2">
        <v>8</v>
      </c>
      <c r="D729" s="2" t="inlineStr">
        <is>
          <t xml:space="preserve">JAS</t>
        </is>
      </c>
      <c r="E729" t="inlineStr">
        <is>
          <t xml:space="preserve">Jul 2010 – Sep 2010</t>
        </is>
      </c>
      <c r="F729" s="3">
        <v>-1.24</v>
      </c>
      <c r="G729" s="4">
        <f>ROUND(F729,1)</f>
        <v>-1.2</v>
      </c>
      <c r="H729" s="2" t="str">
        <f>IF(G729&gt;=0.5,"warm",IF(G729&lt;=-0.5,"cold","neutral"))</f>
        <v>cold</v>
      </c>
      <c r="I729" s="2">
        <f>IF(H729=H728,I728+1,1)</f>
        <v>3</v>
      </c>
      <c r="J729" s="2">
        <f>IF(H729=H730,J730+1,1)</f>
        <v>10</v>
      </c>
      <c r="K729" s="2">
        <f>I729+J729-1</f>
        <v>12</v>
      </c>
      <c r="L729" s="5" t="str">
        <f>IF(H729="neutral","—",IF(K729&gt;=5,IF(H729="warm","El Niño","La Niña"),IF(ROW()+J729-1=920,IF(H729="warm","El Niño (ongoing)","La Niña (ongoing)"),"—")))</f>
        <v>La Niña</v>
      </c>
      <c r="M729" s="2" t="inlineStr">
        <is>
          <t xml:space="preserve">2010/11</t>
        </is>
      </c>
    </row>
    <row r="730">
      <c r="A730" s="2" t="inlineStr">
        <is>
          <t xml:space="preserve">2010-09</t>
        </is>
      </c>
      <c r="B730" s="2">
        <v>2010</v>
      </c>
      <c r="C730" s="2">
        <v>9</v>
      </c>
      <c r="D730" s="2" t="inlineStr">
        <is>
          <t xml:space="preserve">ASO</t>
        </is>
      </c>
      <c r="E730" t="inlineStr">
        <is>
          <t xml:space="preserve">Aug 2010 – Oct 2010</t>
        </is>
      </c>
      <c r="F730" s="3">
        <v>-1.43</v>
      </c>
      <c r="G730" s="4">
        <f>ROUND(F730,1)</f>
        <v>-1.4</v>
      </c>
      <c r="H730" s="2" t="str">
        <f>IF(G730&gt;=0.5,"warm",IF(G730&lt;=-0.5,"cold","neutral"))</f>
        <v>cold</v>
      </c>
      <c r="I730" s="2">
        <f>IF(H730=H729,I729+1,1)</f>
        <v>4</v>
      </c>
      <c r="J730" s="2">
        <f>IF(H730=H731,J731+1,1)</f>
        <v>9</v>
      </c>
      <c r="K730" s="2">
        <f>I730+J730-1</f>
        <v>12</v>
      </c>
      <c r="L730" s="5" t="str">
        <f>IF(H730="neutral","—",IF(K730&gt;=5,IF(H730="warm","El Niño","La Niña"),IF(ROW()+J730-1=920,IF(H730="warm","El Niño (ongoing)","La Niña (ongoing)"),"—")))</f>
        <v>La Niña</v>
      </c>
      <c r="M730" s="2" t="inlineStr">
        <is>
          <t xml:space="preserve">2010/11</t>
        </is>
      </c>
    </row>
    <row r="731">
      <c r="A731" s="2" t="inlineStr">
        <is>
          <t xml:space="preserve">2010-10</t>
        </is>
      </c>
      <c r="B731" s="2">
        <v>2010</v>
      </c>
      <c r="C731" s="2">
        <v>10</v>
      </c>
      <c r="D731" s="2" t="inlineStr">
        <is>
          <t xml:space="preserve">SON</t>
        </is>
      </c>
      <c r="E731" t="inlineStr">
        <is>
          <t xml:space="preserve">Sep 2010 – Nov 2010</t>
        </is>
      </c>
      <c r="F731" s="3">
        <v>-1.54</v>
      </c>
      <c r="G731" s="4">
        <f>ROUND(F731,1)</f>
        <v>-1.5</v>
      </c>
      <c r="H731" s="2" t="str">
        <f>IF(G731&gt;=0.5,"warm",IF(G731&lt;=-0.5,"cold","neutral"))</f>
        <v>cold</v>
      </c>
      <c r="I731" s="2">
        <f>IF(H731=H730,I730+1,1)</f>
        <v>5</v>
      </c>
      <c r="J731" s="2">
        <f>IF(H731=H732,J732+1,1)</f>
        <v>8</v>
      </c>
      <c r="K731" s="2">
        <f>I731+J731-1</f>
        <v>12</v>
      </c>
      <c r="L731" s="5" t="str">
        <f>IF(H731="neutral","—",IF(K731&gt;=5,IF(H731="warm","El Niño","La Niña"),IF(ROW()+J731-1=920,IF(H731="warm","El Niño (ongoing)","La Niña (ongoing)"),"—")))</f>
        <v>La Niña</v>
      </c>
      <c r="M731" s="2" t="inlineStr">
        <is>
          <t xml:space="preserve">2010/11</t>
        </is>
      </c>
    </row>
    <row r="732">
      <c r="A732" s="2" t="inlineStr">
        <is>
          <t xml:space="preserve">2010-11</t>
        </is>
      </c>
      <c r="B732" s="2">
        <v>2010</v>
      </c>
      <c r="C732" s="2">
        <v>11</v>
      </c>
      <c r="D732" s="2" t="inlineStr">
        <is>
          <t xml:space="preserve">OND</t>
        </is>
      </c>
      <c r="E732" t="inlineStr">
        <is>
          <t xml:space="preserve">Oct 2010 – Dec 2010</t>
        </is>
      </c>
      <c r="F732" s="3">
        <v>-1.57</v>
      </c>
      <c r="G732" s="4">
        <f>ROUND(F732,1)</f>
        <v>-1.6</v>
      </c>
      <c r="H732" s="2" t="str">
        <f>IF(G732&gt;=0.5,"warm",IF(G732&lt;=-0.5,"cold","neutral"))</f>
        <v>cold</v>
      </c>
      <c r="I732" s="2">
        <f>IF(H732=H731,I731+1,1)</f>
        <v>6</v>
      </c>
      <c r="J732" s="2">
        <f>IF(H732=H733,J733+1,1)</f>
        <v>7</v>
      </c>
      <c r="K732" s="2">
        <f>I732+J732-1</f>
        <v>12</v>
      </c>
      <c r="L732" s="5" t="str">
        <f>IF(H732="neutral","—",IF(K732&gt;=5,IF(H732="warm","El Niño","La Niña"),IF(ROW()+J732-1=920,IF(H732="warm","El Niño (ongoing)","La Niña (ongoing)"),"—")))</f>
        <v>La Niña</v>
      </c>
      <c r="M732" s="2" t="inlineStr">
        <is>
          <t xml:space="preserve">2010/11</t>
        </is>
      </c>
    </row>
    <row r="733">
      <c r="A733" s="2" t="inlineStr">
        <is>
          <t xml:space="preserve">2010-12</t>
        </is>
      </c>
      <c r="B733" s="2">
        <v>2010</v>
      </c>
      <c r="C733" s="2">
        <v>12</v>
      </c>
      <c r="D733" s="2" t="inlineStr">
        <is>
          <t xml:space="preserve">NDJ</t>
        </is>
      </c>
      <c r="E733" t="inlineStr">
        <is>
          <t xml:space="preserve">Nov 2010 – Jan 2011</t>
        </is>
      </c>
      <c r="F733" s="3">
        <v>-1.48</v>
      </c>
      <c r="G733" s="4">
        <f>ROUND(F733,1)</f>
        <v>-1.5</v>
      </c>
      <c r="H733" s="2" t="str">
        <f>IF(G733&gt;=0.5,"warm",IF(G733&lt;=-0.5,"cold","neutral"))</f>
        <v>cold</v>
      </c>
      <c r="I733" s="2">
        <f>IF(H733=H732,I732+1,1)</f>
        <v>7</v>
      </c>
      <c r="J733" s="2">
        <f>IF(H733=H734,J734+1,1)</f>
        <v>6</v>
      </c>
      <c r="K733" s="2">
        <f>I733+J733-1</f>
        <v>12</v>
      </c>
      <c r="L733" s="5" t="str">
        <f>IF(H733="neutral","—",IF(K733&gt;=5,IF(H733="warm","El Niño","La Niña"),IF(ROW()+J733-1=920,IF(H733="warm","El Niño (ongoing)","La Niña (ongoing)"),"—")))</f>
        <v>La Niña</v>
      </c>
      <c r="M733" s="2" t="inlineStr">
        <is>
          <t xml:space="preserve">2010/11</t>
        </is>
      </c>
    </row>
    <row r="734">
      <c r="A734" s="2" t="inlineStr">
        <is>
          <t xml:space="preserve">2011-01</t>
        </is>
      </c>
      <c r="B734" s="2">
        <v>2011</v>
      </c>
      <c r="C734" s="2">
        <v>1</v>
      </c>
      <c r="D734" s="2" t="inlineStr">
        <is>
          <t xml:space="preserve">DJF</t>
        </is>
      </c>
      <c r="E734" t="inlineStr">
        <is>
          <t xml:space="preserve">Dec 2010 – Feb 2011</t>
        </is>
      </c>
      <c r="F734" s="3">
        <v>-1.29</v>
      </c>
      <c r="G734" s="4">
        <f>ROUND(F734,1)</f>
        <v>-1.3</v>
      </c>
      <c r="H734" s="2" t="str">
        <f>IF(G734&gt;=0.5,"warm",IF(G734&lt;=-0.5,"cold","neutral"))</f>
        <v>cold</v>
      </c>
      <c r="I734" s="2">
        <f>IF(H734=H733,I733+1,1)</f>
        <v>8</v>
      </c>
      <c r="J734" s="2">
        <f>IF(H734=H735,J735+1,1)</f>
        <v>5</v>
      </c>
      <c r="K734" s="2">
        <f>I734+J734-1</f>
        <v>12</v>
      </c>
      <c r="L734" s="5" t="str">
        <f>IF(H734="neutral","—",IF(K734&gt;=5,IF(H734="warm","El Niño","La Niña"),IF(ROW()+J734-1=920,IF(H734="warm","El Niño (ongoing)","La Niña (ongoing)"),"—")))</f>
        <v>La Niña</v>
      </c>
      <c r="M734" s="2" t="inlineStr">
        <is>
          <t xml:space="preserve">2010/11</t>
        </is>
      </c>
    </row>
    <row r="735">
      <c r="A735" s="2" t="inlineStr">
        <is>
          <t xml:space="preserve">2011-02</t>
        </is>
      </c>
      <c r="B735" s="2">
        <v>2011</v>
      </c>
      <c r="C735" s="2">
        <v>2</v>
      </c>
      <c r="D735" s="2" t="inlineStr">
        <is>
          <t xml:space="preserve">JFM</t>
        </is>
      </c>
      <c r="E735" t="inlineStr">
        <is>
          <t xml:space="preserve">Jan 2011 – Mar 2011</t>
        </is>
      </c>
      <c r="F735" s="3">
        <v>-1.06</v>
      </c>
      <c r="G735" s="4">
        <f>ROUND(F735,1)</f>
        <v>-1.1</v>
      </c>
      <c r="H735" s="2" t="str">
        <f>IF(G735&gt;=0.5,"warm",IF(G735&lt;=-0.5,"cold","neutral"))</f>
        <v>cold</v>
      </c>
      <c r="I735" s="2">
        <f>IF(H735=H734,I734+1,1)</f>
        <v>9</v>
      </c>
      <c r="J735" s="2">
        <f>IF(H735=H736,J736+1,1)</f>
        <v>4</v>
      </c>
      <c r="K735" s="2">
        <f>I735+J735-1</f>
        <v>12</v>
      </c>
      <c r="L735" s="5" t="str">
        <f>IF(H735="neutral","—",IF(K735&gt;=5,IF(H735="warm","El Niño","La Niña"),IF(ROW()+J735-1=920,IF(H735="warm","El Niño (ongoing)","La Niña (ongoing)"),"—")))</f>
        <v>La Niña</v>
      </c>
      <c r="M735" s="2" t="inlineStr">
        <is>
          <t xml:space="preserve">2010/11</t>
        </is>
      </c>
    </row>
    <row r="736">
      <c r="A736" s="2" t="inlineStr">
        <is>
          <t xml:space="preserve">2011-03</t>
        </is>
      </c>
      <c r="B736" s="2">
        <v>2011</v>
      </c>
      <c r="C736" s="2">
        <v>3</v>
      </c>
      <c r="D736" s="2" t="inlineStr">
        <is>
          <t xml:space="preserve">FMA</t>
        </is>
      </c>
      <c r="E736" t="inlineStr">
        <is>
          <t xml:space="preserve">Feb 2011 – Apr 2011</t>
        </is>
      </c>
      <c r="F736" s="3">
        <v>-0.85</v>
      </c>
      <c r="G736" s="4">
        <f>ROUND(F736,1)</f>
        <v>-0.9</v>
      </c>
      <c r="H736" s="2" t="str">
        <f>IF(G736&gt;=0.5,"warm",IF(G736&lt;=-0.5,"cold","neutral"))</f>
        <v>cold</v>
      </c>
      <c r="I736" s="2">
        <f>IF(H736=H735,I735+1,1)</f>
        <v>10</v>
      </c>
      <c r="J736" s="2">
        <f>IF(H736=H737,J737+1,1)</f>
        <v>3</v>
      </c>
      <c r="K736" s="2">
        <f>I736+J736-1</f>
        <v>12</v>
      </c>
      <c r="L736" s="5" t="str">
        <f>IF(H736="neutral","—",IF(K736&gt;=5,IF(H736="warm","El Niño","La Niña"),IF(ROW()+J736-1=920,IF(H736="warm","El Niño (ongoing)","La Niña (ongoing)"),"—")))</f>
        <v>La Niña</v>
      </c>
      <c r="M736" s="2" t="inlineStr">
        <is>
          <t xml:space="preserve">2010/11</t>
        </is>
      </c>
    </row>
    <row r="737">
      <c r="A737" s="2" t="inlineStr">
        <is>
          <t xml:space="preserve">2011-04</t>
        </is>
      </c>
      <c r="B737" s="2">
        <v>2011</v>
      </c>
      <c r="C737" s="2">
        <v>4</v>
      </c>
      <c r="D737" s="2" t="inlineStr">
        <is>
          <t xml:space="preserve">MAM</t>
        </is>
      </c>
      <c r="E737" t="inlineStr">
        <is>
          <t xml:space="preserve">Mar 2011 – May 2011</t>
        </is>
      </c>
      <c r="F737" s="3">
        <v>-0.68</v>
      </c>
      <c r="G737" s="4">
        <f>ROUND(F737,1)</f>
        <v>-0.7</v>
      </c>
      <c r="H737" s="2" t="str">
        <f>IF(G737&gt;=0.5,"warm",IF(G737&lt;=-0.5,"cold","neutral"))</f>
        <v>cold</v>
      </c>
      <c r="I737" s="2">
        <f>IF(H737=H736,I736+1,1)</f>
        <v>11</v>
      </c>
      <c r="J737" s="2">
        <f>IF(H737=H738,J738+1,1)</f>
        <v>2</v>
      </c>
      <c r="K737" s="2">
        <f>I737+J737-1</f>
        <v>12</v>
      </c>
      <c r="L737" s="5" t="str">
        <f>IF(H737="neutral","—",IF(K737&gt;=5,IF(H737="warm","El Niño","La Niña"),IF(ROW()+J737-1=920,IF(H737="warm","El Niño (ongoing)","La Niña (ongoing)"),"—")))</f>
        <v>La Niña</v>
      </c>
      <c r="M737" s="2" t="inlineStr">
        <is>
          <t xml:space="preserve">2010/11</t>
        </is>
      </c>
    </row>
    <row r="738">
      <c r="A738" s="2" t="inlineStr">
        <is>
          <t xml:space="preserve">2011-05</t>
        </is>
      </c>
      <c r="B738" s="2">
        <v>2011</v>
      </c>
      <c r="C738" s="2">
        <v>5</v>
      </c>
      <c r="D738" s="2" t="inlineStr">
        <is>
          <t xml:space="preserve">AMJ</t>
        </is>
      </c>
      <c r="E738" t="inlineStr">
        <is>
          <t xml:space="preserve">Apr 2011 – Jun 2011</t>
        </is>
      </c>
      <c r="F738" s="3">
        <v>-0.5</v>
      </c>
      <c r="G738" s="4">
        <f>ROUND(F738,1)</f>
        <v>-0.5</v>
      </c>
      <c r="H738" s="2" t="str">
        <f>IF(G738&gt;=0.5,"warm",IF(G738&lt;=-0.5,"cold","neutral"))</f>
        <v>cold</v>
      </c>
      <c r="I738" s="2">
        <f>IF(H738=H737,I737+1,1)</f>
        <v>12</v>
      </c>
      <c r="J738" s="2">
        <f>IF(H738=H739,J739+1,1)</f>
        <v>1</v>
      </c>
      <c r="K738" s="2">
        <f>I738+J738-1</f>
        <v>12</v>
      </c>
      <c r="L738" s="5" t="str">
        <f>IF(H738="neutral","—",IF(K738&gt;=5,IF(H738="warm","El Niño","La Niña"),IF(ROW()+J738-1=920,IF(H738="warm","El Niño (ongoing)","La Niña (ongoing)"),"—")))</f>
        <v>La Niña</v>
      </c>
      <c r="M738" s="2" t="inlineStr">
        <is>
          <t xml:space="preserve">2010/11</t>
        </is>
      </c>
    </row>
    <row r="739">
      <c r="A739" s="2" t="inlineStr">
        <is>
          <t xml:space="preserve">2011-06</t>
        </is>
      </c>
      <c r="B739" s="2">
        <v>2011</v>
      </c>
      <c r="C739" s="2">
        <v>6</v>
      </c>
      <c r="D739" s="2" t="inlineStr">
        <is>
          <t xml:space="preserve">MJJ</t>
        </is>
      </c>
      <c r="E739" t="inlineStr">
        <is>
          <t xml:space="preserve">May 2011 – Jul 2011</t>
        </is>
      </c>
      <c r="F739" s="3">
        <v>-0.34</v>
      </c>
      <c r="G739" s="4">
        <f>ROUND(F739,1)</f>
        <v>-0.3</v>
      </c>
      <c r="H739" s="2" t="str">
        <f>IF(G739&gt;=0.5,"warm",IF(G739&lt;=-0.5,"cold","neutral"))</f>
        <v>neutral</v>
      </c>
      <c r="I739" s="2">
        <f>IF(H739=H738,I738+1,1)</f>
        <v>1</v>
      </c>
      <c r="J739" s="2">
        <f>IF(H739=H740,J740+1,1)</f>
        <v>2</v>
      </c>
      <c r="K739" s="2">
        <f>I739+J739-1</f>
        <v>2</v>
      </c>
      <c r="L739" s="2" t="str">
        <f>IF(H739="neutral","—",IF(K739&gt;=5,IF(H739="warm","El Niño","La Niña"),IF(ROW()+J739-1=920,IF(H739="warm","El Niño (ongoing)","La Niña (ongoing)"),"—")))</f>
        <v>—</v>
      </c>
      <c r="M739" s="2" t="inlineStr">
        <is>
          <t xml:space="preserve">2010/11</t>
        </is>
      </c>
    </row>
    <row r="740">
      <c r="A740" s="2" t="inlineStr">
        <is>
          <t xml:space="preserve">2011-07</t>
        </is>
      </c>
      <c r="B740" s="2">
        <v>2011</v>
      </c>
      <c r="C740" s="2">
        <v>7</v>
      </c>
      <c r="D740" s="2" t="inlineStr">
        <is>
          <t xml:space="preserve">JJA</t>
        </is>
      </c>
      <c r="E740" t="inlineStr">
        <is>
          <t xml:space="preserve">Jun 2011 – Aug 2011</t>
        </is>
      </c>
      <c r="F740" s="3">
        <v>-0.37</v>
      </c>
      <c r="G740" s="4">
        <f>ROUND(F740,1)</f>
        <v>-0.4</v>
      </c>
      <c r="H740" s="2" t="str">
        <f>IF(G740&gt;=0.5,"warm",IF(G740&lt;=-0.5,"cold","neutral"))</f>
        <v>neutral</v>
      </c>
      <c r="I740" s="2">
        <f>IF(H740=H739,I739+1,1)</f>
        <v>2</v>
      </c>
      <c r="J740" s="2">
        <f>IF(H740=H741,J741+1,1)</f>
        <v>1</v>
      </c>
      <c r="K740" s="2">
        <f>I740+J740-1</f>
        <v>2</v>
      </c>
      <c r="L740" s="2" t="str">
        <f>IF(H740="neutral","—",IF(K740&gt;=5,IF(H740="warm","El Niño","La Niña"),IF(ROW()+J740-1=920,IF(H740="warm","El Niño (ongoing)","La Niña (ongoing)"),"—")))</f>
        <v>—</v>
      </c>
      <c r="M740" s="2" t="inlineStr">
        <is>
          <t xml:space="preserve">2011/12</t>
        </is>
      </c>
    </row>
    <row r="741">
      <c r="A741" s="2" t="inlineStr">
        <is>
          <t xml:space="preserve">2011-08</t>
        </is>
      </c>
      <c r="B741" s="2">
        <v>2011</v>
      </c>
      <c r="C741" s="2">
        <v>8</v>
      </c>
      <c r="D741" s="2" t="inlineStr">
        <is>
          <t xml:space="preserve">JAS</t>
        </is>
      </c>
      <c r="E741" t="inlineStr">
        <is>
          <t xml:space="preserve">Jul 2011 – Sep 2011</t>
        </is>
      </c>
      <c r="F741" s="3">
        <v>-0.5</v>
      </c>
      <c r="G741" s="4">
        <f>ROUND(F741,1)</f>
        <v>-0.5</v>
      </c>
      <c r="H741" s="2" t="str">
        <f>IF(G741&gt;=0.5,"warm",IF(G741&lt;=-0.5,"cold","neutral"))</f>
        <v>cold</v>
      </c>
      <c r="I741" s="2">
        <f>IF(H741=H740,I740+1,1)</f>
        <v>1</v>
      </c>
      <c r="J741" s="2">
        <f>IF(H741=H742,J742+1,1)</f>
        <v>7</v>
      </c>
      <c r="K741" s="2">
        <f>I741+J741-1</f>
        <v>7</v>
      </c>
      <c r="L741" s="5" t="str">
        <f>IF(H741="neutral","—",IF(K741&gt;=5,IF(H741="warm","El Niño","La Niña"),IF(ROW()+J741-1=920,IF(H741="warm","El Niño (ongoing)","La Niña (ongoing)"),"—")))</f>
        <v>La Niña</v>
      </c>
      <c r="M741" s="2" t="inlineStr">
        <is>
          <t xml:space="preserve">2011/12</t>
        </is>
      </c>
    </row>
    <row r="742">
      <c r="A742" s="2" t="inlineStr">
        <is>
          <t xml:space="preserve">2011-09</t>
        </is>
      </c>
      <c r="B742" s="2">
        <v>2011</v>
      </c>
      <c r="C742" s="2">
        <v>9</v>
      </c>
      <c r="D742" s="2" t="inlineStr">
        <is>
          <t xml:space="preserve">ASO</t>
        </is>
      </c>
      <c r="E742" t="inlineStr">
        <is>
          <t xml:space="preserve">Aug 2011 – Oct 2011</t>
        </is>
      </c>
      <c r="F742" s="3">
        <v>-0.76</v>
      </c>
      <c r="G742" s="4">
        <f>ROUND(F742,1)</f>
        <v>-0.8</v>
      </c>
      <c r="H742" s="2" t="str">
        <f>IF(G742&gt;=0.5,"warm",IF(G742&lt;=-0.5,"cold","neutral"))</f>
        <v>cold</v>
      </c>
      <c r="I742" s="2">
        <f>IF(H742=H741,I741+1,1)</f>
        <v>2</v>
      </c>
      <c r="J742" s="2">
        <f>IF(H742=H743,J743+1,1)</f>
        <v>6</v>
      </c>
      <c r="K742" s="2">
        <f>I742+J742-1</f>
        <v>7</v>
      </c>
      <c r="L742" s="5" t="str">
        <f>IF(H742="neutral","—",IF(K742&gt;=5,IF(H742="warm","El Niño","La Niña"),IF(ROW()+J742-1=920,IF(H742="warm","El Niño (ongoing)","La Niña (ongoing)"),"—")))</f>
        <v>La Niña</v>
      </c>
      <c r="M742" s="2" t="inlineStr">
        <is>
          <t xml:space="preserve">2011/12</t>
        </is>
      </c>
    </row>
    <row r="743">
      <c r="A743" s="2" t="inlineStr">
        <is>
          <t xml:space="preserve">2011-10</t>
        </is>
      </c>
      <c r="B743" s="2">
        <v>2011</v>
      </c>
      <c r="C743" s="2">
        <v>10</v>
      </c>
      <c r="D743" s="2" t="inlineStr">
        <is>
          <t xml:space="preserve">SON</t>
        </is>
      </c>
      <c r="E743" t="inlineStr">
        <is>
          <t xml:space="preserve">Sep 2011 – Nov 2011</t>
        </is>
      </c>
      <c r="F743" s="3">
        <v>-0.94</v>
      </c>
      <c r="G743" s="4">
        <f>ROUND(F743,1)</f>
        <v>-0.9</v>
      </c>
      <c r="H743" s="2" t="str">
        <f>IF(G743&gt;=0.5,"warm",IF(G743&lt;=-0.5,"cold","neutral"))</f>
        <v>cold</v>
      </c>
      <c r="I743" s="2">
        <f>IF(H743=H742,I742+1,1)</f>
        <v>3</v>
      </c>
      <c r="J743" s="2">
        <f>IF(H743=H744,J744+1,1)</f>
        <v>5</v>
      </c>
      <c r="K743" s="2">
        <f>I743+J743-1</f>
        <v>7</v>
      </c>
      <c r="L743" s="5" t="str">
        <f>IF(H743="neutral","—",IF(K743&gt;=5,IF(H743="warm","El Niño","La Niña"),IF(ROW()+J743-1=920,IF(H743="warm","El Niño (ongoing)","La Niña (ongoing)"),"—")))</f>
        <v>La Niña</v>
      </c>
      <c r="M743" s="2" t="inlineStr">
        <is>
          <t xml:space="preserve">2011/12</t>
        </is>
      </c>
    </row>
    <row r="744">
      <c r="A744" s="2" t="inlineStr">
        <is>
          <t xml:space="preserve">2011-11</t>
        </is>
      </c>
      <c r="B744" s="2">
        <v>2011</v>
      </c>
      <c r="C744" s="2">
        <v>11</v>
      </c>
      <c r="D744" s="2" t="inlineStr">
        <is>
          <t xml:space="preserve">OND</t>
        </is>
      </c>
      <c r="E744" t="inlineStr">
        <is>
          <t xml:space="preserve">Oct 2011 – Dec 2011</t>
        </is>
      </c>
      <c r="F744" s="3">
        <v>-1.02</v>
      </c>
      <c r="G744" s="4">
        <f>ROUND(F744,1)</f>
        <v>-1.0</v>
      </c>
      <c r="H744" s="2" t="str">
        <f>IF(G744&gt;=0.5,"warm",IF(G744&lt;=-0.5,"cold","neutral"))</f>
        <v>cold</v>
      </c>
      <c r="I744" s="2">
        <f>IF(H744=H743,I743+1,1)</f>
        <v>4</v>
      </c>
      <c r="J744" s="2">
        <f>IF(H744=H745,J745+1,1)</f>
        <v>4</v>
      </c>
      <c r="K744" s="2">
        <f>I744+J744-1</f>
        <v>7</v>
      </c>
      <c r="L744" s="5" t="str">
        <f>IF(H744="neutral","—",IF(K744&gt;=5,IF(H744="warm","El Niño","La Niña"),IF(ROW()+J744-1=920,IF(H744="warm","El Niño (ongoing)","La Niña (ongoing)"),"—")))</f>
        <v>La Niña</v>
      </c>
      <c r="M744" s="2" t="inlineStr">
        <is>
          <t xml:space="preserve">2011/12</t>
        </is>
      </c>
    </row>
    <row r="745">
      <c r="A745" s="2" t="inlineStr">
        <is>
          <t xml:space="preserve">2011-12</t>
        </is>
      </c>
      <c r="B745" s="2">
        <v>2011</v>
      </c>
      <c r="C745" s="2">
        <v>12</v>
      </c>
      <c r="D745" s="2" t="inlineStr">
        <is>
          <t xml:space="preserve">NDJ</t>
        </is>
      </c>
      <c r="E745" t="inlineStr">
        <is>
          <t xml:space="preserve">Nov 2011 – Jan 2012</t>
        </is>
      </c>
      <c r="F745" s="3">
        <v>-0.92</v>
      </c>
      <c r="G745" s="4">
        <f>ROUND(F745,1)</f>
        <v>-0.9</v>
      </c>
      <c r="H745" s="2" t="str">
        <f>IF(G745&gt;=0.5,"warm",IF(G745&lt;=-0.5,"cold","neutral"))</f>
        <v>cold</v>
      </c>
      <c r="I745" s="2">
        <f>IF(H745=H744,I744+1,1)</f>
        <v>5</v>
      </c>
      <c r="J745" s="2">
        <f>IF(H745=H746,J746+1,1)</f>
        <v>3</v>
      </c>
      <c r="K745" s="2">
        <f>I745+J745-1</f>
        <v>7</v>
      </c>
      <c r="L745" s="5" t="str">
        <f>IF(H745="neutral","—",IF(K745&gt;=5,IF(H745="warm","El Niño","La Niña"),IF(ROW()+J745-1=920,IF(H745="warm","El Niño (ongoing)","La Niña (ongoing)"),"—")))</f>
        <v>La Niña</v>
      </c>
      <c r="M745" s="2" t="inlineStr">
        <is>
          <t xml:space="preserve">2011/12</t>
        </is>
      </c>
    </row>
    <row r="746">
      <c r="A746" s="2" t="inlineStr">
        <is>
          <t xml:space="preserve">2012-01</t>
        </is>
      </c>
      <c r="B746" s="2">
        <v>2012</v>
      </c>
      <c r="C746" s="2">
        <v>1</v>
      </c>
      <c r="D746" s="2" t="inlineStr">
        <is>
          <t xml:space="preserve">DJF</t>
        </is>
      </c>
      <c r="E746" t="inlineStr">
        <is>
          <t xml:space="preserve">Dec 2011 – Feb 2012</t>
        </is>
      </c>
      <c r="F746" s="3">
        <v>-0.71</v>
      </c>
      <c r="G746" s="4">
        <f>ROUND(F746,1)</f>
        <v>-0.7</v>
      </c>
      <c r="H746" s="2" t="str">
        <f>IF(G746&gt;=0.5,"warm",IF(G746&lt;=-0.5,"cold","neutral"))</f>
        <v>cold</v>
      </c>
      <c r="I746" s="2">
        <f>IF(H746=H745,I745+1,1)</f>
        <v>6</v>
      </c>
      <c r="J746" s="2">
        <f>IF(H746=H747,J747+1,1)</f>
        <v>2</v>
      </c>
      <c r="K746" s="2">
        <f>I746+J746-1</f>
        <v>7</v>
      </c>
      <c r="L746" s="5" t="str">
        <f>IF(H746="neutral","—",IF(K746&gt;=5,IF(H746="warm","El Niño","La Niña"),IF(ROW()+J746-1=920,IF(H746="warm","El Niño (ongoing)","La Niña (ongoing)"),"—")))</f>
        <v>La Niña</v>
      </c>
      <c r="M746" s="2" t="inlineStr">
        <is>
          <t xml:space="preserve">2011/12</t>
        </is>
      </c>
    </row>
    <row r="747">
      <c r="A747" s="2" t="inlineStr">
        <is>
          <t xml:space="preserve">2012-02</t>
        </is>
      </c>
      <c r="B747" s="2">
        <v>2012</v>
      </c>
      <c r="C747" s="2">
        <v>2</v>
      </c>
      <c r="D747" s="2" t="inlineStr">
        <is>
          <t xml:space="preserve">JFM</t>
        </is>
      </c>
      <c r="E747" t="inlineStr">
        <is>
          <t xml:space="preserve">Jan 2012 – Mar 2012</t>
        </is>
      </c>
      <c r="F747" s="3">
        <v>-0.56</v>
      </c>
      <c r="G747" s="4">
        <f>ROUND(F747,1)</f>
        <v>-0.6</v>
      </c>
      <c r="H747" s="2" t="str">
        <f>IF(G747&gt;=0.5,"warm",IF(G747&lt;=-0.5,"cold","neutral"))</f>
        <v>cold</v>
      </c>
      <c r="I747" s="2">
        <f>IF(H747=H746,I746+1,1)</f>
        <v>7</v>
      </c>
      <c r="J747" s="2">
        <f>IF(H747=H748,J748+1,1)</f>
        <v>1</v>
      </c>
      <c r="K747" s="2">
        <f>I747+J747-1</f>
        <v>7</v>
      </c>
      <c r="L747" s="5" t="str">
        <f>IF(H747="neutral","—",IF(K747&gt;=5,IF(H747="warm","El Niño","La Niña"),IF(ROW()+J747-1=920,IF(H747="warm","El Niño (ongoing)","La Niña (ongoing)"),"—")))</f>
        <v>La Niña</v>
      </c>
      <c r="M747" s="2" t="inlineStr">
        <is>
          <t xml:space="preserve">2011/12</t>
        </is>
      </c>
    </row>
    <row r="748">
      <c r="A748" s="2" t="inlineStr">
        <is>
          <t xml:space="preserve">2012-03</t>
        </is>
      </c>
      <c r="B748" s="2">
        <v>2012</v>
      </c>
      <c r="C748" s="2">
        <v>3</v>
      </c>
      <c r="D748" s="2" t="inlineStr">
        <is>
          <t xml:space="preserve">FMA</t>
        </is>
      </c>
      <c r="E748" t="inlineStr">
        <is>
          <t xml:space="preserve">Feb 2012 – Apr 2012</t>
        </is>
      </c>
      <c r="F748" s="3">
        <v>-0.44</v>
      </c>
      <c r="G748" s="4">
        <f>ROUND(F748,1)</f>
        <v>-0.4</v>
      </c>
      <c r="H748" s="2" t="str">
        <f>IF(G748&gt;=0.5,"warm",IF(G748&lt;=-0.5,"cold","neutral"))</f>
        <v>neutral</v>
      </c>
      <c r="I748" s="2">
        <f>IF(H748=H747,I747+1,1)</f>
        <v>1</v>
      </c>
      <c r="J748" s="2">
        <f>IF(H748=H749,J749+1,1)</f>
        <v>16</v>
      </c>
      <c r="K748" s="2">
        <f>I748+J748-1</f>
        <v>16</v>
      </c>
      <c r="L748" s="2" t="str">
        <f>IF(H748="neutral","—",IF(K748&gt;=5,IF(H748="warm","El Niño","La Niña"),IF(ROW()+J748-1=920,IF(H748="warm","El Niño (ongoing)","La Niña (ongoing)"),"—")))</f>
        <v>—</v>
      </c>
      <c r="M748" s="2" t="inlineStr">
        <is>
          <t xml:space="preserve">2011/12</t>
        </is>
      </c>
    </row>
    <row r="749">
      <c r="A749" s="2" t="inlineStr">
        <is>
          <t xml:space="preserve">2012-04</t>
        </is>
      </c>
      <c r="B749" s="2">
        <v>2012</v>
      </c>
      <c r="C749" s="2">
        <v>4</v>
      </c>
      <c r="D749" s="2" t="inlineStr">
        <is>
          <t xml:space="preserve">MAM</t>
        </is>
      </c>
      <c r="E749" t="inlineStr">
        <is>
          <t xml:space="preserve">Mar 2012 – May 2012</t>
        </is>
      </c>
      <c r="F749" s="3">
        <v>-0.35</v>
      </c>
      <c r="G749" s="4">
        <f>ROUND(F749,1)</f>
        <v>-0.4</v>
      </c>
      <c r="H749" s="2" t="str">
        <f>IF(G749&gt;=0.5,"warm",IF(G749&lt;=-0.5,"cold","neutral"))</f>
        <v>neutral</v>
      </c>
      <c r="I749" s="2">
        <f>IF(H749=H748,I748+1,1)</f>
        <v>2</v>
      </c>
      <c r="J749" s="2">
        <f>IF(H749=H750,J750+1,1)</f>
        <v>15</v>
      </c>
      <c r="K749" s="2">
        <f>I749+J749-1</f>
        <v>16</v>
      </c>
      <c r="L749" s="2" t="str">
        <f>IF(H749="neutral","—",IF(K749&gt;=5,IF(H749="warm","El Niño","La Niña"),IF(ROW()+J749-1=920,IF(H749="warm","El Niño (ongoing)","La Niña (ongoing)"),"—")))</f>
        <v>—</v>
      </c>
      <c r="M749" s="2" t="inlineStr">
        <is>
          <t xml:space="preserve">2011/12</t>
        </is>
      </c>
    </row>
    <row r="750">
      <c r="A750" s="2" t="inlineStr">
        <is>
          <t xml:space="preserve">2012-05</t>
        </is>
      </c>
      <c r="B750" s="2">
        <v>2012</v>
      </c>
      <c r="C750" s="2">
        <v>5</v>
      </c>
      <c r="D750" s="2" t="inlineStr">
        <is>
          <t xml:space="preserve">AMJ</t>
        </is>
      </c>
      <c r="E750" t="inlineStr">
        <is>
          <t xml:space="preserve">Apr 2012 – Jun 2012</t>
        </is>
      </c>
      <c r="F750" s="3">
        <v>-0.18</v>
      </c>
      <c r="G750" s="4">
        <f>ROUND(F750,1)</f>
        <v>-0.2</v>
      </c>
      <c r="H750" s="2" t="str">
        <f>IF(G750&gt;=0.5,"warm",IF(G750&lt;=-0.5,"cold","neutral"))</f>
        <v>neutral</v>
      </c>
      <c r="I750" s="2">
        <f>IF(H750=H749,I749+1,1)</f>
        <v>3</v>
      </c>
      <c r="J750" s="2">
        <f>IF(H750=H751,J751+1,1)</f>
        <v>14</v>
      </c>
      <c r="K750" s="2">
        <f>I750+J750-1</f>
        <v>16</v>
      </c>
      <c r="L750" s="2" t="str">
        <f>IF(H750="neutral","—",IF(K750&gt;=5,IF(H750="warm","El Niño","La Niña"),IF(ROW()+J750-1=920,IF(H750="warm","El Niño (ongoing)","La Niña (ongoing)"),"—")))</f>
        <v>—</v>
      </c>
      <c r="M750" s="2" t="inlineStr">
        <is>
          <t xml:space="preserve">2011/12</t>
        </is>
      </c>
    </row>
    <row r="751">
      <c r="A751" s="2" t="inlineStr">
        <is>
          <t xml:space="preserve">2012-06</t>
        </is>
      </c>
      <c r="B751" s="2">
        <v>2012</v>
      </c>
      <c r="C751" s="2">
        <v>6</v>
      </c>
      <c r="D751" s="2" t="inlineStr">
        <is>
          <t xml:space="preserve">MJJ</t>
        </is>
      </c>
      <c r="E751" t="inlineStr">
        <is>
          <t xml:space="preserve">May 2012 – Jul 2012</t>
        </is>
      </c>
      <c r="F751" s="3">
        <v>0.03</v>
      </c>
      <c r="G751" s="4">
        <f>ROUND(F751,1)</f>
        <v>0.0</v>
      </c>
      <c r="H751" s="2" t="str">
        <f>IF(G751&gt;=0.5,"warm",IF(G751&lt;=-0.5,"cold","neutral"))</f>
        <v>neutral</v>
      </c>
      <c r="I751" s="2">
        <f>IF(H751=H750,I750+1,1)</f>
        <v>4</v>
      </c>
      <c r="J751" s="2">
        <f>IF(H751=H752,J752+1,1)</f>
        <v>13</v>
      </c>
      <c r="K751" s="2">
        <f>I751+J751-1</f>
        <v>16</v>
      </c>
      <c r="L751" s="2" t="str">
        <f>IF(H751="neutral","—",IF(K751&gt;=5,IF(H751="warm","El Niño","La Niña"),IF(ROW()+J751-1=920,IF(H751="warm","El Niño (ongoing)","La Niña (ongoing)"),"—")))</f>
        <v>—</v>
      </c>
      <c r="M751" s="2" t="inlineStr">
        <is>
          <t xml:space="preserve">2011/12</t>
        </is>
      </c>
    </row>
    <row r="752">
      <c r="A752" s="2" t="inlineStr">
        <is>
          <t xml:space="preserve">2012-07</t>
        </is>
      </c>
      <c r="B752" s="2">
        <v>2012</v>
      </c>
      <c r="C752" s="2">
        <v>7</v>
      </c>
      <c r="D752" s="2" t="inlineStr">
        <is>
          <t xml:space="preserve">JJA</t>
        </is>
      </c>
      <c r="E752" t="inlineStr">
        <is>
          <t xml:space="preserve">Jun 2012 – Aug 2012</t>
        </is>
      </c>
      <c r="F752" s="3">
        <v>0.28</v>
      </c>
      <c r="G752" s="4">
        <f>ROUND(F752,1)</f>
        <v>0.3</v>
      </c>
      <c r="H752" s="2" t="str">
        <f>IF(G752&gt;=0.5,"warm",IF(G752&lt;=-0.5,"cold","neutral"))</f>
        <v>neutral</v>
      </c>
      <c r="I752" s="2">
        <f>IF(H752=H751,I751+1,1)</f>
        <v>5</v>
      </c>
      <c r="J752" s="2">
        <f>IF(H752=H753,J753+1,1)</f>
        <v>12</v>
      </c>
      <c r="K752" s="2">
        <f>I752+J752-1</f>
        <v>16</v>
      </c>
      <c r="L752" s="2" t="str">
        <f>IF(H752="neutral","—",IF(K752&gt;=5,IF(H752="warm","El Niño","La Niña"),IF(ROW()+J752-1=920,IF(H752="warm","El Niño (ongoing)","La Niña (ongoing)"),"—")))</f>
        <v>—</v>
      </c>
      <c r="M752" s="2" t="inlineStr">
        <is>
          <t xml:space="preserve">2012/13</t>
        </is>
      </c>
    </row>
    <row r="753">
      <c r="A753" s="2" t="inlineStr">
        <is>
          <t xml:space="preserve">2012-08</t>
        </is>
      </c>
      <c r="B753" s="2">
        <v>2012</v>
      </c>
      <c r="C753" s="2">
        <v>8</v>
      </c>
      <c r="D753" s="2" t="inlineStr">
        <is>
          <t xml:space="preserve">JAS</t>
        </is>
      </c>
      <c r="E753" t="inlineStr">
        <is>
          <t xml:space="preserve">Jul 2012 – Sep 2012</t>
        </is>
      </c>
      <c r="F753" s="3">
        <v>0.39</v>
      </c>
      <c r="G753" s="4">
        <f>ROUND(F753,1)</f>
        <v>0.4</v>
      </c>
      <c r="H753" s="2" t="str">
        <f>IF(G753&gt;=0.5,"warm",IF(G753&lt;=-0.5,"cold","neutral"))</f>
        <v>neutral</v>
      </c>
      <c r="I753" s="2">
        <f>IF(H753=H752,I752+1,1)</f>
        <v>6</v>
      </c>
      <c r="J753" s="2">
        <f>IF(H753=H754,J754+1,1)</f>
        <v>11</v>
      </c>
      <c r="K753" s="2">
        <f>I753+J753-1</f>
        <v>16</v>
      </c>
      <c r="L753" s="2" t="str">
        <f>IF(H753="neutral","—",IF(K753&gt;=5,IF(H753="warm","El Niño","La Niña"),IF(ROW()+J753-1=920,IF(H753="warm","El Niño (ongoing)","La Niña (ongoing)"),"—")))</f>
        <v>—</v>
      </c>
      <c r="M753" s="2" t="inlineStr">
        <is>
          <t xml:space="preserve">2012/13</t>
        </is>
      </c>
    </row>
    <row r="754">
      <c r="A754" s="2" t="inlineStr">
        <is>
          <t xml:space="preserve">2012-09</t>
        </is>
      </c>
      <c r="B754" s="2">
        <v>2012</v>
      </c>
      <c r="C754" s="2">
        <v>9</v>
      </c>
      <c r="D754" s="2" t="inlineStr">
        <is>
          <t xml:space="preserve">ASO</t>
        </is>
      </c>
      <c r="E754" t="inlineStr">
        <is>
          <t xml:space="preserve">Aug 2012 – Oct 2012</t>
        </is>
      </c>
      <c r="F754" s="3">
        <v>0.37</v>
      </c>
      <c r="G754" s="4">
        <f>ROUND(F754,1)</f>
        <v>0.4</v>
      </c>
      <c r="H754" s="2" t="str">
        <f>IF(G754&gt;=0.5,"warm",IF(G754&lt;=-0.5,"cold","neutral"))</f>
        <v>neutral</v>
      </c>
      <c r="I754" s="2">
        <f>IF(H754=H753,I753+1,1)</f>
        <v>7</v>
      </c>
      <c r="J754" s="2">
        <f>IF(H754=H755,J755+1,1)</f>
        <v>10</v>
      </c>
      <c r="K754" s="2">
        <f>I754+J754-1</f>
        <v>16</v>
      </c>
      <c r="L754" s="2" t="str">
        <f>IF(H754="neutral","—",IF(K754&gt;=5,IF(H754="warm","El Niño","La Niña"),IF(ROW()+J754-1=920,IF(H754="warm","El Niño (ongoing)","La Niña (ongoing)"),"—")))</f>
        <v>—</v>
      </c>
      <c r="M754" s="2" t="inlineStr">
        <is>
          <t xml:space="preserve">2012/13</t>
        </is>
      </c>
    </row>
    <row r="755">
      <c r="A755" s="2" t="inlineStr">
        <is>
          <t xml:space="preserve">2012-10</t>
        </is>
      </c>
      <c r="B755" s="2">
        <v>2012</v>
      </c>
      <c r="C755" s="2">
        <v>10</v>
      </c>
      <c r="D755" s="2" t="inlineStr">
        <is>
          <t xml:space="preserve">SON</t>
        </is>
      </c>
      <c r="E755" t="inlineStr">
        <is>
          <t xml:space="preserve">Sep 2012 – Nov 2012</t>
        </is>
      </c>
      <c r="F755" s="3">
        <v>0.28</v>
      </c>
      <c r="G755" s="4">
        <f>ROUND(F755,1)</f>
        <v>0.3</v>
      </c>
      <c r="H755" s="2" t="str">
        <f>IF(G755&gt;=0.5,"warm",IF(G755&lt;=-0.5,"cold","neutral"))</f>
        <v>neutral</v>
      </c>
      <c r="I755" s="2">
        <f>IF(H755=H754,I754+1,1)</f>
        <v>8</v>
      </c>
      <c r="J755" s="2">
        <f>IF(H755=H756,J756+1,1)</f>
        <v>9</v>
      </c>
      <c r="K755" s="2">
        <f>I755+J755-1</f>
        <v>16</v>
      </c>
      <c r="L755" s="2" t="str">
        <f>IF(H755="neutral","—",IF(K755&gt;=5,IF(H755="warm","El Niño","La Niña"),IF(ROW()+J755-1=920,IF(H755="warm","El Niño (ongoing)","La Niña (ongoing)"),"—")))</f>
        <v>—</v>
      </c>
      <c r="M755" s="2" t="inlineStr">
        <is>
          <t xml:space="preserve">2012/13</t>
        </is>
      </c>
    </row>
    <row r="756">
      <c r="A756" s="2" t="inlineStr">
        <is>
          <t xml:space="preserve">2012-11</t>
        </is>
      </c>
      <c r="B756" s="2">
        <v>2012</v>
      </c>
      <c r="C756" s="2">
        <v>11</v>
      </c>
      <c r="D756" s="2" t="inlineStr">
        <is>
          <t xml:space="preserve">OND</t>
        </is>
      </c>
      <c r="E756" t="inlineStr">
        <is>
          <t xml:space="preserve">Oct 2012 – Dec 2012</t>
        </is>
      </c>
      <c r="F756" s="3">
        <v>0.13</v>
      </c>
      <c r="G756" s="4">
        <f>ROUND(F756,1)</f>
        <v>0.1</v>
      </c>
      <c r="H756" s="2" t="str">
        <f>IF(G756&gt;=0.5,"warm",IF(G756&lt;=-0.5,"cold","neutral"))</f>
        <v>neutral</v>
      </c>
      <c r="I756" s="2">
        <f>IF(H756=H755,I755+1,1)</f>
        <v>9</v>
      </c>
      <c r="J756" s="2">
        <f>IF(H756=H757,J757+1,1)</f>
        <v>8</v>
      </c>
      <c r="K756" s="2">
        <f>I756+J756-1</f>
        <v>16</v>
      </c>
      <c r="L756" s="2" t="str">
        <f>IF(H756="neutral","—",IF(K756&gt;=5,IF(H756="warm","El Niño","La Niña"),IF(ROW()+J756-1=920,IF(H756="warm","El Niño (ongoing)","La Niña (ongoing)"),"—")))</f>
        <v>—</v>
      </c>
      <c r="M756" s="2" t="inlineStr">
        <is>
          <t xml:space="preserve">2012/13</t>
        </is>
      </c>
    </row>
    <row r="757">
      <c r="A757" s="2" t="inlineStr">
        <is>
          <t xml:space="preserve">2012-12</t>
        </is>
      </c>
      <c r="B757" s="2">
        <v>2012</v>
      </c>
      <c r="C757" s="2">
        <v>12</v>
      </c>
      <c r="D757" s="2" t="inlineStr">
        <is>
          <t xml:space="preserve">NDJ</t>
        </is>
      </c>
      <c r="E757" t="inlineStr">
        <is>
          <t xml:space="preserve">Nov 2012 – Jan 2013</t>
        </is>
      </c>
      <c r="F757" s="3">
        <v>-0.03</v>
      </c>
      <c r="G757" s="4">
        <f>ROUND(F757,1)</f>
        <v>-0.0</v>
      </c>
      <c r="H757" s="2" t="str">
        <f>IF(G757&gt;=0.5,"warm",IF(G757&lt;=-0.5,"cold","neutral"))</f>
        <v>neutral</v>
      </c>
      <c r="I757" s="2">
        <f>IF(H757=H756,I756+1,1)</f>
        <v>10</v>
      </c>
      <c r="J757" s="2">
        <f>IF(H757=H758,J758+1,1)</f>
        <v>7</v>
      </c>
      <c r="K757" s="2">
        <f>I757+J757-1</f>
        <v>16</v>
      </c>
      <c r="L757" s="2" t="str">
        <f>IF(H757="neutral","—",IF(K757&gt;=5,IF(H757="warm","El Niño","La Niña"),IF(ROW()+J757-1=920,IF(H757="warm","El Niño (ongoing)","La Niña (ongoing)"),"—")))</f>
        <v>—</v>
      </c>
      <c r="M757" s="2" t="inlineStr">
        <is>
          <t xml:space="preserve">2012/13</t>
        </is>
      </c>
    </row>
    <row r="758">
      <c r="A758" s="2" t="inlineStr">
        <is>
          <t xml:space="preserve">2013-01</t>
        </is>
      </c>
      <c r="B758" s="2">
        <v>2013</v>
      </c>
      <c r="C758" s="2">
        <v>1</v>
      </c>
      <c r="D758" s="2" t="inlineStr">
        <is>
          <t xml:space="preserve">DJF</t>
        </is>
      </c>
      <c r="E758" t="inlineStr">
        <is>
          <t xml:space="preserve">Dec 2012 – Feb 2013</t>
        </is>
      </c>
      <c r="F758" s="3">
        <v>-0.24</v>
      </c>
      <c r="G758" s="4">
        <f>ROUND(F758,1)</f>
        <v>-0.2</v>
      </c>
      <c r="H758" s="2" t="str">
        <f>IF(G758&gt;=0.5,"warm",IF(G758&lt;=-0.5,"cold","neutral"))</f>
        <v>neutral</v>
      </c>
      <c r="I758" s="2">
        <f>IF(H758=H757,I757+1,1)</f>
        <v>11</v>
      </c>
      <c r="J758" s="2">
        <f>IF(H758=H759,J759+1,1)</f>
        <v>6</v>
      </c>
      <c r="K758" s="2">
        <f>I758+J758-1</f>
        <v>16</v>
      </c>
      <c r="L758" s="2" t="str">
        <f>IF(H758="neutral","—",IF(K758&gt;=5,IF(H758="warm","El Niño","La Niña"),IF(ROW()+J758-1=920,IF(H758="warm","El Niño (ongoing)","La Niña (ongoing)"),"—")))</f>
        <v>—</v>
      </c>
      <c r="M758" s="2" t="inlineStr">
        <is>
          <t xml:space="preserve">2012/13</t>
        </is>
      </c>
    </row>
    <row r="759">
      <c r="A759" s="2" t="inlineStr">
        <is>
          <t xml:space="preserve">2013-02</t>
        </is>
      </c>
      <c r="B759" s="2">
        <v>2013</v>
      </c>
      <c r="C759" s="2">
        <v>2</v>
      </c>
      <c r="D759" s="2" t="inlineStr">
        <is>
          <t xml:space="preserve">JFM</t>
        </is>
      </c>
      <c r="E759" t="inlineStr">
        <is>
          <t xml:space="preserve">Jan 2013 – Mar 2013</t>
        </is>
      </c>
      <c r="F759" s="3">
        <v>-0.28</v>
      </c>
      <c r="G759" s="4">
        <f>ROUND(F759,1)</f>
        <v>-0.3</v>
      </c>
      <c r="H759" s="2" t="str">
        <f>IF(G759&gt;=0.5,"warm",IF(G759&lt;=-0.5,"cold","neutral"))</f>
        <v>neutral</v>
      </c>
      <c r="I759" s="2">
        <f>IF(H759=H758,I758+1,1)</f>
        <v>12</v>
      </c>
      <c r="J759" s="2">
        <f>IF(H759=H760,J760+1,1)</f>
        <v>5</v>
      </c>
      <c r="K759" s="2">
        <f>I759+J759-1</f>
        <v>16</v>
      </c>
      <c r="L759" s="2" t="str">
        <f>IF(H759="neutral","—",IF(K759&gt;=5,IF(H759="warm","El Niño","La Niña"),IF(ROW()+J759-1=920,IF(H759="warm","El Niño (ongoing)","La Niña (ongoing)"),"—")))</f>
        <v>—</v>
      </c>
      <c r="M759" s="2" t="inlineStr">
        <is>
          <t xml:space="preserve">2012/13</t>
        </is>
      </c>
    </row>
    <row r="760">
      <c r="A760" s="2" t="inlineStr">
        <is>
          <t xml:space="preserve">2013-03</t>
        </is>
      </c>
      <c r="B760" s="2">
        <v>2013</v>
      </c>
      <c r="C760" s="2">
        <v>3</v>
      </c>
      <c r="D760" s="2" t="inlineStr">
        <is>
          <t xml:space="preserve">FMA</t>
        </is>
      </c>
      <c r="E760" t="inlineStr">
        <is>
          <t xml:space="preserve">Feb 2013 – Apr 2013</t>
        </is>
      </c>
      <c r="F760" s="3">
        <v>-0.23</v>
      </c>
      <c r="G760" s="4">
        <f>ROUND(F760,1)</f>
        <v>-0.2</v>
      </c>
      <c r="H760" s="2" t="str">
        <f>IF(G760&gt;=0.5,"warm",IF(G760&lt;=-0.5,"cold","neutral"))</f>
        <v>neutral</v>
      </c>
      <c r="I760" s="2">
        <f>IF(H760=H759,I759+1,1)</f>
        <v>13</v>
      </c>
      <c r="J760" s="2">
        <f>IF(H760=H761,J761+1,1)</f>
        <v>4</v>
      </c>
      <c r="K760" s="2">
        <f>I760+J760-1</f>
        <v>16</v>
      </c>
      <c r="L760" s="2" t="str">
        <f>IF(H760="neutral","—",IF(K760&gt;=5,IF(H760="warm","El Niño","La Niña"),IF(ROW()+J760-1=920,IF(H760="warm","El Niño (ongoing)","La Niña (ongoing)"),"—")))</f>
        <v>—</v>
      </c>
      <c r="M760" s="2" t="inlineStr">
        <is>
          <t xml:space="preserve">2012/13</t>
        </is>
      </c>
    </row>
    <row r="761">
      <c r="A761" s="2" t="inlineStr">
        <is>
          <t xml:space="preserve">2013-04</t>
        </is>
      </c>
      <c r="B761" s="2">
        <v>2013</v>
      </c>
      <c r="C761" s="2">
        <v>4</v>
      </c>
      <c r="D761" s="2" t="inlineStr">
        <is>
          <t xml:space="preserve">MAM</t>
        </is>
      </c>
      <c r="E761" t="inlineStr">
        <is>
          <t xml:space="preserve">Mar 2013 – May 2013</t>
        </is>
      </c>
      <c r="F761" s="3">
        <v>-0.2</v>
      </c>
      <c r="G761" s="4">
        <f>ROUND(F761,1)</f>
        <v>-0.2</v>
      </c>
      <c r="H761" s="2" t="str">
        <f>IF(G761&gt;=0.5,"warm",IF(G761&lt;=-0.5,"cold","neutral"))</f>
        <v>neutral</v>
      </c>
      <c r="I761" s="2">
        <f>IF(H761=H760,I760+1,1)</f>
        <v>14</v>
      </c>
      <c r="J761" s="2">
        <f>IF(H761=H762,J762+1,1)</f>
        <v>3</v>
      </c>
      <c r="K761" s="2">
        <f>I761+J761-1</f>
        <v>16</v>
      </c>
      <c r="L761" s="2" t="str">
        <f>IF(H761="neutral","—",IF(K761&gt;=5,IF(H761="warm","El Niño","La Niña"),IF(ROW()+J761-1=920,IF(H761="warm","El Niño (ongoing)","La Niña (ongoing)"),"—")))</f>
        <v>—</v>
      </c>
      <c r="M761" s="2" t="inlineStr">
        <is>
          <t xml:space="preserve">2012/13</t>
        </is>
      </c>
    </row>
    <row r="762">
      <c r="A762" s="2" t="inlineStr">
        <is>
          <t xml:space="preserve">2013-05</t>
        </is>
      </c>
      <c r="B762" s="2">
        <v>2013</v>
      </c>
      <c r="C762" s="2">
        <v>5</v>
      </c>
      <c r="D762" s="2" t="inlineStr">
        <is>
          <t xml:space="preserve">AMJ</t>
        </is>
      </c>
      <c r="E762" t="inlineStr">
        <is>
          <t xml:space="preserve">Apr 2013 – Jun 2013</t>
        </is>
      </c>
      <c r="F762" s="3">
        <v>-0.3</v>
      </c>
      <c r="G762" s="4">
        <f>ROUND(F762,1)</f>
        <v>-0.3</v>
      </c>
      <c r="H762" s="2" t="str">
        <f>IF(G762&gt;=0.5,"warm",IF(G762&lt;=-0.5,"cold","neutral"))</f>
        <v>neutral</v>
      </c>
      <c r="I762" s="2">
        <f>IF(H762=H761,I761+1,1)</f>
        <v>15</v>
      </c>
      <c r="J762" s="2">
        <f>IF(H762=H763,J763+1,1)</f>
        <v>2</v>
      </c>
      <c r="K762" s="2">
        <f>I762+J762-1</f>
        <v>16</v>
      </c>
      <c r="L762" s="2" t="str">
        <f>IF(H762="neutral","—",IF(K762&gt;=5,IF(H762="warm","El Niño","La Niña"),IF(ROW()+J762-1=920,IF(H762="warm","El Niño (ongoing)","La Niña (ongoing)"),"—")))</f>
        <v>—</v>
      </c>
      <c r="M762" s="2" t="inlineStr">
        <is>
          <t xml:space="preserve">2012/13</t>
        </is>
      </c>
    </row>
    <row r="763">
      <c r="A763" s="2" t="inlineStr">
        <is>
          <t xml:space="preserve">2013-06</t>
        </is>
      </c>
      <c r="B763" s="2">
        <v>2013</v>
      </c>
      <c r="C763" s="2">
        <v>6</v>
      </c>
      <c r="D763" s="2" t="inlineStr">
        <is>
          <t xml:space="preserve">MJJ</t>
        </is>
      </c>
      <c r="E763" t="inlineStr">
        <is>
          <t xml:space="preserve">May 2013 – Jul 2013</t>
        </is>
      </c>
      <c r="F763" s="3">
        <v>-0.38</v>
      </c>
      <c r="G763" s="4">
        <f>ROUND(F763,1)</f>
        <v>-0.4</v>
      </c>
      <c r="H763" s="2" t="str">
        <f>IF(G763&gt;=0.5,"warm",IF(G763&lt;=-0.5,"cold","neutral"))</f>
        <v>neutral</v>
      </c>
      <c r="I763" s="2">
        <f>IF(H763=H762,I762+1,1)</f>
        <v>16</v>
      </c>
      <c r="J763" s="2">
        <f>IF(H763=H764,J764+1,1)</f>
        <v>1</v>
      </c>
      <c r="K763" s="2">
        <f>I763+J763-1</f>
        <v>16</v>
      </c>
      <c r="L763" s="2" t="str">
        <f>IF(H763="neutral","—",IF(K763&gt;=5,IF(H763="warm","El Niño","La Niña"),IF(ROW()+J763-1=920,IF(H763="warm","El Niño (ongoing)","La Niña (ongoing)"),"—")))</f>
        <v>—</v>
      </c>
      <c r="M763" s="2" t="inlineStr">
        <is>
          <t xml:space="preserve">2012/13</t>
        </is>
      </c>
    </row>
    <row r="764">
      <c r="A764" s="2" t="inlineStr">
        <is>
          <t xml:space="preserve">2013-07</t>
        </is>
      </c>
      <c r="B764" s="2">
        <v>2013</v>
      </c>
      <c r="C764" s="2">
        <v>7</v>
      </c>
      <c r="D764" s="2" t="inlineStr">
        <is>
          <t xml:space="preserve">JJA</t>
        </is>
      </c>
      <c r="E764" t="inlineStr">
        <is>
          <t xml:space="preserve">Jun 2013 – Aug 2013</t>
        </is>
      </c>
      <c r="F764" s="3">
        <v>-0.45</v>
      </c>
      <c r="G764" s="4">
        <f>ROUND(F764,1)</f>
        <v>-0.5</v>
      </c>
      <c r="H764" s="2" t="str">
        <f>IF(G764&gt;=0.5,"warm",IF(G764&lt;=-0.5,"cold","neutral"))</f>
        <v>cold</v>
      </c>
      <c r="I764" s="2">
        <f>IF(H764=H763,I763+1,1)</f>
        <v>1</v>
      </c>
      <c r="J764" s="2">
        <f>IF(H764=H765,J765+1,1)</f>
        <v>1</v>
      </c>
      <c r="K764" s="2">
        <f>I764+J764-1</f>
        <v>1</v>
      </c>
      <c r="L764" s="2" t="str">
        <f>IF(H764="neutral","—",IF(K764&gt;=5,IF(H764="warm","El Niño","La Niña"),IF(ROW()+J764-1=920,IF(H764="warm","El Niño (ongoing)","La Niña (ongoing)"),"—")))</f>
        <v>—</v>
      </c>
      <c r="M764" s="2" t="inlineStr">
        <is>
          <t xml:space="preserve">2013/14</t>
        </is>
      </c>
    </row>
    <row r="765">
      <c r="A765" s="2" t="inlineStr">
        <is>
          <t xml:space="preserve">2013-08</t>
        </is>
      </c>
      <c r="B765" s="2">
        <v>2013</v>
      </c>
      <c r="C765" s="2">
        <v>8</v>
      </c>
      <c r="D765" s="2" t="inlineStr">
        <is>
          <t xml:space="preserve">JAS</t>
        </is>
      </c>
      <c r="E765" t="inlineStr">
        <is>
          <t xml:space="preserve">Jul 2013 – Sep 2013</t>
        </is>
      </c>
      <c r="F765" s="3">
        <v>-0.34</v>
      </c>
      <c r="G765" s="4">
        <f>ROUND(F765,1)</f>
        <v>-0.3</v>
      </c>
      <c r="H765" s="2" t="str">
        <f>IF(G765&gt;=0.5,"warm",IF(G765&lt;=-0.5,"cold","neutral"))</f>
        <v>neutral</v>
      </c>
      <c r="I765" s="2">
        <f>IF(H765=H764,I764+1,1)</f>
        <v>1</v>
      </c>
      <c r="J765" s="2">
        <f>IF(H765=H766,J766+1,1)</f>
        <v>14</v>
      </c>
      <c r="K765" s="2">
        <f>I765+J765-1</f>
        <v>14</v>
      </c>
      <c r="L765" s="2" t="str">
        <f>IF(H765="neutral","—",IF(K765&gt;=5,IF(H765="warm","El Niño","La Niña"),IF(ROW()+J765-1=920,IF(H765="warm","El Niño (ongoing)","La Niña (ongoing)"),"—")))</f>
        <v>—</v>
      </c>
      <c r="M765" s="2" t="inlineStr">
        <is>
          <t xml:space="preserve">2013/14</t>
        </is>
      </c>
    </row>
    <row r="766">
      <c r="A766" s="2" t="inlineStr">
        <is>
          <t xml:space="preserve">2013-09</t>
        </is>
      </c>
      <c r="B766" s="2">
        <v>2013</v>
      </c>
      <c r="C766" s="2">
        <v>9</v>
      </c>
      <c r="D766" s="2" t="inlineStr">
        <is>
          <t xml:space="preserve">ASO</t>
        </is>
      </c>
      <c r="E766" t="inlineStr">
        <is>
          <t xml:space="preserve">Aug 2013 – Oct 2013</t>
        </is>
      </c>
      <c r="F766" s="3">
        <v>-0.32</v>
      </c>
      <c r="G766" s="4">
        <f>ROUND(F766,1)</f>
        <v>-0.3</v>
      </c>
      <c r="H766" s="2" t="str">
        <f>IF(G766&gt;=0.5,"warm",IF(G766&lt;=-0.5,"cold","neutral"))</f>
        <v>neutral</v>
      </c>
      <c r="I766" s="2">
        <f>IF(H766=H765,I765+1,1)</f>
        <v>2</v>
      </c>
      <c r="J766" s="2">
        <f>IF(H766=H767,J767+1,1)</f>
        <v>13</v>
      </c>
      <c r="K766" s="2">
        <f>I766+J766-1</f>
        <v>14</v>
      </c>
      <c r="L766" s="2" t="str">
        <f>IF(H766="neutral","—",IF(K766&gt;=5,IF(H766="warm","El Niño","La Niña"),IF(ROW()+J766-1=920,IF(H766="warm","El Niño (ongoing)","La Niña (ongoing)"),"—")))</f>
        <v>—</v>
      </c>
      <c r="M766" s="2" t="inlineStr">
        <is>
          <t xml:space="preserve">2013/14</t>
        </is>
      </c>
    </row>
    <row r="767">
      <c r="A767" s="2" t="inlineStr">
        <is>
          <t xml:space="preserve">2013-10</t>
        </is>
      </c>
      <c r="B767" s="2">
        <v>2013</v>
      </c>
      <c r="C767" s="2">
        <v>10</v>
      </c>
      <c r="D767" s="2" t="inlineStr">
        <is>
          <t xml:space="preserve">SON</t>
        </is>
      </c>
      <c r="E767" t="inlineStr">
        <is>
          <t xml:space="preserve">Sep 2013 – Nov 2013</t>
        </is>
      </c>
      <c r="F767" s="3">
        <v>-0.14</v>
      </c>
      <c r="G767" s="4">
        <f>ROUND(F767,1)</f>
        <v>-0.1</v>
      </c>
      <c r="H767" s="2" t="str">
        <f>IF(G767&gt;=0.5,"warm",IF(G767&lt;=-0.5,"cold","neutral"))</f>
        <v>neutral</v>
      </c>
      <c r="I767" s="2">
        <f>IF(H767=H766,I766+1,1)</f>
        <v>3</v>
      </c>
      <c r="J767" s="2">
        <f>IF(H767=H768,J768+1,1)</f>
        <v>12</v>
      </c>
      <c r="K767" s="2">
        <f>I767+J767-1</f>
        <v>14</v>
      </c>
      <c r="L767" s="2" t="str">
        <f>IF(H767="neutral","—",IF(K767&gt;=5,IF(H767="warm","El Niño","La Niña"),IF(ROW()+J767-1=920,IF(H767="warm","El Niño (ongoing)","La Niña (ongoing)"),"—")))</f>
        <v>—</v>
      </c>
      <c r="M767" s="2" t="inlineStr">
        <is>
          <t xml:space="preserve">2013/14</t>
        </is>
      </c>
    </row>
    <row r="768">
      <c r="A768" s="2" t="inlineStr">
        <is>
          <t xml:space="preserve">2013-11</t>
        </is>
      </c>
      <c r="B768" s="2">
        <v>2013</v>
      </c>
      <c r="C768" s="2">
        <v>11</v>
      </c>
      <c r="D768" s="2" t="inlineStr">
        <is>
          <t xml:space="preserve">OND</t>
        </is>
      </c>
      <c r="E768" t="inlineStr">
        <is>
          <t xml:space="preserve">Oct 2013 – Dec 2013</t>
        </is>
      </c>
      <c r="F768" s="3">
        <v>-0.12</v>
      </c>
      <c r="G768" s="4">
        <f>ROUND(F768,1)</f>
        <v>-0.1</v>
      </c>
      <c r="H768" s="2" t="str">
        <f>IF(G768&gt;=0.5,"warm",IF(G768&lt;=-0.5,"cold","neutral"))</f>
        <v>neutral</v>
      </c>
      <c r="I768" s="2">
        <f>IF(H768=H767,I767+1,1)</f>
        <v>4</v>
      </c>
      <c r="J768" s="2">
        <f>IF(H768=H769,J769+1,1)</f>
        <v>11</v>
      </c>
      <c r="K768" s="2">
        <f>I768+J768-1</f>
        <v>14</v>
      </c>
      <c r="L768" s="2" t="str">
        <f>IF(H768="neutral","—",IF(K768&gt;=5,IF(H768="warm","El Niño","La Niña"),IF(ROW()+J768-1=920,IF(H768="warm","El Niño (ongoing)","La Niña (ongoing)"),"—")))</f>
        <v>—</v>
      </c>
      <c r="M768" s="2" t="inlineStr">
        <is>
          <t xml:space="preserve">2013/14</t>
        </is>
      </c>
    </row>
    <row r="769">
      <c r="A769" s="2" t="inlineStr">
        <is>
          <t xml:space="preserve">2013-12</t>
        </is>
      </c>
      <c r="B769" s="2">
        <v>2013</v>
      </c>
      <c r="C769" s="2">
        <v>12</v>
      </c>
      <c r="D769" s="2" t="inlineStr">
        <is>
          <t xml:space="preserve">NDJ</t>
        </is>
      </c>
      <c r="E769" t="inlineStr">
        <is>
          <t xml:space="preserve">Nov 2013 – Jan 2014</t>
        </is>
      </c>
      <c r="F769" s="3">
        <v>-0.11</v>
      </c>
      <c r="G769" s="4">
        <f>ROUND(F769,1)</f>
        <v>-0.1</v>
      </c>
      <c r="H769" s="2" t="str">
        <f>IF(G769&gt;=0.5,"warm",IF(G769&lt;=-0.5,"cold","neutral"))</f>
        <v>neutral</v>
      </c>
      <c r="I769" s="2">
        <f>IF(H769=H768,I768+1,1)</f>
        <v>5</v>
      </c>
      <c r="J769" s="2">
        <f>IF(H769=H770,J770+1,1)</f>
        <v>10</v>
      </c>
      <c r="K769" s="2">
        <f>I769+J769-1</f>
        <v>14</v>
      </c>
      <c r="L769" s="2" t="str">
        <f>IF(H769="neutral","—",IF(K769&gt;=5,IF(H769="warm","El Niño","La Niña"),IF(ROW()+J769-1=920,IF(H769="warm","El Niño (ongoing)","La Niña (ongoing)"),"—")))</f>
        <v>—</v>
      </c>
      <c r="M769" s="2" t="inlineStr">
        <is>
          <t xml:space="preserve">2013/14</t>
        </is>
      </c>
    </row>
    <row r="770">
      <c r="A770" s="2" t="inlineStr">
        <is>
          <t xml:space="preserve">2014-01</t>
        </is>
      </c>
      <c r="B770" s="2">
        <v>2014</v>
      </c>
      <c r="C770" s="2">
        <v>1</v>
      </c>
      <c r="D770" s="2" t="inlineStr">
        <is>
          <t xml:space="preserve">DJF</t>
        </is>
      </c>
      <c r="E770" t="inlineStr">
        <is>
          <t xml:space="preserve">Dec 2013 – Feb 2014</t>
        </is>
      </c>
      <c r="F770" s="3">
        <v>-0.24</v>
      </c>
      <c r="G770" s="4">
        <f>ROUND(F770,1)</f>
        <v>-0.2</v>
      </c>
      <c r="H770" s="2" t="str">
        <f>IF(G770&gt;=0.5,"warm",IF(G770&lt;=-0.5,"cold","neutral"))</f>
        <v>neutral</v>
      </c>
      <c r="I770" s="2">
        <f>IF(H770=H769,I769+1,1)</f>
        <v>6</v>
      </c>
      <c r="J770" s="2">
        <f>IF(H770=H771,J771+1,1)</f>
        <v>9</v>
      </c>
      <c r="K770" s="2">
        <f>I770+J770-1</f>
        <v>14</v>
      </c>
      <c r="L770" s="2" t="str">
        <f>IF(H770="neutral","—",IF(K770&gt;=5,IF(H770="warm","El Niño","La Niña"),IF(ROW()+J770-1=920,IF(H770="warm","El Niño (ongoing)","La Niña (ongoing)"),"—")))</f>
        <v>—</v>
      </c>
      <c r="M770" s="2" t="inlineStr">
        <is>
          <t xml:space="preserve">2013/14</t>
        </is>
      </c>
    </row>
    <row r="771">
      <c r="A771" s="2" t="inlineStr">
        <is>
          <t xml:space="preserve">2014-02</t>
        </is>
      </c>
      <c r="B771" s="2">
        <v>2014</v>
      </c>
      <c r="C771" s="2">
        <v>2</v>
      </c>
      <c r="D771" s="2" t="inlineStr">
        <is>
          <t xml:space="preserve">JFM</t>
        </is>
      </c>
      <c r="E771" t="inlineStr">
        <is>
          <t xml:space="preserve">Jan 2014 – Mar 2014</t>
        </is>
      </c>
      <c r="F771" s="3">
        <v>-0.21</v>
      </c>
      <c r="G771" s="4">
        <f>ROUND(F771,1)</f>
        <v>-0.2</v>
      </c>
      <c r="H771" s="2" t="str">
        <f>IF(G771&gt;=0.5,"warm",IF(G771&lt;=-0.5,"cold","neutral"))</f>
        <v>neutral</v>
      </c>
      <c r="I771" s="2">
        <f>IF(H771=H770,I770+1,1)</f>
        <v>7</v>
      </c>
      <c r="J771" s="2">
        <f>IF(H771=H772,J772+1,1)</f>
        <v>8</v>
      </c>
      <c r="K771" s="2">
        <f>I771+J771-1</f>
        <v>14</v>
      </c>
      <c r="L771" s="2" t="str">
        <f>IF(H771="neutral","—",IF(K771&gt;=5,IF(H771="warm","El Niño","La Niña"),IF(ROW()+J771-1=920,IF(H771="warm","El Niño (ongoing)","La Niña (ongoing)"),"—")))</f>
        <v>—</v>
      </c>
      <c r="M771" s="2" t="inlineStr">
        <is>
          <t xml:space="preserve">2013/14</t>
        </is>
      </c>
    </row>
    <row r="772">
      <c r="A772" s="2" t="inlineStr">
        <is>
          <t xml:space="preserve">2014-03</t>
        </is>
      </c>
      <c r="B772" s="2">
        <v>2014</v>
      </c>
      <c r="C772" s="2">
        <v>3</v>
      </c>
      <c r="D772" s="2" t="inlineStr">
        <is>
          <t xml:space="preserve">FMA</t>
        </is>
      </c>
      <c r="E772" t="inlineStr">
        <is>
          <t xml:space="preserve">Feb 2014 – Apr 2014</t>
        </is>
      </c>
      <c r="F772" s="3">
        <v>-0.02</v>
      </c>
      <c r="G772" s="4">
        <f>ROUND(F772,1)</f>
        <v>-0.0</v>
      </c>
      <c r="H772" s="2" t="str">
        <f>IF(G772&gt;=0.5,"warm",IF(G772&lt;=-0.5,"cold","neutral"))</f>
        <v>neutral</v>
      </c>
      <c r="I772" s="2">
        <f>IF(H772=H771,I771+1,1)</f>
        <v>8</v>
      </c>
      <c r="J772" s="2">
        <f>IF(H772=H773,J773+1,1)</f>
        <v>7</v>
      </c>
      <c r="K772" s="2">
        <f>I772+J772-1</f>
        <v>14</v>
      </c>
      <c r="L772" s="2" t="str">
        <f>IF(H772="neutral","—",IF(K772&gt;=5,IF(H772="warm","El Niño","La Niña"),IF(ROW()+J772-1=920,IF(H772="warm","El Niño (ongoing)","La Niña (ongoing)"),"—")))</f>
        <v>—</v>
      </c>
      <c r="M772" s="2" t="inlineStr">
        <is>
          <t xml:space="preserve">2013/14</t>
        </is>
      </c>
    </row>
    <row r="773">
      <c r="A773" s="2" t="inlineStr">
        <is>
          <t xml:space="preserve">2014-04</t>
        </is>
      </c>
      <c r="B773" s="2">
        <v>2014</v>
      </c>
      <c r="C773" s="2">
        <v>4</v>
      </c>
      <c r="D773" s="2" t="inlineStr">
        <is>
          <t xml:space="preserve">MAM</t>
        </is>
      </c>
      <c r="E773" t="inlineStr">
        <is>
          <t xml:space="preserve">Mar 2014 – May 2014</t>
        </is>
      </c>
      <c r="F773" s="3">
        <v>0.25</v>
      </c>
      <c r="G773" s="4">
        <f>ROUND(F773,1)</f>
        <v>0.3</v>
      </c>
      <c r="H773" s="2" t="str">
        <f>IF(G773&gt;=0.5,"warm",IF(G773&lt;=-0.5,"cold","neutral"))</f>
        <v>neutral</v>
      </c>
      <c r="I773" s="2">
        <f>IF(H773=H772,I772+1,1)</f>
        <v>9</v>
      </c>
      <c r="J773" s="2">
        <f>IF(H773=H774,J774+1,1)</f>
        <v>6</v>
      </c>
      <c r="K773" s="2">
        <f>I773+J773-1</f>
        <v>14</v>
      </c>
      <c r="L773" s="2" t="str">
        <f>IF(H773="neutral","—",IF(K773&gt;=5,IF(H773="warm","El Niño","La Niña"),IF(ROW()+J773-1=920,IF(H773="warm","El Niño (ongoing)","La Niña (ongoing)"),"—")))</f>
        <v>—</v>
      </c>
      <c r="M773" s="2" t="inlineStr">
        <is>
          <t xml:space="preserve">2013/14</t>
        </is>
      </c>
    </row>
    <row r="774">
      <c r="A774" s="2" t="inlineStr">
        <is>
          <t xml:space="preserve">2014-05</t>
        </is>
      </c>
      <c r="B774" s="2">
        <v>2014</v>
      </c>
      <c r="C774" s="2">
        <v>5</v>
      </c>
      <c r="D774" s="2" t="inlineStr">
        <is>
          <t xml:space="preserve">AMJ</t>
        </is>
      </c>
      <c r="E774" t="inlineStr">
        <is>
          <t xml:space="preserve">Apr 2014 – Jun 2014</t>
        </is>
      </c>
      <c r="F774" s="3">
        <v>0.35</v>
      </c>
      <c r="G774" s="4">
        <f>ROUND(F774,1)</f>
        <v>0.4</v>
      </c>
      <c r="H774" s="2" t="str">
        <f>IF(G774&gt;=0.5,"warm",IF(G774&lt;=-0.5,"cold","neutral"))</f>
        <v>neutral</v>
      </c>
      <c r="I774" s="2">
        <f>IF(H774=H773,I773+1,1)</f>
        <v>10</v>
      </c>
      <c r="J774" s="2">
        <f>IF(H774=H775,J775+1,1)</f>
        <v>5</v>
      </c>
      <c r="K774" s="2">
        <f>I774+J774-1</f>
        <v>14</v>
      </c>
      <c r="L774" s="2" t="str">
        <f>IF(H774="neutral","—",IF(K774&gt;=5,IF(H774="warm","El Niño","La Niña"),IF(ROW()+J774-1=920,IF(H774="warm","El Niño (ongoing)","La Niña (ongoing)"),"—")))</f>
        <v>—</v>
      </c>
      <c r="M774" s="2" t="inlineStr">
        <is>
          <t xml:space="preserve">2013/14</t>
        </is>
      </c>
    </row>
    <row r="775">
      <c r="A775" s="2" t="inlineStr">
        <is>
          <t xml:space="preserve">2014-06</t>
        </is>
      </c>
      <c r="B775" s="2">
        <v>2014</v>
      </c>
      <c r="C775" s="2">
        <v>6</v>
      </c>
      <c r="D775" s="2" t="inlineStr">
        <is>
          <t xml:space="preserve">MJJ</t>
        </is>
      </c>
      <c r="E775" t="inlineStr">
        <is>
          <t xml:space="preserve">May 2014 – Jul 2014</t>
        </is>
      </c>
      <c r="F775" s="3">
        <v>0.22</v>
      </c>
      <c r="G775" s="4">
        <f>ROUND(F775,1)</f>
        <v>0.2</v>
      </c>
      <c r="H775" s="2" t="str">
        <f>IF(G775&gt;=0.5,"warm",IF(G775&lt;=-0.5,"cold","neutral"))</f>
        <v>neutral</v>
      </c>
      <c r="I775" s="2">
        <f>IF(H775=H774,I774+1,1)</f>
        <v>11</v>
      </c>
      <c r="J775" s="2">
        <f>IF(H775=H776,J776+1,1)</f>
        <v>4</v>
      </c>
      <c r="K775" s="2">
        <f>I775+J775-1</f>
        <v>14</v>
      </c>
      <c r="L775" s="2" t="str">
        <f>IF(H775="neutral","—",IF(K775&gt;=5,IF(H775="warm","El Niño","La Niña"),IF(ROW()+J775-1=920,IF(H775="warm","El Niño (ongoing)","La Niña (ongoing)"),"—")))</f>
        <v>—</v>
      </c>
      <c r="M775" s="2" t="inlineStr">
        <is>
          <t xml:space="preserve">2013/14</t>
        </is>
      </c>
    </row>
    <row r="776">
      <c r="A776" s="2" t="inlineStr">
        <is>
          <t xml:space="preserve">2014-07</t>
        </is>
      </c>
      <c r="B776" s="2">
        <v>2014</v>
      </c>
      <c r="C776" s="2">
        <v>7</v>
      </c>
      <c r="D776" s="2" t="inlineStr">
        <is>
          <t xml:space="preserve">JJA</t>
        </is>
      </c>
      <c r="E776" t="inlineStr">
        <is>
          <t xml:space="preserve">Jun 2014 – Aug 2014</t>
        </is>
      </c>
      <c r="F776" s="3">
        <v>0.07</v>
      </c>
      <c r="G776" s="4">
        <f>ROUND(F776,1)</f>
        <v>0.1</v>
      </c>
      <c r="H776" s="2" t="str">
        <f>IF(G776&gt;=0.5,"warm",IF(G776&lt;=-0.5,"cold","neutral"))</f>
        <v>neutral</v>
      </c>
      <c r="I776" s="2">
        <f>IF(H776=H775,I775+1,1)</f>
        <v>12</v>
      </c>
      <c r="J776" s="2">
        <f>IF(H776=H777,J777+1,1)</f>
        <v>3</v>
      </c>
      <c r="K776" s="2">
        <f>I776+J776-1</f>
        <v>14</v>
      </c>
      <c r="L776" s="2" t="str">
        <f>IF(H776="neutral","—",IF(K776&gt;=5,IF(H776="warm","El Niño","La Niña"),IF(ROW()+J776-1=920,IF(H776="warm","El Niño (ongoing)","La Niña (ongoing)"),"—")))</f>
        <v>—</v>
      </c>
      <c r="M776" s="2" t="inlineStr">
        <is>
          <t xml:space="preserve">2014/15</t>
        </is>
      </c>
    </row>
    <row r="777">
      <c r="A777" s="2" t="inlineStr">
        <is>
          <t xml:space="preserve">2014-08</t>
        </is>
      </c>
      <c r="B777" s="2">
        <v>2014</v>
      </c>
      <c r="C777" s="2">
        <v>8</v>
      </c>
      <c r="D777" s="2" t="inlineStr">
        <is>
          <t xml:space="preserve">JAS</t>
        </is>
      </c>
      <c r="E777" t="inlineStr">
        <is>
          <t xml:space="preserve">Jul 2014 – Sep 2014</t>
        </is>
      </c>
      <c r="F777" s="3">
        <v>0.07</v>
      </c>
      <c r="G777" s="4">
        <f>ROUND(F777,1)</f>
        <v>0.1</v>
      </c>
      <c r="H777" s="2" t="str">
        <f>IF(G777&gt;=0.5,"warm",IF(G777&lt;=-0.5,"cold","neutral"))</f>
        <v>neutral</v>
      </c>
      <c r="I777" s="2">
        <f>IF(H777=H776,I776+1,1)</f>
        <v>13</v>
      </c>
      <c r="J777" s="2">
        <f>IF(H777=H778,J778+1,1)</f>
        <v>2</v>
      </c>
      <c r="K777" s="2">
        <f>I777+J777-1</f>
        <v>14</v>
      </c>
      <c r="L777" s="2" t="str">
        <f>IF(H777="neutral","—",IF(K777&gt;=5,IF(H777="warm","El Niño","La Niña"),IF(ROW()+J777-1=920,IF(H777="warm","El Niño (ongoing)","La Niña (ongoing)"),"—")))</f>
        <v>—</v>
      </c>
      <c r="M777" s="2" t="inlineStr">
        <is>
          <t xml:space="preserve">2014/15</t>
        </is>
      </c>
    </row>
    <row r="778">
      <c r="A778" s="2" t="inlineStr">
        <is>
          <t xml:space="preserve">2014-09</t>
        </is>
      </c>
      <c r="B778" s="2">
        <v>2014</v>
      </c>
      <c r="C778" s="2">
        <v>9</v>
      </c>
      <c r="D778" s="2" t="inlineStr">
        <is>
          <t xml:space="preserve">ASO</t>
        </is>
      </c>
      <c r="E778" t="inlineStr">
        <is>
          <t xml:space="preserve">Aug 2014 – Oct 2014</t>
        </is>
      </c>
      <c r="F778" s="3">
        <v>0.24</v>
      </c>
      <c r="G778" s="4">
        <f>ROUND(F778,1)</f>
        <v>0.2</v>
      </c>
      <c r="H778" s="2" t="str">
        <f>IF(G778&gt;=0.5,"warm",IF(G778&lt;=-0.5,"cold","neutral"))</f>
        <v>neutral</v>
      </c>
      <c r="I778" s="2">
        <f>IF(H778=H777,I777+1,1)</f>
        <v>14</v>
      </c>
      <c r="J778" s="2">
        <f>IF(H778=H779,J779+1,1)</f>
        <v>1</v>
      </c>
      <c r="K778" s="2">
        <f>I778+J778-1</f>
        <v>14</v>
      </c>
      <c r="L778" s="2" t="str">
        <f>IF(H778="neutral","—",IF(K778&gt;=5,IF(H778="warm","El Niño","La Niña"),IF(ROW()+J778-1=920,IF(H778="warm","El Niño (ongoing)","La Niña (ongoing)"),"—")))</f>
        <v>—</v>
      </c>
      <c r="M778" s="2" t="inlineStr">
        <is>
          <t xml:space="preserve">2014/15</t>
        </is>
      </c>
    </row>
    <row r="779">
      <c r="A779" s="2" t="inlineStr">
        <is>
          <t xml:space="preserve">2014-10</t>
        </is>
      </c>
      <c r="B779" s="2">
        <v>2014</v>
      </c>
      <c r="C779" s="2">
        <v>10</v>
      </c>
      <c r="D779" s="2" t="inlineStr">
        <is>
          <t xml:space="preserve">SON</t>
        </is>
      </c>
      <c r="E779" t="inlineStr">
        <is>
          <t xml:space="preserve">Sep 2014 – Nov 2014</t>
        </is>
      </c>
      <c r="F779" s="3">
        <v>0.51</v>
      </c>
      <c r="G779" s="4">
        <f>ROUND(F779,1)</f>
        <v>0.5</v>
      </c>
      <c r="H779" s="2" t="str">
        <f>IF(G779&gt;=0.5,"warm",IF(G779&lt;=-0.5,"cold","neutral"))</f>
        <v>warm</v>
      </c>
      <c r="I779" s="2">
        <f>IF(H779=H778,I778+1,1)</f>
        <v>1</v>
      </c>
      <c r="J779" s="2">
        <f>IF(H779=H780,J780+1,1)</f>
        <v>20</v>
      </c>
      <c r="K779" s="2">
        <f>I779+J779-1</f>
        <v>20</v>
      </c>
      <c r="L779" s="6" t="str">
        <f>IF(H779="neutral","—",IF(K779&gt;=5,IF(H779="warm","El Niño","La Niña"),IF(ROW()+J779-1=920,IF(H779="warm","El Niño (ongoing)","La Niña (ongoing)"),"—")))</f>
        <v>El Niño</v>
      </c>
      <c r="M779" s="2" t="inlineStr">
        <is>
          <t xml:space="preserve">2014/15</t>
        </is>
      </c>
    </row>
    <row r="780">
      <c r="A780" s="2" t="inlineStr">
        <is>
          <t xml:space="preserve">2014-11</t>
        </is>
      </c>
      <c r="B780" s="2">
        <v>2014</v>
      </c>
      <c r="C780" s="2">
        <v>11</v>
      </c>
      <c r="D780" s="2" t="inlineStr">
        <is>
          <t xml:space="preserve">OND</t>
        </is>
      </c>
      <c r="E780" t="inlineStr">
        <is>
          <t xml:space="preserve">Oct 2014 – Dec 2014</t>
        </is>
      </c>
      <c r="F780" s="3">
        <v>0.7</v>
      </c>
      <c r="G780" s="4">
        <f>ROUND(F780,1)</f>
        <v>0.7</v>
      </c>
      <c r="H780" s="2" t="str">
        <f>IF(G780&gt;=0.5,"warm",IF(G780&lt;=-0.5,"cold","neutral"))</f>
        <v>warm</v>
      </c>
      <c r="I780" s="2">
        <f>IF(H780=H779,I779+1,1)</f>
        <v>2</v>
      </c>
      <c r="J780" s="2">
        <f>IF(H780=H781,J781+1,1)</f>
        <v>19</v>
      </c>
      <c r="K780" s="2">
        <f>I780+J780-1</f>
        <v>20</v>
      </c>
      <c r="L780" s="6" t="str">
        <f>IF(H780="neutral","—",IF(K780&gt;=5,IF(H780="warm","El Niño","La Niña"),IF(ROW()+J780-1=920,IF(H780="warm","El Niño (ongoing)","La Niña (ongoing)"),"—")))</f>
        <v>El Niño</v>
      </c>
      <c r="M780" s="2" t="inlineStr">
        <is>
          <t xml:space="preserve">2014/15</t>
        </is>
      </c>
    </row>
    <row r="781">
      <c r="A781" s="2" t="inlineStr">
        <is>
          <t xml:space="preserve">2014-12</t>
        </is>
      </c>
      <c r="B781" s="2">
        <v>2014</v>
      </c>
      <c r="C781" s="2">
        <v>12</v>
      </c>
      <c r="D781" s="2" t="inlineStr">
        <is>
          <t xml:space="preserve">NDJ</t>
        </is>
      </c>
      <c r="E781" t="inlineStr">
        <is>
          <t xml:space="preserve">Nov 2014 – Jan 2015</t>
        </is>
      </c>
      <c r="F781" s="3">
        <v>0.8</v>
      </c>
      <c r="G781" s="4">
        <f>ROUND(F781,1)</f>
        <v>0.8</v>
      </c>
      <c r="H781" s="2" t="str">
        <f>IF(G781&gt;=0.5,"warm",IF(G781&lt;=-0.5,"cold","neutral"))</f>
        <v>warm</v>
      </c>
      <c r="I781" s="2">
        <f>IF(H781=H780,I780+1,1)</f>
        <v>3</v>
      </c>
      <c r="J781" s="2">
        <f>IF(H781=H782,J782+1,1)</f>
        <v>18</v>
      </c>
      <c r="K781" s="2">
        <f>I781+J781-1</f>
        <v>20</v>
      </c>
      <c r="L781" s="6" t="str">
        <f>IF(H781="neutral","—",IF(K781&gt;=5,IF(H781="warm","El Niño","La Niña"),IF(ROW()+J781-1=920,IF(H781="warm","El Niño (ongoing)","La Niña (ongoing)"),"—")))</f>
        <v>El Niño</v>
      </c>
      <c r="M781" s="2" t="inlineStr">
        <is>
          <t xml:space="preserve">2014/15</t>
        </is>
      </c>
    </row>
    <row r="782">
      <c r="A782" s="2" t="inlineStr">
        <is>
          <t xml:space="preserve">2015-01</t>
        </is>
      </c>
      <c r="B782" s="2">
        <v>2015</v>
      </c>
      <c r="C782" s="2">
        <v>1</v>
      </c>
      <c r="D782" s="2" t="inlineStr">
        <is>
          <t xml:space="preserve">DJF</t>
        </is>
      </c>
      <c r="E782" t="inlineStr">
        <is>
          <t xml:space="preserve">Dec 2014 – Feb 2015</t>
        </is>
      </c>
      <c r="F782" s="3">
        <v>0.73</v>
      </c>
      <c r="G782" s="4">
        <f>ROUND(F782,1)</f>
        <v>0.7</v>
      </c>
      <c r="H782" s="2" t="str">
        <f>IF(G782&gt;=0.5,"warm",IF(G782&lt;=-0.5,"cold","neutral"))</f>
        <v>warm</v>
      </c>
      <c r="I782" s="2">
        <f>IF(H782=H781,I781+1,1)</f>
        <v>4</v>
      </c>
      <c r="J782" s="2">
        <f>IF(H782=H783,J783+1,1)</f>
        <v>17</v>
      </c>
      <c r="K782" s="2">
        <f>I782+J782-1</f>
        <v>20</v>
      </c>
      <c r="L782" s="6" t="str">
        <f>IF(H782="neutral","—",IF(K782&gt;=5,IF(H782="warm","El Niño","La Niña"),IF(ROW()+J782-1=920,IF(H782="warm","El Niño (ongoing)","La Niña (ongoing)"),"—")))</f>
        <v>El Niño</v>
      </c>
      <c r="M782" s="2" t="inlineStr">
        <is>
          <t xml:space="preserve">2014/15</t>
        </is>
      </c>
    </row>
    <row r="783">
      <c r="A783" s="2" t="inlineStr">
        <is>
          <t xml:space="preserve">2015-02</t>
        </is>
      </c>
      <c r="B783" s="2">
        <v>2015</v>
      </c>
      <c r="C783" s="2">
        <v>2</v>
      </c>
      <c r="D783" s="2" t="inlineStr">
        <is>
          <t xml:space="preserve">JFM</t>
        </is>
      </c>
      <c r="E783" t="inlineStr">
        <is>
          <t xml:space="preserve">Jan 2015 – Mar 2015</t>
        </is>
      </c>
      <c r="F783" s="3">
        <v>0.65</v>
      </c>
      <c r="G783" s="4">
        <f>ROUND(F783,1)</f>
        <v>0.7</v>
      </c>
      <c r="H783" s="2" t="str">
        <f>IF(G783&gt;=0.5,"warm",IF(G783&lt;=-0.5,"cold","neutral"))</f>
        <v>warm</v>
      </c>
      <c r="I783" s="2">
        <f>IF(H783=H782,I782+1,1)</f>
        <v>5</v>
      </c>
      <c r="J783" s="2">
        <f>IF(H783=H784,J784+1,1)</f>
        <v>16</v>
      </c>
      <c r="K783" s="2">
        <f>I783+J783-1</f>
        <v>20</v>
      </c>
      <c r="L783" s="6" t="str">
        <f>IF(H783="neutral","—",IF(K783&gt;=5,IF(H783="warm","El Niño","La Niña"),IF(ROW()+J783-1=920,IF(H783="warm","El Niño (ongoing)","La Niña (ongoing)"),"—")))</f>
        <v>El Niño</v>
      </c>
      <c r="M783" s="2" t="inlineStr">
        <is>
          <t xml:space="preserve">2014/15</t>
        </is>
      </c>
    </row>
    <row r="784">
      <c r="A784" s="2" t="inlineStr">
        <is>
          <t xml:space="preserve">2015-03</t>
        </is>
      </c>
      <c r="B784" s="2">
        <v>2015</v>
      </c>
      <c r="C784" s="2">
        <v>3</v>
      </c>
      <c r="D784" s="2" t="inlineStr">
        <is>
          <t xml:space="preserve">FMA</t>
        </is>
      </c>
      <c r="E784" t="inlineStr">
        <is>
          <t xml:space="preserve">Feb 2015 – Apr 2015</t>
        </is>
      </c>
      <c r="F784" s="3">
        <v>0.72</v>
      </c>
      <c r="G784" s="4">
        <f>ROUND(F784,1)</f>
        <v>0.7</v>
      </c>
      <c r="H784" s="2" t="str">
        <f>IF(G784&gt;=0.5,"warm",IF(G784&lt;=-0.5,"cold","neutral"))</f>
        <v>warm</v>
      </c>
      <c r="I784" s="2">
        <f>IF(H784=H783,I783+1,1)</f>
        <v>6</v>
      </c>
      <c r="J784" s="2">
        <f>IF(H784=H785,J785+1,1)</f>
        <v>15</v>
      </c>
      <c r="K784" s="2">
        <f>I784+J784-1</f>
        <v>20</v>
      </c>
      <c r="L784" s="6" t="str">
        <f>IF(H784="neutral","—",IF(K784&gt;=5,IF(H784="warm","El Niño","La Niña"),IF(ROW()+J784-1=920,IF(H784="warm","El Niño (ongoing)","La Niña (ongoing)"),"—")))</f>
        <v>El Niño</v>
      </c>
      <c r="M784" s="2" t="inlineStr">
        <is>
          <t xml:space="preserve">2014/15</t>
        </is>
      </c>
    </row>
    <row r="785">
      <c r="A785" s="2" t="inlineStr">
        <is>
          <t xml:space="preserve">2015-04</t>
        </is>
      </c>
      <c r="B785" s="2">
        <v>2015</v>
      </c>
      <c r="C785" s="2">
        <v>4</v>
      </c>
      <c r="D785" s="2" t="inlineStr">
        <is>
          <t xml:space="preserve">MAM</t>
        </is>
      </c>
      <c r="E785" t="inlineStr">
        <is>
          <t xml:space="preserve">Mar 2015 – May 2015</t>
        </is>
      </c>
      <c r="F785" s="3">
        <v>0.86</v>
      </c>
      <c r="G785" s="4">
        <f>ROUND(F785,1)</f>
        <v>0.9</v>
      </c>
      <c r="H785" s="2" t="str">
        <f>IF(G785&gt;=0.5,"warm",IF(G785&lt;=-0.5,"cold","neutral"))</f>
        <v>warm</v>
      </c>
      <c r="I785" s="2">
        <f>IF(H785=H784,I784+1,1)</f>
        <v>7</v>
      </c>
      <c r="J785" s="2">
        <f>IF(H785=H786,J786+1,1)</f>
        <v>14</v>
      </c>
      <c r="K785" s="2">
        <f>I785+J785-1</f>
        <v>20</v>
      </c>
      <c r="L785" s="6" t="str">
        <f>IF(H785="neutral","—",IF(K785&gt;=5,IF(H785="warm","El Niño","La Niña"),IF(ROW()+J785-1=920,IF(H785="warm","El Niño (ongoing)","La Niña (ongoing)"),"—")))</f>
        <v>El Niño</v>
      </c>
      <c r="M785" s="2" t="inlineStr">
        <is>
          <t xml:space="preserve">2014/15</t>
        </is>
      </c>
    </row>
    <row r="786">
      <c r="A786" s="2" t="inlineStr">
        <is>
          <t xml:space="preserve">2015-05</t>
        </is>
      </c>
      <c r="B786" s="2">
        <v>2015</v>
      </c>
      <c r="C786" s="2">
        <v>5</v>
      </c>
      <c r="D786" s="2" t="inlineStr">
        <is>
          <t xml:space="preserve">AMJ</t>
        </is>
      </c>
      <c r="E786" t="inlineStr">
        <is>
          <t xml:space="preserve">Apr 2015 – Jun 2015</t>
        </is>
      </c>
      <c r="F786" s="3">
        <v>1.04</v>
      </c>
      <c r="G786" s="4">
        <f>ROUND(F786,1)</f>
        <v>1.0</v>
      </c>
      <c r="H786" s="2" t="str">
        <f>IF(G786&gt;=0.5,"warm",IF(G786&lt;=-0.5,"cold","neutral"))</f>
        <v>warm</v>
      </c>
      <c r="I786" s="2">
        <f>IF(H786=H785,I785+1,1)</f>
        <v>8</v>
      </c>
      <c r="J786" s="2">
        <f>IF(H786=H787,J787+1,1)</f>
        <v>13</v>
      </c>
      <c r="K786" s="2">
        <f>I786+J786-1</f>
        <v>20</v>
      </c>
      <c r="L786" s="6" t="str">
        <f>IF(H786="neutral","—",IF(K786&gt;=5,IF(H786="warm","El Niño","La Niña"),IF(ROW()+J786-1=920,IF(H786="warm","El Niño (ongoing)","La Niña (ongoing)"),"—")))</f>
        <v>El Niño</v>
      </c>
      <c r="M786" s="2" t="inlineStr">
        <is>
          <t xml:space="preserve">2014/15</t>
        </is>
      </c>
    </row>
    <row r="787">
      <c r="A787" s="2" t="inlineStr">
        <is>
          <t xml:space="preserve">2015-06</t>
        </is>
      </c>
      <c r="B787" s="2">
        <v>2015</v>
      </c>
      <c r="C787" s="2">
        <v>6</v>
      </c>
      <c r="D787" s="2" t="inlineStr">
        <is>
          <t xml:space="preserve">MJJ</t>
        </is>
      </c>
      <c r="E787" t="inlineStr">
        <is>
          <t xml:space="preserve">May 2015 – Jul 2015</t>
        </is>
      </c>
      <c r="F787" s="3">
        <v>1.19</v>
      </c>
      <c r="G787" s="4">
        <f>ROUND(F787,1)</f>
        <v>1.2</v>
      </c>
      <c r="H787" s="2" t="str">
        <f>IF(G787&gt;=0.5,"warm",IF(G787&lt;=-0.5,"cold","neutral"))</f>
        <v>warm</v>
      </c>
      <c r="I787" s="2">
        <f>IF(H787=H786,I786+1,1)</f>
        <v>9</v>
      </c>
      <c r="J787" s="2">
        <f>IF(H787=H788,J788+1,1)</f>
        <v>12</v>
      </c>
      <c r="K787" s="2">
        <f>I787+J787-1</f>
        <v>20</v>
      </c>
      <c r="L787" s="6" t="str">
        <f>IF(H787="neutral","—",IF(K787&gt;=5,IF(H787="warm","El Niño","La Niña"),IF(ROW()+J787-1=920,IF(H787="warm","El Niño (ongoing)","La Niña (ongoing)"),"—")))</f>
        <v>El Niño</v>
      </c>
      <c r="M787" s="2" t="inlineStr">
        <is>
          <t xml:space="preserve">2014/15</t>
        </is>
      </c>
    </row>
    <row r="788">
      <c r="A788" s="2" t="inlineStr">
        <is>
          <t xml:space="preserve">2015-07</t>
        </is>
      </c>
      <c r="B788" s="2">
        <v>2015</v>
      </c>
      <c r="C788" s="2">
        <v>7</v>
      </c>
      <c r="D788" s="2" t="inlineStr">
        <is>
          <t xml:space="preserve">JJA</t>
        </is>
      </c>
      <c r="E788" t="inlineStr">
        <is>
          <t xml:space="preserve">Jun 2015 – Aug 2015</t>
        </is>
      </c>
      <c r="F788" s="3">
        <v>1.44</v>
      </c>
      <c r="G788" s="4">
        <f>ROUND(F788,1)</f>
        <v>1.4</v>
      </c>
      <c r="H788" s="2" t="str">
        <f>IF(G788&gt;=0.5,"warm",IF(G788&lt;=-0.5,"cold","neutral"))</f>
        <v>warm</v>
      </c>
      <c r="I788" s="2">
        <f>IF(H788=H787,I787+1,1)</f>
        <v>10</v>
      </c>
      <c r="J788" s="2">
        <f>IF(H788=H789,J789+1,1)</f>
        <v>11</v>
      </c>
      <c r="K788" s="2">
        <f>I788+J788-1</f>
        <v>20</v>
      </c>
      <c r="L788" s="6" t="str">
        <f>IF(H788="neutral","—",IF(K788&gt;=5,IF(H788="warm","El Niño","La Niña"),IF(ROW()+J788-1=920,IF(H788="warm","El Niño (ongoing)","La Niña (ongoing)"),"—")))</f>
        <v>El Niño</v>
      </c>
      <c r="M788" s="2" t="inlineStr">
        <is>
          <t xml:space="preserve">2015/16</t>
        </is>
      </c>
    </row>
    <row r="789">
      <c r="A789" s="2" t="inlineStr">
        <is>
          <t xml:space="preserve">2015-08</t>
        </is>
      </c>
      <c r="B789" s="2">
        <v>2015</v>
      </c>
      <c r="C789" s="2">
        <v>8</v>
      </c>
      <c r="D789" s="2" t="inlineStr">
        <is>
          <t xml:space="preserve">JAS</t>
        </is>
      </c>
      <c r="E789" t="inlineStr">
        <is>
          <t xml:space="preserve">Jul 2015 – Sep 2015</t>
        </is>
      </c>
      <c r="F789" s="3">
        <v>1.73</v>
      </c>
      <c r="G789" s="4">
        <f>ROUND(F789,1)</f>
        <v>1.7</v>
      </c>
      <c r="H789" s="2" t="str">
        <f>IF(G789&gt;=0.5,"warm",IF(G789&lt;=-0.5,"cold","neutral"))</f>
        <v>warm</v>
      </c>
      <c r="I789" s="2">
        <f>IF(H789=H788,I788+1,1)</f>
        <v>11</v>
      </c>
      <c r="J789" s="2">
        <f>IF(H789=H790,J790+1,1)</f>
        <v>10</v>
      </c>
      <c r="K789" s="2">
        <f>I789+J789-1</f>
        <v>20</v>
      </c>
      <c r="L789" s="6" t="str">
        <f>IF(H789="neutral","—",IF(K789&gt;=5,IF(H789="warm","El Niño","La Niña"),IF(ROW()+J789-1=920,IF(H789="warm","El Niño (ongoing)","La Niña (ongoing)"),"—")))</f>
        <v>El Niño</v>
      </c>
      <c r="M789" s="2" t="inlineStr">
        <is>
          <t xml:space="preserve">2015/16</t>
        </is>
      </c>
    </row>
    <row r="790">
      <c r="A790" s="2" t="inlineStr">
        <is>
          <t xml:space="preserve">2015-09</t>
        </is>
      </c>
      <c r="B790" s="2">
        <v>2015</v>
      </c>
      <c r="C790" s="2">
        <v>9</v>
      </c>
      <c r="D790" s="2" t="inlineStr">
        <is>
          <t xml:space="preserve">ASO</t>
        </is>
      </c>
      <c r="E790" t="inlineStr">
        <is>
          <t xml:space="preserve">Aug 2015 – Oct 2015</t>
        </is>
      </c>
      <c r="F790" s="3">
        <v>2.02</v>
      </c>
      <c r="G790" s="4">
        <f>ROUND(F790,1)</f>
        <v>2.0</v>
      </c>
      <c r="H790" s="2" t="str">
        <f>IF(G790&gt;=0.5,"warm",IF(G790&lt;=-0.5,"cold","neutral"))</f>
        <v>warm</v>
      </c>
      <c r="I790" s="2">
        <f>IF(H790=H789,I789+1,1)</f>
        <v>12</v>
      </c>
      <c r="J790" s="2">
        <f>IF(H790=H791,J791+1,1)</f>
        <v>9</v>
      </c>
      <c r="K790" s="2">
        <f>I790+J790-1</f>
        <v>20</v>
      </c>
      <c r="L790" s="6" t="str">
        <f>IF(H790="neutral","—",IF(K790&gt;=5,IF(H790="warm","El Niño","La Niña"),IF(ROW()+J790-1=920,IF(H790="warm","El Niño (ongoing)","La Niña (ongoing)"),"—")))</f>
        <v>El Niño</v>
      </c>
      <c r="M790" s="2" t="inlineStr">
        <is>
          <t xml:space="preserve">2015/16</t>
        </is>
      </c>
    </row>
    <row r="791">
      <c r="A791" s="2" t="inlineStr">
        <is>
          <t xml:space="preserve">2015-10</t>
        </is>
      </c>
      <c r="B791" s="2">
        <v>2015</v>
      </c>
      <c r="C791" s="2">
        <v>10</v>
      </c>
      <c r="D791" s="2" t="inlineStr">
        <is>
          <t xml:space="preserve">SON</t>
        </is>
      </c>
      <c r="E791" t="inlineStr">
        <is>
          <t xml:space="preserve">Sep 2015 – Nov 2015</t>
        </is>
      </c>
      <c r="F791" s="3">
        <v>2.28</v>
      </c>
      <c r="G791" s="4">
        <f>ROUND(F791,1)</f>
        <v>2.3</v>
      </c>
      <c r="H791" s="2" t="str">
        <f>IF(G791&gt;=0.5,"warm",IF(G791&lt;=-0.5,"cold","neutral"))</f>
        <v>warm</v>
      </c>
      <c r="I791" s="2">
        <f>IF(H791=H790,I790+1,1)</f>
        <v>13</v>
      </c>
      <c r="J791" s="2">
        <f>IF(H791=H792,J792+1,1)</f>
        <v>8</v>
      </c>
      <c r="K791" s="2">
        <f>I791+J791-1</f>
        <v>20</v>
      </c>
      <c r="L791" s="6" t="str">
        <f>IF(H791="neutral","—",IF(K791&gt;=5,IF(H791="warm","El Niño","La Niña"),IF(ROW()+J791-1=920,IF(H791="warm","El Niño (ongoing)","La Niña (ongoing)"),"—")))</f>
        <v>El Niño</v>
      </c>
      <c r="M791" s="2" t="inlineStr">
        <is>
          <t xml:space="preserve">2015/16</t>
        </is>
      </c>
    </row>
    <row r="792">
      <c r="A792" s="2" t="inlineStr">
        <is>
          <t xml:space="preserve">2015-11</t>
        </is>
      </c>
      <c r="B792" s="2">
        <v>2015</v>
      </c>
      <c r="C792" s="2">
        <v>11</v>
      </c>
      <c r="D792" s="2" t="inlineStr">
        <is>
          <t xml:space="preserve">OND</t>
        </is>
      </c>
      <c r="E792" t="inlineStr">
        <is>
          <t xml:space="preserve">Oct 2015 – Dec 2015</t>
        </is>
      </c>
      <c r="F792" s="3">
        <v>2.45</v>
      </c>
      <c r="G792" s="4">
        <f>ROUND(F792,1)</f>
        <v>2.5</v>
      </c>
      <c r="H792" s="2" t="str">
        <f>IF(G792&gt;=0.5,"warm",IF(G792&lt;=-0.5,"cold","neutral"))</f>
        <v>warm</v>
      </c>
      <c r="I792" s="2">
        <f>IF(H792=H791,I791+1,1)</f>
        <v>14</v>
      </c>
      <c r="J792" s="2">
        <f>IF(H792=H793,J793+1,1)</f>
        <v>7</v>
      </c>
      <c r="K792" s="2">
        <f>I792+J792-1</f>
        <v>20</v>
      </c>
      <c r="L792" s="6" t="str">
        <f>IF(H792="neutral","—",IF(K792&gt;=5,IF(H792="warm","El Niño","La Niña"),IF(ROW()+J792-1=920,IF(H792="warm","El Niño (ongoing)","La Niña (ongoing)"),"—")))</f>
        <v>El Niño</v>
      </c>
      <c r="M792" s="2" t="inlineStr">
        <is>
          <t xml:space="preserve">2015/16</t>
        </is>
      </c>
    </row>
    <row r="793">
      <c r="A793" s="2" t="inlineStr">
        <is>
          <t xml:space="preserve">2015-12</t>
        </is>
      </c>
      <c r="B793" s="2">
        <v>2015</v>
      </c>
      <c r="C793" s="2">
        <v>12</v>
      </c>
      <c r="D793" s="2" t="inlineStr">
        <is>
          <t xml:space="preserve">NDJ</t>
        </is>
      </c>
      <c r="E793" t="inlineStr">
        <is>
          <t xml:space="preserve">Nov 2015 – Jan 2016</t>
        </is>
      </c>
      <c r="F793" s="3">
        <v>2.59</v>
      </c>
      <c r="G793" s="4">
        <f>ROUND(F793,1)</f>
        <v>2.6</v>
      </c>
      <c r="H793" s="2" t="str">
        <f>IF(G793&gt;=0.5,"warm",IF(G793&lt;=-0.5,"cold","neutral"))</f>
        <v>warm</v>
      </c>
      <c r="I793" s="2">
        <f>IF(H793=H792,I792+1,1)</f>
        <v>15</v>
      </c>
      <c r="J793" s="2">
        <f>IF(H793=H794,J794+1,1)</f>
        <v>6</v>
      </c>
      <c r="K793" s="2">
        <f>I793+J793-1</f>
        <v>20</v>
      </c>
      <c r="L793" s="6" t="str">
        <f>IF(H793="neutral","—",IF(K793&gt;=5,IF(H793="warm","El Niño","La Niña"),IF(ROW()+J793-1=920,IF(H793="warm","El Niño (ongoing)","La Niña (ongoing)"),"—")))</f>
        <v>El Niño</v>
      </c>
      <c r="M793" s="2" t="inlineStr">
        <is>
          <t xml:space="preserve">2015/16</t>
        </is>
      </c>
    </row>
    <row r="794">
      <c r="A794" s="2" t="inlineStr">
        <is>
          <t xml:space="preserve">2016-01</t>
        </is>
      </c>
      <c r="B794" s="2">
        <v>2016</v>
      </c>
      <c r="C794" s="2">
        <v>1</v>
      </c>
      <c r="D794" s="2" t="inlineStr">
        <is>
          <t xml:space="preserve">DJF</t>
        </is>
      </c>
      <c r="E794" t="inlineStr">
        <is>
          <t xml:space="preserve">Dec 2015 – Feb 2016</t>
        </is>
      </c>
      <c r="F794" s="3">
        <v>2.5</v>
      </c>
      <c r="G794" s="4">
        <f>ROUND(F794,1)</f>
        <v>2.5</v>
      </c>
      <c r="H794" s="2" t="str">
        <f>IF(G794&gt;=0.5,"warm",IF(G794&lt;=-0.5,"cold","neutral"))</f>
        <v>warm</v>
      </c>
      <c r="I794" s="2">
        <f>IF(H794=H793,I793+1,1)</f>
        <v>16</v>
      </c>
      <c r="J794" s="2">
        <f>IF(H794=H795,J795+1,1)</f>
        <v>5</v>
      </c>
      <c r="K794" s="2">
        <f>I794+J794-1</f>
        <v>20</v>
      </c>
      <c r="L794" s="6" t="str">
        <f>IF(H794="neutral","—",IF(K794&gt;=5,IF(H794="warm","El Niño","La Niña"),IF(ROW()+J794-1=920,IF(H794="warm","El Niño (ongoing)","La Niña (ongoing)"),"—")))</f>
        <v>El Niño</v>
      </c>
      <c r="M794" s="2" t="inlineStr">
        <is>
          <t xml:space="preserve">2015/16</t>
        </is>
      </c>
    </row>
    <row r="795">
      <c r="A795" s="2" t="inlineStr">
        <is>
          <t xml:space="preserve">2016-02</t>
        </is>
      </c>
      <c r="B795" s="2">
        <v>2016</v>
      </c>
      <c r="C795" s="2">
        <v>2</v>
      </c>
      <c r="D795" s="2" t="inlineStr">
        <is>
          <t xml:space="preserve">JFM</t>
        </is>
      </c>
      <c r="E795" t="inlineStr">
        <is>
          <t xml:space="preserve">Jan 2016 – Mar 2016</t>
        </is>
      </c>
      <c r="F795" s="3">
        <v>2.21</v>
      </c>
      <c r="G795" s="4">
        <f>ROUND(F795,1)</f>
        <v>2.2</v>
      </c>
      <c r="H795" s="2" t="str">
        <f>IF(G795&gt;=0.5,"warm",IF(G795&lt;=-0.5,"cold","neutral"))</f>
        <v>warm</v>
      </c>
      <c r="I795" s="2">
        <f>IF(H795=H794,I794+1,1)</f>
        <v>17</v>
      </c>
      <c r="J795" s="2">
        <f>IF(H795=H796,J796+1,1)</f>
        <v>4</v>
      </c>
      <c r="K795" s="2">
        <f>I795+J795-1</f>
        <v>20</v>
      </c>
      <c r="L795" s="6" t="str">
        <f>IF(H795="neutral","—",IF(K795&gt;=5,IF(H795="warm","El Niño","La Niña"),IF(ROW()+J795-1=920,IF(H795="warm","El Niño (ongoing)","La Niña (ongoing)"),"—")))</f>
        <v>El Niño</v>
      </c>
      <c r="M795" s="2" t="inlineStr">
        <is>
          <t xml:space="preserve">2015/16</t>
        </is>
      </c>
    </row>
    <row r="796">
      <c r="A796" s="2" t="inlineStr">
        <is>
          <t xml:space="preserve">2016-03</t>
        </is>
      </c>
      <c r="B796" s="2">
        <v>2016</v>
      </c>
      <c r="C796" s="2">
        <v>3</v>
      </c>
      <c r="D796" s="2" t="inlineStr">
        <is>
          <t xml:space="preserve">FMA</t>
        </is>
      </c>
      <c r="E796" t="inlineStr">
        <is>
          <t xml:space="preserve">Feb 2016 – Apr 2016</t>
        </is>
      </c>
      <c r="F796" s="3">
        <v>1.69</v>
      </c>
      <c r="G796" s="4">
        <f>ROUND(F796,1)</f>
        <v>1.7</v>
      </c>
      <c r="H796" s="2" t="str">
        <f>IF(G796&gt;=0.5,"warm",IF(G796&lt;=-0.5,"cold","neutral"))</f>
        <v>warm</v>
      </c>
      <c r="I796" s="2">
        <f>IF(H796=H795,I795+1,1)</f>
        <v>18</v>
      </c>
      <c r="J796" s="2">
        <f>IF(H796=H797,J797+1,1)</f>
        <v>3</v>
      </c>
      <c r="K796" s="2">
        <f>I796+J796-1</f>
        <v>20</v>
      </c>
      <c r="L796" s="6" t="str">
        <f>IF(H796="neutral","—",IF(K796&gt;=5,IF(H796="warm","El Niño","La Niña"),IF(ROW()+J796-1=920,IF(H796="warm","El Niño (ongoing)","La Niña (ongoing)"),"—")))</f>
        <v>El Niño</v>
      </c>
      <c r="M796" s="2" t="inlineStr">
        <is>
          <t xml:space="preserve">2015/16</t>
        </is>
      </c>
    </row>
    <row r="797">
      <c r="A797" s="2" t="inlineStr">
        <is>
          <t xml:space="preserve">2016-04</t>
        </is>
      </c>
      <c r="B797" s="2">
        <v>2016</v>
      </c>
      <c r="C797" s="2">
        <v>4</v>
      </c>
      <c r="D797" s="2" t="inlineStr">
        <is>
          <t xml:space="preserve">MAM</t>
        </is>
      </c>
      <c r="E797" t="inlineStr">
        <is>
          <t xml:space="preserve">Mar 2016 – May 2016</t>
        </is>
      </c>
      <c r="F797" s="3">
        <v>1.11</v>
      </c>
      <c r="G797" s="4">
        <f>ROUND(F797,1)</f>
        <v>1.1</v>
      </c>
      <c r="H797" s="2" t="str">
        <f>IF(G797&gt;=0.5,"warm",IF(G797&lt;=-0.5,"cold","neutral"))</f>
        <v>warm</v>
      </c>
      <c r="I797" s="2">
        <f>IF(H797=H796,I796+1,1)</f>
        <v>19</v>
      </c>
      <c r="J797" s="2">
        <f>IF(H797=H798,J798+1,1)</f>
        <v>2</v>
      </c>
      <c r="K797" s="2">
        <f>I797+J797-1</f>
        <v>20</v>
      </c>
      <c r="L797" s="6" t="str">
        <f>IF(H797="neutral","—",IF(K797&gt;=5,IF(H797="warm","El Niño","La Niña"),IF(ROW()+J797-1=920,IF(H797="warm","El Niño (ongoing)","La Niña (ongoing)"),"—")))</f>
        <v>El Niño</v>
      </c>
      <c r="M797" s="2" t="inlineStr">
        <is>
          <t xml:space="preserve">2015/16</t>
        </is>
      </c>
    </row>
    <row r="798">
      <c r="A798" s="2" t="inlineStr">
        <is>
          <t xml:space="preserve">2016-05</t>
        </is>
      </c>
      <c r="B798" s="2">
        <v>2016</v>
      </c>
      <c r="C798" s="2">
        <v>5</v>
      </c>
      <c r="D798" s="2" t="inlineStr">
        <is>
          <t xml:space="preserve">AMJ</t>
        </is>
      </c>
      <c r="E798" t="inlineStr">
        <is>
          <t xml:space="preserve">Apr 2016 – Jun 2016</t>
        </is>
      </c>
      <c r="F798" s="3">
        <v>0.57</v>
      </c>
      <c r="G798" s="4">
        <f>ROUND(F798,1)</f>
        <v>0.6</v>
      </c>
      <c r="H798" s="2" t="str">
        <f>IF(G798&gt;=0.5,"warm",IF(G798&lt;=-0.5,"cold","neutral"))</f>
        <v>warm</v>
      </c>
      <c r="I798" s="2">
        <f>IF(H798=H797,I797+1,1)</f>
        <v>20</v>
      </c>
      <c r="J798" s="2">
        <f>IF(H798=H799,J799+1,1)</f>
        <v>1</v>
      </c>
      <c r="K798" s="2">
        <f>I798+J798-1</f>
        <v>20</v>
      </c>
      <c r="L798" s="6" t="str">
        <f>IF(H798="neutral","—",IF(K798&gt;=5,IF(H798="warm","El Niño","La Niña"),IF(ROW()+J798-1=920,IF(H798="warm","El Niño (ongoing)","La Niña (ongoing)"),"—")))</f>
        <v>El Niño</v>
      </c>
      <c r="M798" s="2" t="inlineStr">
        <is>
          <t xml:space="preserve">2015/16</t>
        </is>
      </c>
    </row>
    <row r="799">
      <c r="A799" s="2" t="inlineStr">
        <is>
          <t xml:space="preserve">2016-06</t>
        </is>
      </c>
      <c r="B799" s="2">
        <v>2016</v>
      </c>
      <c r="C799" s="2">
        <v>6</v>
      </c>
      <c r="D799" s="2" t="inlineStr">
        <is>
          <t xml:space="preserve">MJJ</t>
        </is>
      </c>
      <c r="E799" t="inlineStr">
        <is>
          <t xml:space="preserve">May 2016 – Jul 2016</t>
        </is>
      </c>
      <c r="F799" s="3">
        <v>0.09</v>
      </c>
      <c r="G799" s="4">
        <f>ROUND(F799,1)</f>
        <v>0.1</v>
      </c>
      <c r="H799" s="2" t="str">
        <f>IF(G799&gt;=0.5,"warm",IF(G799&lt;=-0.5,"cold","neutral"))</f>
        <v>neutral</v>
      </c>
      <c r="I799" s="2">
        <f>IF(H799=H798,I798+1,1)</f>
        <v>1</v>
      </c>
      <c r="J799" s="2">
        <f>IF(H799=H800,J800+1,1)</f>
        <v>4</v>
      </c>
      <c r="K799" s="2">
        <f>I799+J799-1</f>
        <v>4</v>
      </c>
      <c r="L799" s="2" t="str">
        <f>IF(H799="neutral","—",IF(K799&gt;=5,IF(H799="warm","El Niño","La Niña"),IF(ROW()+J799-1=920,IF(H799="warm","El Niño (ongoing)","La Niña (ongoing)"),"—")))</f>
        <v>—</v>
      </c>
      <c r="M799" s="2" t="inlineStr">
        <is>
          <t xml:space="preserve">2015/16</t>
        </is>
      </c>
    </row>
    <row r="800">
      <c r="A800" s="2" t="inlineStr">
        <is>
          <t xml:space="preserve">2016-07</t>
        </is>
      </c>
      <c r="B800" s="2">
        <v>2016</v>
      </c>
      <c r="C800" s="2">
        <v>7</v>
      </c>
      <c r="D800" s="2" t="inlineStr">
        <is>
          <t xml:space="preserve">JJA</t>
        </is>
      </c>
      <c r="E800" t="inlineStr">
        <is>
          <t xml:space="preserve">Jun 2016 – Aug 2016</t>
        </is>
      </c>
      <c r="F800" s="3">
        <v>-0.19</v>
      </c>
      <c r="G800" s="4">
        <f>ROUND(F800,1)</f>
        <v>-0.2</v>
      </c>
      <c r="H800" s="2" t="str">
        <f>IF(G800&gt;=0.5,"warm",IF(G800&lt;=-0.5,"cold","neutral"))</f>
        <v>neutral</v>
      </c>
      <c r="I800" s="2">
        <f>IF(H800=H799,I799+1,1)</f>
        <v>2</v>
      </c>
      <c r="J800" s="2">
        <f>IF(H800=H801,J801+1,1)</f>
        <v>3</v>
      </c>
      <c r="K800" s="2">
        <f>I800+J800-1</f>
        <v>4</v>
      </c>
      <c r="L800" s="2" t="str">
        <f>IF(H800="neutral","—",IF(K800&gt;=5,IF(H800="warm","El Niño","La Niña"),IF(ROW()+J800-1=920,IF(H800="warm","El Niño (ongoing)","La Niña (ongoing)"),"—")))</f>
        <v>—</v>
      </c>
      <c r="M800" s="2" t="inlineStr">
        <is>
          <t xml:space="preserve">2016/17</t>
        </is>
      </c>
    </row>
    <row r="801">
      <c r="A801" s="2" t="inlineStr">
        <is>
          <t xml:space="preserve">2016-08</t>
        </is>
      </c>
      <c r="B801" s="2">
        <v>2016</v>
      </c>
      <c r="C801" s="2">
        <v>8</v>
      </c>
      <c r="D801" s="2" t="inlineStr">
        <is>
          <t xml:space="preserve">JAS</t>
        </is>
      </c>
      <c r="E801" t="inlineStr">
        <is>
          <t xml:space="preserve">Jul 2016 – Sep 2016</t>
        </is>
      </c>
      <c r="F801" s="3">
        <v>-0.34</v>
      </c>
      <c r="G801" s="4">
        <f>ROUND(F801,1)</f>
        <v>-0.3</v>
      </c>
      <c r="H801" s="2" t="str">
        <f>IF(G801&gt;=0.5,"warm",IF(G801&lt;=-0.5,"cold","neutral"))</f>
        <v>neutral</v>
      </c>
      <c r="I801" s="2">
        <f>IF(H801=H800,I800+1,1)</f>
        <v>3</v>
      </c>
      <c r="J801" s="2">
        <f>IF(H801=H802,J802+1,1)</f>
        <v>2</v>
      </c>
      <c r="K801" s="2">
        <f>I801+J801-1</f>
        <v>4</v>
      </c>
      <c r="L801" s="2" t="str">
        <f>IF(H801="neutral","—",IF(K801&gt;=5,IF(H801="warm","El Niño","La Niña"),IF(ROW()+J801-1=920,IF(H801="warm","El Niño (ongoing)","La Niña (ongoing)"),"—")))</f>
        <v>—</v>
      </c>
      <c r="M801" s="2" t="inlineStr">
        <is>
          <t xml:space="preserve">2016/17</t>
        </is>
      </c>
    </row>
    <row r="802">
      <c r="A802" s="2" t="inlineStr">
        <is>
          <t xml:space="preserve">2016-09</t>
        </is>
      </c>
      <c r="B802" s="2">
        <v>2016</v>
      </c>
      <c r="C802" s="2">
        <v>9</v>
      </c>
      <c r="D802" s="2" t="inlineStr">
        <is>
          <t xml:space="preserve">ASO</t>
        </is>
      </c>
      <c r="E802" t="inlineStr">
        <is>
          <t xml:space="preserve">Aug 2016 – Oct 2016</t>
        </is>
      </c>
      <c r="F802" s="3">
        <v>-0.42</v>
      </c>
      <c r="G802" s="4">
        <f>ROUND(F802,1)</f>
        <v>-0.4</v>
      </c>
      <c r="H802" s="2" t="str">
        <f>IF(G802&gt;=0.5,"warm",IF(G802&lt;=-0.5,"cold","neutral"))</f>
        <v>neutral</v>
      </c>
      <c r="I802" s="2">
        <f>IF(H802=H801,I801+1,1)</f>
        <v>4</v>
      </c>
      <c r="J802" s="2">
        <f>IF(H802=H803,J803+1,1)</f>
        <v>1</v>
      </c>
      <c r="K802" s="2">
        <f>I802+J802-1</f>
        <v>4</v>
      </c>
      <c r="L802" s="2" t="str">
        <f>IF(H802="neutral","—",IF(K802&gt;=5,IF(H802="warm","El Niño","La Niña"),IF(ROW()+J802-1=920,IF(H802="warm","El Niño (ongoing)","La Niña (ongoing)"),"—")))</f>
        <v>—</v>
      </c>
      <c r="M802" s="2" t="inlineStr">
        <is>
          <t xml:space="preserve">2016/17</t>
        </is>
      </c>
    </row>
    <row r="803">
      <c r="A803" s="2" t="inlineStr">
        <is>
          <t xml:space="preserve">2016-10</t>
        </is>
      </c>
      <c r="B803" s="2">
        <v>2016</v>
      </c>
      <c r="C803" s="2">
        <v>10</v>
      </c>
      <c r="D803" s="2" t="inlineStr">
        <is>
          <t xml:space="preserve">SON</t>
        </is>
      </c>
      <c r="E803" t="inlineStr">
        <is>
          <t xml:space="preserve">Sep 2016 – Nov 2016</t>
        </is>
      </c>
      <c r="F803" s="3">
        <v>-0.51</v>
      </c>
      <c r="G803" s="4">
        <f>ROUND(F803,1)</f>
        <v>-0.5</v>
      </c>
      <c r="H803" s="2" t="str">
        <f>IF(G803&gt;=0.5,"warm",IF(G803&lt;=-0.5,"cold","neutral"))</f>
        <v>cold</v>
      </c>
      <c r="I803" s="2">
        <f>IF(H803=H802,I802+1,1)</f>
        <v>1</v>
      </c>
      <c r="J803" s="2">
        <f>IF(H803=H804,J804+1,1)</f>
        <v>2</v>
      </c>
      <c r="K803" s="2">
        <f>I803+J803-1</f>
        <v>2</v>
      </c>
      <c r="L803" s="2" t="str">
        <f>IF(H803="neutral","—",IF(K803&gt;=5,IF(H803="warm","El Niño","La Niña"),IF(ROW()+J803-1=920,IF(H803="warm","El Niño (ongoing)","La Niña (ongoing)"),"—")))</f>
        <v>—</v>
      </c>
      <c r="M803" s="2" t="inlineStr">
        <is>
          <t xml:space="preserve">2016/17</t>
        </is>
      </c>
    </row>
    <row r="804">
      <c r="A804" s="2" t="inlineStr">
        <is>
          <t xml:space="preserve">2016-11</t>
        </is>
      </c>
      <c r="B804" s="2">
        <v>2016</v>
      </c>
      <c r="C804" s="2">
        <v>11</v>
      </c>
      <c r="D804" s="2" t="inlineStr">
        <is>
          <t xml:space="preserve">OND</t>
        </is>
      </c>
      <c r="E804" t="inlineStr">
        <is>
          <t xml:space="preserve">Oct 2016 – Dec 2016</t>
        </is>
      </c>
      <c r="F804" s="3">
        <v>-0.49</v>
      </c>
      <c r="G804" s="4">
        <f>ROUND(F804,1)</f>
        <v>-0.5</v>
      </c>
      <c r="H804" s="2" t="str">
        <f>IF(G804&gt;=0.5,"warm",IF(G804&lt;=-0.5,"cold","neutral"))</f>
        <v>cold</v>
      </c>
      <c r="I804" s="2">
        <f>IF(H804=H803,I803+1,1)</f>
        <v>2</v>
      </c>
      <c r="J804" s="2">
        <f>IF(H804=H805,J805+1,1)</f>
        <v>1</v>
      </c>
      <c r="K804" s="2">
        <f>I804+J804-1</f>
        <v>2</v>
      </c>
      <c r="L804" s="2" t="str">
        <f>IF(H804="neutral","—",IF(K804&gt;=5,IF(H804="warm","El Niño","La Niña"),IF(ROW()+J804-1=920,IF(H804="warm","El Niño (ongoing)","La Niña (ongoing)"),"—")))</f>
        <v>—</v>
      </c>
      <c r="M804" s="2" t="inlineStr">
        <is>
          <t xml:space="preserve">2016/17</t>
        </is>
      </c>
    </row>
    <row r="805">
      <c r="A805" s="2" t="inlineStr">
        <is>
          <t xml:space="preserve">2016-12</t>
        </is>
      </c>
      <c r="B805" s="2">
        <v>2016</v>
      </c>
      <c r="C805" s="2">
        <v>12</v>
      </c>
      <c r="D805" s="2" t="inlineStr">
        <is>
          <t xml:space="preserve">NDJ</t>
        </is>
      </c>
      <c r="E805" t="inlineStr">
        <is>
          <t xml:space="preserve">Nov 2016 – Jan 2017</t>
        </is>
      </c>
      <c r="F805" s="3">
        <v>-0.37</v>
      </c>
      <c r="G805" s="4">
        <f>ROUND(F805,1)</f>
        <v>-0.4</v>
      </c>
      <c r="H805" s="2" t="str">
        <f>IF(G805&gt;=0.5,"warm",IF(G805&lt;=-0.5,"cold","neutral"))</f>
        <v>neutral</v>
      </c>
      <c r="I805" s="2">
        <f>IF(H805=H804,I804+1,1)</f>
        <v>1</v>
      </c>
      <c r="J805" s="2">
        <f>IF(H805=H806,J806+1,1)</f>
        <v>11</v>
      </c>
      <c r="K805" s="2">
        <f>I805+J805-1</f>
        <v>11</v>
      </c>
      <c r="L805" s="2" t="str">
        <f>IF(H805="neutral","—",IF(K805&gt;=5,IF(H805="warm","El Niño","La Niña"),IF(ROW()+J805-1=920,IF(H805="warm","El Niño (ongoing)","La Niña (ongoing)"),"—")))</f>
        <v>—</v>
      </c>
      <c r="M805" s="2" t="inlineStr">
        <is>
          <t xml:space="preserve">2016/17</t>
        </is>
      </c>
    </row>
    <row r="806">
      <c r="A806" s="2" t="inlineStr">
        <is>
          <t xml:space="preserve">2017-01</t>
        </is>
      </c>
      <c r="B806" s="2">
        <v>2017</v>
      </c>
      <c r="C806" s="2">
        <v>1</v>
      </c>
      <c r="D806" s="2" t="inlineStr">
        <is>
          <t xml:space="preserve">DJF</t>
        </is>
      </c>
      <c r="E806" t="inlineStr">
        <is>
          <t xml:space="preserve">Dec 2016 – Feb 2017</t>
        </is>
      </c>
      <c r="F806" s="3">
        <v>-0.08</v>
      </c>
      <c r="G806" s="4">
        <f>ROUND(F806,1)</f>
        <v>-0.1</v>
      </c>
      <c r="H806" s="2" t="str">
        <f>IF(G806&gt;=0.5,"warm",IF(G806&lt;=-0.5,"cold","neutral"))</f>
        <v>neutral</v>
      </c>
      <c r="I806" s="2">
        <f>IF(H806=H805,I805+1,1)</f>
        <v>2</v>
      </c>
      <c r="J806" s="2">
        <f>IF(H806=H807,J807+1,1)</f>
        <v>10</v>
      </c>
      <c r="K806" s="2">
        <f>I806+J806-1</f>
        <v>11</v>
      </c>
      <c r="L806" s="2" t="str">
        <f>IF(H806="neutral","—",IF(K806&gt;=5,IF(H806="warm","El Niño","La Niña"),IF(ROW()+J806-1=920,IF(H806="warm","El Niño (ongoing)","La Niña (ongoing)"),"—")))</f>
        <v>—</v>
      </c>
      <c r="M806" s="2" t="inlineStr">
        <is>
          <t xml:space="preserve">2016/17</t>
        </is>
      </c>
    </row>
    <row r="807">
      <c r="A807" s="2" t="inlineStr">
        <is>
          <t xml:space="preserve">2017-02</t>
        </is>
      </c>
      <c r="B807" s="2">
        <v>2017</v>
      </c>
      <c r="C807" s="2">
        <v>2</v>
      </c>
      <c r="D807" s="2" t="inlineStr">
        <is>
          <t xml:space="preserve">JFM</t>
        </is>
      </c>
      <c r="E807" t="inlineStr">
        <is>
          <t xml:space="preserve">Jan 2017 – Mar 2017</t>
        </is>
      </c>
      <c r="F807" s="3">
        <v>0.08</v>
      </c>
      <c r="G807" s="4">
        <f>ROUND(F807,1)</f>
        <v>0.1</v>
      </c>
      <c r="H807" s="2" t="str">
        <f>IF(G807&gt;=0.5,"warm",IF(G807&lt;=-0.5,"cold","neutral"))</f>
        <v>neutral</v>
      </c>
      <c r="I807" s="2">
        <f>IF(H807=H806,I806+1,1)</f>
        <v>3</v>
      </c>
      <c r="J807" s="2">
        <f>IF(H807=H808,J808+1,1)</f>
        <v>9</v>
      </c>
      <c r="K807" s="2">
        <f>I807+J807-1</f>
        <v>11</v>
      </c>
      <c r="L807" s="2" t="str">
        <f>IF(H807="neutral","—",IF(K807&gt;=5,IF(H807="warm","El Niño","La Niña"),IF(ROW()+J807-1=920,IF(H807="warm","El Niño (ongoing)","La Niña (ongoing)"),"—")))</f>
        <v>—</v>
      </c>
      <c r="M807" s="2" t="inlineStr">
        <is>
          <t xml:space="preserve">2016/17</t>
        </is>
      </c>
    </row>
    <row r="808">
      <c r="A808" s="2" t="inlineStr">
        <is>
          <t xml:space="preserve">2017-03</t>
        </is>
      </c>
      <c r="B808" s="2">
        <v>2017</v>
      </c>
      <c r="C808" s="2">
        <v>3</v>
      </c>
      <c r="D808" s="2" t="inlineStr">
        <is>
          <t xml:space="preserve">FMA</t>
        </is>
      </c>
      <c r="E808" t="inlineStr">
        <is>
          <t xml:space="preserve">Feb 2017 – Apr 2017</t>
        </is>
      </c>
      <c r="F808" s="3">
        <v>0.27</v>
      </c>
      <c r="G808" s="4">
        <f>ROUND(F808,1)</f>
        <v>0.3</v>
      </c>
      <c r="H808" s="2" t="str">
        <f>IF(G808&gt;=0.5,"warm",IF(G808&lt;=-0.5,"cold","neutral"))</f>
        <v>neutral</v>
      </c>
      <c r="I808" s="2">
        <f>IF(H808=H807,I807+1,1)</f>
        <v>4</v>
      </c>
      <c r="J808" s="2">
        <f>IF(H808=H809,J809+1,1)</f>
        <v>8</v>
      </c>
      <c r="K808" s="2">
        <f>I808+J808-1</f>
        <v>11</v>
      </c>
      <c r="L808" s="2" t="str">
        <f>IF(H808="neutral","—",IF(K808&gt;=5,IF(H808="warm","El Niño","La Niña"),IF(ROW()+J808-1=920,IF(H808="warm","El Niño (ongoing)","La Niña (ongoing)"),"—")))</f>
        <v>—</v>
      </c>
      <c r="M808" s="2" t="inlineStr">
        <is>
          <t xml:space="preserve">2016/17</t>
        </is>
      </c>
    </row>
    <row r="809">
      <c r="A809" s="2" t="inlineStr">
        <is>
          <t xml:space="preserve">2017-04</t>
        </is>
      </c>
      <c r="B809" s="2">
        <v>2017</v>
      </c>
      <c r="C809" s="2">
        <v>4</v>
      </c>
      <c r="D809" s="2" t="inlineStr">
        <is>
          <t xml:space="preserve">MAM</t>
        </is>
      </c>
      <c r="E809" t="inlineStr">
        <is>
          <t xml:space="preserve">Mar 2017 – May 2017</t>
        </is>
      </c>
      <c r="F809" s="3">
        <v>0.32</v>
      </c>
      <c r="G809" s="4">
        <f>ROUND(F809,1)</f>
        <v>0.3</v>
      </c>
      <c r="H809" s="2" t="str">
        <f>IF(G809&gt;=0.5,"warm",IF(G809&lt;=-0.5,"cold","neutral"))</f>
        <v>neutral</v>
      </c>
      <c r="I809" s="2">
        <f>IF(H809=H808,I808+1,1)</f>
        <v>5</v>
      </c>
      <c r="J809" s="2">
        <f>IF(H809=H810,J810+1,1)</f>
        <v>7</v>
      </c>
      <c r="K809" s="2">
        <f>I809+J809-1</f>
        <v>11</v>
      </c>
      <c r="L809" s="2" t="str">
        <f>IF(H809="neutral","—",IF(K809&gt;=5,IF(H809="warm","El Niño","La Niña"),IF(ROW()+J809-1=920,IF(H809="warm","El Niño (ongoing)","La Niña (ongoing)"),"—")))</f>
        <v>—</v>
      </c>
      <c r="M809" s="2" t="inlineStr">
        <is>
          <t xml:space="preserve">2016/17</t>
        </is>
      </c>
    </row>
    <row r="810">
      <c r="A810" s="2" t="inlineStr">
        <is>
          <t xml:space="preserve">2017-05</t>
        </is>
      </c>
      <c r="B810" s="2">
        <v>2017</v>
      </c>
      <c r="C810" s="2">
        <v>5</v>
      </c>
      <c r="D810" s="2" t="inlineStr">
        <is>
          <t xml:space="preserve">AMJ</t>
        </is>
      </c>
      <c r="E810" t="inlineStr">
        <is>
          <t xml:space="preserve">Apr 2017 – Jun 2017</t>
        </is>
      </c>
      <c r="F810" s="3">
        <v>0.35</v>
      </c>
      <c r="G810" s="4">
        <f>ROUND(F810,1)</f>
        <v>0.4</v>
      </c>
      <c r="H810" s="2" t="str">
        <f>IF(G810&gt;=0.5,"warm",IF(G810&lt;=-0.5,"cold","neutral"))</f>
        <v>neutral</v>
      </c>
      <c r="I810" s="2">
        <f>IF(H810=H809,I809+1,1)</f>
        <v>6</v>
      </c>
      <c r="J810" s="2">
        <f>IF(H810=H811,J811+1,1)</f>
        <v>6</v>
      </c>
      <c r="K810" s="2">
        <f>I810+J810-1</f>
        <v>11</v>
      </c>
      <c r="L810" s="2" t="str">
        <f>IF(H810="neutral","—",IF(K810&gt;=5,IF(H810="warm","El Niño","La Niña"),IF(ROW()+J810-1=920,IF(H810="warm","El Niño (ongoing)","La Niña (ongoing)"),"—")))</f>
        <v>—</v>
      </c>
      <c r="M810" s="2" t="inlineStr">
        <is>
          <t xml:space="preserve">2016/17</t>
        </is>
      </c>
    </row>
    <row r="811">
      <c r="A811" s="2" t="inlineStr">
        <is>
          <t xml:space="preserve">2017-06</t>
        </is>
      </c>
      <c r="B811" s="2">
        <v>2017</v>
      </c>
      <c r="C811" s="2">
        <v>6</v>
      </c>
      <c r="D811" s="2" t="inlineStr">
        <is>
          <t xml:space="preserve">MJJ</t>
        </is>
      </c>
      <c r="E811" t="inlineStr">
        <is>
          <t xml:space="preserve">May 2017 – Jul 2017</t>
        </is>
      </c>
      <c r="F811" s="3">
        <v>0.32</v>
      </c>
      <c r="G811" s="4">
        <f>ROUND(F811,1)</f>
        <v>0.3</v>
      </c>
      <c r="H811" s="2" t="str">
        <f>IF(G811&gt;=0.5,"warm",IF(G811&lt;=-0.5,"cold","neutral"))</f>
        <v>neutral</v>
      </c>
      <c r="I811" s="2">
        <f>IF(H811=H810,I810+1,1)</f>
        <v>7</v>
      </c>
      <c r="J811" s="2">
        <f>IF(H811=H812,J812+1,1)</f>
        <v>5</v>
      </c>
      <c r="K811" s="2">
        <f>I811+J811-1</f>
        <v>11</v>
      </c>
      <c r="L811" s="2" t="str">
        <f>IF(H811="neutral","—",IF(K811&gt;=5,IF(H811="warm","El Niño","La Niña"),IF(ROW()+J811-1=920,IF(H811="warm","El Niño (ongoing)","La Niña (ongoing)"),"—")))</f>
        <v>—</v>
      </c>
      <c r="M811" s="2" t="inlineStr">
        <is>
          <t xml:space="preserve">2016/17</t>
        </is>
      </c>
    </row>
    <row r="812">
      <c r="A812" s="2" t="inlineStr">
        <is>
          <t xml:space="preserve">2017-07</t>
        </is>
      </c>
      <c r="B812" s="2">
        <v>2017</v>
      </c>
      <c r="C812" s="2">
        <v>7</v>
      </c>
      <c r="D812" s="2" t="inlineStr">
        <is>
          <t xml:space="preserve">JJA</t>
        </is>
      </c>
      <c r="E812" t="inlineStr">
        <is>
          <t xml:space="preserve">Jun 2017 – Aug 2017</t>
        </is>
      </c>
      <c r="F812" s="3">
        <v>0.14</v>
      </c>
      <c r="G812" s="4">
        <f>ROUND(F812,1)</f>
        <v>0.1</v>
      </c>
      <c r="H812" s="2" t="str">
        <f>IF(G812&gt;=0.5,"warm",IF(G812&lt;=-0.5,"cold","neutral"))</f>
        <v>neutral</v>
      </c>
      <c r="I812" s="2">
        <f>IF(H812=H811,I811+1,1)</f>
        <v>8</v>
      </c>
      <c r="J812" s="2">
        <f>IF(H812=H813,J813+1,1)</f>
        <v>4</v>
      </c>
      <c r="K812" s="2">
        <f>I812+J812-1</f>
        <v>11</v>
      </c>
      <c r="L812" s="2" t="str">
        <f>IF(H812="neutral","—",IF(K812&gt;=5,IF(H812="warm","El Niño","La Niña"),IF(ROW()+J812-1=920,IF(H812="warm","El Niño (ongoing)","La Niña (ongoing)"),"—")))</f>
        <v>—</v>
      </c>
      <c r="M812" s="2" t="inlineStr">
        <is>
          <t xml:space="preserve">2017/18</t>
        </is>
      </c>
    </row>
    <row r="813">
      <c r="A813" s="2" t="inlineStr">
        <is>
          <t xml:space="preserve">2017-08</t>
        </is>
      </c>
      <c r="B813" s="2">
        <v>2017</v>
      </c>
      <c r="C813" s="2">
        <v>8</v>
      </c>
      <c r="D813" s="2" t="inlineStr">
        <is>
          <t xml:space="preserve">JAS</t>
        </is>
      </c>
      <c r="E813" t="inlineStr">
        <is>
          <t xml:space="preserve">Jul 2017 – Sep 2017</t>
        </is>
      </c>
      <c r="F813" s="3">
        <v>-0.07</v>
      </c>
      <c r="G813" s="4">
        <f>ROUND(F813,1)</f>
        <v>-0.1</v>
      </c>
      <c r="H813" s="2" t="str">
        <f>IF(G813&gt;=0.5,"warm",IF(G813&lt;=-0.5,"cold","neutral"))</f>
        <v>neutral</v>
      </c>
      <c r="I813" s="2">
        <f>IF(H813=H812,I812+1,1)</f>
        <v>9</v>
      </c>
      <c r="J813" s="2">
        <f>IF(H813=H814,J814+1,1)</f>
        <v>3</v>
      </c>
      <c r="K813" s="2">
        <f>I813+J813-1</f>
        <v>11</v>
      </c>
      <c r="L813" s="2" t="str">
        <f>IF(H813="neutral","—",IF(K813&gt;=5,IF(H813="warm","El Niño","La Niña"),IF(ROW()+J813-1=920,IF(H813="warm","El Niño (ongoing)","La Niña (ongoing)"),"—")))</f>
        <v>—</v>
      </c>
      <c r="M813" s="2" t="inlineStr">
        <is>
          <t xml:space="preserve">2017/18</t>
        </is>
      </c>
    </row>
    <row r="814">
      <c r="A814" s="2" t="inlineStr">
        <is>
          <t xml:space="preserve">2017-09</t>
        </is>
      </c>
      <c r="B814" s="2">
        <v>2017</v>
      </c>
      <c r="C814" s="2">
        <v>9</v>
      </c>
      <c r="D814" s="2" t="inlineStr">
        <is>
          <t xml:space="preserve">ASO</t>
        </is>
      </c>
      <c r="E814" t="inlineStr">
        <is>
          <t xml:space="preserve">Aug 2017 – Oct 2017</t>
        </is>
      </c>
      <c r="F814" s="3">
        <v>-0.23</v>
      </c>
      <c r="G814" s="4">
        <f>ROUND(F814,1)</f>
        <v>-0.2</v>
      </c>
      <c r="H814" s="2" t="str">
        <f>IF(G814&gt;=0.5,"warm",IF(G814&lt;=-0.5,"cold","neutral"))</f>
        <v>neutral</v>
      </c>
      <c r="I814" s="2">
        <f>IF(H814=H813,I813+1,1)</f>
        <v>10</v>
      </c>
      <c r="J814" s="2">
        <f>IF(H814=H815,J815+1,1)</f>
        <v>2</v>
      </c>
      <c r="K814" s="2">
        <f>I814+J814-1</f>
        <v>11</v>
      </c>
      <c r="L814" s="2" t="str">
        <f>IF(H814="neutral","—",IF(K814&gt;=5,IF(H814="warm","El Niño","La Niña"),IF(ROW()+J814-1=920,IF(H814="warm","El Niño (ongoing)","La Niña (ongoing)"),"—")))</f>
        <v>—</v>
      </c>
      <c r="M814" s="2" t="inlineStr">
        <is>
          <t xml:space="preserve">2017/18</t>
        </is>
      </c>
    </row>
    <row r="815">
      <c r="A815" s="2" t="inlineStr">
        <is>
          <t xml:space="preserve">2017-10</t>
        </is>
      </c>
      <c r="B815" s="2">
        <v>2017</v>
      </c>
      <c r="C815" s="2">
        <v>10</v>
      </c>
      <c r="D815" s="2" t="inlineStr">
        <is>
          <t xml:space="preserve">SON</t>
        </is>
      </c>
      <c r="E815" t="inlineStr">
        <is>
          <t xml:space="preserve">Sep 2017 – Nov 2017</t>
        </is>
      </c>
      <c r="F815" s="3">
        <v>-0.44</v>
      </c>
      <c r="G815" s="4">
        <f>ROUND(F815,1)</f>
        <v>-0.4</v>
      </c>
      <c r="H815" s="2" t="str">
        <f>IF(G815&gt;=0.5,"warm",IF(G815&lt;=-0.5,"cold","neutral"))</f>
        <v>neutral</v>
      </c>
      <c r="I815" s="2">
        <f>IF(H815=H814,I814+1,1)</f>
        <v>11</v>
      </c>
      <c r="J815" s="2">
        <f>IF(H815=H816,J816+1,1)</f>
        <v>1</v>
      </c>
      <c r="K815" s="2">
        <f>I815+J815-1</f>
        <v>11</v>
      </c>
      <c r="L815" s="2" t="str">
        <f>IF(H815="neutral","—",IF(K815&gt;=5,IF(H815="warm","El Niño","La Niña"),IF(ROW()+J815-1=920,IF(H815="warm","El Niño (ongoing)","La Niña (ongoing)"),"—")))</f>
        <v>—</v>
      </c>
      <c r="M815" s="2" t="inlineStr">
        <is>
          <t xml:space="preserve">2017/18</t>
        </is>
      </c>
    </row>
    <row r="816">
      <c r="A816" s="2" t="inlineStr">
        <is>
          <t xml:space="preserve">2017-11</t>
        </is>
      </c>
      <c r="B816" s="2">
        <v>2017</v>
      </c>
      <c r="C816" s="2">
        <v>11</v>
      </c>
      <c r="D816" s="2" t="inlineStr">
        <is>
          <t xml:space="preserve">OND</t>
        </is>
      </c>
      <c r="E816" t="inlineStr">
        <is>
          <t xml:space="preserve">Oct 2017 – Dec 2017</t>
        </is>
      </c>
      <c r="F816" s="3">
        <v>-0.61</v>
      </c>
      <c r="G816" s="4">
        <f>ROUND(F816,1)</f>
        <v>-0.6</v>
      </c>
      <c r="H816" s="2" t="str">
        <f>IF(G816&gt;=0.5,"warm",IF(G816&lt;=-0.5,"cold","neutral"))</f>
        <v>cold</v>
      </c>
      <c r="I816" s="2">
        <f>IF(H816=H815,I815+1,1)</f>
        <v>1</v>
      </c>
      <c r="J816" s="2">
        <f>IF(H816=H817,J817+1,1)</f>
        <v>5</v>
      </c>
      <c r="K816" s="2">
        <f>I816+J816-1</f>
        <v>5</v>
      </c>
      <c r="L816" s="5" t="str">
        <f>IF(H816="neutral","—",IF(K816&gt;=5,IF(H816="warm","El Niño","La Niña"),IF(ROW()+J816-1=920,IF(H816="warm","El Niño (ongoing)","La Niña (ongoing)"),"—")))</f>
        <v>La Niña</v>
      </c>
      <c r="M816" s="2" t="inlineStr">
        <is>
          <t xml:space="preserve">2017/18</t>
        </is>
      </c>
    </row>
    <row r="817">
      <c r="A817" s="2" t="inlineStr">
        <is>
          <t xml:space="preserve">2017-12</t>
        </is>
      </c>
      <c r="B817" s="2">
        <v>2017</v>
      </c>
      <c r="C817" s="2">
        <v>12</v>
      </c>
      <c r="D817" s="2" t="inlineStr">
        <is>
          <t xml:space="preserve">NDJ</t>
        </is>
      </c>
      <c r="E817" t="inlineStr">
        <is>
          <t xml:space="preserve">Nov 2017 – Jan 2018</t>
        </is>
      </c>
      <c r="F817" s="3">
        <v>-0.76</v>
      </c>
      <c r="G817" s="4">
        <f>ROUND(F817,1)</f>
        <v>-0.8</v>
      </c>
      <c r="H817" s="2" t="str">
        <f>IF(G817&gt;=0.5,"warm",IF(G817&lt;=-0.5,"cold","neutral"))</f>
        <v>cold</v>
      </c>
      <c r="I817" s="2">
        <f>IF(H817=H816,I816+1,1)</f>
        <v>2</v>
      </c>
      <c r="J817" s="2">
        <f>IF(H817=H818,J818+1,1)</f>
        <v>4</v>
      </c>
      <c r="K817" s="2">
        <f>I817+J817-1</f>
        <v>5</v>
      </c>
      <c r="L817" s="5" t="str">
        <f>IF(H817="neutral","—",IF(K817&gt;=5,IF(H817="warm","El Niño","La Niña"),IF(ROW()+J817-1=920,IF(H817="warm","El Niño (ongoing)","La Niña (ongoing)"),"—")))</f>
        <v>La Niña</v>
      </c>
      <c r="M817" s="2" t="inlineStr">
        <is>
          <t xml:space="preserve">2017/18</t>
        </is>
      </c>
    </row>
    <row r="818">
      <c r="A818" s="2" t="inlineStr">
        <is>
          <t xml:space="preserve">2018-01</t>
        </is>
      </c>
      <c r="B818" s="2">
        <v>2018</v>
      </c>
      <c r="C818" s="2">
        <v>1</v>
      </c>
      <c r="D818" s="2" t="inlineStr">
        <is>
          <t xml:space="preserve">DJF</t>
        </is>
      </c>
      <c r="E818" t="inlineStr">
        <is>
          <t xml:space="preserve">Dec 2017 – Feb 2018</t>
        </is>
      </c>
      <c r="F818" s="3">
        <v>-0.71</v>
      </c>
      <c r="G818" s="4">
        <f>ROUND(F818,1)</f>
        <v>-0.7</v>
      </c>
      <c r="H818" s="2" t="str">
        <f>IF(G818&gt;=0.5,"warm",IF(G818&lt;=-0.5,"cold","neutral"))</f>
        <v>cold</v>
      </c>
      <c r="I818" s="2">
        <f>IF(H818=H817,I817+1,1)</f>
        <v>3</v>
      </c>
      <c r="J818" s="2">
        <f>IF(H818=H819,J819+1,1)</f>
        <v>3</v>
      </c>
      <c r="K818" s="2">
        <f>I818+J818-1</f>
        <v>5</v>
      </c>
      <c r="L818" s="5" t="str">
        <f>IF(H818="neutral","—",IF(K818&gt;=5,IF(H818="warm","El Niño","La Niña"),IF(ROW()+J818-1=920,IF(H818="warm","El Niño (ongoing)","La Niña (ongoing)"),"—")))</f>
        <v>La Niña</v>
      </c>
      <c r="M818" s="2" t="inlineStr">
        <is>
          <t xml:space="preserve">2017/18</t>
        </is>
      </c>
    </row>
    <row r="819">
      <c r="A819" s="2" t="inlineStr">
        <is>
          <t xml:space="preserve">2018-02</t>
        </is>
      </c>
      <c r="B819" s="2">
        <v>2018</v>
      </c>
      <c r="C819" s="2">
        <v>2</v>
      </c>
      <c r="D819" s="2" t="inlineStr">
        <is>
          <t xml:space="preserve">JFM</t>
        </is>
      </c>
      <c r="E819" t="inlineStr">
        <is>
          <t xml:space="preserve">Jan 2018 – Mar 2018</t>
        </is>
      </c>
      <c r="F819" s="3">
        <v>-0.67</v>
      </c>
      <c r="G819" s="4">
        <f>ROUND(F819,1)</f>
        <v>-0.7</v>
      </c>
      <c r="H819" s="2" t="str">
        <f>IF(G819&gt;=0.5,"warm",IF(G819&lt;=-0.5,"cold","neutral"))</f>
        <v>cold</v>
      </c>
      <c r="I819" s="2">
        <f>IF(H819=H818,I818+1,1)</f>
        <v>4</v>
      </c>
      <c r="J819" s="2">
        <f>IF(H819=H820,J820+1,1)</f>
        <v>2</v>
      </c>
      <c r="K819" s="2">
        <f>I819+J819-1</f>
        <v>5</v>
      </c>
      <c r="L819" s="5" t="str">
        <f>IF(H819="neutral","—",IF(K819&gt;=5,IF(H819="warm","El Niño","La Niña"),IF(ROW()+J819-1=920,IF(H819="warm","El Niño (ongoing)","La Niña (ongoing)"),"—")))</f>
        <v>La Niña</v>
      </c>
      <c r="M819" s="2" t="inlineStr">
        <is>
          <t xml:space="preserve">2017/18</t>
        </is>
      </c>
    </row>
    <row r="820">
      <c r="A820" s="2" t="inlineStr">
        <is>
          <t xml:space="preserve">2018-03</t>
        </is>
      </c>
      <c r="B820" s="2">
        <v>2018</v>
      </c>
      <c r="C820" s="2">
        <v>3</v>
      </c>
      <c r="D820" s="2" t="inlineStr">
        <is>
          <t xml:space="preserve">FMA</t>
        </is>
      </c>
      <c r="E820" t="inlineStr">
        <is>
          <t xml:space="preserve">Feb 2018 – Apr 2018</t>
        </is>
      </c>
      <c r="F820" s="3">
        <v>-0.55</v>
      </c>
      <c r="G820" s="4">
        <f>ROUND(F820,1)</f>
        <v>-0.6</v>
      </c>
      <c r="H820" s="2" t="str">
        <f>IF(G820&gt;=0.5,"warm",IF(G820&lt;=-0.5,"cold","neutral"))</f>
        <v>cold</v>
      </c>
      <c r="I820" s="2">
        <f>IF(H820=H819,I819+1,1)</f>
        <v>5</v>
      </c>
      <c r="J820" s="2">
        <f>IF(H820=H821,J821+1,1)</f>
        <v>1</v>
      </c>
      <c r="K820" s="2">
        <f>I820+J820-1</f>
        <v>5</v>
      </c>
      <c r="L820" s="5" t="str">
        <f>IF(H820="neutral","—",IF(K820&gt;=5,IF(H820="warm","El Niño","La Niña"),IF(ROW()+J820-1=920,IF(H820="warm","El Niño (ongoing)","La Niña (ongoing)"),"—")))</f>
        <v>La Niña</v>
      </c>
      <c r="M820" s="2" t="inlineStr">
        <is>
          <t xml:space="preserve">2017/18</t>
        </is>
      </c>
    </row>
    <row r="821">
      <c r="A821" s="2" t="inlineStr">
        <is>
          <t xml:space="preserve">2018-04</t>
        </is>
      </c>
      <c r="B821" s="2">
        <v>2018</v>
      </c>
      <c r="C821" s="2">
        <v>4</v>
      </c>
      <c r="D821" s="2" t="inlineStr">
        <is>
          <t xml:space="preserve">MAM</t>
        </is>
      </c>
      <c r="E821" t="inlineStr">
        <is>
          <t xml:space="preserve">Mar 2018 – May 2018</t>
        </is>
      </c>
      <c r="F821" s="3">
        <v>-0.35</v>
      </c>
      <c r="G821" s="4">
        <f>ROUND(F821,1)</f>
        <v>-0.4</v>
      </c>
      <c r="H821" s="2" t="str">
        <f>IF(G821&gt;=0.5,"warm",IF(G821&lt;=-0.5,"cold","neutral"))</f>
        <v>neutral</v>
      </c>
      <c r="I821" s="2">
        <f>IF(H821=H820,I820+1,1)</f>
        <v>1</v>
      </c>
      <c r="J821" s="2">
        <f>IF(H821=H822,J822+1,1)</f>
        <v>5</v>
      </c>
      <c r="K821" s="2">
        <f>I821+J821-1</f>
        <v>5</v>
      </c>
      <c r="L821" s="2" t="str">
        <f>IF(H821="neutral","—",IF(K821&gt;=5,IF(H821="warm","El Niño","La Niña"),IF(ROW()+J821-1=920,IF(H821="warm","El Niño (ongoing)","La Niña (ongoing)"),"—")))</f>
        <v>—</v>
      </c>
      <c r="M821" s="2" t="inlineStr">
        <is>
          <t xml:space="preserve">2017/18</t>
        </is>
      </c>
    </row>
    <row r="822">
      <c r="A822" s="2" t="inlineStr">
        <is>
          <t xml:space="preserve">2018-05</t>
        </is>
      </c>
      <c r="B822" s="2">
        <v>2018</v>
      </c>
      <c r="C822" s="2">
        <v>5</v>
      </c>
      <c r="D822" s="2" t="inlineStr">
        <is>
          <t xml:space="preserve">AMJ</t>
        </is>
      </c>
      <c r="E822" t="inlineStr">
        <is>
          <t xml:space="preserve">Apr 2018 – Jun 2018</t>
        </is>
      </c>
      <c r="F822" s="3">
        <v>-0.07</v>
      </c>
      <c r="G822" s="4">
        <f>ROUND(F822,1)</f>
        <v>-0.1</v>
      </c>
      <c r="H822" s="2" t="str">
        <f>IF(G822&gt;=0.5,"warm",IF(G822&lt;=-0.5,"cold","neutral"))</f>
        <v>neutral</v>
      </c>
      <c r="I822" s="2">
        <f>IF(H822=H821,I821+1,1)</f>
        <v>2</v>
      </c>
      <c r="J822" s="2">
        <f>IF(H822=H823,J823+1,1)</f>
        <v>4</v>
      </c>
      <c r="K822" s="2">
        <f>I822+J822-1</f>
        <v>5</v>
      </c>
      <c r="L822" s="2" t="str">
        <f>IF(H822="neutral","—",IF(K822&gt;=5,IF(H822="warm","El Niño","La Niña"),IF(ROW()+J822-1=920,IF(H822="warm","El Niño (ongoing)","La Niña (ongoing)"),"—")))</f>
        <v>—</v>
      </c>
      <c r="M822" s="2" t="inlineStr">
        <is>
          <t xml:space="preserve">2017/18</t>
        </is>
      </c>
    </row>
    <row r="823">
      <c r="A823" s="2" t="inlineStr">
        <is>
          <t xml:space="preserve">2018-06</t>
        </is>
      </c>
      <c r="B823" s="2">
        <v>2018</v>
      </c>
      <c r="C823" s="2">
        <v>6</v>
      </c>
      <c r="D823" s="2" t="inlineStr">
        <is>
          <t xml:space="preserve">MJJ</t>
        </is>
      </c>
      <c r="E823" t="inlineStr">
        <is>
          <t xml:space="preserve">May 2018 – Jul 2018</t>
        </is>
      </c>
      <c r="F823" s="3">
        <v>0.13</v>
      </c>
      <c r="G823" s="4">
        <f>ROUND(F823,1)</f>
        <v>0.1</v>
      </c>
      <c r="H823" s="2" t="str">
        <f>IF(G823&gt;=0.5,"warm",IF(G823&lt;=-0.5,"cold","neutral"))</f>
        <v>neutral</v>
      </c>
      <c r="I823" s="2">
        <f>IF(H823=H822,I822+1,1)</f>
        <v>3</v>
      </c>
      <c r="J823" s="2">
        <f>IF(H823=H824,J824+1,1)</f>
        <v>3</v>
      </c>
      <c r="K823" s="2">
        <f>I823+J823-1</f>
        <v>5</v>
      </c>
      <c r="L823" s="2" t="str">
        <f>IF(H823="neutral","—",IF(K823&gt;=5,IF(H823="warm","El Niño","La Niña"),IF(ROW()+J823-1=920,IF(H823="warm","El Niño (ongoing)","La Niña (ongoing)"),"—")))</f>
        <v>—</v>
      </c>
      <c r="M823" s="2" t="inlineStr">
        <is>
          <t xml:space="preserve">2017/18</t>
        </is>
      </c>
    </row>
    <row r="824">
      <c r="A824" s="2" t="inlineStr">
        <is>
          <t xml:space="preserve">2018-07</t>
        </is>
      </c>
      <c r="B824" s="2">
        <v>2018</v>
      </c>
      <c r="C824" s="2">
        <v>7</v>
      </c>
      <c r="D824" s="2" t="inlineStr">
        <is>
          <t xml:space="preserve">JJA</t>
        </is>
      </c>
      <c r="E824" t="inlineStr">
        <is>
          <t xml:space="preserve">Jun 2018 – Aug 2018</t>
        </is>
      </c>
      <c r="F824" s="3">
        <v>0.2</v>
      </c>
      <c r="G824" s="4">
        <f>ROUND(F824,1)</f>
        <v>0.2</v>
      </c>
      <c r="H824" s="2" t="str">
        <f>IF(G824&gt;=0.5,"warm",IF(G824&lt;=-0.5,"cold","neutral"))</f>
        <v>neutral</v>
      </c>
      <c r="I824" s="2">
        <f>IF(H824=H823,I823+1,1)</f>
        <v>4</v>
      </c>
      <c r="J824" s="2">
        <f>IF(H824=H825,J825+1,1)</f>
        <v>2</v>
      </c>
      <c r="K824" s="2">
        <f>I824+J824-1</f>
        <v>5</v>
      </c>
      <c r="L824" s="2" t="str">
        <f>IF(H824="neutral","—",IF(K824&gt;=5,IF(H824="warm","El Niño","La Niña"),IF(ROW()+J824-1=920,IF(H824="warm","El Niño (ongoing)","La Niña (ongoing)"),"—")))</f>
        <v>—</v>
      </c>
      <c r="M824" s="2" t="inlineStr">
        <is>
          <t xml:space="preserve">2018/19</t>
        </is>
      </c>
    </row>
    <row r="825">
      <c r="A825" s="2" t="inlineStr">
        <is>
          <t xml:space="preserve">2018-08</t>
        </is>
      </c>
      <c r="B825" s="2">
        <v>2018</v>
      </c>
      <c r="C825" s="2">
        <v>8</v>
      </c>
      <c r="D825" s="2" t="inlineStr">
        <is>
          <t xml:space="preserve">JAS</t>
        </is>
      </c>
      <c r="E825" t="inlineStr">
        <is>
          <t xml:space="preserve">Jul 2018 – Sep 2018</t>
        </is>
      </c>
      <c r="F825" s="3">
        <v>0.3</v>
      </c>
      <c r="G825" s="4">
        <f>ROUND(F825,1)</f>
        <v>0.3</v>
      </c>
      <c r="H825" s="2" t="str">
        <f>IF(G825&gt;=0.5,"warm",IF(G825&lt;=-0.5,"cold","neutral"))</f>
        <v>neutral</v>
      </c>
      <c r="I825" s="2">
        <f>IF(H825=H824,I824+1,1)</f>
        <v>5</v>
      </c>
      <c r="J825" s="2">
        <f>IF(H825=H826,J826+1,1)</f>
        <v>1</v>
      </c>
      <c r="K825" s="2">
        <f>I825+J825-1</f>
        <v>5</v>
      </c>
      <c r="L825" s="2" t="str">
        <f>IF(H825="neutral","—",IF(K825&gt;=5,IF(H825="warm","El Niño","La Niña"),IF(ROW()+J825-1=920,IF(H825="warm","El Niño (ongoing)","La Niña (ongoing)"),"—")))</f>
        <v>—</v>
      </c>
      <c r="M825" s="2" t="inlineStr">
        <is>
          <t xml:space="preserve">2018/19</t>
        </is>
      </c>
    </row>
    <row r="826">
      <c r="A826" s="2" t="inlineStr">
        <is>
          <t xml:space="preserve">2018-09</t>
        </is>
      </c>
      <c r="B826" s="2">
        <v>2018</v>
      </c>
      <c r="C826" s="2">
        <v>9</v>
      </c>
      <c r="D826" s="2" t="inlineStr">
        <is>
          <t xml:space="preserve">ASO</t>
        </is>
      </c>
      <c r="E826" t="inlineStr">
        <is>
          <t xml:space="preserve">Aug 2018 – Oct 2018</t>
        </is>
      </c>
      <c r="F826" s="3">
        <v>0.52</v>
      </c>
      <c r="G826" s="4">
        <f>ROUND(F826,1)</f>
        <v>0.5</v>
      </c>
      <c r="H826" s="2" t="str">
        <f>IF(G826&gt;=0.5,"warm",IF(G826&lt;=-0.5,"cold","neutral"))</f>
        <v>warm</v>
      </c>
      <c r="I826" s="2">
        <f>IF(H826=H825,I825+1,1)</f>
        <v>1</v>
      </c>
      <c r="J826" s="2">
        <f>IF(H826=H827,J827+1,1)</f>
        <v>10</v>
      </c>
      <c r="K826" s="2">
        <f>I826+J826-1</f>
        <v>10</v>
      </c>
      <c r="L826" s="6" t="str">
        <f>IF(H826="neutral","—",IF(K826&gt;=5,IF(H826="warm","El Niño","La Niña"),IF(ROW()+J826-1=920,IF(H826="warm","El Niño (ongoing)","La Niña (ongoing)"),"—")))</f>
        <v>El Niño</v>
      </c>
      <c r="M826" s="2" t="inlineStr">
        <is>
          <t xml:space="preserve">2018/19</t>
        </is>
      </c>
    </row>
    <row r="827">
      <c r="A827" s="2" t="inlineStr">
        <is>
          <t xml:space="preserve">2018-10</t>
        </is>
      </c>
      <c r="B827" s="2">
        <v>2018</v>
      </c>
      <c r="C827" s="2">
        <v>10</v>
      </c>
      <c r="D827" s="2" t="inlineStr">
        <is>
          <t xml:space="preserve">SON</t>
        </is>
      </c>
      <c r="E827" t="inlineStr">
        <is>
          <t xml:space="preserve">Sep 2018 – Nov 2018</t>
        </is>
      </c>
      <c r="F827" s="3">
        <v>0.82</v>
      </c>
      <c r="G827" s="4">
        <f>ROUND(F827,1)</f>
        <v>0.8</v>
      </c>
      <c r="H827" s="2" t="str">
        <f>IF(G827&gt;=0.5,"warm",IF(G827&lt;=-0.5,"cold","neutral"))</f>
        <v>warm</v>
      </c>
      <c r="I827" s="2">
        <f>IF(H827=H826,I826+1,1)</f>
        <v>2</v>
      </c>
      <c r="J827" s="2">
        <f>IF(H827=H828,J828+1,1)</f>
        <v>9</v>
      </c>
      <c r="K827" s="2">
        <f>I827+J827-1</f>
        <v>10</v>
      </c>
      <c r="L827" s="6" t="str">
        <f>IF(H827="neutral","—",IF(K827&gt;=5,IF(H827="warm","El Niño","La Niña"),IF(ROW()+J827-1=920,IF(H827="warm","El Niño (ongoing)","La Niña (ongoing)"),"—")))</f>
        <v>El Niño</v>
      </c>
      <c r="M827" s="2" t="inlineStr">
        <is>
          <t xml:space="preserve">2018/19</t>
        </is>
      </c>
    </row>
    <row r="828">
      <c r="A828" s="2" t="inlineStr">
        <is>
          <t xml:space="preserve">2018-11</t>
        </is>
      </c>
      <c r="B828" s="2">
        <v>2018</v>
      </c>
      <c r="C828" s="2">
        <v>11</v>
      </c>
      <c r="D828" s="2" t="inlineStr">
        <is>
          <t xml:space="preserve">OND</t>
        </is>
      </c>
      <c r="E828" t="inlineStr">
        <is>
          <t xml:space="preserve">Oct 2018 – Dec 2018</t>
        </is>
      </c>
      <c r="F828" s="3">
        <v>1.04</v>
      </c>
      <c r="G828" s="4">
        <f>ROUND(F828,1)</f>
        <v>1.0</v>
      </c>
      <c r="H828" s="2" t="str">
        <f>IF(G828&gt;=0.5,"warm",IF(G828&lt;=-0.5,"cold","neutral"))</f>
        <v>warm</v>
      </c>
      <c r="I828" s="2">
        <f>IF(H828=H827,I827+1,1)</f>
        <v>3</v>
      </c>
      <c r="J828" s="2">
        <f>IF(H828=H829,J829+1,1)</f>
        <v>8</v>
      </c>
      <c r="K828" s="2">
        <f>I828+J828-1</f>
        <v>10</v>
      </c>
      <c r="L828" s="6" t="str">
        <f>IF(H828="neutral","—",IF(K828&gt;=5,IF(H828="warm","El Niño","La Niña"),IF(ROW()+J828-1=920,IF(H828="warm","El Niño (ongoing)","La Niña (ongoing)"),"—")))</f>
        <v>El Niño</v>
      </c>
      <c r="M828" s="2" t="inlineStr">
        <is>
          <t xml:space="preserve">2018/19</t>
        </is>
      </c>
    </row>
    <row r="829">
      <c r="A829" s="2" t="inlineStr">
        <is>
          <t xml:space="preserve">2018-12</t>
        </is>
      </c>
      <c r="B829" s="2">
        <v>2018</v>
      </c>
      <c r="C829" s="2">
        <v>12</v>
      </c>
      <c r="D829" s="2" t="inlineStr">
        <is>
          <t xml:space="preserve">NDJ</t>
        </is>
      </c>
      <c r="E829" t="inlineStr">
        <is>
          <t xml:space="preserve">Nov 2018 – Jan 2019</t>
        </is>
      </c>
      <c r="F829" s="3">
        <v>1.05</v>
      </c>
      <c r="G829" s="4">
        <f>ROUND(F829,1)</f>
        <v>1.1</v>
      </c>
      <c r="H829" s="2" t="str">
        <f>IF(G829&gt;=0.5,"warm",IF(G829&lt;=-0.5,"cold","neutral"))</f>
        <v>warm</v>
      </c>
      <c r="I829" s="2">
        <f>IF(H829=H828,I828+1,1)</f>
        <v>4</v>
      </c>
      <c r="J829" s="2">
        <f>IF(H829=H830,J830+1,1)</f>
        <v>7</v>
      </c>
      <c r="K829" s="2">
        <f>I829+J829-1</f>
        <v>10</v>
      </c>
      <c r="L829" s="6" t="str">
        <f>IF(H829="neutral","—",IF(K829&gt;=5,IF(H829="warm","El Niño","La Niña"),IF(ROW()+J829-1=920,IF(H829="warm","El Niño (ongoing)","La Niña (ongoing)"),"—")))</f>
        <v>El Niño</v>
      </c>
      <c r="M829" s="2" t="inlineStr">
        <is>
          <t xml:space="preserve">2018/19</t>
        </is>
      </c>
    </row>
    <row r="830">
      <c r="A830" s="2" t="inlineStr">
        <is>
          <t xml:space="preserve">2019-01</t>
        </is>
      </c>
      <c r="B830" s="2">
        <v>2019</v>
      </c>
      <c r="C830" s="2">
        <v>1</v>
      </c>
      <c r="D830" s="2" t="inlineStr">
        <is>
          <t xml:space="preserve">DJF</t>
        </is>
      </c>
      <c r="E830" t="inlineStr">
        <is>
          <t xml:space="preserve">Dec 2018 – Feb 2019</t>
        </is>
      </c>
      <c r="F830" s="3">
        <v>0.99</v>
      </c>
      <c r="G830" s="4">
        <f>ROUND(F830,1)</f>
        <v>1.0</v>
      </c>
      <c r="H830" s="2" t="str">
        <f>IF(G830&gt;=0.5,"warm",IF(G830&lt;=-0.5,"cold","neutral"))</f>
        <v>warm</v>
      </c>
      <c r="I830" s="2">
        <f>IF(H830=H829,I829+1,1)</f>
        <v>5</v>
      </c>
      <c r="J830" s="2">
        <f>IF(H830=H831,J831+1,1)</f>
        <v>6</v>
      </c>
      <c r="K830" s="2">
        <f>I830+J830-1</f>
        <v>10</v>
      </c>
      <c r="L830" s="6" t="str">
        <f>IF(H830="neutral","—",IF(K830&gt;=5,IF(H830="warm","El Niño","La Niña"),IF(ROW()+J830-1=920,IF(H830="warm","El Niño (ongoing)","La Niña (ongoing)"),"—")))</f>
        <v>El Niño</v>
      </c>
      <c r="M830" s="2" t="inlineStr">
        <is>
          <t xml:space="preserve">2018/19</t>
        </is>
      </c>
    </row>
    <row r="831">
      <c r="A831" s="2" t="inlineStr">
        <is>
          <t xml:space="preserve">2019-02</t>
        </is>
      </c>
      <c r="B831" s="2">
        <v>2019</v>
      </c>
      <c r="C831" s="2">
        <v>2</v>
      </c>
      <c r="D831" s="2" t="inlineStr">
        <is>
          <t xml:space="preserve">JFM</t>
        </is>
      </c>
      <c r="E831" t="inlineStr">
        <is>
          <t xml:space="preserve">Jan 2019 – Mar 2019</t>
        </is>
      </c>
      <c r="F831" s="3">
        <v>0.94</v>
      </c>
      <c r="G831" s="4">
        <f>ROUND(F831,1)</f>
        <v>0.9</v>
      </c>
      <c r="H831" s="2" t="str">
        <f>IF(G831&gt;=0.5,"warm",IF(G831&lt;=-0.5,"cold","neutral"))</f>
        <v>warm</v>
      </c>
      <c r="I831" s="2">
        <f>IF(H831=H830,I830+1,1)</f>
        <v>6</v>
      </c>
      <c r="J831" s="2">
        <f>IF(H831=H832,J832+1,1)</f>
        <v>5</v>
      </c>
      <c r="K831" s="2">
        <f>I831+J831-1</f>
        <v>10</v>
      </c>
      <c r="L831" s="6" t="str">
        <f>IF(H831="neutral","—",IF(K831&gt;=5,IF(H831="warm","El Niño","La Niña"),IF(ROW()+J831-1=920,IF(H831="warm","El Niño (ongoing)","La Niña (ongoing)"),"—")))</f>
        <v>El Niño</v>
      </c>
      <c r="M831" s="2" t="inlineStr">
        <is>
          <t xml:space="preserve">2018/19</t>
        </is>
      </c>
    </row>
    <row r="832">
      <c r="A832" s="2" t="inlineStr">
        <is>
          <t xml:space="preserve">2019-03</t>
        </is>
      </c>
      <c r="B832" s="2">
        <v>2019</v>
      </c>
      <c r="C832" s="2">
        <v>3</v>
      </c>
      <c r="D832" s="2" t="inlineStr">
        <is>
          <t xml:space="preserve">FMA</t>
        </is>
      </c>
      <c r="E832" t="inlineStr">
        <is>
          <t xml:space="preserve">Feb 2019 – Apr 2019</t>
        </is>
      </c>
      <c r="F832" s="3">
        <v>0.87</v>
      </c>
      <c r="G832" s="4">
        <f>ROUND(F832,1)</f>
        <v>0.9</v>
      </c>
      <c r="H832" s="2" t="str">
        <f>IF(G832&gt;=0.5,"warm",IF(G832&lt;=-0.5,"cold","neutral"))</f>
        <v>warm</v>
      </c>
      <c r="I832" s="2">
        <f>IF(H832=H831,I831+1,1)</f>
        <v>7</v>
      </c>
      <c r="J832" s="2">
        <f>IF(H832=H833,J833+1,1)</f>
        <v>4</v>
      </c>
      <c r="K832" s="2">
        <f>I832+J832-1</f>
        <v>10</v>
      </c>
      <c r="L832" s="6" t="str">
        <f>IF(H832="neutral","—",IF(K832&gt;=5,IF(H832="warm","El Niño","La Niña"),IF(ROW()+J832-1=920,IF(H832="warm","El Niño (ongoing)","La Niña (ongoing)"),"—")))</f>
        <v>El Niño</v>
      </c>
      <c r="M832" s="2" t="inlineStr">
        <is>
          <t xml:space="preserve">2018/19</t>
        </is>
      </c>
    </row>
    <row r="833">
      <c r="A833" s="2" t="inlineStr">
        <is>
          <t xml:space="preserve">2019-04</t>
        </is>
      </c>
      <c r="B833" s="2">
        <v>2019</v>
      </c>
      <c r="C833" s="2">
        <v>4</v>
      </c>
      <c r="D833" s="2" t="inlineStr">
        <is>
          <t xml:space="preserve">MAM</t>
        </is>
      </c>
      <c r="E833" t="inlineStr">
        <is>
          <t xml:space="preserve">Mar 2019 – May 2019</t>
        </is>
      </c>
      <c r="F833" s="3">
        <v>0.82</v>
      </c>
      <c r="G833" s="4">
        <f>ROUND(F833,1)</f>
        <v>0.8</v>
      </c>
      <c r="H833" s="2" t="str">
        <f>IF(G833&gt;=0.5,"warm",IF(G833&lt;=-0.5,"cold","neutral"))</f>
        <v>warm</v>
      </c>
      <c r="I833" s="2">
        <f>IF(H833=H832,I832+1,1)</f>
        <v>8</v>
      </c>
      <c r="J833" s="2">
        <f>IF(H833=H834,J834+1,1)</f>
        <v>3</v>
      </c>
      <c r="K833" s="2">
        <f>I833+J833-1</f>
        <v>10</v>
      </c>
      <c r="L833" s="6" t="str">
        <f>IF(H833="neutral","—",IF(K833&gt;=5,IF(H833="warm","El Niño","La Niña"),IF(ROW()+J833-1=920,IF(H833="warm","El Niño (ongoing)","La Niña (ongoing)"),"—")))</f>
        <v>El Niño</v>
      </c>
      <c r="M833" s="2" t="inlineStr">
        <is>
          <t xml:space="preserve">2018/19</t>
        </is>
      </c>
    </row>
    <row r="834">
      <c r="A834" s="2" t="inlineStr">
        <is>
          <t xml:space="preserve">2019-05</t>
        </is>
      </c>
      <c r="B834" s="2">
        <v>2019</v>
      </c>
      <c r="C834" s="2">
        <v>5</v>
      </c>
      <c r="D834" s="2" t="inlineStr">
        <is>
          <t xml:space="preserve">AMJ</t>
        </is>
      </c>
      <c r="E834" t="inlineStr">
        <is>
          <t xml:space="preserve">Apr 2019 – Jun 2019</t>
        </is>
      </c>
      <c r="F834" s="3">
        <v>0.71</v>
      </c>
      <c r="G834" s="4">
        <f>ROUND(F834,1)</f>
        <v>0.7</v>
      </c>
      <c r="H834" s="2" t="str">
        <f>IF(G834&gt;=0.5,"warm",IF(G834&lt;=-0.5,"cold","neutral"))</f>
        <v>warm</v>
      </c>
      <c r="I834" s="2">
        <f>IF(H834=H833,I833+1,1)</f>
        <v>9</v>
      </c>
      <c r="J834" s="2">
        <f>IF(H834=H835,J835+1,1)</f>
        <v>2</v>
      </c>
      <c r="K834" s="2">
        <f>I834+J834-1</f>
        <v>10</v>
      </c>
      <c r="L834" s="6" t="str">
        <f>IF(H834="neutral","—",IF(K834&gt;=5,IF(H834="warm","El Niño","La Niña"),IF(ROW()+J834-1=920,IF(H834="warm","El Niño (ongoing)","La Niña (ongoing)"),"—")))</f>
        <v>El Niño</v>
      </c>
      <c r="M834" s="2" t="inlineStr">
        <is>
          <t xml:space="preserve">2018/19</t>
        </is>
      </c>
    </row>
    <row r="835">
      <c r="A835" s="2" t="inlineStr">
        <is>
          <t xml:space="preserve">2019-06</t>
        </is>
      </c>
      <c r="B835" s="2">
        <v>2019</v>
      </c>
      <c r="C835" s="2">
        <v>6</v>
      </c>
      <c r="D835" s="2" t="inlineStr">
        <is>
          <t xml:space="preserve">MJJ</t>
        </is>
      </c>
      <c r="E835" t="inlineStr">
        <is>
          <t xml:space="preserve">May 2019 – Jul 2019</t>
        </is>
      </c>
      <c r="F835" s="3">
        <v>0.59</v>
      </c>
      <c r="G835" s="4">
        <f>ROUND(F835,1)</f>
        <v>0.6</v>
      </c>
      <c r="H835" s="2" t="str">
        <f>IF(G835&gt;=0.5,"warm",IF(G835&lt;=-0.5,"cold","neutral"))</f>
        <v>warm</v>
      </c>
      <c r="I835" s="2">
        <f>IF(H835=H834,I834+1,1)</f>
        <v>10</v>
      </c>
      <c r="J835" s="2">
        <f>IF(H835=H836,J836+1,1)</f>
        <v>1</v>
      </c>
      <c r="K835" s="2">
        <f>I835+J835-1</f>
        <v>10</v>
      </c>
      <c r="L835" s="6" t="str">
        <f>IF(H835="neutral","—",IF(K835&gt;=5,IF(H835="warm","El Niño","La Niña"),IF(ROW()+J835-1=920,IF(H835="warm","El Niño (ongoing)","La Niña (ongoing)"),"—")))</f>
        <v>El Niño</v>
      </c>
      <c r="M835" s="2" t="inlineStr">
        <is>
          <t xml:space="preserve">2018/19</t>
        </is>
      </c>
    </row>
    <row r="836">
      <c r="A836" s="2" t="inlineStr">
        <is>
          <t xml:space="preserve">2019-07</t>
        </is>
      </c>
      <c r="B836" s="2">
        <v>2019</v>
      </c>
      <c r="C836" s="2">
        <v>7</v>
      </c>
      <c r="D836" s="2" t="inlineStr">
        <is>
          <t xml:space="preserve">JJA</t>
        </is>
      </c>
      <c r="E836" t="inlineStr">
        <is>
          <t xml:space="preserve">Jun 2019 – Aug 2019</t>
        </is>
      </c>
      <c r="F836" s="3">
        <v>0.38</v>
      </c>
      <c r="G836" s="4">
        <f>ROUND(F836,1)</f>
        <v>0.4</v>
      </c>
      <c r="H836" s="2" t="str">
        <f>IF(G836&gt;=0.5,"warm",IF(G836&lt;=-0.5,"cold","neutral"))</f>
        <v>neutral</v>
      </c>
      <c r="I836" s="2">
        <f>IF(H836=H835,I835+1,1)</f>
        <v>1</v>
      </c>
      <c r="J836" s="2">
        <f>IF(H836=H837,J837+1,1)</f>
        <v>3</v>
      </c>
      <c r="K836" s="2">
        <f>I836+J836-1</f>
        <v>3</v>
      </c>
      <c r="L836" s="2" t="str">
        <f>IF(H836="neutral","—",IF(K836&gt;=5,IF(H836="warm","El Niño","La Niña"),IF(ROW()+J836-1=920,IF(H836="warm","El Niño (ongoing)","La Niña (ongoing)"),"—")))</f>
        <v>—</v>
      </c>
      <c r="M836" s="2" t="inlineStr">
        <is>
          <t xml:space="preserve">2019/20</t>
        </is>
      </c>
    </row>
    <row r="837">
      <c r="A837" s="2" t="inlineStr">
        <is>
          <t xml:space="preserve">2019-08</t>
        </is>
      </c>
      <c r="B837" s="2">
        <v>2019</v>
      </c>
      <c r="C837" s="2">
        <v>8</v>
      </c>
      <c r="D837" s="2" t="inlineStr">
        <is>
          <t xml:space="preserve">JAS</t>
        </is>
      </c>
      <c r="E837" t="inlineStr">
        <is>
          <t xml:space="preserve">Jul 2019 – Sep 2019</t>
        </is>
      </c>
      <c r="F837" s="3">
        <v>0.2</v>
      </c>
      <c r="G837" s="4">
        <f>ROUND(F837,1)</f>
        <v>0.2</v>
      </c>
      <c r="H837" s="2" t="str">
        <f>IF(G837&gt;=0.5,"warm",IF(G837&lt;=-0.5,"cold","neutral"))</f>
        <v>neutral</v>
      </c>
      <c r="I837" s="2">
        <f>IF(H837=H836,I836+1,1)</f>
        <v>2</v>
      </c>
      <c r="J837" s="2">
        <f>IF(H837=H838,J838+1,1)</f>
        <v>2</v>
      </c>
      <c r="K837" s="2">
        <f>I837+J837-1</f>
        <v>3</v>
      </c>
      <c r="L837" s="2" t="str">
        <f>IF(H837="neutral","—",IF(K837&gt;=5,IF(H837="warm","El Niño","La Niña"),IF(ROW()+J837-1=920,IF(H837="warm","El Niño (ongoing)","La Niña (ongoing)"),"—")))</f>
        <v>—</v>
      </c>
      <c r="M837" s="2" t="inlineStr">
        <is>
          <t xml:space="preserve">2019/20</t>
        </is>
      </c>
    </row>
    <row r="838">
      <c r="A838" s="2" t="inlineStr">
        <is>
          <t xml:space="preserve">2019-09</t>
        </is>
      </c>
      <c r="B838" s="2">
        <v>2019</v>
      </c>
      <c r="C838" s="2">
        <v>9</v>
      </c>
      <c r="D838" s="2" t="inlineStr">
        <is>
          <t xml:space="preserve">ASO</t>
        </is>
      </c>
      <c r="E838" t="inlineStr">
        <is>
          <t xml:space="preserve">Aug 2019 – Oct 2019</t>
        </is>
      </c>
      <c r="F838" s="3">
        <v>0.31</v>
      </c>
      <c r="G838" s="4">
        <f>ROUND(F838,1)</f>
        <v>0.3</v>
      </c>
      <c r="H838" s="2" t="str">
        <f>IF(G838&gt;=0.5,"warm",IF(G838&lt;=-0.5,"cold","neutral"))</f>
        <v>neutral</v>
      </c>
      <c r="I838" s="2">
        <f>IF(H838=H837,I837+1,1)</f>
        <v>3</v>
      </c>
      <c r="J838" s="2">
        <f>IF(H838=H839,J839+1,1)</f>
        <v>1</v>
      </c>
      <c r="K838" s="2">
        <f>I838+J838-1</f>
        <v>3</v>
      </c>
      <c r="L838" s="2" t="str">
        <f>IF(H838="neutral","—",IF(K838&gt;=5,IF(H838="warm","El Niño","La Niña"),IF(ROW()+J838-1=920,IF(H838="warm","El Niño (ongoing)","La Niña (ongoing)"),"—")))</f>
        <v>—</v>
      </c>
      <c r="M838" s="2" t="inlineStr">
        <is>
          <t xml:space="preserve">2019/20</t>
        </is>
      </c>
    </row>
    <row r="839">
      <c r="A839" s="2" t="inlineStr">
        <is>
          <t xml:space="preserve">2019-10</t>
        </is>
      </c>
      <c r="B839" s="2">
        <v>2019</v>
      </c>
      <c r="C839" s="2">
        <v>10</v>
      </c>
      <c r="D839" s="2" t="inlineStr">
        <is>
          <t xml:space="preserve">SON</t>
        </is>
      </c>
      <c r="E839" t="inlineStr">
        <is>
          <t xml:space="preserve">Sep 2019 – Nov 2019</t>
        </is>
      </c>
      <c r="F839" s="3">
        <v>0.51</v>
      </c>
      <c r="G839" s="4">
        <f>ROUND(F839,1)</f>
        <v>0.5</v>
      </c>
      <c r="H839" s="2" t="str">
        <f>IF(G839&gt;=0.5,"warm",IF(G839&lt;=-0.5,"cold","neutral"))</f>
        <v>warm</v>
      </c>
      <c r="I839" s="2">
        <f>IF(H839=H838,I838+1,1)</f>
        <v>1</v>
      </c>
      <c r="J839" s="2">
        <f>IF(H839=H840,J840+1,1)</f>
        <v>6</v>
      </c>
      <c r="K839" s="2">
        <f>I839+J839-1</f>
        <v>6</v>
      </c>
      <c r="L839" s="6" t="str">
        <f>IF(H839="neutral","—",IF(K839&gt;=5,IF(H839="warm","El Niño","La Niña"),IF(ROW()+J839-1=920,IF(H839="warm","El Niño (ongoing)","La Niña (ongoing)"),"—")))</f>
        <v>El Niño</v>
      </c>
      <c r="M839" s="2" t="inlineStr">
        <is>
          <t xml:space="preserve">2019/20</t>
        </is>
      </c>
    </row>
    <row r="840">
      <c r="A840" s="2" t="inlineStr">
        <is>
          <t xml:space="preserve">2019-11</t>
        </is>
      </c>
      <c r="B840" s="2">
        <v>2019</v>
      </c>
      <c r="C840" s="2">
        <v>11</v>
      </c>
      <c r="D840" s="2" t="inlineStr">
        <is>
          <t xml:space="preserve">OND</t>
        </is>
      </c>
      <c r="E840" t="inlineStr">
        <is>
          <t xml:space="preserve">Oct 2019 – Dec 2019</t>
        </is>
      </c>
      <c r="F840" s="3">
        <v>0.72</v>
      </c>
      <c r="G840" s="4">
        <f>ROUND(F840,1)</f>
        <v>0.7</v>
      </c>
      <c r="H840" s="2" t="str">
        <f>IF(G840&gt;=0.5,"warm",IF(G840&lt;=-0.5,"cold","neutral"))</f>
        <v>warm</v>
      </c>
      <c r="I840" s="2">
        <f>IF(H840=H839,I839+1,1)</f>
        <v>2</v>
      </c>
      <c r="J840" s="2">
        <f>IF(H840=H841,J841+1,1)</f>
        <v>5</v>
      </c>
      <c r="K840" s="2">
        <f>I840+J840-1</f>
        <v>6</v>
      </c>
      <c r="L840" s="6" t="str">
        <f>IF(H840="neutral","—",IF(K840&gt;=5,IF(H840="warm","El Niño","La Niña"),IF(ROW()+J840-1=920,IF(H840="warm","El Niño (ongoing)","La Niña (ongoing)"),"—")))</f>
        <v>El Niño</v>
      </c>
      <c r="M840" s="2" t="inlineStr">
        <is>
          <t xml:space="preserve">2019/20</t>
        </is>
      </c>
    </row>
    <row r="841">
      <c r="A841" s="2" t="inlineStr">
        <is>
          <t xml:space="preserve">2019-12</t>
        </is>
      </c>
      <c r="B841" s="2">
        <v>2019</v>
      </c>
      <c r="C841" s="2">
        <v>12</v>
      </c>
      <c r="D841" s="2" t="inlineStr">
        <is>
          <t xml:space="preserve">NDJ</t>
        </is>
      </c>
      <c r="E841" t="inlineStr">
        <is>
          <t xml:space="preserve">Nov 2019 – Jan 2020</t>
        </is>
      </c>
      <c r="F841" s="3">
        <v>0.75</v>
      </c>
      <c r="G841" s="4">
        <f>ROUND(F841,1)</f>
        <v>0.8</v>
      </c>
      <c r="H841" s="2" t="str">
        <f>IF(G841&gt;=0.5,"warm",IF(G841&lt;=-0.5,"cold","neutral"))</f>
        <v>warm</v>
      </c>
      <c r="I841" s="2">
        <f>IF(H841=H840,I840+1,1)</f>
        <v>3</v>
      </c>
      <c r="J841" s="2">
        <f>IF(H841=H842,J842+1,1)</f>
        <v>4</v>
      </c>
      <c r="K841" s="2">
        <f>I841+J841-1</f>
        <v>6</v>
      </c>
      <c r="L841" s="6" t="str">
        <f>IF(H841="neutral","—",IF(K841&gt;=5,IF(H841="warm","El Niño","La Niña"),IF(ROW()+J841-1=920,IF(H841="warm","El Niño (ongoing)","La Niña (ongoing)"),"—")))</f>
        <v>El Niño</v>
      </c>
      <c r="M841" s="2" t="inlineStr">
        <is>
          <t xml:space="preserve">2019/20</t>
        </is>
      </c>
    </row>
    <row r="842">
      <c r="A842" s="2" t="inlineStr">
        <is>
          <t xml:space="preserve">2020-01</t>
        </is>
      </c>
      <c r="B842" s="2">
        <v>2020</v>
      </c>
      <c r="C842" s="2">
        <v>1</v>
      </c>
      <c r="D842" s="2" t="inlineStr">
        <is>
          <t xml:space="preserve">DJF</t>
        </is>
      </c>
      <c r="E842" t="inlineStr">
        <is>
          <t xml:space="preserve">Dec 2019 – Feb 2020</t>
        </is>
      </c>
      <c r="F842" s="3">
        <v>0.71</v>
      </c>
      <c r="G842" s="4">
        <f>ROUND(F842,1)</f>
        <v>0.7</v>
      </c>
      <c r="H842" s="2" t="str">
        <f>IF(G842&gt;=0.5,"warm",IF(G842&lt;=-0.5,"cold","neutral"))</f>
        <v>warm</v>
      </c>
      <c r="I842" s="2">
        <f>IF(H842=H841,I841+1,1)</f>
        <v>4</v>
      </c>
      <c r="J842" s="2">
        <f>IF(H842=H843,J843+1,1)</f>
        <v>3</v>
      </c>
      <c r="K842" s="2">
        <f>I842+J842-1</f>
        <v>6</v>
      </c>
      <c r="L842" s="6" t="str">
        <f>IF(H842="neutral","—",IF(K842&gt;=5,IF(H842="warm","El Niño","La Niña"),IF(ROW()+J842-1=920,IF(H842="warm","El Niño (ongoing)","La Niña (ongoing)"),"—")))</f>
        <v>El Niño</v>
      </c>
      <c r="M842" s="2" t="inlineStr">
        <is>
          <t xml:space="preserve">2019/20</t>
        </is>
      </c>
    </row>
    <row r="843">
      <c r="A843" s="2" t="inlineStr">
        <is>
          <t xml:space="preserve">2020-02</t>
        </is>
      </c>
      <c r="B843" s="2">
        <v>2020</v>
      </c>
      <c r="C843" s="2">
        <v>2</v>
      </c>
      <c r="D843" s="2" t="inlineStr">
        <is>
          <t xml:space="preserve">JFM</t>
        </is>
      </c>
      <c r="E843" t="inlineStr">
        <is>
          <t xml:space="preserve">Jan 2020 – Mar 2020</t>
        </is>
      </c>
      <c r="F843" s="3">
        <v>0.66</v>
      </c>
      <c r="G843" s="4">
        <f>ROUND(F843,1)</f>
        <v>0.7</v>
      </c>
      <c r="H843" s="2" t="str">
        <f>IF(G843&gt;=0.5,"warm",IF(G843&lt;=-0.5,"cold","neutral"))</f>
        <v>warm</v>
      </c>
      <c r="I843" s="2">
        <f>IF(H843=H842,I842+1,1)</f>
        <v>5</v>
      </c>
      <c r="J843" s="2">
        <f>IF(H843=H844,J844+1,1)</f>
        <v>2</v>
      </c>
      <c r="K843" s="2">
        <f>I843+J843-1</f>
        <v>6</v>
      </c>
      <c r="L843" s="6" t="str">
        <f>IF(H843="neutral","—",IF(K843&gt;=5,IF(H843="warm","El Niño","La Niña"),IF(ROW()+J843-1=920,IF(H843="warm","El Niño (ongoing)","La Niña (ongoing)"),"—")))</f>
        <v>El Niño</v>
      </c>
      <c r="M843" s="2" t="inlineStr">
        <is>
          <t xml:space="preserve">2019/20</t>
        </is>
      </c>
    </row>
    <row r="844">
      <c r="A844" s="2" t="inlineStr">
        <is>
          <t xml:space="preserve">2020-03</t>
        </is>
      </c>
      <c r="B844" s="2">
        <v>2020</v>
      </c>
      <c r="C844" s="2">
        <v>3</v>
      </c>
      <c r="D844" s="2" t="inlineStr">
        <is>
          <t xml:space="preserve">FMA</t>
        </is>
      </c>
      <c r="E844" t="inlineStr">
        <is>
          <t xml:space="preserve">Feb 2020 – Apr 2020</t>
        </is>
      </c>
      <c r="F844" s="3">
        <v>0.57</v>
      </c>
      <c r="G844" s="4">
        <f>ROUND(F844,1)</f>
        <v>0.6</v>
      </c>
      <c r="H844" s="2" t="str">
        <f>IF(G844&gt;=0.5,"warm",IF(G844&lt;=-0.5,"cold","neutral"))</f>
        <v>warm</v>
      </c>
      <c r="I844" s="2">
        <f>IF(H844=H843,I843+1,1)</f>
        <v>6</v>
      </c>
      <c r="J844" s="2">
        <f>IF(H844=H845,J845+1,1)</f>
        <v>1</v>
      </c>
      <c r="K844" s="2">
        <f>I844+J844-1</f>
        <v>6</v>
      </c>
      <c r="L844" s="6" t="str">
        <f>IF(H844="neutral","—",IF(K844&gt;=5,IF(H844="warm","El Niño","La Niña"),IF(ROW()+J844-1=920,IF(H844="warm","El Niño (ongoing)","La Niña (ongoing)"),"—")))</f>
        <v>El Niño</v>
      </c>
      <c r="M844" s="2" t="inlineStr">
        <is>
          <t xml:space="preserve">2019/20</t>
        </is>
      </c>
    </row>
    <row r="845">
      <c r="A845" s="2" t="inlineStr">
        <is>
          <t xml:space="preserve">2020-04</t>
        </is>
      </c>
      <c r="B845" s="2">
        <v>2020</v>
      </c>
      <c r="C845" s="2">
        <v>4</v>
      </c>
      <c r="D845" s="2" t="inlineStr">
        <is>
          <t xml:space="preserve">MAM</t>
        </is>
      </c>
      <c r="E845" t="inlineStr">
        <is>
          <t xml:space="preserve">Mar 2020 – May 2020</t>
        </is>
      </c>
      <c r="F845" s="3">
        <v>0.33</v>
      </c>
      <c r="G845" s="4">
        <f>ROUND(F845,1)</f>
        <v>0.3</v>
      </c>
      <c r="H845" s="2" t="str">
        <f>IF(G845&gt;=0.5,"warm",IF(G845&lt;=-0.5,"cold","neutral"))</f>
        <v>neutral</v>
      </c>
      <c r="I845" s="2">
        <f>IF(H845=H844,I844+1,1)</f>
        <v>1</v>
      </c>
      <c r="J845" s="2">
        <f>IF(H845=H846,J846+1,1)</f>
        <v>5</v>
      </c>
      <c r="K845" s="2">
        <f>I845+J845-1</f>
        <v>5</v>
      </c>
      <c r="L845" s="2" t="str">
        <f>IF(H845="neutral","—",IF(K845&gt;=5,IF(H845="warm","El Niño","La Niña"),IF(ROW()+J845-1=920,IF(H845="warm","El Niño (ongoing)","La Niña (ongoing)"),"—")))</f>
        <v>—</v>
      </c>
      <c r="M845" s="2" t="inlineStr">
        <is>
          <t xml:space="preserve">2019/20</t>
        </is>
      </c>
    </row>
    <row r="846">
      <c r="A846" s="2" t="inlineStr">
        <is>
          <t xml:space="preserve">2020-05</t>
        </is>
      </c>
      <c r="B846" s="2">
        <v>2020</v>
      </c>
      <c r="C846" s="2">
        <v>5</v>
      </c>
      <c r="D846" s="2" t="inlineStr">
        <is>
          <t xml:space="preserve">AMJ</t>
        </is>
      </c>
      <c r="E846" t="inlineStr">
        <is>
          <t xml:space="preserve">Apr 2020 – Jun 2020</t>
        </is>
      </c>
      <c r="F846" s="3">
        <v>0.04</v>
      </c>
      <c r="G846" s="4">
        <f>ROUND(F846,1)</f>
        <v>0.0</v>
      </c>
      <c r="H846" s="2" t="str">
        <f>IF(G846&gt;=0.5,"warm",IF(G846&lt;=-0.5,"cold","neutral"))</f>
        <v>neutral</v>
      </c>
      <c r="I846" s="2">
        <f>IF(H846=H845,I845+1,1)</f>
        <v>2</v>
      </c>
      <c r="J846" s="2">
        <f>IF(H846=H847,J847+1,1)</f>
        <v>4</v>
      </c>
      <c r="K846" s="2">
        <f>I846+J846-1</f>
        <v>5</v>
      </c>
      <c r="L846" s="2" t="str">
        <f>IF(H846="neutral","—",IF(K846&gt;=5,IF(H846="warm","El Niño","La Niña"),IF(ROW()+J846-1=920,IF(H846="warm","El Niño (ongoing)","La Niña (ongoing)"),"—")))</f>
        <v>—</v>
      </c>
      <c r="M846" s="2" t="inlineStr">
        <is>
          <t xml:space="preserve">2019/20</t>
        </is>
      </c>
    </row>
    <row r="847">
      <c r="A847" s="2" t="inlineStr">
        <is>
          <t xml:space="preserve">2020-06</t>
        </is>
      </c>
      <c r="B847" s="2">
        <v>2020</v>
      </c>
      <c r="C847" s="2">
        <v>6</v>
      </c>
      <c r="D847" s="2" t="inlineStr">
        <is>
          <t xml:space="preserve">MJJ</t>
        </is>
      </c>
      <c r="E847" t="inlineStr">
        <is>
          <t xml:space="preserve">May 2020 – Jul 2020</t>
        </is>
      </c>
      <c r="F847" s="3">
        <v>-0.18</v>
      </c>
      <c r="G847" s="4">
        <f>ROUND(F847,1)</f>
        <v>-0.2</v>
      </c>
      <c r="H847" s="2" t="str">
        <f>IF(G847&gt;=0.5,"warm",IF(G847&lt;=-0.5,"cold","neutral"))</f>
        <v>neutral</v>
      </c>
      <c r="I847" s="2">
        <f>IF(H847=H846,I846+1,1)</f>
        <v>3</v>
      </c>
      <c r="J847" s="2">
        <f>IF(H847=H848,J848+1,1)</f>
        <v>3</v>
      </c>
      <c r="K847" s="2">
        <f>I847+J847-1</f>
        <v>5</v>
      </c>
      <c r="L847" s="2" t="str">
        <f>IF(H847="neutral","—",IF(K847&gt;=5,IF(H847="warm","El Niño","La Niña"),IF(ROW()+J847-1=920,IF(H847="warm","El Niño (ongoing)","La Niña (ongoing)"),"—")))</f>
        <v>—</v>
      </c>
      <c r="M847" s="2" t="inlineStr">
        <is>
          <t xml:space="preserve">2019/20</t>
        </is>
      </c>
    </row>
    <row r="848">
      <c r="A848" s="2" t="inlineStr">
        <is>
          <t xml:space="preserve">2020-07</t>
        </is>
      </c>
      <c r="B848" s="2">
        <v>2020</v>
      </c>
      <c r="C848" s="2">
        <v>7</v>
      </c>
      <c r="D848" s="2" t="inlineStr">
        <is>
          <t xml:space="preserve">JJA</t>
        </is>
      </c>
      <c r="E848" t="inlineStr">
        <is>
          <t xml:space="preserve">Jun 2020 – Aug 2020</t>
        </is>
      </c>
      <c r="F848" s="3">
        <v>-0.29</v>
      </c>
      <c r="G848" s="4">
        <f>ROUND(F848,1)</f>
        <v>-0.3</v>
      </c>
      <c r="H848" s="2" t="str">
        <f>IF(G848&gt;=0.5,"warm",IF(G848&lt;=-0.5,"cold","neutral"))</f>
        <v>neutral</v>
      </c>
      <c r="I848" s="2">
        <f>IF(H848=H847,I847+1,1)</f>
        <v>4</v>
      </c>
      <c r="J848" s="2">
        <f>IF(H848=H849,J849+1,1)</f>
        <v>2</v>
      </c>
      <c r="K848" s="2">
        <f>I848+J848-1</f>
        <v>5</v>
      </c>
      <c r="L848" s="2" t="str">
        <f>IF(H848="neutral","—",IF(K848&gt;=5,IF(H848="warm","El Niño","La Niña"),IF(ROW()+J848-1=920,IF(H848="warm","El Niño (ongoing)","La Niña (ongoing)"),"—")))</f>
        <v>—</v>
      </c>
      <c r="M848" s="2" t="inlineStr">
        <is>
          <t xml:space="preserve">2020/21</t>
        </is>
      </c>
    </row>
    <row r="849">
      <c r="A849" s="2" t="inlineStr">
        <is>
          <t xml:space="preserve">2020-08</t>
        </is>
      </c>
      <c r="B849" s="2">
        <v>2020</v>
      </c>
      <c r="C849" s="2">
        <v>8</v>
      </c>
      <c r="D849" s="2" t="inlineStr">
        <is>
          <t xml:space="preserve">JAS</t>
        </is>
      </c>
      <c r="E849" t="inlineStr">
        <is>
          <t xml:space="preserve">Jul 2020 – Sep 2020</t>
        </is>
      </c>
      <c r="F849" s="3">
        <v>-0.43</v>
      </c>
      <c r="G849" s="4">
        <f>ROUND(F849,1)</f>
        <v>-0.4</v>
      </c>
      <c r="H849" s="2" t="str">
        <f>IF(G849&gt;=0.5,"warm",IF(G849&lt;=-0.5,"cold","neutral"))</f>
        <v>neutral</v>
      </c>
      <c r="I849" s="2">
        <f>IF(H849=H848,I848+1,1)</f>
        <v>5</v>
      </c>
      <c r="J849" s="2">
        <f>IF(H849=H850,J850+1,1)</f>
        <v>1</v>
      </c>
      <c r="K849" s="2">
        <f>I849+J849-1</f>
        <v>5</v>
      </c>
      <c r="L849" s="2" t="str">
        <f>IF(H849="neutral","—",IF(K849&gt;=5,IF(H849="warm","El Niño","La Niña"),IF(ROW()+J849-1=920,IF(H849="warm","El Niño (ongoing)","La Niña (ongoing)"),"—")))</f>
        <v>—</v>
      </c>
      <c r="M849" s="2" t="inlineStr">
        <is>
          <t xml:space="preserve">2020/21</t>
        </is>
      </c>
    </row>
    <row r="850">
      <c r="A850" s="2" t="inlineStr">
        <is>
          <t xml:space="preserve">2020-09</t>
        </is>
      </c>
      <c r="B850" s="2">
        <v>2020</v>
      </c>
      <c r="C850" s="2">
        <v>9</v>
      </c>
      <c r="D850" s="2" t="inlineStr">
        <is>
          <t xml:space="preserve">ASO</t>
        </is>
      </c>
      <c r="E850" t="inlineStr">
        <is>
          <t xml:space="preserve">Aug 2020 – Oct 2020</t>
        </is>
      </c>
      <c r="F850" s="3">
        <v>-0.77</v>
      </c>
      <c r="G850" s="4">
        <f>ROUND(F850,1)</f>
        <v>-0.8</v>
      </c>
      <c r="H850" s="2" t="str">
        <f>IF(G850&gt;=0.5,"warm",IF(G850&lt;=-0.5,"cold","neutral"))</f>
        <v>cold</v>
      </c>
      <c r="I850" s="2">
        <f>IF(H850=H849,I849+1,1)</f>
        <v>1</v>
      </c>
      <c r="J850" s="2">
        <f>IF(H850=H851,J851+1,1)</f>
        <v>8</v>
      </c>
      <c r="K850" s="2">
        <f>I850+J850-1</f>
        <v>8</v>
      </c>
      <c r="L850" s="5" t="str">
        <f>IF(H850="neutral","—",IF(K850&gt;=5,IF(H850="warm","El Niño","La Niña"),IF(ROW()+J850-1=920,IF(H850="warm","El Niño (ongoing)","La Niña (ongoing)"),"—")))</f>
        <v>La Niña</v>
      </c>
      <c r="M850" s="2" t="inlineStr">
        <is>
          <t xml:space="preserve">2020/21</t>
        </is>
      </c>
    </row>
    <row r="851">
      <c r="A851" s="2" t="inlineStr">
        <is>
          <t xml:space="preserve">2020-10</t>
        </is>
      </c>
      <c r="B851" s="2">
        <v>2020</v>
      </c>
      <c r="C851" s="2">
        <v>10</v>
      </c>
      <c r="D851" s="2" t="inlineStr">
        <is>
          <t xml:space="preserve">SON</t>
        </is>
      </c>
      <c r="E851" t="inlineStr">
        <is>
          <t xml:space="preserve">Sep 2020 – Nov 2020</t>
        </is>
      </c>
      <c r="F851" s="3">
        <v>-1.0</v>
      </c>
      <c r="G851" s="4">
        <f>ROUND(F851,1)</f>
        <v>-1.0</v>
      </c>
      <c r="H851" s="2" t="str">
        <f>IF(G851&gt;=0.5,"warm",IF(G851&lt;=-0.5,"cold","neutral"))</f>
        <v>cold</v>
      </c>
      <c r="I851" s="2">
        <f>IF(H851=H850,I850+1,1)</f>
        <v>2</v>
      </c>
      <c r="J851" s="2">
        <f>IF(H851=H852,J852+1,1)</f>
        <v>7</v>
      </c>
      <c r="K851" s="2">
        <f>I851+J851-1</f>
        <v>8</v>
      </c>
      <c r="L851" s="5" t="str">
        <f>IF(H851="neutral","—",IF(K851&gt;=5,IF(H851="warm","El Niño","La Niña"),IF(ROW()+J851-1=920,IF(H851="warm","El Niño (ongoing)","La Niña (ongoing)"),"—")))</f>
        <v>La Niña</v>
      </c>
      <c r="M851" s="2" t="inlineStr">
        <is>
          <t xml:space="preserve">2020/21</t>
        </is>
      </c>
    </row>
    <row r="852">
      <c r="A852" s="2" t="inlineStr">
        <is>
          <t xml:space="preserve">2020-11</t>
        </is>
      </c>
      <c r="B852" s="2">
        <v>2020</v>
      </c>
      <c r="C852" s="2">
        <v>11</v>
      </c>
      <c r="D852" s="2" t="inlineStr">
        <is>
          <t xml:space="preserve">OND</t>
        </is>
      </c>
      <c r="E852" t="inlineStr">
        <is>
          <t xml:space="preserve">Oct 2020 – Dec 2020</t>
        </is>
      </c>
      <c r="F852" s="3">
        <v>-1.11</v>
      </c>
      <c r="G852" s="4">
        <f>ROUND(F852,1)</f>
        <v>-1.1</v>
      </c>
      <c r="H852" s="2" t="str">
        <f>IF(G852&gt;=0.5,"warm",IF(G852&lt;=-0.5,"cold","neutral"))</f>
        <v>cold</v>
      </c>
      <c r="I852" s="2">
        <f>IF(H852=H851,I851+1,1)</f>
        <v>3</v>
      </c>
      <c r="J852" s="2">
        <f>IF(H852=H853,J853+1,1)</f>
        <v>6</v>
      </c>
      <c r="K852" s="2">
        <f>I852+J852-1</f>
        <v>8</v>
      </c>
      <c r="L852" s="5" t="str">
        <f>IF(H852="neutral","—",IF(K852&gt;=5,IF(H852="warm","El Niño","La Niña"),IF(ROW()+J852-1=920,IF(H852="warm","El Niño (ongoing)","La Niña (ongoing)"),"—")))</f>
        <v>La Niña</v>
      </c>
      <c r="M852" s="2" t="inlineStr">
        <is>
          <t xml:space="preserve">2020/21</t>
        </is>
      </c>
    </row>
    <row r="853">
      <c r="A853" s="2" t="inlineStr">
        <is>
          <t xml:space="preserve">2020-12</t>
        </is>
      </c>
      <c r="B853" s="2">
        <v>2020</v>
      </c>
      <c r="C853" s="2">
        <v>12</v>
      </c>
      <c r="D853" s="2" t="inlineStr">
        <is>
          <t xml:space="preserve">NDJ</t>
        </is>
      </c>
      <c r="E853" t="inlineStr">
        <is>
          <t xml:space="preserve">Nov 2020 – Jan 2021</t>
        </is>
      </c>
      <c r="F853" s="3">
        <v>-1.06</v>
      </c>
      <c r="G853" s="4">
        <f>ROUND(F853,1)</f>
        <v>-1.1</v>
      </c>
      <c r="H853" s="2" t="str">
        <f>IF(G853&gt;=0.5,"warm",IF(G853&lt;=-0.5,"cold","neutral"))</f>
        <v>cold</v>
      </c>
      <c r="I853" s="2">
        <f>IF(H853=H852,I852+1,1)</f>
        <v>4</v>
      </c>
      <c r="J853" s="2">
        <f>IF(H853=H854,J854+1,1)</f>
        <v>5</v>
      </c>
      <c r="K853" s="2">
        <f>I853+J853-1</f>
        <v>8</v>
      </c>
      <c r="L853" s="5" t="str">
        <f>IF(H853="neutral","—",IF(K853&gt;=5,IF(H853="warm","El Niño","La Niña"),IF(ROW()+J853-1=920,IF(H853="warm","El Niño (ongoing)","La Niña (ongoing)"),"—")))</f>
        <v>La Niña</v>
      </c>
      <c r="M853" s="2" t="inlineStr">
        <is>
          <t xml:space="preserve">2020/21</t>
        </is>
      </c>
    </row>
    <row r="854">
      <c r="A854" s="2" t="inlineStr">
        <is>
          <t xml:space="preserve">2021-01</t>
        </is>
      </c>
      <c r="B854" s="2">
        <v>2021</v>
      </c>
      <c r="C854" s="2">
        <v>1</v>
      </c>
      <c r="D854" s="2" t="inlineStr">
        <is>
          <t xml:space="preserve">DJF</t>
        </is>
      </c>
      <c r="E854" t="inlineStr">
        <is>
          <t xml:space="preserve">Dec 2020 – Feb 2021</t>
        </is>
      </c>
      <c r="F854" s="3">
        <v>-0.99</v>
      </c>
      <c r="G854" s="4">
        <f>ROUND(F854,1)</f>
        <v>-1.0</v>
      </c>
      <c r="H854" s="2" t="str">
        <f>IF(G854&gt;=0.5,"warm",IF(G854&lt;=-0.5,"cold","neutral"))</f>
        <v>cold</v>
      </c>
      <c r="I854" s="2">
        <f>IF(H854=H853,I853+1,1)</f>
        <v>5</v>
      </c>
      <c r="J854" s="2">
        <f>IF(H854=H855,J855+1,1)</f>
        <v>4</v>
      </c>
      <c r="K854" s="2">
        <f>I854+J854-1</f>
        <v>8</v>
      </c>
      <c r="L854" s="5" t="str">
        <f>IF(H854="neutral","—",IF(K854&gt;=5,IF(H854="warm","El Niño","La Niña"),IF(ROW()+J854-1=920,IF(H854="warm","El Niño (ongoing)","La Niña (ongoing)"),"—")))</f>
        <v>La Niña</v>
      </c>
      <c r="M854" s="2" t="inlineStr">
        <is>
          <t xml:space="preserve">2020/21</t>
        </is>
      </c>
    </row>
    <row r="855">
      <c r="A855" s="2" t="inlineStr">
        <is>
          <t xml:space="preserve">2021-02</t>
        </is>
      </c>
      <c r="B855" s="2">
        <v>2021</v>
      </c>
      <c r="C855" s="2">
        <v>2</v>
      </c>
      <c r="D855" s="2" t="inlineStr">
        <is>
          <t xml:space="preserve">JFM</t>
        </is>
      </c>
      <c r="E855" t="inlineStr">
        <is>
          <t xml:space="preserve">Jan 2021 – Mar 2021</t>
        </is>
      </c>
      <c r="F855" s="3">
        <v>-0.85</v>
      </c>
      <c r="G855" s="4">
        <f>ROUND(F855,1)</f>
        <v>-0.9</v>
      </c>
      <c r="H855" s="2" t="str">
        <f>IF(G855&gt;=0.5,"warm",IF(G855&lt;=-0.5,"cold","neutral"))</f>
        <v>cold</v>
      </c>
      <c r="I855" s="2">
        <f>IF(H855=H854,I854+1,1)</f>
        <v>6</v>
      </c>
      <c r="J855" s="2">
        <f>IF(H855=H856,J856+1,1)</f>
        <v>3</v>
      </c>
      <c r="K855" s="2">
        <f>I855+J855-1</f>
        <v>8</v>
      </c>
      <c r="L855" s="5" t="str">
        <f>IF(H855="neutral","—",IF(K855&gt;=5,IF(H855="warm","El Niño","La Niña"),IF(ROW()+J855-1=920,IF(H855="warm","El Niño (ongoing)","La Niña (ongoing)"),"—")))</f>
        <v>La Niña</v>
      </c>
      <c r="M855" s="2" t="inlineStr">
        <is>
          <t xml:space="preserve">2020/21</t>
        </is>
      </c>
    </row>
    <row r="856">
      <c r="A856" s="2" t="inlineStr">
        <is>
          <t xml:space="preserve">2021-03</t>
        </is>
      </c>
      <c r="B856" s="2">
        <v>2021</v>
      </c>
      <c r="C856" s="2">
        <v>3</v>
      </c>
      <c r="D856" s="2" t="inlineStr">
        <is>
          <t xml:space="preserve">FMA</t>
        </is>
      </c>
      <c r="E856" t="inlineStr">
        <is>
          <t xml:space="preserve">Feb 2021 – Apr 2021</t>
        </is>
      </c>
      <c r="F856" s="3">
        <v>-0.74</v>
      </c>
      <c r="G856" s="4">
        <f>ROUND(F856,1)</f>
        <v>-0.7</v>
      </c>
      <c r="H856" s="2" t="str">
        <f>IF(G856&gt;=0.5,"warm",IF(G856&lt;=-0.5,"cold","neutral"))</f>
        <v>cold</v>
      </c>
      <c r="I856" s="2">
        <f>IF(H856=H855,I855+1,1)</f>
        <v>7</v>
      </c>
      <c r="J856" s="2">
        <f>IF(H856=H857,J857+1,1)</f>
        <v>2</v>
      </c>
      <c r="K856" s="2">
        <f>I856+J856-1</f>
        <v>8</v>
      </c>
      <c r="L856" s="5" t="str">
        <f>IF(H856="neutral","—",IF(K856&gt;=5,IF(H856="warm","El Niño","La Niña"),IF(ROW()+J856-1=920,IF(H856="warm","El Niño (ongoing)","La Niña (ongoing)"),"—")))</f>
        <v>La Niña</v>
      </c>
      <c r="M856" s="2" t="inlineStr">
        <is>
          <t xml:space="preserve">2020/21</t>
        </is>
      </c>
    </row>
    <row r="857">
      <c r="A857" s="2" t="inlineStr">
        <is>
          <t xml:space="preserve">2021-04</t>
        </is>
      </c>
      <c r="B857" s="2">
        <v>2021</v>
      </c>
      <c r="C857" s="2">
        <v>4</v>
      </c>
      <c r="D857" s="2" t="inlineStr">
        <is>
          <t xml:space="preserve">MAM</t>
        </is>
      </c>
      <c r="E857" t="inlineStr">
        <is>
          <t xml:space="preserve">Mar 2021 – May 2021</t>
        </is>
      </c>
      <c r="F857" s="3">
        <v>-0.56</v>
      </c>
      <c r="G857" s="4">
        <f>ROUND(F857,1)</f>
        <v>-0.6</v>
      </c>
      <c r="H857" s="2" t="str">
        <f>IF(G857&gt;=0.5,"warm",IF(G857&lt;=-0.5,"cold","neutral"))</f>
        <v>cold</v>
      </c>
      <c r="I857" s="2">
        <f>IF(H857=H856,I856+1,1)</f>
        <v>8</v>
      </c>
      <c r="J857" s="2">
        <f>IF(H857=H858,J858+1,1)</f>
        <v>1</v>
      </c>
      <c r="K857" s="2">
        <f>I857+J857-1</f>
        <v>8</v>
      </c>
      <c r="L857" s="5" t="str">
        <f>IF(H857="neutral","—",IF(K857&gt;=5,IF(H857="warm","El Niño","La Niña"),IF(ROW()+J857-1=920,IF(H857="warm","El Niño (ongoing)","La Niña (ongoing)"),"—")))</f>
        <v>La Niña</v>
      </c>
      <c r="M857" s="2" t="inlineStr">
        <is>
          <t xml:space="preserve">2020/21</t>
        </is>
      </c>
    </row>
    <row r="858">
      <c r="A858" s="2" t="inlineStr">
        <is>
          <t xml:space="preserve">2021-05</t>
        </is>
      </c>
      <c r="B858" s="2">
        <v>2021</v>
      </c>
      <c r="C858" s="2">
        <v>5</v>
      </c>
      <c r="D858" s="2" t="inlineStr">
        <is>
          <t xml:space="preserve">AMJ</t>
        </is>
      </c>
      <c r="E858" t="inlineStr">
        <is>
          <t xml:space="preserve">Apr 2021 – Jun 2021</t>
        </is>
      </c>
      <c r="F858" s="3">
        <v>-0.4</v>
      </c>
      <c r="G858" s="4">
        <f>ROUND(F858,1)</f>
        <v>-0.4</v>
      </c>
      <c r="H858" s="2" t="str">
        <f>IF(G858&gt;=0.5,"warm",IF(G858&lt;=-0.5,"cold","neutral"))</f>
        <v>neutral</v>
      </c>
      <c r="I858" s="2">
        <f>IF(H858=H857,I857+1,1)</f>
        <v>1</v>
      </c>
      <c r="J858" s="2">
        <f>IF(H858=H859,J859+1,1)</f>
        <v>3</v>
      </c>
      <c r="K858" s="2">
        <f>I858+J858-1</f>
        <v>3</v>
      </c>
      <c r="L858" s="2" t="str">
        <f>IF(H858="neutral","—",IF(K858&gt;=5,IF(H858="warm","El Niño","La Niña"),IF(ROW()+J858-1=920,IF(H858="warm","El Niño (ongoing)","La Niña (ongoing)"),"—")))</f>
        <v>—</v>
      </c>
      <c r="M858" s="2" t="inlineStr">
        <is>
          <t xml:space="preserve">2020/21</t>
        </is>
      </c>
    </row>
    <row r="859">
      <c r="A859" s="2" t="inlineStr">
        <is>
          <t xml:space="preserve">2021-06</t>
        </is>
      </c>
      <c r="B859" s="2">
        <v>2021</v>
      </c>
      <c r="C859" s="2">
        <v>6</v>
      </c>
      <c r="D859" s="2" t="inlineStr">
        <is>
          <t xml:space="preserve">MJJ</t>
        </is>
      </c>
      <c r="E859" t="inlineStr">
        <is>
          <t xml:space="preserve">May 2021 – Jul 2021</t>
        </is>
      </c>
      <c r="F859" s="3">
        <v>-0.31</v>
      </c>
      <c r="G859" s="4">
        <f>ROUND(F859,1)</f>
        <v>-0.3</v>
      </c>
      <c r="H859" s="2" t="str">
        <f>IF(G859&gt;=0.5,"warm",IF(G859&lt;=-0.5,"cold","neutral"))</f>
        <v>neutral</v>
      </c>
      <c r="I859" s="2">
        <f>IF(H859=H858,I858+1,1)</f>
        <v>2</v>
      </c>
      <c r="J859" s="2">
        <f>IF(H859=H860,J860+1,1)</f>
        <v>2</v>
      </c>
      <c r="K859" s="2">
        <f>I859+J859-1</f>
        <v>3</v>
      </c>
      <c r="L859" s="2" t="str">
        <f>IF(H859="neutral","—",IF(K859&gt;=5,IF(H859="warm","El Niño","La Niña"),IF(ROW()+J859-1=920,IF(H859="warm","El Niño (ongoing)","La Niña (ongoing)"),"—")))</f>
        <v>—</v>
      </c>
      <c r="M859" s="2" t="inlineStr">
        <is>
          <t xml:space="preserve">2020/21</t>
        </is>
      </c>
    </row>
    <row r="860">
      <c r="A860" s="2" t="inlineStr">
        <is>
          <t xml:space="preserve">2021-07</t>
        </is>
      </c>
      <c r="B860" s="2">
        <v>2021</v>
      </c>
      <c r="C860" s="2">
        <v>7</v>
      </c>
      <c r="D860" s="2" t="inlineStr">
        <is>
          <t xml:space="preserve">JJA</t>
        </is>
      </c>
      <c r="E860" t="inlineStr">
        <is>
          <t xml:space="preserve">Jun 2021 – Aug 2021</t>
        </is>
      </c>
      <c r="F860" s="3">
        <v>-0.35</v>
      </c>
      <c r="G860" s="4">
        <f>ROUND(F860,1)</f>
        <v>-0.4</v>
      </c>
      <c r="H860" s="2" t="str">
        <f>IF(G860&gt;=0.5,"warm",IF(G860&lt;=-0.5,"cold","neutral"))</f>
        <v>neutral</v>
      </c>
      <c r="I860" s="2">
        <f>IF(H860=H859,I859+1,1)</f>
        <v>3</v>
      </c>
      <c r="J860" s="2">
        <f>IF(H860=H861,J861+1,1)</f>
        <v>1</v>
      </c>
      <c r="K860" s="2">
        <f>I860+J860-1</f>
        <v>3</v>
      </c>
      <c r="L860" s="2" t="str">
        <f>IF(H860="neutral","—",IF(K860&gt;=5,IF(H860="warm","El Niño","La Niña"),IF(ROW()+J860-1=920,IF(H860="warm","El Niño (ongoing)","La Niña (ongoing)"),"—")))</f>
        <v>—</v>
      </c>
      <c r="M860" s="2" t="inlineStr">
        <is>
          <t xml:space="preserve">2021/22</t>
        </is>
      </c>
    </row>
    <row r="861">
      <c r="A861" s="2" t="inlineStr">
        <is>
          <t xml:space="preserve">2021-08</t>
        </is>
      </c>
      <c r="B861" s="2">
        <v>2021</v>
      </c>
      <c r="C861" s="2">
        <v>8</v>
      </c>
      <c r="D861" s="2" t="inlineStr">
        <is>
          <t xml:space="preserve">JAS</t>
        </is>
      </c>
      <c r="E861" t="inlineStr">
        <is>
          <t xml:space="preserve">Jul 2021 – Sep 2021</t>
        </is>
      </c>
      <c r="F861" s="3">
        <v>-0.46</v>
      </c>
      <c r="G861" s="4">
        <f>ROUND(F861,1)</f>
        <v>-0.5</v>
      </c>
      <c r="H861" s="2" t="str">
        <f>IF(G861&gt;=0.5,"warm",IF(G861&lt;=-0.5,"cold","neutral"))</f>
        <v>cold</v>
      </c>
      <c r="I861" s="2">
        <f>IF(H861=H860,I860+1,1)</f>
        <v>1</v>
      </c>
      <c r="J861" s="2">
        <f>IF(H861=H862,J862+1,1)</f>
        <v>18</v>
      </c>
      <c r="K861" s="2">
        <f>I861+J861-1</f>
        <v>18</v>
      </c>
      <c r="L861" s="5" t="str">
        <f>IF(H861="neutral","—",IF(K861&gt;=5,IF(H861="warm","El Niño","La Niña"),IF(ROW()+J861-1=920,IF(H861="warm","El Niño (ongoing)","La Niña (ongoing)"),"—")))</f>
        <v>La Niña</v>
      </c>
      <c r="M861" s="2" t="inlineStr">
        <is>
          <t xml:space="preserve">2021/22</t>
        </is>
      </c>
    </row>
    <row r="862">
      <c r="A862" s="2" t="inlineStr">
        <is>
          <t xml:space="preserve">2021-09</t>
        </is>
      </c>
      <c r="B862" s="2">
        <v>2021</v>
      </c>
      <c r="C862" s="2">
        <v>9</v>
      </c>
      <c r="D862" s="2" t="inlineStr">
        <is>
          <t xml:space="preserve">ASO</t>
        </is>
      </c>
      <c r="E862" t="inlineStr">
        <is>
          <t xml:space="preserve">Aug 2021 – Oct 2021</t>
        </is>
      </c>
      <c r="F862" s="3">
        <v>-0.64</v>
      </c>
      <c r="G862" s="4">
        <f>ROUND(F862,1)</f>
        <v>-0.6</v>
      </c>
      <c r="H862" s="2" t="str">
        <f>IF(G862&gt;=0.5,"warm",IF(G862&lt;=-0.5,"cold","neutral"))</f>
        <v>cold</v>
      </c>
      <c r="I862" s="2">
        <f>IF(H862=H861,I861+1,1)</f>
        <v>2</v>
      </c>
      <c r="J862" s="2">
        <f>IF(H862=H863,J863+1,1)</f>
        <v>17</v>
      </c>
      <c r="K862" s="2">
        <f>I862+J862-1</f>
        <v>18</v>
      </c>
      <c r="L862" s="5" t="str">
        <f>IF(H862="neutral","—",IF(K862&gt;=5,IF(H862="warm","El Niño","La Niña"),IF(ROW()+J862-1=920,IF(H862="warm","El Niño (ongoing)","La Niña (ongoing)"),"—")))</f>
        <v>La Niña</v>
      </c>
      <c r="M862" s="2" t="inlineStr">
        <is>
          <t xml:space="preserve">2021/22</t>
        </is>
      </c>
    </row>
    <row r="863">
      <c r="A863" s="2" t="inlineStr">
        <is>
          <t xml:space="preserve">2021-10</t>
        </is>
      </c>
      <c r="B863" s="2">
        <v>2021</v>
      </c>
      <c r="C863" s="2">
        <v>10</v>
      </c>
      <c r="D863" s="2" t="inlineStr">
        <is>
          <t xml:space="preserve">SON</t>
        </is>
      </c>
      <c r="E863" t="inlineStr">
        <is>
          <t xml:space="preserve">Sep 2021 – Nov 2021</t>
        </is>
      </c>
      <c r="F863" s="3">
        <v>-0.77</v>
      </c>
      <c r="G863" s="4">
        <f>ROUND(F863,1)</f>
        <v>-0.8</v>
      </c>
      <c r="H863" s="2" t="str">
        <f>IF(G863&gt;=0.5,"warm",IF(G863&lt;=-0.5,"cold","neutral"))</f>
        <v>cold</v>
      </c>
      <c r="I863" s="2">
        <f>IF(H863=H862,I862+1,1)</f>
        <v>3</v>
      </c>
      <c r="J863" s="2">
        <f>IF(H863=H864,J864+1,1)</f>
        <v>16</v>
      </c>
      <c r="K863" s="2">
        <f>I863+J863-1</f>
        <v>18</v>
      </c>
      <c r="L863" s="5" t="str">
        <f>IF(H863="neutral","—",IF(K863&gt;=5,IF(H863="warm","El Niño","La Niña"),IF(ROW()+J863-1=920,IF(H863="warm","El Niño (ongoing)","La Niña (ongoing)"),"—")))</f>
        <v>La Niña</v>
      </c>
      <c r="M863" s="2" t="inlineStr">
        <is>
          <t xml:space="preserve">2021/22</t>
        </is>
      </c>
    </row>
    <row r="864">
      <c r="A864" s="2" t="inlineStr">
        <is>
          <t xml:space="preserve">2021-11</t>
        </is>
      </c>
      <c r="B864" s="2">
        <v>2021</v>
      </c>
      <c r="C864" s="2">
        <v>11</v>
      </c>
      <c r="D864" s="2" t="inlineStr">
        <is>
          <t xml:space="preserve">OND</t>
        </is>
      </c>
      <c r="E864" t="inlineStr">
        <is>
          <t xml:space="preserve">Oct 2021 – Dec 2021</t>
        </is>
      </c>
      <c r="F864" s="3">
        <v>-0.91</v>
      </c>
      <c r="G864" s="4">
        <f>ROUND(F864,1)</f>
        <v>-0.9</v>
      </c>
      <c r="H864" s="2" t="str">
        <f>IF(G864&gt;=0.5,"warm",IF(G864&lt;=-0.5,"cold","neutral"))</f>
        <v>cold</v>
      </c>
      <c r="I864" s="2">
        <f>IF(H864=H863,I863+1,1)</f>
        <v>4</v>
      </c>
      <c r="J864" s="2">
        <f>IF(H864=H865,J865+1,1)</f>
        <v>15</v>
      </c>
      <c r="K864" s="2">
        <f>I864+J864-1</f>
        <v>18</v>
      </c>
      <c r="L864" s="5" t="str">
        <f>IF(H864="neutral","—",IF(K864&gt;=5,IF(H864="warm","El Niño","La Niña"),IF(ROW()+J864-1=920,IF(H864="warm","El Niño (ongoing)","La Niña (ongoing)"),"—")))</f>
        <v>La Niña</v>
      </c>
      <c r="M864" s="2" t="inlineStr">
        <is>
          <t xml:space="preserve">2021/22</t>
        </is>
      </c>
    </row>
    <row r="865">
      <c r="A865" s="2" t="inlineStr">
        <is>
          <t xml:space="preserve">2021-12</t>
        </is>
      </c>
      <c r="B865" s="2">
        <v>2021</v>
      </c>
      <c r="C865" s="2">
        <v>12</v>
      </c>
      <c r="D865" s="2" t="inlineStr">
        <is>
          <t xml:space="preserve">NDJ</t>
        </is>
      </c>
      <c r="E865" t="inlineStr">
        <is>
          <t xml:space="preserve">Nov 2021 – Jan 2022</t>
        </is>
      </c>
      <c r="F865" s="3">
        <v>-0.83</v>
      </c>
      <c r="G865" s="4">
        <f>ROUND(F865,1)</f>
        <v>-0.8</v>
      </c>
      <c r="H865" s="2" t="str">
        <f>IF(G865&gt;=0.5,"warm",IF(G865&lt;=-0.5,"cold","neutral"))</f>
        <v>cold</v>
      </c>
      <c r="I865" s="2">
        <f>IF(H865=H864,I864+1,1)</f>
        <v>5</v>
      </c>
      <c r="J865" s="2">
        <f>IF(H865=H866,J866+1,1)</f>
        <v>14</v>
      </c>
      <c r="K865" s="2">
        <f>I865+J865-1</f>
        <v>18</v>
      </c>
      <c r="L865" s="5" t="str">
        <f>IF(H865="neutral","—",IF(K865&gt;=5,IF(H865="warm","El Niño","La Niña"),IF(ROW()+J865-1=920,IF(H865="warm","El Niño (ongoing)","La Niña (ongoing)"),"—")))</f>
        <v>La Niña</v>
      </c>
      <c r="M865" s="2" t="inlineStr">
        <is>
          <t xml:space="preserve">2021/22</t>
        </is>
      </c>
    </row>
    <row r="866">
      <c r="A866" s="2" t="inlineStr">
        <is>
          <t xml:space="preserve">2022-01</t>
        </is>
      </c>
      <c r="B866" s="2">
        <v>2022</v>
      </c>
      <c r="C866" s="2">
        <v>1</v>
      </c>
      <c r="D866" s="2" t="inlineStr">
        <is>
          <t xml:space="preserve">DJF</t>
        </is>
      </c>
      <c r="E866" t="inlineStr">
        <is>
          <t xml:space="preserve">Dec 2021 – Feb 2022</t>
        </is>
      </c>
      <c r="F866" s="3">
        <v>-0.76</v>
      </c>
      <c r="G866" s="4">
        <f>ROUND(F866,1)</f>
        <v>-0.8</v>
      </c>
      <c r="H866" s="2" t="str">
        <f>IF(G866&gt;=0.5,"warm",IF(G866&lt;=-0.5,"cold","neutral"))</f>
        <v>cold</v>
      </c>
      <c r="I866" s="2">
        <f>IF(H866=H865,I865+1,1)</f>
        <v>6</v>
      </c>
      <c r="J866" s="2">
        <f>IF(H866=H867,J867+1,1)</f>
        <v>13</v>
      </c>
      <c r="K866" s="2">
        <f>I866+J866-1</f>
        <v>18</v>
      </c>
      <c r="L866" s="5" t="str">
        <f>IF(H866="neutral","—",IF(K866&gt;=5,IF(H866="warm","El Niño","La Niña"),IF(ROW()+J866-1=920,IF(H866="warm","El Niño (ongoing)","La Niña (ongoing)"),"—")))</f>
        <v>La Niña</v>
      </c>
      <c r="M866" s="2" t="inlineStr">
        <is>
          <t xml:space="preserve">2021/22</t>
        </is>
      </c>
    </row>
    <row r="867">
      <c r="A867" s="2" t="inlineStr">
        <is>
          <t xml:space="preserve">2022-02</t>
        </is>
      </c>
      <c r="B867" s="2">
        <v>2022</v>
      </c>
      <c r="C867" s="2">
        <v>2</v>
      </c>
      <c r="D867" s="2" t="inlineStr">
        <is>
          <t xml:space="preserve">JFM</t>
        </is>
      </c>
      <c r="E867" t="inlineStr">
        <is>
          <t xml:space="preserve">Jan 2022 – Mar 2022</t>
        </is>
      </c>
      <c r="F867" s="3">
        <v>-0.68</v>
      </c>
      <c r="G867" s="4">
        <f>ROUND(F867,1)</f>
        <v>-0.7</v>
      </c>
      <c r="H867" s="2" t="str">
        <f>IF(G867&gt;=0.5,"warm",IF(G867&lt;=-0.5,"cold","neutral"))</f>
        <v>cold</v>
      </c>
      <c r="I867" s="2">
        <f>IF(H867=H866,I866+1,1)</f>
        <v>7</v>
      </c>
      <c r="J867" s="2">
        <f>IF(H867=H868,J868+1,1)</f>
        <v>12</v>
      </c>
      <c r="K867" s="2">
        <f>I867+J867-1</f>
        <v>18</v>
      </c>
      <c r="L867" s="5" t="str">
        <f>IF(H867="neutral","—",IF(K867&gt;=5,IF(H867="warm","El Niño","La Niña"),IF(ROW()+J867-1=920,IF(H867="warm","El Niño (ongoing)","La Niña (ongoing)"),"—")))</f>
        <v>La Niña</v>
      </c>
      <c r="M867" s="2" t="inlineStr">
        <is>
          <t xml:space="preserve">2021/22</t>
        </is>
      </c>
    </row>
    <row r="868">
      <c r="A868" s="2" t="inlineStr">
        <is>
          <t xml:space="preserve">2022-03</t>
        </is>
      </c>
      <c r="B868" s="2">
        <v>2022</v>
      </c>
      <c r="C868" s="2">
        <v>3</v>
      </c>
      <c r="D868" s="2" t="inlineStr">
        <is>
          <t xml:space="preserve">FMA</t>
        </is>
      </c>
      <c r="E868" t="inlineStr">
        <is>
          <t xml:space="preserve">Feb 2022 – Apr 2022</t>
        </is>
      </c>
      <c r="F868" s="3">
        <v>-0.77</v>
      </c>
      <c r="G868" s="4">
        <f>ROUND(F868,1)</f>
        <v>-0.8</v>
      </c>
      <c r="H868" s="2" t="str">
        <f>IF(G868&gt;=0.5,"warm",IF(G868&lt;=-0.5,"cold","neutral"))</f>
        <v>cold</v>
      </c>
      <c r="I868" s="2">
        <f>IF(H868=H867,I867+1,1)</f>
        <v>8</v>
      </c>
      <c r="J868" s="2">
        <f>IF(H868=H869,J869+1,1)</f>
        <v>11</v>
      </c>
      <c r="K868" s="2">
        <f>I868+J868-1</f>
        <v>18</v>
      </c>
      <c r="L868" s="5" t="str">
        <f>IF(H868="neutral","—",IF(K868&gt;=5,IF(H868="warm","El Niño","La Niña"),IF(ROW()+J868-1=920,IF(H868="warm","El Niño (ongoing)","La Niña (ongoing)"),"—")))</f>
        <v>La Niña</v>
      </c>
      <c r="M868" s="2" t="inlineStr">
        <is>
          <t xml:space="preserve">2021/22</t>
        </is>
      </c>
    </row>
    <row r="869">
      <c r="A869" s="2" t="inlineStr">
        <is>
          <t xml:space="preserve">2022-04</t>
        </is>
      </c>
      <c r="B869" s="2">
        <v>2022</v>
      </c>
      <c r="C869" s="2">
        <v>4</v>
      </c>
      <c r="D869" s="2" t="inlineStr">
        <is>
          <t xml:space="preserve">MAM</t>
        </is>
      </c>
      <c r="E869" t="inlineStr">
        <is>
          <t xml:space="preserve">Mar 2022 – May 2022</t>
        </is>
      </c>
      <c r="F869" s="3">
        <v>-0.86</v>
      </c>
      <c r="G869" s="4">
        <f>ROUND(F869,1)</f>
        <v>-0.9</v>
      </c>
      <c r="H869" s="2" t="str">
        <f>IF(G869&gt;=0.5,"warm",IF(G869&lt;=-0.5,"cold","neutral"))</f>
        <v>cold</v>
      </c>
      <c r="I869" s="2">
        <f>IF(H869=H868,I868+1,1)</f>
        <v>9</v>
      </c>
      <c r="J869" s="2">
        <f>IF(H869=H870,J870+1,1)</f>
        <v>10</v>
      </c>
      <c r="K869" s="2">
        <f>I869+J869-1</f>
        <v>18</v>
      </c>
      <c r="L869" s="5" t="str">
        <f>IF(H869="neutral","—",IF(K869&gt;=5,IF(H869="warm","El Niño","La Niña"),IF(ROW()+J869-1=920,IF(H869="warm","El Niño (ongoing)","La Niña (ongoing)"),"—")))</f>
        <v>La Niña</v>
      </c>
      <c r="M869" s="2" t="inlineStr">
        <is>
          <t xml:space="preserve">2021/22</t>
        </is>
      </c>
    </row>
    <row r="870">
      <c r="A870" s="2" t="inlineStr">
        <is>
          <t xml:space="preserve">2022-05</t>
        </is>
      </c>
      <c r="B870" s="2">
        <v>2022</v>
      </c>
      <c r="C870" s="2">
        <v>5</v>
      </c>
      <c r="D870" s="2" t="inlineStr">
        <is>
          <t xml:space="preserve">AMJ</t>
        </is>
      </c>
      <c r="E870" t="inlineStr">
        <is>
          <t xml:space="preserve">Apr 2022 – Jun 2022</t>
        </is>
      </c>
      <c r="F870" s="3">
        <v>-0.83</v>
      </c>
      <c r="G870" s="4">
        <f>ROUND(F870,1)</f>
        <v>-0.8</v>
      </c>
      <c r="H870" s="2" t="str">
        <f>IF(G870&gt;=0.5,"warm",IF(G870&lt;=-0.5,"cold","neutral"))</f>
        <v>cold</v>
      </c>
      <c r="I870" s="2">
        <f>IF(H870=H869,I869+1,1)</f>
        <v>10</v>
      </c>
      <c r="J870" s="2">
        <f>IF(H870=H871,J871+1,1)</f>
        <v>9</v>
      </c>
      <c r="K870" s="2">
        <f>I870+J870-1</f>
        <v>18</v>
      </c>
      <c r="L870" s="5" t="str">
        <f>IF(H870="neutral","—",IF(K870&gt;=5,IF(H870="warm","El Niño","La Niña"),IF(ROW()+J870-1=920,IF(H870="warm","El Niño (ongoing)","La Niña (ongoing)"),"—")))</f>
        <v>La Niña</v>
      </c>
      <c r="M870" s="2" t="inlineStr">
        <is>
          <t xml:space="preserve">2021/22</t>
        </is>
      </c>
    </row>
    <row r="871">
      <c r="A871" s="2" t="inlineStr">
        <is>
          <t xml:space="preserve">2022-06</t>
        </is>
      </c>
      <c r="B871" s="2">
        <v>2022</v>
      </c>
      <c r="C871" s="2">
        <v>6</v>
      </c>
      <c r="D871" s="2" t="inlineStr">
        <is>
          <t xml:space="preserve">MJJ</t>
        </is>
      </c>
      <c r="E871" t="inlineStr">
        <is>
          <t xml:space="preserve">May 2022 – Jul 2022</t>
        </is>
      </c>
      <c r="F871" s="3">
        <v>-0.73</v>
      </c>
      <c r="G871" s="4">
        <f>ROUND(F871,1)</f>
        <v>-0.7</v>
      </c>
      <c r="H871" s="2" t="str">
        <f>IF(G871&gt;=0.5,"warm",IF(G871&lt;=-0.5,"cold","neutral"))</f>
        <v>cold</v>
      </c>
      <c r="I871" s="2">
        <f>IF(H871=H870,I870+1,1)</f>
        <v>11</v>
      </c>
      <c r="J871" s="2">
        <f>IF(H871=H872,J872+1,1)</f>
        <v>8</v>
      </c>
      <c r="K871" s="2">
        <f>I871+J871-1</f>
        <v>18</v>
      </c>
      <c r="L871" s="5" t="str">
        <f>IF(H871="neutral","—",IF(K871&gt;=5,IF(H871="warm","El Niño","La Niña"),IF(ROW()+J871-1=920,IF(H871="warm","El Niño (ongoing)","La Niña (ongoing)"),"—")))</f>
        <v>La Niña</v>
      </c>
      <c r="M871" s="2" t="inlineStr">
        <is>
          <t xml:space="preserve">2021/22</t>
        </is>
      </c>
    </row>
    <row r="872">
      <c r="A872" s="2" t="inlineStr">
        <is>
          <t xml:space="preserve">2022-07</t>
        </is>
      </c>
      <c r="B872" s="2">
        <v>2022</v>
      </c>
      <c r="C872" s="2">
        <v>7</v>
      </c>
      <c r="D872" s="2" t="inlineStr">
        <is>
          <t xml:space="preserve">JJA</t>
        </is>
      </c>
      <c r="E872" t="inlineStr">
        <is>
          <t xml:space="preserve">Jun 2022 – Aug 2022</t>
        </is>
      </c>
      <c r="F872" s="3">
        <v>-0.7</v>
      </c>
      <c r="G872" s="4">
        <f>ROUND(F872,1)</f>
        <v>-0.7</v>
      </c>
      <c r="H872" s="2" t="str">
        <f>IF(G872&gt;=0.5,"warm",IF(G872&lt;=-0.5,"cold","neutral"))</f>
        <v>cold</v>
      </c>
      <c r="I872" s="2">
        <f>IF(H872=H871,I871+1,1)</f>
        <v>12</v>
      </c>
      <c r="J872" s="2">
        <f>IF(H872=H873,J873+1,1)</f>
        <v>7</v>
      </c>
      <c r="K872" s="2">
        <f>I872+J872-1</f>
        <v>18</v>
      </c>
      <c r="L872" s="5" t="str">
        <f>IF(H872="neutral","—",IF(K872&gt;=5,IF(H872="warm","El Niño","La Niña"),IF(ROW()+J872-1=920,IF(H872="warm","El Niño (ongoing)","La Niña (ongoing)"),"—")))</f>
        <v>La Niña</v>
      </c>
      <c r="M872" s="2" t="inlineStr">
        <is>
          <t xml:space="preserve">2022/23</t>
        </is>
      </c>
    </row>
    <row r="873">
      <c r="A873" s="2" t="inlineStr">
        <is>
          <t xml:space="preserve">2022-08</t>
        </is>
      </c>
      <c r="B873" s="2">
        <v>2022</v>
      </c>
      <c r="C873" s="2">
        <v>8</v>
      </c>
      <c r="D873" s="2" t="inlineStr">
        <is>
          <t xml:space="preserve">JAS</t>
        </is>
      </c>
      <c r="E873" t="inlineStr">
        <is>
          <t xml:space="preserve">Jul 2022 – Sep 2022</t>
        </is>
      </c>
      <c r="F873" s="3">
        <v>-0.78</v>
      </c>
      <c r="G873" s="4">
        <f>ROUND(F873,1)</f>
        <v>-0.8</v>
      </c>
      <c r="H873" s="2" t="str">
        <f>IF(G873&gt;=0.5,"warm",IF(G873&lt;=-0.5,"cold","neutral"))</f>
        <v>cold</v>
      </c>
      <c r="I873" s="2">
        <f>IF(H873=H872,I872+1,1)</f>
        <v>13</v>
      </c>
      <c r="J873" s="2">
        <f>IF(H873=H874,J874+1,1)</f>
        <v>6</v>
      </c>
      <c r="K873" s="2">
        <f>I873+J873-1</f>
        <v>18</v>
      </c>
      <c r="L873" s="5" t="str">
        <f>IF(H873="neutral","—",IF(K873&gt;=5,IF(H873="warm","El Niño","La Niña"),IF(ROW()+J873-1=920,IF(H873="warm","El Niño (ongoing)","La Niña (ongoing)"),"—")))</f>
        <v>La Niña</v>
      </c>
      <c r="M873" s="2" t="inlineStr">
        <is>
          <t xml:space="preserve">2022/23</t>
        </is>
      </c>
    </row>
    <row r="874">
      <c r="A874" s="2" t="inlineStr">
        <is>
          <t xml:space="preserve">2022-09</t>
        </is>
      </c>
      <c r="B874" s="2">
        <v>2022</v>
      </c>
      <c r="C874" s="2">
        <v>9</v>
      </c>
      <c r="D874" s="2" t="inlineStr">
        <is>
          <t xml:space="preserve">ASO</t>
        </is>
      </c>
      <c r="E874" t="inlineStr">
        <is>
          <t xml:space="preserve">Aug 2022 – Oct 2022</t>
        </is>
      </c>
      <c r="F874" s="3">
        <v>-0.87</v>
      </c>
      <c r="G874" s="4">
        <f>ROUND(F874,1)</f>
        <v>-0.9</v>
      </c>
      <c r="H874" s="2" t="str">
        <f>IF(G874&gt;=0.5,"warm",IF(G874&lt;=-0.5,"cold","neutral"))</f>
        <v>cold</v>
      </c>
      <c r="I874" s="2">
        <f>IF(H874=H873,I873+1,1)</f>
        <v>14</v>
      </c>
      <c r="J874" s="2">
        <f>IF(H874=H875,J875+1,1)</f>
        <v>5</v>
      </c>
      <c r="K874" s="2">
        <f>I874+J874-1</f>
        <v>18</v>
      </c>
      <c r="L874" s="5" t="str">
        <f>IF(H874="neutral","—",IF(K874&gt;=5,IF(H874="warm","El Niño","La Niña"),IF(ROW()+J874-1=920,IF(H874="warm","El Niño (ongoing)","La Niña (ongoing)"),"—")))</f>
        <v>La Niña</v>
      </c>
      <c r="M874" s="2" t="inlineStr">
        <is>
          <t xml:space="preserve">2022/23</t>
        </is>
      </c>
    </row>
    <row r="875">
      <c r="A875" s="2" t="inlineStr">
        <is>
          <t xml:space="preserve">2022-10</t>
        </is>
      </c>
      <c r="B875" s="2">
        <v>2022</v>
      </c>
      <c r="C875" s="2">
        <v>10</v>
      </c>
      <c r="D875" s="2" t="inlineStr">
        <is>
          <t xml:space="preserve">SON</t>
        </is>
      </c>
      <c r="E875" t="inlineStr">
        <is>
          <t xml:space="preserve">Sep 2022 – Nov 2022</t>
        </is>
      </c>
      <c r="F875" s="3">
        <v>-0.89</v>
      </c>
      <c r="G875" s="4">
        <f>ROUND(F875,1)</f>
        <v>-0.9</v>
      </c>
      <c r="H875" s="2" t="str">
        <f>IF(G875&gt;=0.5,"warm",IF(G875&lt;=-0.5,"cold","neutral"))</f>
        <v>cold</v>
      </c>
      <c r="I875" s="2">
        <f>IF(H875=H874,I874+1,1)</f>
        <v>15</v>
      </c>
      <c r="J875" s="2">
        <f>IF(H875=H876,J876+1,1)</f>
        <v>4</v>
      </c>
      <c r="K875" s="2">
        <f>I875+J875-1</f>
        <v>18</v>
      </c>
      <c r="L875" s="5" t="str">
        <f>IF(H875="neutral","—",IF(K875&gt;=5,IF(H875="warm","El Niño","La Niña"),IF(ROW()+J875-1=920,IF(H875="warm","El Niño (ongoing)","La Niña (ongoing)"),"—")))</f>
        <v>La Niña</v>
      </c>
      <c r="M875" s="2" t="inlineStr">
        <is>
          <t xml:space="preserve">2022/23</t>
        </is>
      </c>
    </row>
    <row r="876">
      <c r="A876" s="2" t="inlineStr">
        <is>
          <t xml:space="preserve">2022-11</t>
        </is>
      </c>
      <c r="B876" s="2">
        <v>2022</v>
      </c>
      <c r="C876" s="2">
        <v>11</v>
      </c>
      <c r="D876" s="2" t="inlineStr">
        <is>
          <t xml:space="preserve">OND</t>
        </is>
      </c>
      <c r="E876" t="inlineStr">
        <is>
          <t xml:space="preserve">Oct 2022 – Dec 2022</t>
        </is>
      </c>
      <c r="F876" s="3">
        <v>-0.82</v>
      </c>
      <c r="G876" s="4">
        <f>ROUND(F876,1)</f>
        <v>-0.8</v>
      </c>
      <c r="H876" s="2" t="str">
        <f>IF(G876&gt;=0.5,"warm",IF(G876&lt;=-0.5,"cold","neutral"))</f>
        <v>cold</v>
      </c>
      <c r="I876" s="2">
        <f>IF(H876=H875,I875+1,1)</f>
        <v>16</v>
      </c>
      <c r="J876" s="2">
        <f>IF(H876=H877,J877+1,1)</f>
        <v>3</v>
      </c>
      <c r="K876" s="2">
        <f>I876+J876-1</f>
        <v>18</v>
      </c>
      <c r="L876" s="5" t="str">
        <f>IF(H876="neutral","—",IF(K876&gt;=5,IF(H876="warm","El Niño","La Niña"),IF(ROW()+J876-1=920,IF(H876="warm","El Niño (ongoing)","La Niña (ongoing)"),"—")))</f>
        <v>La Niña</v>
      </c>
      <c r="M876" s="2" t="inlineStr">
        <is>
          <t xml:space="preserve">2022/23</t>
        </is>
      </c>
    </row>
    <row r="877">
      <c r="A877" s="2" t="inlineStr">
        <is>
          <t xml:space="preserve">2022-12</t>
        </is>
      </c>
      <c r="B877" s="2">
        <v>2022</v>
      </c>
      <c r="C877" s="2">
        <v>12</v>
      </c>
      <c r="D877" s="2" t="inlineStr">
        <is>
          <t xml:space="preserve">NDJ</t>
        </is>
      </c>
      <c r="E877" t="inlineStr">
        <is>
          <t xml:space="preserve">Nov 2022 – Jan 2023</t>
        </is>
      </c>
      <c r="F877" s="3">
        <v>-0.7</v>
      </c>
      <c r="G877" s="4">
        <f>ROUND(F877,1)</f>
        <v>-0.7</v>
      </c>
      <c r="H877" s="2" t="str">
        <f>IF(G877&gt;=0.5,"warm",IF(G877&lt;=-0.5,"cold","neutral"))</f>
        <v>cold</v>
      </c>
      <c r="I877" s="2">
        <f>IF(H877=H876,I876+1,1)</f>
        <v>17</v>
      </c>
      <c r="J877" s="2">
        <f>IF(H877=H878,J878+1,1)</f>
        <v>2</v>
      </c>
      <c r="K877" s="2">
        <f>I877+J877-1</f>
        <v>18</v>
      </c>
      <c r="L877" s="5" t="str">
        <f>IF(H877="neutral","—",IF(K877&gt;=5,IF(H877="warm","El Niño","La Niña"),IF(ROW()+J877-1=920,IF(H877="warm","El Niño (ongoing)","La Niña (ongoing)"),"—")))</f>
        <v>La Niña</v>
      </c>
      <c r="M877" s="2" t="inlineStr">
        <is>
          <t xml:space="preserve">2022/23</t>
        </is>
      </c>
    </row>
    <row r="878">
      <c r="A878" s="2" t="inlineStr">
        <is>
          <t xml:space="preserve">2023-01</t>
        </is>
      </c>
      <c r="B878" s="2">
        <v>2023</v>
      </c>
      <c r="C878" s="2">
        <v>1</v>
      </c>
      <c r="D878" s="2" t="inlineStr">
        <is>
          <t xml:space="preserve">DJF</t>
        </is>
      </c>
      <c r="E878" t="inlineStr">
        <is>
          <t xml:space="preserve">Dec 2022 – Feb 2023</t>
        </is>
      </c>
      <c r="F878" s="3">
        <v>-0.55</v>
      </c>
      <c r="G878" s="4">
        <f>ROUND(F878,1)</f>
        <v>-0.6</v>
      </c>
      <c r="H878" s="2" t="str">
        <f>IF(G878&gt;=0.5,"warm",IF(G878&lt;=-0.5,"cold","neutral"))</f>
        <v>cold</v>
      </c>
      <c r="I878" s="2">
        <f>IF(H878=H877,I877+1,1)</f>
        <v>18</v>
      </c>
      <c r="J878" s="2">
        <f>IF(H878=H879,J879+1,1)</f>
        <v>1</v>
      </c>
      <c r="K878" s="2">
        <f>I878+J878-1</f>
        <v>18</v>
      </c>
      <c r="L878" s="5" t="str">
        <f>IF(H878="neutral","—",IF(K878&gt;=5,IF(H878="warm","El Niño","La Niña"),IF(ROW()+J878-1=920,IF(H878="warm","El Niño (ongoing)","La Niña (ongoing)"),"—")))</f>
        <v>La Niña</v>
      </c>
      <c r="M878" s="2" t="inlineStr">
        <is>
          <t xml:space="preserve">2022/23</t>
        </is>
      </c>
    </row>
    <row r="879">
      <c r="A879" s="2" t="inlineStr">
        <is>
          <t xml:space="preserve">2023-02</t>
        </is>
      </c>
      <c r="B879" s="2">
        <v>2023</v>
      </c>
      <c r="C879" s="2">
        <v>2</v>
      </c>
      <c r="D879" s="2" t="inlineStr">
        <is>
          <t xml:space="preserve">JFM</t>
        </is>
      </c>
      <c r="E879" t="inlineStr">
        <is>
          <t xml:space="preserve">Jan 2023 – Mar 2023</t>
        </is>
      </c>
      <c r="F879" s="3">
        <v>-0.33</v>
      </c>
      <c r="G879" s="4">
        <f>ROUND(F879,1)</f>
        <v>-0.3</v>
      </c>
      <c r="H879" s="2" t="str">
        <f>IF(G879&gt;=0.5,"warm",IF(G879&lt;=-0.5,"cold","neutral"))</f>
        <v>neutral</v>
      </c>
      <c r="I879" s="2">
        <f>IF(H879=H878,I878+1,1)</f>
        <v>1</v>
      </c>
      <c r="J879" s="2">
        <f>IF(H879=H880,J880+1,1)</f>
        <v>3</v>
      </c>
      <c r="K879" s="2">
        <f>I879+J879-1</f>
        <v>3</v>
      </c>
      <c r="L879" s="2" t="str">
        <f>IF(H879="neutral","—",IF(K879&gt;=5,IF(H879="warm","El Niño","La Niña"),IF(ROW()+J879-1=920,IF(H879="warm","El Niño (ongoing)","La Niña (ongoing)"),"—")))</f>
        <v>—</v>
      </c>
      <c r="M879" s="2" t="inlineStr">
        <is>
          <t xml:space="preserve">2022/23</t>
        </is>
      </c>
    </row>
    <row r="880">
      <c r="A880" s="2" t="inlineStr">
        <is>
          <t xml:space="preserve">2023-03</t>
        </is>
      </c>
      <c r="B880" s="2">
        <v>2023</v>
      </c>
      <c r="C880" s="2">
        <v>3</v>
      </c>
      <c r="D880" s="2" t="inlineStr">
        <is>
          <t xml:space="preserve">FMA</t>
        </is>
      </c>
      <c r="E880" t="inlineStr">
        <is>
          <t xml:space="preserve">Feb 2023 – Apr 2023</t>
        </is>
      </c>
      <c r="F880" s="3">
        <v>-0.11</v>
      </c>
      <c r="G880" s="4">
        <f>ROUND(F880,1)</f>
        <v>-0.1</v>
      </c>
      <c r="H880" s="2" t="str">
        <f>IF(G880&gt;=0.5,"warm",IF(G880&lt;=-0.5,"cold","neutral"))</f>
        <v>neutral</v>
      </c>
      <c r="I880" s="2">
        <f>IF(H880=H879,I879+1,1)</f>
        <v>2</v>
      </c>
      <c r="J880" s="2">
        <f>IF(H880=H881,J881+1,1)</f>
        <v>2</v>
      </c>
      <c r="K880" s="2">
        <f>I880+J880-1</f>
        <v>3</v>
      </c>
      <c r="L880" s="2" t="str">
        <f>IF(H880="neutral","—",IF(K880&gt;=5,IF(H880="warm","El Niño","La Niña"),IF(ROW()+J880-1=920,IF(H880="warm","El Niño (ongoing)","La Niña (ongoing)"),"—")))</f>
        <v>—</v>
      </c>
      <c r="M880" s="2" t="inlineStr">
        <is>
          <t xml:space="preserve">2022/23</t>
        </is>
      </c>
    </row>
    <row r="881">
      <c r="A881" s="2" t="inlineStr">
        <is>
          <t xml:space="preserve">2023-04</t>
        </is>
      </c>
      <c r="B881" s="2">
        <v>2023</v>
      </c>
      <c r="C881" s="2">
        <v>4</v>
      </c>
      <c r="D881" s="2" t="inlineStr">
        <is>
          <t xml:space="preserve">MAM</t>
        </is>
      </c>
      <c r="E881" t="inlineStr">
        <is>
          <t xml:space="preserve">Mar 2023 – May 2023</t>
        </is>
      </c>
      <c r="F881" s="3">
        <v>0.19</v>
      </c>
      <c r="G881" s="4">
        <f>ROUND(F881,1)</f>
        <v>0.2</v>
      </c>
      <c r="H881" s="2" t="str">
        <f>IF(G881&gt;=0.5,"warm",IF(G881&lt;=-0.5,"cold","neutral"))</f>
        <v>neutral</v>
      </c>
      <c r="I881" s="2">
        <f>IF(H881=H880,I880+1,1)</f>
        <v>3</v>
      </c>
      <c r="J881" s="2">
        <f>IF(H881=H882,J882+1,1)</f>
        <v>1</v>
      </c>
      <c r="K881" s="2">
        <f>I881+J881-1</f>
        <v>3</v>
      </c>
      <c r="L881" s="2" t="str">
        <f>IF(H881="neutral","—",IF(K881&gt;=5,IF(H881="warm","El Niño","La Niña"),IF(ROW()+J881-1=920,IF(H881="warm","El Niño (ongoing)","La Niña (ongoing)"),"—")))</f>
        <v>—</v>
      </c>
      <c r="M881" s="2" t="inlineStr">
        <is>
          <t xml:space="preserve">2022/23</t>
        </is>
      </c>
    </row>
    <row r="882">
      <c r="A882" s="2" t="inlineStr">
        <is>
          <t xml:space="preserve">2023-05</t>
        </is>
      </c>
      <c r="B882" s="2">
        <v>2023</v>
      </c>
      <c r="C882" s="2">
        <v>5</v>
      </c>
      <c r="D882" s="2" t="inlineStr">
        <is>
          <t xml:space="preserve">AMJ</t>
        </is>
      </c>
      <c r="E882" t="inlineStr">
        <is>
          <t xml:space="preserve">Apr 2023 – Jun 2023</t>
        </is>
      </c>
      <c r="F882" s="3">
        <v>0.46</v>
      </c>
      <c r="G882" s="4">
        <f>ROUND(F882,1)</f>
        <v>0.5</v>
      </c>
      <c r="H882" s="2" t="str">
        <f>IF(G882&gt;=0.5,"warm",IF(G882&lt;=-0.5,"cold","neutral"))</f>
        <v>warm</v>
      </c>
      <c r="I882" s="2">
        <f>IF(H882=H881,I881+1,1)</f>
        <v>1</v>
      </c>
      <c r="J882" s="2">
        <f>IF(H882=H883,J883+1,1)</f>
        <v>12</v>
      </c>
      <c r="K882" s="2">
        <f>I882+J882-1</f>
        <v>12</v>
      </c>
      <c r="L882" s="6" t="str">
        <f>IF(H882="neutral","—",IF(K882&gt;=5,IF(H882="warm","El Niño","La Niña"),IF(ROW()+J882-1=920,IF(H882="warm","El Niño (ongoing)","La Niña (ongoing)"),"—")))</f>
        <v>El Niño</v>
      </c>
      <c r="M882" s="2" t="inlineStr">
        <is>
          <t xml:space="preserve">2022/23</t>
        </is>
      </c>
    </row>
    <row r="883">
      <c r="A883" s="2" t="inlineStr">
        <is>
          <t xml:space="preserve">2023-06</t>
        </is>
      </c>
      <c r="B883" s="2">
        <v>2023</v>
      </c>
      <c r="C883" s="2">
        <v>6</v>
      </c>
      <c r="D883" s="2" t="inlineStr">
        <is>
          <t xml:space="preserve">MJJ</t>
        </is>
      </c>
      <c r="E883" t="inlineStr">
        <is>
          <t xml:space="preserve">May 2023 – Jul 2023</t>
        </is>
      </c>
      <c r="F883" s="3">
        <v>0.73</v>
      </c>
      <c r="G883" s="4">
        <f>ROUND(F883,1)</f>
        <v>0.7</v>
      </c>
      <c r="H883" s="2" t="str">
        <f>IF(G883&gt;=0.5,"warm",IF(G883&lt;=-0.5,"cold","neutral"))</f>
        <v>warm</v>
      </c>
      <c r="I883" s="2">
        <f>IF(H883=H882,I882+1,1)</f>
        <v>2</v>
      </c>
      <c r="J883" s="2">
        <f>IF(H883=H884,J884+1,1)</f>
        <v>11</v>
      </c>
      <c r="K883" s="2">
        <f>I883+J883-1</f>
        <v>12</v>
      </c>
      <c r="L883" s="6" t="str">
        <f>IF(H883="neutral","—",IF(K883&gt;=5,IF(H883="warm","El Niño","La Niña"),IF(ROW()+J883-1=920,IF(H883="warm","El Niño (ongoing)","La Niña (ongoing)"),"—")))</f>
        <v>El Niño</v>
      </c>
      <c r="M883" s="2" t="inlineStr">
        <is>
          <t xml:space="preserve">2022/23</t>
        </is>
      </c>
    </row>
    <row r="884">
      <c r="A884" s="2" t="inlineStr">
        <is>
          <t xml:space="preserve">2023-07</t>
        </is>
      </c>
      <c r="B884" s="2">
        <v>2023</v>
      </c>
      <c r="C884" s="2">
        <v>7</v>
      </c>
      <c r="D884" s="2" t="inlineStr">
        <is>
          <t xml:space="preserve">JJA</t>
        </is>
      </c>
      <c r="E884" t="inlineStr">
        <is>
          <t xml:space="preserve">Jun 2023 – Aug 2023</t>
        </is>
      </c>
      <c r="F884" s="3">
        <v>1.0</v>
      </c>
      <c r="G884" s="4">
        <f>ROUND(F884,1)</f>
        <v>1.0</v>
      </c>
      <c r="H884" s="2" t="str">
        <f>IF(G884&gt;=0.5,"warm",IF(G884&lt;=-0.5,"cold","neutral"))</f>
        <v>warm</v>
      </c>
      <c r="I884" s="2">
        <f>IF(H884=H883,I883+1,1)</f>
        <v>3</v>
      </c>
      <c r="J884" s="2">
        <f>IF(H884=H885,J885+1,1)</f>
        <v>10</v>
      </c>
      <c r="K884" s="2">
        <f>I884+J884-1</f>
        <v>12</v>
      </c>
      <c r="L884" s="6" t="str">
        <f>IF(H884="neutral","—",IF(K884&gt;=5,IF(H884="warm","El Niño","La Niña"),IF(ROW()+J884-1=920,IF(H884="warm","El Niño (ongoing)","La Niña (ongoing)"),"—")))</f>
        <v>El Niño</v>
      </c>
      <c r="M884" s="2" t="inlineStr">
        <is>
          <t xml:space="preserve">2023/24</t>
        </is>
      </c>
    </row>
    <row r="885">
      <c r="A885" s="2" t="inlineStr">
        <is>
          <t xml:space="preserve">2023-08</t>
        </is>
      </c>
      <c r="B885" s="2">
        <v>2023</v>
      </c>
      <c r="C885" s="2">
        <v>8</v>
      </c>
      <c r="D885" s="2" t="inlineStr">
        <is>
          <t xml:space="preserve">JAS</t>
        </is>
      </c>
      <c r="E885" t="inlineStr">
        <is>
          <t xml:space="preserve">Jul 2023 – Sep 2023</t>
        </is>
      </c>
      <c r="F885" s="3">
        <v>1.25</v>
      </c>
      <c r="G885" s="4">
        <f>ROUND(F885,1)</f>
        <v>1.3</v>
      </c>
      <c r="H885" s="2" t="str">
        <f>IF(G885&gt;=0.5,"warm",IF(G885&lt;=-0.5,"cold","neutral"))</f>
        <v>warm</v>
      </c>
      <c r="I885" s="2">
        <f>IF(H885=H884,I884+1,1)</f>
        <v>4</v>
      </c>
      <c r="J885" s="2">
        <f>IF(H885=H886,J886+1,1)</f>
        <v>9</v>
      </c>
      <c r="K885" s="2">
        <f>I885+J885-1</f>
        <v>12</v>
      </c>
      <c r="L885" s="6" t="str">
        <f>IF(H885="neutral","—",IF(K885&gt;=5,IF(H885="warm","El Niño","La Niña"),IF(ROW()+J885-1=920,IF(H885="warm","El Niño (ongoing)","La Niña (ongoing)"),"—")))</f>
        <v>El Niño</v>
      </c>
      <c r="M885" s="2" t="inlineStr">
        <is>
          <t xml:space="preserve">2023/24</t>
        </is>
      </c>
    </row>
    <row r="886">
      <c r="A886" s="2" t="inlineStr">
        <is>
          <t xml:space="preserve">2023-09</t>
        </is>
      </c>
      <c r="B886" s="2">
        <v>2023</v>
      </c>
      <c r="C886" s="2">
        <v>9</v>
      </c>
      <c r="D886" s="2" t="inlineStr">
        <is>
          <t xml:space="preserve">ASO</t>
        </is>
      </c>
      <c r="E886" t="inlineStr">
        <is>
          <t xml:space="preserve">Aug 2023 – Oct 2023</t>
        </is>
      </c>
      <c r="F886" s="3">
        <v>1.5</v>
      </c>
      <c r="G886" s="4">
        <f>ROUND(F886,1)</f>
        <v>1.5</v>
      </c>
      <c r="H886" s="2" t="str">
        <f>IF(G886&gt;=0.5,"warm",IF(G886&lt;=-0.5,"cold","neutral"))</f>
        <v>warm</v>
      </c>
      <c r="I886" s="2">
        <f>IF(H886=H885,I885+1,1)</f>
        <v>5</v>
      </c>
      <c r="J886" s="2">
        <f>IF(H886=H887,J887+1,1)</f>
        <v>8</v>
      </c>
      <c r="K886" s="2">
        <f>I886+J886-1</f>
        <v>12</v>
      </c>
      <c r="L886" s="6" t="str">
        <f>IF(H886="neutral","—",IF(K886&gt;=5,IF(H886="warm","El Niño","La Niña"),IF(ROW()+J886-1=920,IF(H886="warm","El Niño (ongoing)","La Niña (ongoing)"),"—")))</f>
        <v>El Niño</v>
      </c>
      <c r="M886" s="2" t="inlineStr">
        <is>
          <t xml:space="preserve">2023/24</t>
        </is>
      </c>
    </row>
    <row r="887">
      <c r="A887" s="2" t="inlineStr">
        <is>
          <t xml:space="preserve">2023-10</t>
        </is>
      </c>
      <c r="B887" s="2">
        <v>2023</v>
      </c>
      <c r="C887" s="2">
        <v>10</v>
      </c>
      <c r="D887" s="2" t="inlineStr">
        <is>
          <t xml:space="preserve">SON</t>
        </is>
      </c>
      <c r="E887" t="inlineStr">
        <is>
          <t xml:space="preserve">Sep 2023 – Nov 2023</t>
        </is>
      </c>
      <c r="F887" s="3">
        <v>1.74</v>
      </c>
      <c r="G887" s="4">
        <f>ROUND(F887,1)</f>
        <v>1.7</v>
      </c>
      <c r="H887" s="2" t="str">
        <f>IF(G887&gt;=0.5,"warm",IF(G887&lt;=-0.5,"cold","neutral"))</f>
        <v>warm</v>
      </c>
      <c r="I887" s="2">
        <f>IF(H887=H886,I886+1,1)</f>
        <v>6</v>
      </c>
      <c r="J887" s="2">
        <f>IF(H887=H888,J888+1,1)</f>
        <v>7</v>
      </c>
      <c r="K887" s="2">
        <f>I887+J887-1</f>
        <v>12</v>
      </c>
      <c r="L887" s="6" t="str">
        <f>IF(H887="neutral","—",IF(K887&gt;=5,IF(H887="warm","El Niño","La Niña"),IF(ROW()+J887-1=920,IF(H887="warm","El Niño (ongoing)","La Niña (ongoing)"),"—")))</f>
        <v>El Niño</v>
      </c>
      <c r="M887" s="2" t="inlineStr">
        <is>
          <t xml:space="preserve">2023/24</t>
        </is>
      </c>
    </row>
    <row r="888">
      <c r="A888" s="2" t="inlineStr">
        <is>
          <t xml:space="preserve">2023-11</t>
        </is>
      </c>
      <c r="B888" s="2">
        <v>2023</v>
      </c>
      <c r="C888" s="2">
        <v>11</v>
      </c>
      <c r="D888" s="2" t="inlineStr">
        <is>
          <t xml:space="preserve">OND</t>
        </is>
      </c>
      <c r="E888" t="inlineStr">
        <is>
          <t xml:space="preserve">Oct 2023 – Dec 2023</t>
        </is>
      </c>
      <c r="F888" s="3">
        <v>1.9</v>
      </c>
      <c r="G888" s="4">
        <f>ROUND(F888,1)</f>
        <v>1.9</v>
      </c>
      <c r="H888" s="2" t="str">
        <f>IF(G888&gt;=0.5,"warm",IF(G888&lt;=-0.5,"cold","neutral"))</f>
        <v>warm</v>
      </c>
      <c r="I888" s="2">
        <f>IF(H888=H887,I887+1,1)</f>
        <v>7</v>
      </c>
      <c r="J888" s="2">
        <f>IF(H888=H889,J889+1,1)</f>
        <v>6</v>
      </c>
      <c r="K888" s="2">
        <f>I888+J888-1</f>
        <v>12</v>
      </c>
      <c r="L888" s="6" t="str">
        <f>IF(H888="neutral","—",IF(K888&gt;=5,IF(H888="warm","El Niño","La Niña"),IF(ROW()+J888-1=920,IF(H888="warm","El Niño (ongoing)","La Niña (ongoing)"),"—")))</f>
        <v>El Niño</v>
      </c>
      <c r="M888" s="2" t="inlineStr">
        <is>
          <t xml:space="preserve">2023/24</t>
        </is>
      </c>
    </row>
    <row r="889">
      <c r="A889" s="2" t="inlineStr">
        <is>
          <t xml:space="preserve">2023-12</t>
        </is>
      </c>
      <c r="B889" s="2">
        <v>2023</v>
      </c>
      <c r="C889" s="2">
        <v>12</v>
      </c>
      <c r="D889" s="2" t="inlineStr">
        <is>
          <t xml:space="preserve">NDJ</t>
        </is>
      </c>
      <c r="E889" t="inlineStr">
        <is>
          <t xml:space="preserve">Nov 2023 – Jan 2024</t>
        </is>
      </c>
      <c r="F889" s="3">
        <v>1.99</v>
      </c>
      <c r="G889" s="4">
        <f>ROUND(F889,1)</f>
        <v>2.0</v>
      </c>
      <c r="H889" s="2" t="str">
        <f>IF(G889&gt;=0.5,"warm",IF(G889&lt;=-0.5,"cold","neutral"))</f>
        <v>warm</v>
      </c>
      <c r="I889" s="2">
        <f>IF(H889=H888,I888+1,1)</f>
        <v>8</v>
      </c>
      <c r="J889" s="2">
        <f>IF(H889=H890,J890+1,1)</f>
        <v>5</v>
      </c>
      <c r="K889" s="2">
        <f>I889+J889-1</f>
        <v>12</v>
      </c>
      <c r="L889" s="6" t="str">
        <f>IF(H889="neutral","—",IF(K889&gt;=5,IF(H889="warm","El Niño","La Niña"),IF(ROW()+J889-1=920,IF(H889="warm","El Niño (ongoing)","La Niña (ongoing)"),"—")))</f>
        <v>El Niño</v>
      </c>
      <c r="M889" s="2" t="inlineStr">
        <is>
          <t xml:space="preserve">2023/24</t>
        </is>
      </c>
    </row>
    <row r="890">
      <c r="A890" s="2" t="inlineStr">
        <is>
          <t xml:space="preserve">2024-01</t>
        </is>
      </c>
      <c r="B890" s="2">
        <v>2024</v>
      </c>
      <c r="C890" s="2">
        <v>1</v>
      </c>
      <c r="D890" s="2" t="inlineStr">
        <is>
          <t xml:space="preserve">DJF</t>
        </is>
      </c>
      <c r="E890" t="inlineStr">
        <is>
          <t xml:space="preserve">Dec 2023 – Feb 2024</t>
        </is>
      </c>
      <c r="F890" s="3">
        <v>1.84</v>
      </c>
      <c r="G890" s="4">
        <f>ROUND(F890,1)</f>
        <v>1.8</v>
      </c>
      <c r="H890" s="2" t="str">
        <f>IF(G890&gt;=0.5,"warm",IF(G890&lt;=-0.5,"cold","neutral"))</f>
        <v>warm</v>
      </c>
      <c r="I890" s="2">
        <f>IF(H890=H889,I889+1,1)</f>
        <v>9</v>
      </c>
      <c r="J890" s="2">
        <f>IF(H890=H891,J891+1,1)</f>
        <v>4</v>
      </c>
      <c r="K890" s="2">
        <f>I890+J890-1</f>
        <v>12</v>
      </c>
      <c r="L890" s="6" t="str">
        <f>IF(H890="neutral","—",IF(K890&gt;=5,IF(H890="warm","El Niño","La Niña"),IF(ROW()+J890-1=920,IF(H890="warm","El Niño (ongoing)","La Niña (ongoing)"),"—")))</f>
        <v>El Niño</v>
      </c>
      <c r="M890" s="2" t="inlineStr">
        <is>
          <t xml:space="preserve">2023/24</t>
        </is>
      </c>
    </row>
    <row r="891">
      <c r="A891" s="2" t="inlineStr">
        <is>
          <t xml:space="preserve">2024-02</t>
        </is>
      </c>
      <c r="B891" s="2">
        <v>2024</v>
      </c>
      <c r="C891" s="2">
        <v>2</v>
      </c>
      <c r="D891" s="2" t="inlineStr">
        <is>
          <t xml:space="preserve">JFM</t>
        </is>
      </c>
      <c r="E891" t="inlineStr">
        <is>
          <t xml:space="preserve">Jan 2024 – Mar 2024</t>
        </is>
      </c>
      <c r="F891" s="3">
        <v>1.53</v>
      </c>
      <c r="G891" s="4">
        <f>ROUND(F891,1)</f>
        <v>1.5</v>
      </c>
      <c r="H891" s="2" t="str">
        <f>IF(G891&gt;=0.5,"warm",IF(G891&lt;=-0.5,"cold","neutral"))</f>
        <v>warm</v>
      </c>
      <c r="I891" s="2">
        <f>IF(H891=H890,I890+1,1)</f>
        <v>10</v>
      </c>
      <c r="J891" s="2">
        <f>IF(H891=H892,J892+1,1)</f>
        <v>3</v>
      </c>
      <c r="K891" s="2">
        <f>I891+J891-1</f>
        <v>12</v>
      </c>
      <c r="L891" s="6" t="str">
        <f>IF(H891="neutral","—",IF(K891&gt;=5,IF(H891="warm","El Niño","La Niña"),IF(ROW()+J891-1=920,IF(H891="warm","El Niño (ongoing)","La Niña (ongoing)"),"—")))</f>
        <v>El Niño</v>
      </c>
      <c r="M891" s="2" t="inlineStr">
        <is>
          <t xml:space="preserve">2023/24</t>
        </is>
      </c>
    </row>
    <row r="892">
      <c r="A892" s="2" t="inlineStr">
        <is>
          <t xml:space="preserve">2024-03</t>
        </is>
      </c>
      <c r="B892" s="2">
        <v>2024</v>
      </c>
      <c r="C892" s="2">
        <v>3</v>
      </c>
      <c r="D892" s="2" t="inlineStr">
        <is>
          <t xml:space="preserve">FMA</t>
        </is>
      </c>
      <c r="E892" t="inlineStr">
        <is>
          <t xml:space="preserve">Feb 2024 – Apr 2024</t>
        </is>
      </c>
      <c r="F892" s="3">
        <v>1.18</v>
      </c>
      <c r="G892" s="4">
        <f>ROUND(F892,1)</f>
        <v>1.2</v>
      </c>
      <c r="H892" s="2" t="str">
        <f>IF(G892&gt;=0.5,"warm",IF(G892&lt;=-0.5,"cold","neutral"))</f>
        <v>warm</v>
      </c>
      <c r="I892" s="2">
        <f>IF(H892=H891,I891+1,1)</f>
        <v>11</v>
      </c>
      <c r="J892" s="2">
        <f>IF(H892=H893,J893+1,1)</f>
        <v>2</v>
      </c>
      <c r="K892" s="2">
        <f>I892+J892-1</f>
        <v>12</v>
      </c>
      <c r="L892" s="6" t="str">
        <f>IF(H892="neutral","—",IF(K892&gt;=5,IF(H892="warm","El Niño","La Niña"),IF(ROW()+J892-1=920,IF(H892="warm","El Niño (ongoing)","La Niña (ongoing)"),"—")))</f>
        <v>El Niño</v>
      </c>
      <c r="M892" s="2" t="inlineStr">
        <is>
          <t xml:space="preserve">2023/24</t>
        </is>
      </c>
    </row>
    <row r="893">
      <c r="A893" s="2" t="inlineStr">
        <is>
          <t xml:space="preserve">2024-04</t>
        </is>
      </c>
      <c r="B893" s="2">
        <v>2024</v>
      </c>
      <c r="C893" s="2">
        <v>4</v>
      </c>
      <c r="D893" s="2" t="inlineStr">
        <is>
          <t xml:space="preserve">MAM</t>
        </is>
      </c>
      <c r="E893" t="inlineStr">
        <is>
          <t xml:space="preserve">Mar 2024 – May 2024</t>
        </is>
      </c>
      <c r="F893" s="3">
        <v>0.77</v>
      </c>
      <c r="G893" s="4">
        <f>ROUND(F893,1)</f>
        <v>0.8</v>
      </c>
      <c r="H893" s="2" t="str">
        <f>IF(G893&gt;=0.5,"warm",IF(G893&lt;=-0.5,"cold","neutral"))</f>
        <v>warm</v>
      </c>
      <c r="I893" s="2">
        <f>IF(H893=H892,I892+1,1)</f>
        <v>12</v>
      </c>
      <c r="J893" s="2">
        <f>IF(H893=H894,J894+1,1)</f>
        <v>1</v>
      </c>
      <c r="K893" s="2">
        <f>I893+J893-1</f>
        <v>12</v>
      </c>
      <c r="L893" s="6" t="str">
        <f>IF(H893="neutral","—",IF(K893&gt;=5,IF(H893="warm","El Niño","La Niña"),IF(ROW()+J893-1=920,IF(H893="warm","El Niño (ongoing)","La Niña (ongoing)"),"—")))</f>
        <v>El Niño</v>
      </c>
      <c r="M893" s="2" t="inlineStr">
        <is>
          <t xml:space="preserve">2023/24</t>
        </is>
      </c>
    </row>
    <row r="894">
      <c r="A894" s="2" t="inlineStr">
        <is>
          <t xml:space="preserve">2024-05</t>
        </is>
      </c>
      <c r="B894" s="2">
        <v>2024</v>
      </c>
      <c r="C894" s="2">
        <v>5</v>
      </c>
      <c r="D894" s="2" t="inlineStr">
        <is>
          <t xml:space="preserve">AMJ</t>
        </is>
      </c>
      <c r="E894" t="inlineStr">
        <is>
          <t xml:space="preserve">Apr 2024 – Jun 2024</t>
        </is>
      </c>
      <c r="F894" s="3">
        <v>0.43</v>
      </c>
      <c r="G894" s="4">
        <f>ROUND(F894,1)</f>
        <v>0.4</v>
      </c>
      <c r="H894" s="2" t="str">
        <f>IF(G894&gt;=0.5,"warm",IF(G894&lt;=-0.5,"cold","neutral"))</f>
        <v>neutral</v>
      </c>
      <c r="I894" s="2">
        <f>IF(H894=H893,I893+1,1)</f>
        <v>1</v>
      </c>
      <c r="J894" s="2">
        <f>IF(H894=H895,J895+1,1)</f>
        <v>8</v>
      </c>
      <c r="K894" s="2">
        <f>I894+J894-1</f>
        <v>8</v>
      </c>
      <c r="L894" s="2" t="str">
        <f>IF(H894="neutral","—",IF(K894&gt;=5,IF(H894="warm","El Niño","La Niña"),IF(ROW()+J894-1=920,IF(H894="warm","El Niño (ongoing)","La Niña (ongoing)"),"—")))</f>
        <v>—</v>
      </c>
      <c r="M894" s="2" t="inlineStr">
        <is>
          <t xml:space="preserve">2023/24</t>
        </is>
      </c>
    </row>
    <row r="895">
      <c r="A895" s="2" t="inlineStr">
        <is>
          <t xml:space="preserve">2024-06</t>
        </is>
      </c>
      <c r="B895" s="2">
        <v>2024</v>
      </c>
      <c r="C895" s="2">
        <v>6</v>
      </c>
      <c r="D895" s="2" t="inlineStr">
        <is>
          <t xml:space="preserve">MJJ</t>
        </is>
      </c>
      <c r="E895" t="inlineStr">
        <is>
          <t xml:space="preserve">May 2024 – Jul 2024</t>
        </is>
      </c>
      <c r="F895" s="3">
        <v>0.18</v>
      </c>
      <c r="G895" s="4">
        <f>ROUND(F895,1)</f>
        <v>0.2</v>
      </c>
      <c r="H895" s="2" t="str">
        <f>IF(G895&gt;=0.5,"warm",IF(G895&lt;=-0.5,"cold","neutral"))</f>
        <v>neutral</v>
      </c>
      <c r="I895" s="2">
        <f>IF(H895=H894,I894+1,1)</f>
        <v>2</v>
      </c>
      <c r="J895" s="2">
        <f>IF(H895=H896,J896+1,1)</f>
        <v>7</v>
      </c>
      <c r="K895" s="2">
        <f>I895+J895-1</f>
        <v>8</v>
      </c>
      <c r="L895" s="2" t="str">
        <f>IF(H895="neutral","—",IF(K895&gt;=5,IF(H895="warm","El Niño","La Niña"),IF(ROW()+J895-1=920,IF(H895="warm","El Niño (ongoing)","La Niña (ongoing)"),"—")))</f>
        <v>—</v>
      </c>
      <c r="M895" s="2" t="inlineStr">
        <is>
          <t xml:space="preserve">2023/24</t>
        </is>
      </c>
    </row>
    <row r="896">
      <c r="A896" s="2" t="inlineStr">
        <is>
          <t xml:space="preserve">2024-07</t>
        </is>
      </c>
      <c r="B896" s="2">
        <v>2024</v>
      </c>
      <c r="C896" s="2">
        <v>7</v>
      </c>
      <c r="D896" s="2" t="inlineStr">
        <is>
          <t xml:space="preserve">JJA</t>
        </is>
      </c>
      <c r="E896" t="inlineStr">
        <is>
          <t xml:space="preserve">Jun 2024 – Aug 2024</t>
        </is>
      </c>
      <c r="F896" s="3">
        <v>0.06</v>
      </c>
      <c r="G896" s="4">
        <f>ROUND(F896,1)</f>
        <v>0.1</v>
      </c>
      <c r="H896" s="2" t="str">
        <f>IF(G896&gt;=0.5,"warm",IF(G896&lt;=-0.5,"cold","neutral"))</f>
        <v>neutral</v>
      </c>
      <c r="I896" s="2">
        <f>IF(H896=H895,I895+1,1)</f>
        <v>3</v>
      </c>
      <c r="J896" s="2">
        <f>IF(H896=H897,J897+1,1)</f>
        <v>6</v>
      </c>
      <c r="K896" s="2">
        <f>I896+J896-1</f>
        <v>8</v>
      </c>
      <c r="L896" s="2" t="str">
        <f>IF(H896="neutral","—",IF(K896&gt;=5,IF(H896="warm","El Niño","La Niña"),IF(ROW()+J896-1=920,IF(H896="warm","El Niño (ongoing)","La Niña (ongoing)"),"—")))</f>
        <v>—</v>
      </c>
      <c r="M896" s="2" t="inlineStr">
        <is>
          <t xml:space="preserve">2024/25</t>
        </is>
      </c>
    </row>
    <row r="897">
      <c r="A897" s="2" t="inlineStr">
        <is>
          <t xml:space="preserve">2024-08</t>
        </is>
      </c>
      <c r="B897" s="2">
        <v>2024</v>
      </c>
      <c r="C897" s="2">
        <v>8</v>
      </c>
      <c r="D897" s="2" t="inlineStr">
        <is>
          <t xml:space="preserve">JAS</t>
        </is>
      </c>
      <c r="E897" t="inlineStr">
        <is>
          <t xml:space="preserve">Jul 2024 – Sep 2024</t>
        </is>
      </c>
      <c r="F897" s="3">
        <v>-0.04</v>
      </c>
      <c r="G897" s="4">
        <f>ROUND(F897,1)</f>
        <v>-0.0</v>
      </c>
      <c r="H897" s="2" t="str">
        <f>IF(G897&gt;=0.5,"warm",IF(G897&lt;=-0.5,"cold","neutral"))</f>
        <v>neutral</v>
      </c>
      <c r="I897" s="2">
        <f>IF(H897=H896,I896+1,1)</f>
        <v>4</v>
      </c>
      <c r="J897" s="2">
        <f>IF(H897=H898,J898+1,1)</f>
        <v>5</v>
      </c>
      <c r="K897" s="2">
        <f>I897+J897-1</f>
        <v>8</v>
      </c>
      <c r="L897" s="2" t="str">
        <f>IF(H897="neutral","—",IF(K897&gt;=5,IF(H897="warm","El Niño","La Niña"),IF(ROW()+J897-1=920,IF(H897="warm","El Niño (ongoing)","La Niña (ongoing)"),"—")))</f>
        <v>—</v>
      </c>
      <c r="M897" s="2" t="inlineStr">
        <is>
          <t xml:space="preserve">2024/25</t>
        </is>
      </c>
    </row>
    <row r="898">
      <c r="A898" s="2" t="inlineStr">
        <is>
          <t xml:space="preserve">2024-09</t>
        </is>
      </c>
      <c r="B898" s="2">
        <v>2024</v>
      </c>
      <c r="C898" s="2">
        <v>9</v>
      </c>
      <c r="D898" s="2" t="inlineStr">
        <is>
          <t xml:space="preserve">ASO</t>
        </is>
      </c>
      <c r="E898" t="inlineStr">
        <is>
          <t xml:space="preserve">Aug 2024 – Oct 2024</t>
        </is>
      </c>
      <c r="F898" s="3">
        <v>-0.12</v>
      </c>
      <c r="G898" s="4">
        <f>ROUND(F898,1)</f>
        <v>-0.1</v>
      </c>
      <c r="H898" s="2" t="str">
        <f>IF(G898&gt;=0.5,"warm",IF(G898&lt;=-0.5,"cold","neutral"))</f>
        <v>neutral</v>
      </c>
      <c r="I898" s="2">
        <f>IF(H898=H897,I897+1,1)</f>
        <v>5</v>
      </c>
      <c r="J898" s="2">
        <f>IF(H898=H899,J899+1,1)</f>
        <v>4</v>
      </c>
      <c r="K898" s="2">
        <f>I898+J898-1</f>
        <v>8</v>
      </c>
      <c r="L898" s="2" t="str">
        <f>IF(H898="neutral","—",IF(K898&gt;=5,IF(H898="warm","El Niño","La Niña"),IF(ROW()+J898-1=920,IF(H898="warm","El Niño (ongoing)","La Niña (ongoing)"),"—")))</f>
        <v>—</v>
      </c>
      <c r="M898" s="2" t="inlineStr">
        <is>
          <t xml:space="preserve">2024/25</t>
        </is>
      </c>
    </row>
    <row r="899">
      <c r="A899" s="2" t="inlineStr">
        <is>
          <t xml:space="preserve">2024-10</t>
        </is>
      </c>
      <c r="B899" s="2">
        <v>2024</v>
      </c>
      <c r="C899" s="2">
        <v>10</v>
      </c>
      <c r="D899" s="2" t="inlineStr">
        <is>
          <t xml:space="preserve">SON</t>
        </is>
      </c>
      <c r="E899" t="inlineStr">
        <is>
          <t xml:space="preserve">Sep 2024 – Nov 2024</t>
        </is>
      </c>
      <c r="F899" s="3">
        <v>-0.19</v>
      </c>
      <c r="G899" s="4">
        <f>ROUND(F899,1)</f>
        <v>-0.2</v>
      </c>
      <c r="H899" s="2" t="str">
        <f>IF(G899&gt;=0.5,"warm",IF(G899&lt;=-0.5,"cold","neutral"))</f>
        <v>neutral</v>
      </c>
      <c r="I899" s="2">
        <f>IF(H899=H898,I898+1,1)</f>
        <v>6</v>
      </c>
      <c r="J899" s="2">
        <f>IF(H899=H900,J900+1,1)</f>
        <v>3</v>
      </c>
      <c r="K899" s="2">
        <f>I899+J899-1</f>
        <v>8</v>
      </c>
      <c r="L899" s="2" t="str">
        <f>IF(H899="neutral","—",IF(K899&gt;=5,IF(H899="warm","El Niño","La Niña"),IF(ROW()+J899-1=920,IF(H899="warm","El Niño (ongoing)","La Niña (ongoing)"),"—")))</f>
        <v>—</v>
      </c>
      <c r="M899" s="2" t="inlineStr">
        <is>
          <t xml:space="preserve">2024/25</t>
        </is>
      </c>
    </row>
    <row r="900">
      <c r="A900" s="2" t="inlineStr">
        <is>
          <t xml:space="preserve">2024-11</t>
        </is>
      </c>
      <c r="B900" s="2">
        <v>2024</v>
      </c>
      <c r="C900" s="2">
        <v>11</v>
      </c>
      <c r="D900" s="2" t="inlineStr">
        <is>
          <t xml:space="preserve">OND</t>
        </is>
      </c>
      <c r="E900" t="inlineStr">
        <is>
          <t xml:space="preserve">Oct 2024 – Dec 2024</t>
        </is>
      </c>
      <c r="F900" s="3">
        <v>-0.29</v>
      </c>
      <c r="G900" s="4">
        <f>ROUND(F900,1)</f>
        <v>-0.3</v>
      </c>
      <c r="H900" s="2" t="str">
        <f>IF(G900&gt;=0.5,"warm",IF(G900&lt;=-0.5,"cold","neutral"))</f>
        <v>neutral</v>
      </c>
      <c r="I900" s="2">
        <f>IF(H900=H899,I899+1,1)</f>
        <v>7</v>
      </c>
      <c r="J900" s="2">
        <f>IF(H900=H901,J901+1,1)</f>
        <v>2</v>
      </c>
      <c r="K900" s="2">
        <f>I900+J900-1</f>
        <v>8</v>
      </c>
      <c r="L900" s="2" t="str">
        <f>IF(H900="neutral","—",IF(K900&gt;=5,IF(H900="warm","El Niño","La Niña"),IF(ROW()+J900-1=920,IF(H900="warm","El Niño (ongoing)","La Niña (ongoing)"),"—")))</f>
        <v>—</v>
      </c>
      <c r="M900" s="2" t="inlineStr">
        <is>
          <t xml:space="preserve">2024/25</t>
        </is>
      </c>
    </row>
    <row r="901">
      <c r="A901" s="2" t="inlineStr">
        <is>
          <t xml:space="preserve">2024-12</t>
        </is>
      </c>
      <c r="B901" s="2">
        <v>2024</v>
      </c>
      <c r="C901" s="2">
        <v>12</v>
      </c>
      <c r="D901" s="2" t="inlineStr">
        <is>
          <t xml:space="preserve">NDJ</t>
        </is>
      </c>
      <c r="E901" t="inlineStr">
        <is>
          <t xml:space="preserve">Nov 2024 – Jan 2025</t>
        </is>
      </c>
      <c r="F901" s="3">
        <v>-0.43</v>
      </c>
      <c r="G901" s="4">
        <f>ROUND(F901,1)</f>
        <v>-0.4</v>
      </c>
      <c r="H901" s="2" t="str">
        <f>IF(G901&gt;=0.5,"warm",IF(G901&lt;=-0.5,"cold","neutral"))</f>
        <v>neutral</v>
      </c>
      <c r="I901" s="2">
        <f>IF(H901=H900,I900+1,1)</f>
        <v>8</v>
      </c>
      <c r="J901" s="2">
        <f>IF(H901=H902,J902+1,1)</f>
        <v>1</v>
      </c>
      <c r="K901" s="2">
        <f>I901+J901-1</f>
        <v>8</v>
      </c>
      <c r="L901" s="2" t="str">
        <f>IF(H901="neutral","—",IF(K901&gt;=5,IF(H901="warm","El Niño","La Niña"),IF(ROW()+J901-1=920,IF(H901="warm","El Niño (ongoing)","La Niña (ongoing)"),"—")))</f>
        <v>—</v>
      </c>
      <c r="M901" s="2" t="inlineStr">
        <is>
          <t xml:space="preserve">2024/25</t>
        </is>
      </c>
    </row>
    <row r="902">
      <c r="A902" s="2" t="inlineStr">
        <is>
          <t xml:space="preserve">2025-01</t>
        </is>
      </c>
      <c r="B902" s="2">
        <v>2025</v>
      </c>
      <c r="C902" s="2">
        <v>1</v>
      </c>
      <c r="D902" s="2" t="inlineStr">
        <is>
          <t xml:space="preserve">DJF</t>
        </is>
      </c>
      <c r="E902" t="inlineStr">
        <is>
          <t xml:space="preserve">Dec 2024 – Feb 2025</t>
        </is>
      </c>
      <c r="F902" s="3">
        <v>-0.46</v>
      </c>
      <c r="G902" s="4">
        <f>ROUND(F902,1)</f>
        <v>-0.5</v>
      </c>
      <c r="H902" s="2" t="str">
        <f>IF(G902&gt;=0.5,"warm",IF(G902&lt;=-0.5,"cold","neutral"))</f>
        <v>cold</v>
      </c>
      <c r="I902" s="2">
        <f>IF(H902=H901,I901+1,1)</f>
        <v>1</v>
      </c>
      <c r="J902" s="2">
        <f>IF(H902=H903,J903+1,1)</f>
        <v>1</v>
      </c>
      <c r="K902" s="2">
        <f>I902+J902-1</f>
        <v>1</v>
      </c>
      <c r="L902" s="2" t="str">
        <f>IF(H902="neutral","—",IF(K902&gt;=5,IF(H902="warm","El Niño","La Niña"),IF(ROW()+J902-1=920,IF(H902="warm","El Niño (ongoing)","La Niña (ongoing)"),"—")))</f>
        <v>—</v>
      </c>
      <c r="M902" s="2" t="inlineStr">
        <is>
          <t xml:space="preserve">2024/25</t>
        </is>
      </c>
    </row>
    <row r="903">
      <c r="A903" s="2" t="inlineStr">
        <is>
          <t xml:space="preserve">2025-02</t>
        </is>
      </c>
      <c r="B903" s="2">
        <v>2025</v>
      </c>
      <c r="C903" s="2">
        <v>2</v>
      </c>
      <c r="D903" s="2" t="inlineStr">
        <is>
          <t xml:space="preserve">JFM</t>
        </is>
      </c>
      <c r="E903" t="inlineStr">
        <is>
          <t xml:space="preserve">Jan 2025 – Mar 2025</t>
        </is>
      </c>
      <c r="F903" s="3">
        <v>-0.22</v>
      </c>
      <c r="G903" s="4">
        <f>ROUND(F903,1)</f>
        <v>-0.2</v>
      </c>
      <c r="H903" s="2" t="str">
        <f>IF(G903&gt;=0.5,"warm",IF(G903&lt;=-0.5,"cold","neutral"))</f>
        <v>neutral</v>
      </c>
      <c r="I903" s="2">
        <f>IF(H903=H902,I902+1,1)</f>
        <v>1</v>
      </c>
      <c r="J903" s="2">
        <f>IF(H903=H904,J904+1,1)</f>
        <v>8</v>
      </c>
      <c r="K903" s="2">
        <f>I903+J903-1</f>
        <v>8</v>
      </c>
      <c r="L903" s="2" t="str">
        <f>IF(H903="neutral","—",IF(K903&gt;=5,IF(H903="warm","El Niño","La Niña"),IF(ROW()+J903-1=920,IF(H903="warm","El Niño (ongoing)","La Niña (ongoing)"),"—")))</f>
        <v>—</v>
      </c>
      <c r="M903" s="2" t="inlineStr">
        <is>
          <t xml:space="preserve">2024/25</t>
        </is>
      </c>
    </row>
    <row r="904">
      <c r="A904" s="2" t="inlineStr">
        <is>
          <t xml:space="preserve">2025-03</t>
        </is>
      </c>
      <c r="B904" s="2">
        <v>2025</v>
      </c>
      <c r="C904" s="2">
        <v>3</v>
      </c>
      <c r="D904" s="2" t="inlineStr">
        <is>
          <t xml:space="preserve">FMA</t>
        </is>
      </c>
      <c r="E904" t="inlineStr">
        <is>
          <t xml:space="preserve">Feb 2025 – Apr 2025</t>
        </is>
      </c>
      <c r="F904" s="3">
        <v>-0.08</v>
      </c>
      <c r="G904" s="4">
        <f>ROUND(F904,1)</f>
        <v>-0.1</v>
      </c>
      <c r="H904" s="2" t="str">
        <f>IF(G904&gt;=0.5,"warm",IF(G904&lt;=-0.5,"cold","neutral"))</f>
        <v>neutral</v>
      </c>
      <c r="I904" s="2">
        <f>IF(H904=H903,I903+1,1)</f>
        <v>2</v>
      </c>
      <c r="J904" s="2">
        <f>IF(H904=H905,J905+1,1)</f>
        <v>7</v>
      </c>
      <c r="K904" s="2">
        <f>I904+J904-1</f>
        <v>8</v>
      </c>
      <c r="L904" s="2" t="str">
        <f>IF(H904="neutral","—",IF(K904&gt;=5,IF(H904="warm","El Niño","La Niña"),IF(ROW()+J904-1=920,IF(H904="warm","El Niño (ongoing)","La Niña (ongoing)"),"—")))</f>
        <v>—</v>
      </c>
      <c r="M904" s="2" t="inlineStr">
        <is>
          <t xml:space="preserve">2024/25</t>
        </is>
      </c>
    </row>
    <row r="905">
      <c r="A905" s="2" t="inlineStr">
        <is>
          <t xml:space="preserve">2025-04</t>
        </is>
      </c>
      <c r="B905" s="2">
        <v>2025</v>
      </c>
      <c r="C905" s="2">
        <v>4</v>
      </c>
      <c r="D905" s="2" t="inlineStr">
        <is>
          <t xml:space="preserve">MAM</t>
        </is>
      </c>
      <c r="E905" t="inlineStr">
        <is>
          <t xml:space="preserve">Mar 2025 – May 2025</t>
        </is>
      </c>
      <c r="F905" s="3">
        <v>0.02</v>
      </c>
      <c r="G905" s="4">
        <f>ROUND(F905,1)</f>
        <v>0.0</v>
      </c>
      <c r="H905" s="2" t="str">
        <f>IF(G905&gt;=0.5,"warm",IF(G905&lt;=-0.5,"cold","neutral"))</f>
        <v>neutral</v>
      </c>
      <c r="I905" s="2">
        <f>IF(H905=H904,I904+1,1)</f>
        <v>3</v>
      </c>
      <c r="J905" s="2">
        <f>IF(H905=H906,J906+1,1)</f>
        <v>6</v>
      </c>
      <c r="K905" s="2">
        <f>I905+J905-1</f>
        <v>8</v>
      </c>
      <c r="L905" s="2" t="str">
        <f>IF(H905="neutral","—",IF(K905&gt;=5,IF(H905="warm","El Niño","La Niña"),IF(ROW()+J905-1=920,IF(H905="warm","El Niño (ongoing)","La Niña (ongoing)"),"—")))</f>
        <v>—</v>
      </c>
      <c r="M905" s="2" t="inlineStr">
        <is>
          <t xml:space="preserve">2024/25</t>
        </is>
      </c>
    </row>
    <row r="906">
      <c r="A906" s="2" t="inlineStr">
        <is>
          <t xml:space="preserve">2025-05</t>
        </is>
      </c>
      <c r="B906" s="2">
        <v>2025</v>
      </c>
      <c r="C906" s="2">
        <v>5</v>
      </c>
      <c r="D906" s="2" t="inlineStr">
        <is>
          <t xml:space="preserve">AMJ</t>
        </is>
      </c>
      <c r="E906" t="inlineStr">
        <is>
          <t xml:space="preserve">Apr 2025 – Jun 2025</t>
        </is>
      </c>
      <c r="F906" s="3">
        <v>-0.04</v>
      </c>
      <c r="G906" s="4">
        <f>ROUND(F906,1)</f>
        <v>-0.0</v>
      </c>
      <c r="H906" s="2" t="str">
        <f>IF(G906&gt;=0.5,"warm",IF(G906&lt;=-0.5,"cold","neutral"))</f>
        <v>neutral</v>
      </c>
      <c r="I906" s="2">
        <f>IF(H906=H905,I905+1,1)</f>
        <v>4</v>
      </c>
      <c r="J906" s="2">
        <f>IF(H906=H907,J907+1,1)</f>
        <v>5</v>
      </c>
      <c r="K906" s="2">
        <f>I906+J906-1</f>
        <v>8</v>
      </c>
      <c r="L906" s="2" t="str">
        <f>IF(H906="neutral","—",IF(K906&gt;=5,IF(H906="warm","El Niño","La Niña"),IF(ROW()+J906-1=920,IF(H906="warm","El Niño (ongoing)","La Niña (ongoing)"),"—")))</f>
        <v>—</v>
      </c>
      <c r="M906" s="2" t="inlineStr">
        <is>
          <t xml:space="preserve">2024/25</t>
        </is>
      </c>
    </row>
    <row r="907">
      <c r="A907" s="2" t="inlineStr">
        <is>
          <t xml:space="preserve">2025-06</t>
        </is>
      </c>
      <c r="B907" s="2">
        <v>2025</v>
      </c>
      <c r="C907" s="2">
        <v>6</v>
      </c>
      <c r="D907" s="2" t="inlineStr">
        <is>
          <t xml:space="preserve">MJJ</t>
        </is>
      </c>
      <c r="E907" t="inlineStr">
        <is>
          <t xml:space="preserve">May 2025 – Jul 2025</t>
        </is>
      </c>
      <c r="F907" s="3">
        <v>-0.02</v>
      </c>
      <c r="G907" s="4">
        <f>ROUND(F907,1)</f>
        <v>-0.0</v>
      </c>
      <c r="H907" s="2" t="str">
        <f>IF(G907&gt;=0.5,"warm",IF(G907&lt;=-0.5,"cold","neutral"))</f>
        <v>neutral</v>
      </c>
      <c r="I907" s="2">
        <f>IF(H907=H906,I906+1,1)</f>
        <v>5</v>
      </c>
      <c r="J907" s="2">
        <f>IF(H907=H908,J908+1,1)</f>
        <v>4</v>
      </c>
      <c r="K907" s="2">
        <f>I907+J907-1</f>
        <v>8</v>
      </c>
      <c r="L907" s="2" t="str">
        <f>IF(H907="neutral","—",IF(K907&gt;=5,IF(H907="warm","El Niño","La Niña"),IF(ROW()+J907-1=920,IF(H907="warm","El Niño (ongoing)","La Niña (ongoing)"),"—")))</f>
        <v>—</v>
      </c>
      <c r="M907" s="2" t="inlineStr">
        <is>
          <t xml:space="preserve">2024/25</t>
        </is>
      </c>
    </row>
    <row r="908">
      <c r="A908" s="2" t="inlineStr">
        <is>
          <t xml:space="preserve">2025-07</t>
        </is>
      </c>
      <c r="B908" s="2">
        <v>2025</v>
      </c>
      <c r="C908" s="2">
        <v>7</v>
      </c>
      <c r="D908" s="2" t="inlineStr">
        <is>
          <t xml:space="preserve">JJA</t>
        </is>
      </c>
      <c r="E908" t="inlineStr">
        <is>
          <t xml:space="preserve">Jun 2025 – Aug 2025</t>
        </is>
      </c>
      <c r="F908" s="3">
        <v>-0.11</v>
      </c>
      <c r="G908" s="4">
        <f>ROUND(F908,1)</f>
        <v>-0.1</v>
      </c>
      <c r="H908" s="2" t="str">
        <f>IF(G908&gt;=0.5,"warm",IF(G908&lt;=-0.5,"cold","neutral"))</f>
        <v>neutral</v>
      </c>
      <c r="I908" s="2">
        <f>IF(H908=H907,I907+1,1)</f>
        <v>6</v>
      </c>
      <c r="J908" s="2">
        <f>IF(H908=H909,J909+1,1)</f>
        <v>3</v>
      </c>
      <c r="K908" s="2">
        <f>I908+J908-1</f>
        <v>8</v>
      </c>
      <c r="L908" s="2" t="str">
        <f>IF(H908="neutral","—",IF(K908&gt;=5,IF(H908="warm","El Niño","La Niña"),IF(ROW()+J908-1=920,IF(H908="warm","El Niño (ongoing)","La Niña (ongoing)"),"—")))</f>
        <v>—</v>
      </c>
      <c r="M908" s="2" t="inlineStr">
        <is>
          <t xml:space="preserve">2025/26</t>
        </is>
      </c>
    </row>
    <row r="909">
      <c r="A909" s="2" t="inlineStr">
        <is>
          <t xml:space="preserve">2025-08</t>
        </is>
      </c>
      <c r="B909" s="2">
        <v>2025</v>
      </c>
      <c r="C909" s="2">
        <v>8</v>
      </c>
      <c r="D909" s="2" t="inlineStr">
        <is>
          <t xml:space="preserve">JAS</t>
        </is>
      </c>
      <c r="E909" t="inlineStr">
        <is>
          <t xml:space="preserve">Jul 2025 – Sep 2025</t>
        </is>
      </c>
      <c r="F909" s="3">
        <v>-0.26</v>
      </c>
      <c r="G909" s="4">
        <f>ROUND(F909,1)</f>
        <v>-0.3</v>
      </c>
      <c r="H909" s="2" t="str">
        <f>IF(G909&gt;=0.5,"warm",IF(G909&lt;=-0.5,"cold","neutral"))</f>
        <v>neutral</v>
      </c>
      <c r="I909" s="2">
        <f>IF(H909=H908,I908+1,1)</f>
        <v>7</v>
      </c>
      <c r="J909" s="2">
        <f>IF(H909=H910,J910+1,1)</f>
        <v>2</v>
      </c>
      <c r="K909" s="2">
        <f>I909+J909-1</f>
        <v>8</v>
      </c>
      <c r="L909" s="2" t="str">
        <f>IF(H909="neutral","—",IF(K909&gt;=5,IF(H909="warm","El Niño","La Niña"),IF(ROW()+J909-1=920,IF(H909="warm","El Niño (ongoing)","La Niña (ongoing)"),"—")))</f>
        <v>—</v>
      </c>
      <c r="M909" s="2" t="inlineStr">
        <is>
          <t xml:space="preserve">2025/26</t>
        </is>
      </c>
    </row>
    <row r="910">
      <c r="A910" s="2" t="inlineStr">
        <is>
          <t xml:space="preserve">2025-09</t>
        </is>
      </c>
      <c r="B910" s="2">
        <v>2025</v>
      </c>
      <c r="C910" s="2">
        <v>9</v>
      </c>
      <c r="D910" s="2" t="inlineStr">
        <is>
          <t xml:space="preserve">ASO</t>
        </is>
      </c>
      <c r="E910" t="inlineStr">
        <is>
          <t xml:space="preserve">Aug 2025 – Oct 2025</t>
        </is>
      </c>
      <c r="F910" s="3">
        <v>-0.43</v>
      </c>
      <c r="G910" s="4">
        <f>ROUND(F910,1)</f>
        <v>-0.4</v>
      </c>
      <c r="H910" s="2" t="str">
        <f>IF(G910&gt;=0.5,"warm",IF(G910&lt;=-0.5,"cold","neutral"))</f>
        <v>neutral</v>
      </c>
      <c r="I910" s="2">
        <f>IF(H910=H909,I909+1,1)</f>
        <v>8</v>
      </c>
      <c r="J910" s="2">
        <f>IF(H910=H911,J911+1,1)</f>
        <v>1</v>
      </c>
      <c r="K910" s="2">
        <f>I910+J910-1</f>
        <v>8</v>
      </c>
      <c r="L910" s="2" t="str">
        <f>IF(H910="neutral","—",IF(K910&gt;=5,IF(H910="warm","El Niño","La Niña"),IF(ROW()+J910-1=920,IF(H910="warm","El Niño (ongoing)","La Niña (ongoing)"),"—")))</f>
        <v>—</v>
      </c>
      <c r="M910" s="2" t="inlineStr">
        <is>
          <t xml:space="preserve">2025/26</t>
        </is>
      </c>
    </row>
    <row r="911">
      <c r="A911" s="2" t="inlineStr">
        <is>
          <t xml:space="preserve">2025-10</t>
        </is>
      </c>
      <c r="B911" s="2">
        <v>2025</v>
      </c>
      <c r="C911" s="2">
        <v>10</v>
      </c>
      <c r="D911" s="2" t="inlineStr">
        <is>
          <t xml:space="preserve">SON</t>
        </is>
      </c>
      <c r="E911" t="inlineStr">
        <is>
          <t xml:space="preserve">Sep 2025 – Nov 2025</t>
        </is>
      </c>
      <c r="F911" s="3">
        <v>-0.57</v>
      </c>
      <c r="G911" s="4">
        <f>ROUND(F911,1)</f>
        <v>-0.6</v>
      </c>
      <c r="H911" s="2" t="str">
        <f>IF(G911&gt;=0.5,"warm",IF(G911&lt;=-0.5,"cold","neutral"))</f>
        <v>cold</v>
      </c>
      <c r="I911" s="2">
        <f>IF(H911=H910,I910+1,1)</f>
        <v>1</v>
      </c>
      <c r="J911" s="2">
        <f>IF(H911=H912,J912+1,1)</f>
        <v>3</v>
      </c>
      <c r="K911" s="2">
        <f>I911+J911-1</f>
        <v>3</v>
      </c>
      <c r="L911" s="2" t="str">
        <f>IF(H911="neutral","—",IF(K911&gt;=5,IF(H911="warm","El Niño","La Niña"),IF(ROW()+J911-1=920,IF(H911="warm","El Niño (ongoing)","La Niña (ongoing)"),"—")))</f>
        <v>—</v>
      </c>
      <c r="M911" s="2" t="inlineStr">
        <is>
          <t xml:space="preserve">2025/26</t>
        </is>
      </c>
    </row>
    <row r="912">
      <c r="A912" s="2" t="inlineStr">
        <is>
          <t xml:space="preserve">2025-11</t>
        </is>
      </c>
      <c r="B912" s="2">
        <v>2025</v>
      </c>
      <c r="C912" s="2">
        <v>11</v>
      </c>
      <c r="D912" s="2" t="inlineStr">
        <is>
          <t xml:space="preserve">OND</t>
        </is>
      </c>
      <c r="E912" t="inlineStr">
        <is>
          <t xml:space="preserve">Oct 2025 – Dec 2025</t>
        </is>
      </c>
      <c r="F912" s="3">
        <v>-0.61</v>
      </c>
      <c r="G912" s="4">
        <f>ROUND(F912,1)</f>
        <v>-0.6</v>
      </c>
      <c r="H912" s="2" t="str">
        <f>IF(G912&gt;=0.5,"warm",IF(G912&lt;=-0.5,"cold","neutral"))</f>
        <v>cold</v>
      </c>
      <c r="I912" s="2">
        <f>IF(H912=H911,I911+1,1)</f>
        <v>2</v>
      </c>
      <c r="J912" s="2">
        <f>IF(H912=H913,J913+1,1)</f>
        <v>2</v>
      </c>
      <c r="K912" s="2">
        <f>I912+J912-1</f>
        <v>3</v>
      </c>
      <c r="L912" s="2" t="str">
        <f>IF(H912="neutral","—",IF(K912&gt;=5,IF(H912="warm","El Niño","La Niña"),IF(ROW()+J912-1=920,IF(H912="warm","El Niño (ongoing)","La Niña (ongoing)"),"—")))</f>
        <v>—</v>
      </c>
      <c r="M912" s="2" t="inlineStr">
        <is>
          <t xml:space="preserve">2025/26</t>
        </is>
      </c>
    </row>
    <row r="913">
      <c r="A913" s="2" t="inlineStr">
        <is>
          <t xml:space="preserve">2025-12</t>
        </is>
      </c>
      <c r="B913" s="2">
        <v>2025</v>
      </c>
      <c r="C913" s="2">
        <v>12</v>
      </c>
      <c r="D913" s="2" t="inlineStr">
        <is>
          <t xml:space="preserve">NDJ</t>
        </is>
      </c>
      <c r="E913" t="inlineStr">
        <is>
          <t xml:space="preserve">Nov 2025 – Jan 2026</t>
        </is>
      </c>
      <c r="F913" s="3">
        <v>-0.6</v>
      </c>
      <c r="G913" s="4">
        <f>ROUND(F913,1)</f>
        <v>-0.6</v>
      </c>
      <c r="H913" s="2" t="str">
        <f>IF(G913&gt;=0.5,"warm",IF(G913&lt;=-0.5,"cold","neutral"))</f>
        <v>cold</v>
      </c>
      <c r="I913" s="2">
        <f>IF(H913=H912,I912+1,1)</f>
        <v>3</v>
      </c>
      <c r="J913" s="2">
        <f>IF(H913=H914,J914+1,1)</f>
        <v>1</v>
      </c>
      <c r="K913" s="2">
        <f>I913+J913-1</f>
        <v>3</v>
      </c>
      <c r="L913" s="2" t="str">
        <f>IF(H913="neutral","—",IF(K913&gt;=5,IF(H913="warm","El Niño","La Niña"),IF(ROW()+J913-1=920,IF(H913="warm","El Niño (ongoing)","La Niña (ongoing)"),"—")))</f>
        <v>—</v>
      </c>
      <c r="M913" s="2" t="inlineStr">
        <is>
          <t xml:space="preserve">2025/26</t>
        </is>
      </c>
    </row>
    <row r="914">
      <c r="A914" s="2" t="inlineStr">
        <is>
          <t xml:space="preserve">2026-01</t>
        </is>
      </c>
      <c r="B914" s="2">
        <v>2026</v>
      </c>
      <c r="C914" s="2">
        <v>1</v>
      </c>
      <c r="D914" s="2" t="inlineStr">
        <is>
          <t xml:space="preserve">DJF</t>
        </is>
      </c>
      <c r="E914" t="inlineStr">
        <is>
          <t xml:space="preserve">Dec 2025 – Feb 2026</t>
        </is>
      </c>
      <c r="F914" s="3">
        <v>-0.39</v>
      </c>
      <c r="G914" s="4">
        <f>ROUND(F914,1)</f>
        <v>-0.4</v>
      </c>
      <c r="H914" s="2" t="str">
        <f>IF(G914&gt;=0.5,"warm",IF(G914&lt;=-0.5,"cold","neutral"))</f>
        <v>neutral</v>
      </c>
      <c r="I914" s="2">
        <f>IF(H914=H913,I913+1,1)</f>
        <v>1</v>
      </c>
      <c r="J914" s="2">
        <f>IF(H914=H915,J915+1,1)</f>
        <v>3</v>
      </c>
      <c r="K914" s="2">
        <f>I914+J914-1</f>
        <v>3</v>
      </c>
      <c r="L914" s="2" t="str">
        <f>IF(H914="neutral","—",IF(K914&gt;=5,IF(H914="warm","El Niño","La Niña"),IF(ROW()+J914-1=920,IF(H914="warm","El Niño (ongoing)","La Niña (ongoing)"),"—")))</f>
        <v>—</v>
      </c>
      <c r="M914" s="2" t="inlineStr">
        <is>
          <t xml:space="preserve">2025/26</t>
        </is>
      </c>
    </row>
    <row r="915">
      <c r="A915" s="2" t="inlineStr">
        <is>
          <t xml:space="preserve">2026-02</t>
        </is>
      </c>
      <c r="B915" s="2">
        <v>2026</v>
      </c>
      <c r="C915" s="2">
        <v>2</v>
      </c>
      <c r="D915" s="2" t="inlineStr">
        <is>
          <t xml:space="preserve">JFM</t>
        </is>
      </c>
      <c r="E915" t="inlineStr">
        <is>
          <t xml:space="preserve">Jan 2026 – Mar 2026</t>
        </is>
      </c>
      <c r="F915" s="3">
        <v>-0.21</v>
      </c>
      <c r="G915" s="4">
        <f>ROUND(F915,1)</f>
        <v>-0.2</v>
      </c>
      <c r="H915" s="2" t="str">
        <f>IF(G915&gt;=0.5,"warm",IF(G915&lt;=-0.5,"cold","neutral"))</f>
        <v>neutral</v>
      </c>
      <c r="I915" s="2">
        <f>IF(H915=H914,I914+1,1)</f>
        <v>2</v>
      </c>
      <c r="J915" s="2">
        <f>IF(H915=H916,J916+1,1)</f>
        <v>2</v>
      </c>
      <c r="K915" s="2">
        <f>I915+J915-1</f>
        <v>3</v>
      </c>
      <c r="L915" s="2" t="str">
        <f>IF(H915="neutral","—",IF(K915&gt;=5,IF(H915="warm","El Niño","La Niña"),IF(ROW()+J915-1=920,IF(H915="warm","El Niño (ongoing)","La Niña (ongoing)"),"—")))</f>
        <v>—</v>
      </c>
      <c r="M915" s="2" t="inlineStr">
        <is>
          <t xml:space="preserve">2025/26</t>
        </is>
      </c>
    </row>
    <row r="916">
      <c r="A916" s="2" t="inlineStr">
        <is>
          <t xml:space="preserve">2026-03</t>
        </is>
      </c>
      <c r="B916" s="2">
        <v>2026</v>
      </c>
      <c r="C916" s="2">
        <v>3</v>
      </c>
      <c r="D916" s="2" t="inlineStr">
        <is>
          <t xml:space="preserve">FMA</t>
        </is>
      </c>
      <c r="E916" t="inlineStr">
        <is>
          <t xml:space="preserve">Feb 2026 – Apr 2026</t>
        </is>
      </c>
      <c r="F916" s="3">
        <v>0.11</v>
      </c>
      <c r="G916" s="4">
        <f>ROUND(F916,1)</f>
        <v>0.1</v>
      </c>
      <c r="H916" s="2" t="str">
        <f>IF(G916&gt;=0.5,"warm",IF(G916&lt;=-0.5,"cold","neutral"))</f>
        <v>neutral</v>
      </c>
      <c r="I916" s="2">
        <f>IF(H916=H915,I915+1,1)</f>
        <v>3</v>
      </c>
      <c r="J916" s="2">
        <f>IF(H916=H917,J917+1,1)</f>
        <v>1</v>
      </c>
      <c r="K916" s="2">
        <f>I916+J916-1</f>
        <v>3</v>
      </c>
      <c r="L916" s="2" t="str">
        <f>IF(H916="neutral","—",IF(K916&gt;=5,IF(H916="warm","El Niño","La Niña"),IF(ROW()+J916-1=920,IF(H916="warm","El Niño (ongoing)","La Niña (ongoing)"),"—")))</f>
        <v>—</v>
      </c>
      <c r="M916" s="2" t="inlineStr">
        <is>
          <t xml:space="preserve">2025/26</t>
        </is>
      </c>
    </row>
    <row r="917">
      <c r="A917" s="2" t="inlineStr">
        <is>
          <t xml:space="preserve">2026-04</t>
        </is>
      </c>
      <c r="B917" s="2">
        <v>2026</v>
      </c>
      <c r="C917" s="2">
        <v>4</v>
      </c>
      <c r="D917" s="2" t="inlineStr">
        <is>
          <t xml:space="preserve">MAM</t>
        </is>
      </c>
      <c r="E917" t="inlineStr">
        <is>
          <t xml:space="preserve">Mar 2026 – May 2026</t>
        </is>
      </c>
      <c r="F917" s="3">
        <v>0.46</v>
      </c>
      <c r="G917" s="4">
        <f>ROUND(F917,1)</f>
        <v>0.5</v>
      </c>
      <c r="H917" s="2" t="str">
        <f>IF(G917&gt;=0.5,"warm",IF(G917&lt;=-0.5,"cold","neutral"))</f>
        <v>warm</v>
      </c>
      <c r="I917" s="2">
        <f>IF(H917=H916,I916+1,1)</f>
        <v>1</v>
      </c>
      <c r="J917" s="2">
        <f>IF(H917=H918,J918+1,1)</f>
        <v>4</v>
      </c>
      <c r="K917" s="2">
        <f>I917+J917-1</f>
        <v>4</v>
      </c>
      <c r="L917" s="6" t="str">
        <f>IF(H917="neutral","—",IF(K917&gt;=5,IF(H917="warm","El Niño","La Niña"),IF(ROW()+J917-1=920,IF(H917="warm","El Niño (ongoing)","La Niña (ongoing)"),"—")))</f>
        <v>El Niño (ongoing)</v>
      </c>
      <c r="M917" s="2" t="inlineStr">
        <is>
          <t xml:space="preserve">2025/26</t>
        </is>
      </c>
    </row>
    <row r="918">
      <c r="A918" s="2" t="inlineStr">
        <is>
          <t xml:space="preserve">2026-05</t>
        </is>
      </c>
      <c r="B918" s="2">
        <v>2026</v>
      </c>
      <c r="C918" s="2">
        <v>5</v>
      </c>
      <c r="D918" s="2" t="inlineStr">
        <is>
          <t xml:space="preserve">AMJ</t>
        </is>
      </c>
      <c r="E918" t="inlineStr">
        <is>
          <t xml:space="preserve">Apr 2026 – Jun 2026</t>
        </is>
      </c>
      <c r="F918" s="3">
        <v>0.95</v>
      </c>
      <c r="G918" s="4">
        <f>ROUND(F918,1)</f>
        <v>1.0</v>
      </c>
      <c r="H918" s="2" t="str">
        <f>IF(G918&gt;=0.5,"warm",IF(G918&lt;=-0.5,"cold","neutral"))</f>
        <v>warm</v>
      </c>
      <c r="I918" s="2">
        <f>IF(H918=H917,I917+1,1)</f>
        <v>2</v>
      </c>
      <c r="J918" s="2">
        <f>IF(H918=H919,J919+1,1)</f>
        <v>3</v>
      </c>
      <c r="K918" s="2">
        <f>I918+J918-1</f>
        <v>4</v>
      </c>
      <c r="L918" s="6" t="str">
        <f>IF(H918="neutral","—",IF(K918&gt;=5,IF(H918="warm","El Niño","La Niña"),IF(ROW()+J918-1=920,IF(H918="warm","El Niño (ongoing)","La Niña (ongoing)"),"—")))</f>
        <v>El Niño (ongoing)</v>
      </c>
      <c r="M918" s="2" t="inlineStr">
        <is>
          <t xml:space="preserve">2025/26</t>
        </is>
      </c>
    </row>
    <row r="919">
      <c r="A919" s="2" t="inlineStr">
        <is>
          <t xml:space="preserve">2026-06</t>
        </is>
      </c>
      <c r="B919" s="2">
        <v>2026</v>
      </c>
      <c r="C919" s="2">
        <v>6</v>
      </c>
      <c r="D919" s="2" t="inlineStr">
        <is>
          <t xml:space="preserve">MJJ</t>
        </is>
      </c>
      <c r="E919" t="inlineStr">
        <is>
          <t xml:space="preserve">May 2026 – Jul 2026</t>
        </is>
      </c>
      <c r="F919" s="3">
        <v>1.39</v>
      </c>
      <c r="G919" s="4">
        <f>ROUND(F919,1)</f>
        <v>1.4</v>
      </c>
      <c r="H919" s="2" t="str">
        <f>IF(G919&gt;=0.5,"warm",IF(G919&lt;=-0.5,"cold","neutral"))</f>
        <v>warm</v>
      </c>
      <c r="I919" s="2">
        <f>IF(H919=H918,I918+1,1)</f>
        <v>3</v>
      </c>
      <c r="J919" s="2">
        <f>IF(H919=H920,J920+1,1)</f>
        <v>2</v>
      </c>
      <c r="K919" s="2">
        <f>I919+J919-1</f>
        <v>4</v>
      </c>
      <c r="L919" s="6" t="str">
        <f>IF(H919="neutral","—",IF(K919&gt;=5,IF(H919="warm","El Niño","La Niña"),IF(ROW()+J919-1=920,IF(H919="warm","El Niño (ongoing)","La Niña (ongoing)"),"—")))</f>
        <v>El Niño (ongoing)</v>
      </c>
      <c r="M919" s="2" t="inlineStr">
        <is>
          <t xml:space="preserve">2025/26</t>
        </is>
      </c>
    </row>
    <row r="920">
      <c r="A920" s="2" t="inlineStr">
        <is>
          <t xml:space="preserve">2026-07</t>
        </is>
      </c>
      <c r="B920" s="2">
        <v>2026</v>
      </c>
      <c r="C920" s="2">
        <v>7</v>
      </c>
      <c r="D920" s="2" t="inlineStr">
        <is>
          <t xml:space="preserve">JJA</t>
        </is>
      </c>
      <c r="E920" t="inlineStr">
        <is>
          <t xml:space="preserve">Jun 2026 – Aug 2026</t>
        </is>
      </c>
      <c r="F920" s="3">
        <v>1.8</v>
      </c>
      <c r="G920" s="4">
        <f>ROUND(F920,1)</f>
        <v>1.8</v>
      </c>
      <c r="H920" s="2" t="str">
        <f>IF(G920&gt;=0.5,"warm",IF(G920&lt;=-0.5,"cold","neutral"))</f>
        <v>warm</v>
      </c>
      <c r="I920" s="2">
        <f>IF(H920=H919,I919+1,1)</f>
        <v>4</v>
      </c>
      <c r="J920" s="2">
        <f>1</f>
        <v>1</v>
      </c>
      <c r="K920" s="2">
        <f>I920+J920-1</f>
        <v>4</v>
      </c>
      <c r="L920" s="6" t="str">
        <f>IF(H920="neutral","—",IF(K920&gt;=5,IF(H920="warm","El Niño","La Niña"),IF(ROW()+J920-1=920,IF(H920="warm","El Niño (ongoing)","La Niña (ongoing)"),"—")))</f>
        <v>El Niño (ongoing)</v>
      </c>
      <c r="M920" s="2" t="inlineStr">
        <is>
          <t xml:space="preserve">2026/27</t>
        </is>
      </c>
    </row>
    <row r="922">
      <c r="A922" s="7" t="inlineStr">
        <is>
          <t xml:space="preserve">Source: NOAA CPC, oni.ascii.txt (https://www.cpc.ncep.noaa.gov/data/indices/oni.ascii.txt), downloaded September 2026, last period JJA 2026 = +1.80.</t>
        </is>
      </c>
    </row>
    <row r="923">
      <c r="A923" s="7" t="inlineStr">
        <is>
          <t xml:space="preserve">Rule (NOAA CPC): warm/cold when the ONI, rounded to 0.1 °C, is ≥ +0.5 / ≤ −0.5; an El Niño or La Niña episode needs at least 5 consecutive overlapping 3-month periods. A run that reaches the last published period is marked "ongoing".</t>
        </is>
      </c>
    </row>
  </sheetData>
</worksheet>
</file>

<file path=xl/worksheets/sheet11.xml><?xml version="1.0" encoding="utf-8"?>
<worksheet xmlns="http://schemas.openxmlformats.org/spreadsheetml/2006/main" xmlns:r="http://schemas.openxmlformats.org/officeDocument/2006/relationships">
  <sheetFormatPr defaultRowHeight="13.2"/>
  <cols>
    <col min="1" max="1" width="58" customWidth="1"/>
    <col min="2" max="2" width="38" customWidth="1"/>
    <col min="3" max="3" width="12" customWidth="1"/>
    <col min="4" max="4" width="14" customWidth="1"/>
    <col min="5" max="5" width="60" customWidth="1"/>
  </cols>
  <sheetData>
    <row r="1">
      <c r="A1" s="1" t="inlineStr">
        <is>
          <t xml:space="preserve">Check</t>
        </is>
      </c>
      <c r="B1" s="1" t="inlineStr">
        <is>
          <t xml:space="preserve">Result</t>
        </is>
      </c>
      <c r="C1" s="1" t="inlineStr">
        <is>
          <t xml:space="preserve">Expected</t>
        </is>
      </c>
      <c r="D1" s="1" t="inlineStr">
        <is>
          <t xml:space="preserve">OK?</t>
        </is>
      </c>
      <c r="E1" s="1" t="inlineStr">
        <is>
          <t xml:space="preserve">How</t>
        </is>
      </c>
    </row>
    <row r="2">
      <c r="A2" t="inlineStr">
        <is>
          <t xml:space="preserve">Days in the Daily sheet</t>
        </is>
      </c>
      <c r="B2">
        <f>COUNT(Daily!$A$3:$A$7756)</f>
        <v>7754</v>
      </c>
      <c r="C2">
        <v>7754</v>
      </c>
      <c r="D2" s="33" t="str">
        <f>IF(ABS(B2-C2)&lt;0.000001,"OK","CHECK")</f>
        <v>OK</v>
      </c>
      <c r="E2" t="inlineStr">
        <is>
          <t xml:space="preserve">Every day from 2005-07-01 to 2026-09-22, no gap</t>
        </is>
      </c>
    </row>
    <row r="3">
      <c r="A3" t="inlineStr">
        <is>
          <t xml:space="preserve">Missing values (NASA fill value −999) in Daily</t>
        </is>
      </c>
      <c r="B3">
        <f>COUNTIF(Daily!$D$3:$R$7756,-999)</f>
        <v>0</v>
      </c>
      <c r="C3">
        <v>0</v>
      </c>
      <c r="D3" s="33" t="str">
        <f>IF(ABS(B3-C3)&lt;0.000001,"OK","CHECK")</f>
        <v>OK</v>
      </c>
      <c r="E3" t="inlineStr">
        <is>
          <t xml:space="preserve">All 3 towns × 5 variables</t>
        </is>
      </c>
    </row>
    <row r="4">
      <c r="A4" t="inlineStr">
        <is>
          <t xml:space="preserve">Empty cells in Daily data</t>
        </is>
      </c>
      <c r="B4">
        <f>COUNTBLANK(Daily!$D$3:$R$7756)</f>
        <v>0</v>
      </c>
      <c r="C4">
        <v>0</v>
      </c>
      <c r="D4" s="33" t="str">
        <f>IF(ABS(B4-C4)&lt;0.000001,"OK","CHECK")</f>
        <v>OK</v>
      </c>
      <c r="E4" t="inlineStr">
        <is>
          <t xml:space="preserve"/>
        </is>
      </c>
    </row>
    <row r="5">
      <c r="A5" t="inlineStr">
        <is>
          <t xml:space="preserve">Complete months in Monthly</t>
        </is>
      </c>
      <c r="B5">
        <f>COUNTIF(Monthly!$K$3:$K$257,"complete")</f>
        <v>254</v>
      </c>
      <c r="C5">
        <v>254</v>
      </c>
      <c r="D5" s="33" t="str">
        <f>IF(ABS(B5-C5)&lt;0.000001,"OK","CHECK")</f>
        <v>OK</v>
      </c>
      <c r="E5" t="inlineStr">
        <is>
          <t xml:space="preserve">Partial: 2026-09 (data end 2026-09-22)</t>
        </is>
      </c>
    </row>
    <row r="6">
      <c r="A6" t="inlineStr">
        <is>
          <t xml:space="preserve">Rain Comayagua: sum of monthly − sum of daily (mm)</t>
        </is>
      </c>
      <c r="B6">
        <f>ROUND(SUM(Monthly!$P$3:$P$257)-SUM(Daily!$D$3:$D$7756),6)</f>
        <v>0.0</v>
      </c>
      <c r="C6">
        <v>0.0</v>
      </c>
      <c r="D6" s="33" t="str">
        <f>IF(ABS(B6-C6)&lt;0.000001,"OK","CHECK")</f>
        <v>OK</v>
      </c>
      <c r="E6" t="inlineStr">
        <is>
          <t xml:space="preserve">Monthly totals add up to the daily data</t>
        </is>
      </c>
    </row>
    <row r="7">
      <c r="A7" t="inlineStr">
        <is>
          <t xml:space="preserve">Rain Ocotepeque: sum of monthly − sum of daily (mm)</t>
        </is>
      </c>
      <c r="B7">
        <f>ROUND(SUM(Monthly!$U$3:$U$257)-SUM(Daily!$I$3:$I$7756),6)</f>
        <v>0.0</v>
      </c>
      <c r="C7">
        <v>0.0</v>
      </c>
      <c r="D7" s="33" t="str">
        <f>IF(ABS(B7-C7)&lt;0.000001,"OK","CHECK")</f>
        <v>OK</v>
      </c>
      <c r="E7" t="inlineStr">
        <is>
          <t xml:space="preserve">Monthly totals add up to the daily data</t>
        </is>
      </c>
    </row>
    <row r="8">
      <c r="A8" t="inlineStr">
        <is>
          <t xml:space="preserve">Rain Copán: sum of monthly − sum of daily (mm), up to 2023-12</t>
        </is>
      </c>
      <c r="B8">
        <f>ROUND(SUM(Monthly!$Z$3:$Z$224)-SUM(Daily!$N$3:$N$6760),6)</f>
        <v>0.0</v>
      </c>
      <c r="C8">
        <v>0.0</v>
      </c>
      <c r="D8" s="33" t="str">
        <f>IF(ABS(B8-C8)&lt;0.000001,"OK","CHECK")</f>
        <v>OK</v>
      </c>
      <c r="E8" t="inlineStr">
        <is>
          <t xml:space="preserve">From 2024-01 Copán rain is the adjusted GPCC value (CPC gauge lost), see "Rain breaks" below</t>
        </is>
      </c>
    </row>
    <row r="9">
      <c r="A9" t="inlineStr">
        <is>
          <t xml:space="preserve">El Niño seasons in 2005/06–2024/25</t>
        </is>
      </c>
      <c r="B9">
        <f>COUNTIFS(ENSO_seasons!$W:$W,"yes",ENSO_seasons!$U:$U,"El Niño")</f>
        <v>7</v>
      </c>
      <c r="C9">
        <v>7</v>
      </c>
      <c r="D9" s="33" t="str">
        <f>IF(ABS(B9-C9)&lt;0.000001,"OK","CHECK")</f>
        <v>OK</v>
      </c>
      <c r="E9" t="inlineStr">
        <is>
          <t xml:space="preserve">Same count as the São Mateus chart (7 / 9 / 4)</t>
        </is>
      </c>
    </row>
    <row r="10">
      <c r="A10" t="inlineStr">
        <is>
          <t xml:space="preserve">La Niña seasons in 2005/06–2024/25</t>
        </is>
      </c>
      <c r="B10">
        <f>COUNTIFS(ENSO_seasons!$W:$W,"yes",ENSO_seasons!$U:$U,"La Niña")</f>
        <v>9</v>
      </c>
      <c r="C10">
        <v>9</v>
      </c>
      <c r="D10" s="33" t="str">
        <f>IF(ABS(B10-C10)&lt;0.000001,"OK","CHECK")</f>
        <v>OK</v>
      </c>
      <c r="E10" t="inlineStr">
        <is>
          <t xml:space="preserve">Same count as the São Mateus chart (7 / 9 / 4)</t>
        </is>
      </c>
    </row>
    <row r="11">
      <c r="A11" t="inlineStr">
        <is>
          <t xml:space="preserve">Neutral seasons in 2005/06–2024/25</t>
        </is>
      </c>
      <c r="B11">
        <f>COUNTIFS(ENSO_seasons!$W:$W,"yes",ENSO_seasons!$U:$U,"Neutral")</f>
        <v>4</v>
      </c>
      <c r="C11">
        <v>4</v>
      </c>
      <c r="D11" s="33" t="str">
        <f>IF(ABS(B11-C11)&lt;0.000001,"OK","CHECK")</f>
        <v>OK</v>
      </c>
      <c r="E11" t="inlineStr">
        <is>
          <t xml:space="preserve">Same count as the São Mateus chart (7 / 9 / 4)</t>
        </is>
      </c>
    </row>
    <row r="13">
      <c r="A13" s="23" t="inlineStr">
        <is>
          <t xml:space="preserve">Independent checks (computed outside the workbook)</t>
        </is>
      </c>
    </row>
    <row r="14">
      <c r="A14" s="34" t="inlineStr">
        <is>
          <t xml:space="preserve">All formulas recomputed by a separate script (verify_xlsx.py, research/indonesia/excel)</t>
        </is>
      </c>
      <c r="B14" s="34" t="inlineStr">
        <is>
          <t xml:space="preserve">0 differences with the stored values</t>
        </is>
      </c>
      <c r="E14" s="34" t="inlineStr">
        <is>
          <t xml:space="preserve">Proves each formula points to the right month, town and variable</t>
        </is>
      </c>
    </row>
    <row r="15">
      <c r="A15" s="34" t="inlineStr">
        <is>
          <t xml:space="preserve">Missing CPC rain days filled with the NASA value of that day</t>
        </is>
      </c>
      <c r="B15" s="34" t="inlineStr">
        <is>
          <t xml:space="preserve">3 cells (20070226)</t>
        </is>
      </c>
      <c r="E15" s="34" t="inlineStr">
        <is>
          <t xml:space="preserve">Fill value in the CPC source file; NASA rain agrees with the gauges before 2020</t>
        </is>
      </c>
    </row>
    <row r="16">
      <c r="A16" s="34" t="inlineStr">
        <is>
          <t xml:space="preserve">Temperature level</t>
        </is>
      </c>
      <c r="B16" s="34" t="inlineStr">
        <is>
          <t xml:space="preserve">NASA values are for the grid cell mean elevation (Comayagua cell 1015 m, Ocotepeque cell 903 m, Copán cell 791 m)</t>
        </is>
      </c>
      <c r="E16" s="34" t="inlineStr">
        <is>
          <t xml:space="preserve">A town below its cell is warmer than shown; month-to-month and year-to-year changes are more reliable than levels</t>
        </is>
      </c>
    </row>
    <row r="18">
      <c r="A18" s="23" t="inlineStr">
        <is>
          <t xml:space="preserve">Why rain comes from rain gauges (NOAA CPC) and not from NASA: monthly totals compared, total ratio and correlation</t>
        </is>
      </c>
    </row>
    <row r="19">
      <c r="A19" s="1" t="inlineStr">
        <is>
          <t xml:space="preserve">Town, comparison</t>
        </is>
      </c>
      <c r="B19" s="1" t="inlineStr">
        <is>
          <t xml:space="preserve">2005–2019 ratio</t>
        </is>
      </c>
      <c r="C19" s="1" t="inlineStr">
        <is>
          <t xml:space="preserve">2005–2019 r</t>
        </is>
      </c>
      <c r="D19" s="1" t="inlineStr">
        <is>
          <t xml:space="preserve">2020–2026 ratio</t>
        </is>
      </c>
      <c r="E19" s="1" t="inlineStr">
        <is>
          <t xml:space="preserve">2020–2026 r</t>
        </is>
      </c>
    </row>
    <row r="20">
      <c r="A20" t="inlineStr">
        <is>
          <t xml:space="preserve">Comayagua, CPC ÷ GPCC</t>
        </is>
      </c>
      <c r="B20">
        <v>0.84</v>
      </c>
      <c r="C20">
        <v>0.91</v>
      </c>
      <c r="D20">
        <v>1.02</v>
      </c>
      <c r="E20">
        <v>0.75</v>
      </c>
    </row>
    <row r="21">
      <c r="A21" s="35" t="inlineStr">
        <is>
          <t xml:space="preserve">Comayagua, NASA ÷ GPCC</t>
        </is>
      </c>
      <c r="B21" s="35">
        <v>0.85</v>
      </c>
      <c r="C21" s="35">
        <v>0.96</v>
      </c>
      <c r="D21" s="35">
        <v>1.37</v>
      </c>
      <c r="E21" s="35">
        <v>0.64</v>
      </c>
    </row>
    <row r="22">
      <c r="A22" s="35" t="inlineStr">
        <is>
          <t xml:space="preserve">Comayagua, NASA ÷ CPC</t>
        </is>
      </c>
      <c r="B22" s="35">
        <v>1.01</v>
      </c>
      <c r="C22" s="35">
        <v>0.97</v>
      </c>
      <c r="D22" s="35">
        <v>1.34</v>
      </c>
      <c r="E22" s="35">
        <v>0.67</v>
      </c>
    </row>
    <row r="23">
      <c r="A23" t="inlineStr">
        <is>
          <t xml:space="preserve">Ocotepeque, CPC ÷ GPCC</t>
        </is>
      </c>
      <c r="B23">
        <v>0.99</v>
      </c>
      <c r="C23">
        <v>0.91</v>
      </c>
      <c r="D23">
        <v>0.94</v>
      </c>
      <c r="E23">
        <v>0.85</v>
      </c>
    </row>
    <row r="24">
      <c r="A24" s="35" t="inlineStr">
        <is>
          <t xml:space="preserve">Ocotepeque, NASA ÷ GPCC</t>
        </is>
      </c>
      <c r="B24" s="35">
        <v>1.02</v>
      </c>
      <c r="C24" s="35">
        <v>0.94</v>
      </c>
      <c r="D24" s="35">
        <v>1.34</v>
      </c>
      <c r="E24" s="35">
        <v>0.56</v>
      </c>
    </row>
    <row r="25">
      <c r="A25" s="35" t="inlineStr">
        <is>
          <t xml:space="preserve">Ocotepeque, NASA ÷ CPC</t>
        </is>
      </c>
      <c r="B25" s="35">
        <v>1.04</v>
      </c>
      <c r="C25" s="35">
        <v>0.98</v>
      </c>
      <c r="D25" s="35">
        <v>1.42</v>
      </c>
      <c r="E25" s="35">
        <v>0.66</v>
      </c>
    </row>
    <row r="26">
      <c r="A26" t="inlineStr">
        <is>
          <t xml:space="preserve">Copán, CPC ÷ GPCC</t>
        </is>
      </c>
      <c r="B26">
        <v>1.01</v>
      </c>
      <c r="C26">
        <v>0.94</v>
      </c>
      <c r="D26">
        <v>0.93</v>
      </c>
      <c r="E26">
        <v>0.81</v>
      </c>
    </row>
    <row r="27">
      <c r="A27" s="35" t="inlineStr">
        <is>
          <t xml:space="preserve">Copán, NASA ÷ GPCC</t>
        </is>
      </c>
      <c r="B27" s="35">
        <v>1.01</v>
      </c>
      <c r="C27" s="35">
        <v>0.93</v>
      </c>
      <c r="D27" s="35">
        <v>1.32</v>
      </c>
      <c r="E27" s="35">
        <v>0.48</v>
      </c>
    </row>
    <row r="28">
      <c r="A28" s="35" t="inlineStr">
        <is>
          <t xml:space="preserve">Copán, NASA ÷ CPC</t>
        </is>
      </c>
      <c r="B28" s="35">
        <v>1.0</v>
      </c>
      <c r="C28" s="35">
        <v>0.93</v>
      </c>
      <c r="D28" s="35">
        <v>1.41</v>
      </c>
      <c r="E28" s="35">
        <v>0.59</v>
      </c>
    </row>
    <row r="29">
      <c r="A29" s="34" t="inlineStr">
        <is>
          <t xml:space="preserve">GPCC = gauge analysis, 1° (Full v2020 to 2019, Monitoring after; First Guess for 2026). CPC = gauge analysis, 0.5°, daily. Two independent gauge products agree with each other in both periods; NASA agrees with them until 2019, then reads 30–40 % wetter with a weaker correlation. NASA POWER appends GEOS-IT to MERRA-2 for recent data.</t>
        </is>
      </c>
    </row>
    <row r="31">
      <c r="A31" s="23" t="inlineStr">
        <is>
          <t xml:space="preserve">Why temperature stays NASA: annual mean of the 3 towns (°C) in three products</t>
        </is>
      </c>
    </row>
    <row r="32">
      <c r="A32" s="1" t="inlineStr">
        <is>
          <t xml:space="preserve">Year</t>
        </is>
      </c>
      <c r="B32" s="1" t="inlineStr">
        <is>
          <t xml:space="preserve">NASA T2M (used)</t>
        </is>
      </c>
      <c r="C32" s="1" t="inlineStr">
        <is>
          <t xml:space="preserve">GHCN_CAMS stations</t>
        </is>
      </c>
      <c r="D32" s="1" t="inlineStr">
        <is>
          <t xml:space="preserve">CPC stations (Tmax+Tmin)/2</t>
        </is>
      </c>
      <c r="E32" s="1" t="inlineStr">
        <is>
          <t xml:space="preserve">ONI Nov–Jan</t>
        </is>
      </c>
    </row>
    <row r="33">
      <c r="A33">
        <v>2005</v>
      </c>
      <c r="B33">
        <v>22.49</v>
      </c>
      <c r="C33">
        <v>22.96</v>
      </c>
      <c r="D33">
        <v>22.94</v>
      </c>
      <c r="E33">
        <v>-0.82</v>
      </c>
    </row>
    <row r="34">
      <c r="A34">
        <v>2006</v>
      </c>
      <c r="B34">
        <v>22.07</v>
      </c>
      <c r="C34">
        <v>22.77</v>
      </c>
      <c r="D34">
        <v>22.43</v>
      </c>
      <c r="E34">
        <v>0.88</v>
      </c>
    </row>
    <row r="35">
      <c r="A35">
        <v>2007</v>
      </c>
      <c r="B35">
        <v>21.91</v>
      </c>
      <c r="C35">
        <v>22.49</v>
      </c>
      <c r="D35">
        <v>21.56</v>
      </c>
      <c r="E35">
        <v>-1.72</v>
      </c>
    </row>
    <row r="36">
      <c r="A36">
        <v>2008</v>
      </c>
      <c r="B36">
        <v>21.53</v>
      </c>
      <c r="C36">
        <v>22.32</v>
      </c>
      <c r="D36">
        <v>21.27</v>
      </c>
      <c r="E36">
        <v>-0.79</v>
      </c>
    </row>
    <row r="37">
      <c r="A37">
        <v>2009</v>
      </c>
      <c r="B37">
        <v>21.6</v>
      </c>
      <c r="C37">
        <v>22.65</v>
      </c>
      <c r="D37">
        <v>22.58</v>
      </c>
      <c r="E37">
        <v>1.5</v>
      </c>
    </row>
    <row r="38">
      <c r="A38">
        <v>2010</v>
      </c>
      <c r="B38">
        <v>21.61</v>
      </c>
      <c r="C38">
        <v>22.44</v>
      </c>
      <c r="D38">
        <v>22.11</v>
      </c>
      <c r="E38">
        <v>-1.48</v>
      </c>
    </row>
    <row r="39">
      <c r="A39">
        <v>2011</v>
      </c>
      <c r="B39">
        <v>21.65</v>
      </c>
      <c r="C39">
        <v>22.42</v>
      </c>
      <c r="D39">
        <v>22.46</v>
      </c>
      <c r="E39">
        <v>-0.92</v>
      </c>
    </row>
    <row r="40">
      <c r="A40">
        <v>2012</v>
      </c>
      <c r="B40">
        <v>21.54</v>
      </c>
      <c r="C40">
        <v>22.55</v>
      </c>
      <c r="D40">
        <v>21.28</v>
      </c>
      <c r="E40">
        <v>-0.03</v>
      </c>
    </row>
    <row r="41">
      <c r="A41">
        <v>2013</v>
      </c>
      <c r="B41">
        <v>22.07</v>
      </c>
      <c r="C41">
        <v>22.67</v>
      </c>
      <c r="D41">
        <v>22.19</v>
      </c>
      <c r="E41">
        <v>-0.11</v>
      </c>
    </row>
    <row r="42">
      <c r="A42">
        <v>2014</v>
      </c>
      <c r="B42">
        <v>21.94</v>
      </c>
      <c r="C42">
        <v>21.69</v>
      </c>
      <c r="D42">
        <v>22.47</v>
      </c>
      <c r="E42">
        <v>0.8</v>
      </c>
    </row>
    <row r="43">
      <c r="A43">
        <v>2015</v>
      </c>
      <c r="B43">
        <v>22.39</v>
      </c>
      <c r="C43">
        <v>22.11</v>
      </c>
      <c r="D43">
        <v>22.44</v>
      </c>
      <c r="E43">
        <v>2.59</v>
      </c>
    </row>
    <row r="44">
      <c r="A44">
        <v>2016</v>
      </c>
      <c r="B44">
        <v>22.46</v>
      </c>
      <c r="C44">
        <v>21.88</v>
      </c>
      <c r="D44">
        <v>22.68</v>
      </c>
      <c r="E44">
        <v>-0.37</v>
      </c>
    </row>
    <row r="45">
      <c r="A45">
        <v>2017</v>
      </c>
      <c r="B45">
        <v>21.95</v>
      </c>
      <c r="C45">
        <v>21.76</v>
      </c>
      <c r="D45">
        <v>22.87</v>
      </c>
      <c r="E45">
        <v>-0.76</v>
      </c>
    </row>
    <row r="46">
      <c r="A46">
        <v>2018</v>
      </c>
      <c r="B46">
        <v>22.08</v>
      </c>
      <c r="C46">
        <v>21.49</v>
      </c>
      <c r="D46">
        <v>23.05</v>
      </c>
      <c r="E46">
        <v>1.05</v>
      </c>
    </row>
    <row r="47">
      <c r="A47">
        <v>2019</v>
      </c>
      <c r="B47">
        <v>23.02</v>
      </c>
      <c r="C47">
        <v>21.93</v>
      </c>
      <c r="D47">
        <v>23.75</v>
      </c>
      <c r="E47">
        <v>0.75</v>
      </c>
    </row>
    <row r="48">
      <c r="A48">
        <v>2020</v>
      </c>
      <c r="B48">
        <v>22.64</v>
      </c>
      <c r="C48">
        <v>21.61</v>
      </c>
      <c r="D48">
        <v>23.9</v>
      </c>
      <c r="E48">
        <v>-1.06</v>
      </c>
    </row>
    <row r="49">
      <c r="A49">
        <v>2021</v>
      </c>
      <c r="B49">
        <v>21.6</v>
      </c>
      <c r="C49">
        <v>21.4</v>
      </c>
      <c r="D49">
        <v>23.82</v>
      </c>
      <c r="E49">
        <v>-0.83</v>
      </c>
    </row>
    <row r="50">
      <c r="A50">
        <v>2022</v>
      </c>
      <c r="B50">
        <v>21.54</v>
      </c>
      <c r="C50">
        <v>20.84</v>
      </c>
      <c r="D50">
        <v>23.43</v>
      </c>
      <c r="E50">
        <v>-0.7</v>
      </c>
    </row>
    <row r="51">
      <c r="A51">
        <v>2023</v>
      </c>
      <c r="B51">
        <v>22.7</v>
      </c>
      <c r="C51">
        <v>21.75</v>
      </c>
      <c r="D51">
        <v>24.25</v>
      </c>
      <c r="E51">
        <v>1.99</v>
      </c>
    </row>
    <row r="52">
      <c r="A52">
        <v>2024</v>
      </c>
      <c r="B52">
        <v>23.12</v>
      </c>
      <c r="C52">
        <v>21.89</v>
      </c>
      <c r="D52">
        <v>24.61</v>
      </c>
      <c r="E52">
        <v>-0.43</v>
      </c>
    </row>
    <row r="53">
      <c r="A53">
        <v>2025</v>
      </c>
      <c r="B53">
        <v>22.57</v>
      </c>
      <c r="C53">
        <v>22.19</v>
      </c>
      <c r="D53">
        <v>24.51</v>
      </c>
      <c r="E53">
        <v>-0.6</v>
      </c>
    </row>
    <row r="54">
      <c r="A54" s="34" t="inlineStr">
        <is>
          <t xml:space="preserve">GHCN_CAMS drops 0.8 °C in one step in 2014 and stays low while the region warms; CPC rises 2 °C in ten years. Both follow changes in the few stations of western Honduras. NASA shows cool La Niña years (2008, 2011–2012, 2021–2022) and warm El Niño years (2015, 2019, 2023–2024): it is the most consistent of the three. Caution: from March 2025, NASA temperatures step down against the station grids (seen in all 5 Indonesian towns too, about −0.4 °C there), so 2025/26 and 2026/27 may read cool.</t>
        </is>
      </c>
    </row>
    <row r="57">
      <c r="A57" s="23" t="inlineStr">
        <is>
          <t xml:space="preserve">Rain breaks found in the September 2026 review: each product as % of its own 2005–2019 normal (same months)</t>
        </is>
      </c>
    </row>
    <row r="58">
      <c r="A58" s="1" t="inlineStr">
        <is>
          <t xml:space="preserve">Town, year</t>
        </is>
      </c>
      <c r="B58" s="1" t="inlineStr">
        <is>
          <t xml:space="preserve">CPC (raw)</t>
        </is>
      </c>
      <c r="C58" s="1" t="inlineStr">
        <is>
          <t xml:space="preserve">GPCC</t>
        </is>
      </c>
      <c r="D58" s="1" t="inlineStr">
        <is>
          <t xml:space="preserve">NASA</t>
        </is>
      </c>
      <c r="E58" s="1" t="inlineStr">
        <is>
          <t xml:space="preserve">Reading</t>
        </is>
      </c>
    </row>
    <row r="59">
      <c r="A59" t="inlineStr">
        <is>
          <t xml:space="preserve">Comayagua 2018</t>
        </is>
      </c>
      <c r="B59">
        <v>0.87</v>
      </c>
      <c r="C59">
        <v>0.82</v>
      </c>
      <c r="D59">
        <v>0.84</v>
      </c>
      <c r="E59" t="inlineStr">
        <is>
          <t xml:space="preserve"/>
        </is>
      </c>
    </row>
    <row r="60">
      <c r="A60" t="inlineStr">
        <is>
          <t xml:space="preserve">Comayagua 2019</t>
        </is>
      </c>
      <c r="B60">
        <v>0.91</v>
      </c>
      <c r="C60">
        <v>0.74</v>
      </c>
      <c r="D60">
        <v>0.8</v>
      </c>
      <c r="E60" t="inlineStr">
        <is>
          <t xml:space="preserve"/>
        </is>
      </c>
    </row>
    <row r="61">
      <c r="A61" t="inlineStr">
        <is>
          <t xml:space="preserve">Comayagua 2020</t>
        </is>
      </c>
      <c r="B61">
        <v>1.18</v>
      </c>
      <c r="C61">
        <v>1.22</v>
      </c>
      <c r="D61">
        <v>1.73</v>
      </c>
      <c r="E61" t="inlineStr">
        <is>
          <t xml:space="preserve"/>
        </is>
      </c>
    </row>
    <row r="62">
      <c r="A62" t="inlineStr">
        <is>
          <t xml:space="preserve">Comayagua 2021</t>
        </is>
      </c>
      <c r="B62">
        <v>1.06</v>
      </c>
      <c r="C62">
        <v>0.82</v>
      </c>
      <c r="D62">
        <v>1.79</v>
      </c>
      <c r="E62" t="inlineStr">
        <is>
          <t xml:space="preserve"/>
        </is>
      </c>
    </row>
    <row r="63">
      <c r="A63" t="inlineStr">
        <is>
          <t xml:space="preserve">Comayagua 2022</t>
        </is>
      </c>
      <c r="B63">
        <v>1.3</v>
      </c>
      <c r="C63">
        <v>1.04</v>
      </c>
      <c r="D63">
        <v>1.78</v>
      </c>
      <c r="E63" t="inlineStr">
        <is>
          <t xml:space="preserve"/>
        </is>
      </c>
    </row>
    <row r="64">
      <c r="A64" t="inlineStr">
        <is>
          <t xml:space="preserve">Comayagua 2023</t>
        </is>
      </c>
      <c r="B64">
        <v>0.89</v>
      </c>
      <c r="C64">
        <v>0.84</v>
      </c>
      <c r="D64">
        <v>1.17</v>
      </c>
      <c r="E64" t="inlineStr">
        <is>
          <t xml:space="preserve"/>
        </is>
      </c>
    </row>
    <row r="65">
      <c r="A65" t="inlineStr">
        <is>
          <t xml:space="preserve">Comayagua 2024</t>
        </is>
      </c>
      <c r="B65">
        <v>1.15</v>
      </c>
      <c r="C65">
        <v>0.98</v>
      </c>
      <c r="D65">
        <v>1.61</v>
      </c>
      <c r="E65" t="inlineStr">
        <is>
          <t xml:space="preserve"/>
        </is>
      </c>
    </row>
    <row r="66">
      <c r="A66" t="inlineStr">
        <is>
          <t xml:space="preserve">Comayagua 2025</t>
        </is>
      </c>
      <c r="B66">
        <v>1.21</v>
      </c>
      <c r="C66">
        <v>0.98</v>
      </c>
      <c r="D66">
        <v>1.23</v>
      </c>
      <c r="E66" t="inlineStr">
        <is>
          <t xml:space="preserve"/>
        </is>
      </c>
    </row>
    <row r="67">
      <c r="A67" t="inlineStr">
        <is>
          <t xml:space="preserve">Comayagua 2026</t>
        </is>
      </c>
      <c r="B67">
        <v>1.39</v>
      </c>
      <c r="C67">
        <v>0.64</v>
      </c>
      <c r="D67">
        <v>1.38</v>
      </c>
      <c r="E67" t="inlineStr">
        <is>
          <t xml:space="preserve">8 months</t>
        </is>
      </c>
    </row>
    <row r="68">
      <c r="A68" t="inlineStr">
        <is>
          <t xml:space="preserve">Ocotepeque 2018</t>
        </is>
      </c>
      <c r="B68">
        <v>1.07</v>
      </c>
      <c r="C68">
        <v>0.79</v>
      </c>
      <c r="D68">
        <v>0.91</v>
      </c>
      <c r="E68" t="inlineStr">
        <is>
          <t xml:space="preserve"/>
        </is>
      </c>
    </row>
    <row r="69">
      <c r="A69" t="inlineStr">
        <is>
          <t xml:space="preserve">Ocotepeque 2019</t>
        </is>
      </c>
      <c r="B69">
        <v>1.03</v>
      </c>
      <c r="C69">
        <v>0.92</v>
      </c>
      <c r="D69">
        <v>0.99</v>
      </c>
      <c r="E69" t="inlineStr">
        <is>
          <t xml:space="preserve"/>
        </is>
      </c>
    </row>
    <row r="70">
      <c r="A70" t="inlineStr">
        <is>
          <t xml:space="preserve">Ocotepeque 2020</t>
        </is>
      </c>
      <c r="B70">
        <v>1.15</v>
      </c>
      <c r="C70">
        <v>1.2</v>
      </c>
      <c r="D70">
        <v>1.29</v>
      </c>
      <c r="E70" t="inlineStr">
        <is>
          <t xml:space="preserve"/>
        </is>
      </c>
    </row>
    <row r="71">
      <c r="A71" t="inlineStr">
        <is>
          <t xml:space="preserve">Ocotepeque 2021</t>
        </is>
      </c>
      <c r="B71">
        <v>0.96</v>
      </c>
      <c r="C71">
        <v>0.76</v>
      </c>
      <c r="D71">
        <v>1.6</v>
      </c>
      <c r="E71" t="inlineStr">
        <is>
          <t xml:space="preserve"/>
        </is>
      </c>
    </row>
    <row r="72">
      <c r="A72" t="inlineStr">
        <is>
          <t xml:space="preserve">Ocotepeque 2022</t>
        </is>
      </c>
      <c r="B72">
        <v>1.1</v>
      </c>
      <c r="C72">
        <v>1.12</v>
      </c>
      <c r="D72">
        <v>1.94</v>
      </c>
      <c r="E72" t="inlineStr">
        <is>
          <t xml:space="preserve"/>
        </is>
      </c>
    </row>
    <row r="73">
      <c r="A73" t="inlineStr">
        <is>
          <t xml:space="preserve">Ocotepeque 2023</t>
        </is>
      </c>
      <c r="B73">
        <v>0.78</v>
      </c>
      <c r="C73">
        <v>0.66</v>
      </c>
      <c r="D73">
        <v>1.13</v>
      </c>
      <c r="E73" t="inlineStr">
        <is>
          <t xml:space="preserve"/>
        </is>
      </c>
    </row>
    <row r="74">
      <c r="A74" t="inlineStr">
        <is>
          <t xml:space="preserve">Ocotepeque 2024</t>
        </is>
      </c>
      <c r="B74">
        <v>0.73</v>
      </c>
      <c r="C74">
        <v>0.9</v>
      </c>
      <c r="D74">
        <v>1.08</v>
      </c>
      <c r="E74" t="inlineStr">
        <is>
          <t xml:space="preserve"/>
        </is>
      </c>
    </row>
    <row r="75">
      <c r="A75" t="inlineStr">
        <is>
          <t xml:space="preserve">Ocotepeque 2025</t>
        </is>
      </c>
      <c r="B75">
        <v>0.91</v>
      </c>
      <c r="C75">
        <v>1.09</v>
      </c>
      <c r="D75">
        <v>0.78</v>
      </c>
      <c r="E75" t="inlineStr">
        <is>
          <t xml:space="preserve"/>
        </is>
      </c>
    </row>
    <row r="76">
      <c r="A76" t="inlineStr">
        <is>
          <t xml:space="preserve">Ocotepeque 2026</t>
        </is>
      </c>
      <c r="B76">
        <v>0.33</v>
      </c>
      <c r="C76">
        <v>0.63</v>
      </c>
      <c r="D76">
        <v>0.36</v>
      </c>
      <c r="E76" t="inlineStr">
        <is>
          <t xml:space="preserve">8 months</t>
        </is>
      </c>
    </row>
    <row r="77">
      <c r="A77" t="inlineStr">
        <is>
          <t xml:space="preserve">Copán 2018</t>
        </is>
      </c>
      <c r="B77">
        <v>0.77</v>
      </c>
      <c r="C77">
        <v>0.76</v>
      </c>
      <c r="D77">
        <v>0.68</v>
      </c>
      <c r="E77" t="inlineStr">
        <is>
          <t xml:space="preserve"/>
        </is>
      </c>
    </row>
    <row r="78">
      <c r="A78" t="inlineStr">
        <is>
          <t xml:space="preserve">Copán 2019</t>
        </is>
      </c>
      <c r="B78">
        <v>1.04</v>
      </c>
      <c r="C78">
        <v>0.91</v>
      </c>
      <c r="D78">
        <v>0.75</v>
      </c>
      <c r="E78" t="inlineStr">
        <is>
          <t xml:space="preserve"/>
        </is>
      </c>
    </row>
    <row r="79">
      <c r="A79" t="inlineStr">
        <is>
          <t xml:space="preserve">Copán 2020</t>
        </is>
      </c>
      <c r="B79">
        <v>1.44</v>
      </c>
      <c r="C79">
        <v>1.17</v>
      </c>
      <c r="D79">
        <v>1.3</v>
      </c>
      <c r="E79" t="inlineStr">
        <is>
          <t xml:space="preserve"/>
        </is>
      </c>
    </row>
    <row r="80">
      <c r="A80" t="inlineStr">
        <is>
          <t xml:space="preserve">Copán 2021</t>
        </is>
      </c>
      <c r="B80">
        <v>1.13</v>
      </c>
      <c r="C80">
        <v>0.9</v>
      </c>
      <c r="D80">
        <v>1.63</v>
      </c>
      <c r="E80" t="inlineStr">
        <is>
          <t xml:space="preserve"/>
        </is>
      </c>
    </row>
    <row r="81">
      <c r="A81" t="inlineStr">
        <is>
          <t xml:space="preserve">Copán 2022</t>
        </is>
      </c>
      <c r="B81">
        <v>1.45</v>
      </c>
      <c r="C81">
        <v>1.15</v>
      </c>
      <c r="D81">
        <v>1.89</v>
      </c>
      <c r="E81" t="inlineStr">
        <is>
          <t xml:space="preserve"/>
        </is>
      </c>
    </row>
    <row r="82">
      <c r="A82" t="inlineStr">
        <is>
          <t xml:space="preserve">Copán 2023</t>
        </is>
      </c>
      <c r="B82">
        <v>0.83</v>
      </c>
      <c r="C82">
        <v>0.77</v>
      </c>
      <c r="D82">
        <v>1.11</v>
      </c>
      <c r="E82" t="inlineStr">
        <is>
          <t xml:space="preserve"/>
        </is>
      </c>
    </row>
    <row r="83">
      <c r="A83" s="35" t="inlineStr">
        <is>
          <t xml:space="preserve">Copán 2024</t>
        </is>
      </c>
      <c r="B83" s="35">
        <v>0.49</v>
      </c>
      <c r="C83" s="35">
        <v>0.92</v>
      </c>
      <c r="D83" s="35">
        <v>1.22</v>
      </c>
      <c r="E83" s="35" t="inlineStr">
        <is>
          <t xml:space="preserve">CPC far below both others: gauge lost, replaced</t>
        </is>
      </c>
    </row>
    <row r="84">
      <c r="A84" s="35" t="inlineStr">
        <is>
          <t xml:space="preserve">Copán 2025</t>
        </is>
      </c>
      <c r="B84" s="35">
        <v>0.41</v>
      </c>
      <c r="C84" s="35">
        <v>1.03</v>
      </c>
      <c r="D84" s="35">
        <v>0.75</v>
      </c>
      <c r="E84" s="35" t="inlineStr">
        <is>
          <t xml:space="preserve">CPC far below both others: gauge lost, replaced</t>
        </is>
      </c>
    </row>
    <row r="85">
      <c r="A85" s="35" t="inlineStr">
        <is>
          <t xml:space="preserve">Copán 2026</t>
        </is>
      </c>
      <c r="B85" s="35">
        <v>0.26</v>
      </c>
      <c r="C85" s="35">
        <v>0.73</v>
      </c>
      <c r="D85" s="35">
        <v>0.74</v>
      </c>
      <c r="E85" s="35" t="inlineStr">
        <is>
          <t xml:space="preserve">CPC far below both others: gauge lost, replaced; 8 months</t>
        </is>
      </c>
    </row>
    <row r="87">
      <c r="A87" s="23" t="inlineStr">
        <is>
          <t xml:space="preserve">Copán months replaced (Monthly sheet, blue on yellow): value used = GPCC × (CPC ÷ GPCC of the same calendar month, 2005–2019)</t>
        </is>
      </c>
    </row>
    <row r="88">
      <c r="A88" s="1" t="inlineStr">
        <is>
          <t xml:space="preserve">Month</t>
        </is>
      </c>
      <c r="B88" s="1" t="inlineStr">
        <is>
          <t xml:space="preserve">CPC raw (mm)</t>
        </is>
      </c>
      <c r="C88" s="1" t="inlineStr">
        <is>
          <t xml:space="preserve">GPCC (mm)</t>
        </is>
      </c>
      <c r="D88" s="1" t="inlineStr">
        <is>
          <t xml:space="preserve">Factor</t>
        </is>
      </c>
      <c r="E88" s="1" t="inlineStr">
        <is>
          <t xml:space="preserve">Value used (mm)</t>
        </is>
      </c>
    </row>
    <row r="89">
      <c r="A89" t="inlineStr">
        <is>
          <t xml:space="preserve">Copan 2024-01</t>
        </is>
      </c>
      <c r="B89">
        <v>5.1</v>
      </c>
      <c r="C89">
        <v>11.5</v>
      </c>
      <c r="D89">
        <v>1.32</v>
      </c>
      <c r="E89">
        <v>15.2</v>
      </c>
    </row>
    <row r="90">
      <c r="A90" t="inlineStr">
        <is>
          <t xml:space="preserve">Copan 2024-02</t>
        </is>
      </c>
      <c r="B90">
        <v>2.4</v>
      </c>
      <c r="C90">
        <v>7.1</v>
      </c>
      <c r="D90">
        <v>1.262</v>
      </c>
      <c r="E90">
        <v>8.9</v>
      </c>
    </row>
    <row r="91">
      <c r="A91" t="inlineStr">
        <is>
          <t xml:space="preserve">Copan 2024-03</t>
        </is>
      </c>
      <c r="B91">
        <v>1.1</v>
      </c>
      <c r="C91">
        <v>3.6</v>
      </c>
      <c r="D91">
        <v>1.095</v>
      </c>
      <c r="E91">
        <v>3.9</v>
      </c>
    </row>
    <row r="92">
      <c r="A92" t="inlineStr">
        <is>
          <t xml:space="preserve">Copan 2024-04</t>
        </is>
      </c>
      <c r="B92">
        <v>23.9</v>
      </c>
      <c r="C92">
        <v>28.0</v>
      </c>
      <c r="D92">
        <v>0.912</v>
      </c>
      <c r="E92">
        <v>25.5</v>
      </c>
    </row>
    <row r="93">
      <c r="A93" t="inlineStr">
        <is>
          <t xml:space="preserve">Copan 2024-05</t>
        </is>
      </c>
      <c r="B93">
        <v>25.5</v>
      </c>
      <c r="C93">
        <v>41.9</v>
      </c>
      <c r="D93">
        <v>0.993</v>
      </c>
      <c r="E93">
        <v>41.5</v>
      </c>
    </row>
    <row r="94">
      <c r="A94" t="inlineStr">
        <is>
          <t xml:space="preserve">Copan 2024-06</t>
        </is>
      </c>
      <c r="B94">
        <v>180.5</v>
      </c>
      <c r="C94">
        <v>326.0</v>
      </c>
      <c r="D94">
        <v>1.046</v>
      </c>
      <c r="E94">
        <v>341.1</v>
      </c>
    </row>
    <row r="95">
      <c r="A95" t="inlineStr">
        <is>
          <t xml:space="preserve">Copan 2024-07</t>
        </is>
      </c>
      <c r="B95">
        <v>91.2</v>
      </c>
      <c r="C95">
        <v>210.8</v>
      </c>
      <c r="D95">
        <v>0.96</v>
      </c>
      <c r="E95">
        <v>202.3</v>
      </c>
    </row>
    <row r="96">
      <c r="A96" t="inlineStr">
        <is>
          <t xml:space="preserve">Copan 2024-08</t>
        </is>
      </c>
      <c r="B96">
        <v>107.3</v>
      </c>
      <c r="C96">
        <v>155.4</v>
      </c>
      <c r="D96">
        <v>0.987</v>
      </c>
      <c r="E96">
        <v>153.4</v>
      </c>
    </row>
    <row r="97">
      <c r="A97" t="inlineStr">
        <is>
          <t xml:space="preserve">Copan 2024-09</t>
        </is>
      </c>
      <c r="B97">
        <v>121.2</v>
      </c>
      <c r="C97">
        <v>274.2</v>
      </c>
      <c r="D97">
        <v>0.985</v>
      </c>
      <c r="E97">
        <v>270.3</v>
      </c>
    </row>
    <row r="98">
      <c r="A98" t="inlineStr">
        <is>
          <t xml:space="preserve">Copan 2024-10</t>
        </is>
      </c>
      <c r="B98">
        <v>34.9</v>
      </c>
      <c r="C98">
        <v>70.5</v>
      </c>
      <c r="D98">
        <v>0.989</v>
      </c>
      <c r="E98">
        <v>69.7</v>
      </c>
    </row>
    <row r="99">
      <c r="A99" t="inlineStr">
        <is>
          <t xml:space="preserve">Copan 2024-11</t>
        </is>
      </c>
      <c r="B99">
        <v>86.0</v>
      </c>
      <c r="C99">
        <v>163.7</v>
      </c>
      <c r="D99">
        <v>0.954</v>
      </c>
      <c r="E99">
        <v>156.1</v>
      </c>
    </row>
    <row r="100">
      <c r="A100" t="inlineStr">
        <is>
          <t xml:space="preserve">Copan 2024-12</t>
        </is>
      </c>
      <c r="B100">
        <v>39.4</v>
      </c>
      <c r="C100">
        <v>48.6</v>
      </c>
      <c r="D100">
        <v>1.476</v>
      </c>
      <c r="E100">
        <v>71.7</v>
      </c>
    </row>
    <row r="101">
      <c r="A101" t="inlineStr">
        <is>
          <t xml:space="preserve">Copan 2025-01</t>
        </is>
      </c>
      <c r="B101">
        <v>24.5</v>
      </c>
      <c r="C101">
        <v>28.6</v>
      </c>
      <c r="D101">
        <v>1.32</v>
      </c>
      <c r="E101">
        <v>37.7</v>
      </c>
    </row>
    <row r="102">
      <c r="A102" t="inlineStr">
        <is>
          <t xml:space="preserve">Copan 2025-02</t>
        </is>
      </c>
      <c r="B102">
        <v>6.6</v>
      </c>
      <c r="C102">
        <v>15.6</v>
      </c>
      <c r="D102">
        <v>1.262</v>
      </c>
      <c r="E102">
        <v>19.6</v>
      </c>
    </row>
    <row r="103">
      <c r="A103" t="inlineStr">
        <is>
          <t xml:space="preserve">Copan 2025-03</t>
        </is>
      </c>
      <c r="B103">
        <v>6.9</v>
      </c>
      <c r="C103">
        <v>13.3</v>
      </c>
      <c r="D103">
        <v>1.095</v>
      </c>
      <c r="E103">
        <v>14.6</v>
      </c>
    </row>
    <row r="104">
      <c r="A104" t="inlineStr">
        <is>
          <t xml:space="preserve">Copan 2025-04</t>
        </is>
      </c>
      <c r="B104">
        <v>22.2</v>
      </c>
      <c r="C104">
        <v>39.6</v>
      </c>
      <c r="D104">
        <v>0.912</v>
      </c>
      <c r="E104">
        <v>36.1</v>
      </c>
    </row>
    <row r="105">
      <c r="A105" t="inlineStr">
        <is>
          <t xml:space="preserve">Copan 2025-05</t>
        </is>
      </c>
      <c r="B105">
        <v>41.4</v>
      </c>
      <c r="C105">
        <v>81.5</v>
      </c>
      <c r="D105">
        <v>0.993</v>
      </c>
      <c r="E105">
        <v>80.9</v>
      </c>
    </row>
    <row r="106">
      <c r="A106" t="inlineStr">
        <is>
          <t xml:space="preserve">Copan 2025-06</t>
        </is>
      </c>
      <c r="B106">
        <v>166.1</v>
      </c>
      <c r="C106">
        <v>392.1</v>
      </c>
      <c r="D106">
        <v>1.046</v>
      </c>
      <c r="E106">
        <v>410.3</v>
      </c>
    </row>
    <row r="107">
      <c r="A107" t="inlineStr">
        <is>
          <t xml:space="preserve">Copan 2025-07</t>
        </is>
      </c>
      <c r="B107">
        <v>65.3</v>
      </c>
      <c r="C107">
        <v>193.5</v>
      </c>
      <c r="D107">
        <v>0.96</v>
      </c>
      <c r="E107">
        <v>185.7</v>
      </c>
    </row>
    <row r="108">
      <c r="A108" t="inlineStr">
        <is>
          <t xml:space="preserve">Copan 2025-08</t>
        </is>
      </c>
      <c r="B108">
        <v>50.1</v>
      </c>
      <c r="C108">
        <v>157.1</v>
      </c>
      <c r="D108">
        <v>0.987</v>
      </c>
      <c r="E108">
        <v>155.0</v>
      </c>
    </row>
    <row r="109">
      <c r="A109" t="inlineStr">
        <is>
          <t xml:space="preserve">Copan 2025-09</t>
        </is>
      </c>
      <c r="B109">
        <v>71.3</v>
      </c>
      <c r="C109">
        <v>309.4</v>
      </c>
      <c r="D109">
        <v>0.985</v>
      </c>
      <c r="E109">
        <v>304.9</v>
      </c>
    </row>
    <row r="110">
      <c r="A110" t="inlineStr">
        <is>
          <t xml:space="preserve">Copan 2025-10</t>
        </is>
      </c>
      <c r="B110">
        <v>90.8</v>
      </c>
      <c r="C110">
        <v>192.8</v>
      </c>
      <c r="D110">
        <v>0.989</v>
      </c>
      <c r="E110">
        <v>190.6</v>
      </c>
    </row>
    <row r="111">
      <c r="A111" t="inlineStr">
        <is>
          <t xml:space="preserve">Copan 2025-11</t>
        </is>
      </c>
      <c r="B111">
        <v>20.7</v>
      </c>
      <c r="C111">
        <v>38.7</v>
      </c>
      <c r="D111">
        <v>0.954</v>
      </c>
      <c r="E111">
        <v>36.9</v>
      </c>
    </row>
    <row r="112">
      <c r="A112" t="inlineStr">
        <is>
          <t xml:space="preserve">Copan 2025-12</t>
        </is>
      </c>
      <c r="B112">
        <v>31.3</v>
      </c>
      <c r="C112">
        <v>42.1</v>
      </c>
      <c r="D112">
        <v>1.476</v>
      </c>
      <c r="E112">
        <v>62.1</v>
      </c>
    </row>
    <row r="113">
      <c r="A113" t="inlineStr">
        <is>
          <t xml:space="preserve">Copan 2026-01</t>
        </is>
      </c>
      <c r="B113">
        <v>7.4</v>
      </c>
      <c r="C113">
        <v>50.6</v>
      </c>
      <c r="D113">
        <v>1.32</v>
      </c>
      <c r="E113">
        <v>66.9</v>
      </c>
    </row>
    <row r="114">
      <c r="A114" t="inlineStr">
        <is>
          <t xml:space="preserve">Copan 2026-02</t>
        </is>
      </c>
      <c r="B114">
        <v>7.0</v>
      </c>
      <c r="C114">
        <v>22.0</v>
      </c>
      <c r="D114">
        <v>1.262</v>
      </c>
      <c r="E114">
        <v>27.8</v>
      </c>
    </row>
    <row r="115">
      <c r="A115" t="inlineStr">
        <is>
          <t xml:space="preserve">Copan 2026-03</t>
        </is>
      </c>
      <c r="B115">
        <v>22.4</v>
      </c>
      <c r="C115">
        <v>31.2</v>
      </c>
      <c r="D115">
        <v>1.095</v>
      </c>
      <c r="E115">
        <v>34.2</v>
      </c>
    </row>
    <row r="116">
      <c r="A116" t="inlineStr">
        <is>
          <t xml:space="preserve">Copan 2026-04</t>
        </is>
      </c>
      <c r="B116">
        <v>36.6</v>
      </c>
      <c r="C116">
        <v>62.3</v>
      </c>
      <c r="D116">
        <v>0.912</v>
      </c>
      <c r="E116">
        <v>56.8</v>
      </c>
    </row>
    <row r="117">
      <c r="A117" t="inlineStr">
        <is>
          <t xml:space="preserve">Copan 2026-05</t>
        </is>
      </c>
      <c r="B117">
        <v>55.7</v>
      </c>
      <c r="C117">
        <v>113.3</v>
      </c>
      <c r="D117">
        <v>0.993</v>
      </c>
      <c r="E117">
        <v>112.5</v>
      </c>
    </row>
    <row r="118">
      <c r="A118" t="inlineStr">
        <is>
          <t xml:space="preserve">Copan 2026-06</t>
        </is>
      </c>
      <c r="B118">
        <v>66.2</v>
      </c>
      <c r="C118">
        <v>183.8</v>
      </c>
      <c r="D118">
        <v>1.046</v>
      </c>
      <c r="E118">
        <v>192.3</v>
      </c>
    </row>
    <row r="119">
      <c r="A119" t="inlineStr">
        <is>
          <t xml:space="preserve">Copan 2026-07</t>
        </is>
      </c>
      <c r="B119">
        <v>36.5</v>
      </c>
      <c r="C119">
        <v>129.0</v>
      </c>
      <c r="D119">
        <v>0.96</v>
      </c>
      <c r="E119">
        <v>123.8</v>
      </c>
    </row>
    <row r="120">
      <c r="A120" t="inlineStr">
        <is>
          <t xml:space="preserve">Copan 2026-08</t>
        </is>
      </c>
      <c r="B120">
        <v>9.0</v>
      </c>
      <c r="C120">
        <v>70.3</v>
      </c>
      <c r="D120">
        <v>0.987</v>
      </c>
      <c r="E120">
        <v>69.3</v>
      </c>
    </row>
    <row r="121">
      <c r="A121" s="34" t="inlineStr">
        <is>
          <t xml:space="preserve">GPCC source by month: Full v2020 to 2019, Monitoring v2020 after, First Guess for 2026 (1° cell). Ocotepeque CPC also reads low in 2024 (0.81 of GPCC) and 2026, but stays inside its 2005–2023 range (0.78–1.33), so it is kept.</t>
        </is>
      </c>
    </row>
    <row r="123">
      <c r="A123" s="35" t="inlineStr">
        <is>
          <t xml:space="preserve">Suspect day: Comayagua 6 April 2026, CPC 455 mm in one day (NASA 171 mm the same day; GPCC first guess 44 mm for the whole month). Kept as delivered by CPC; it only affects the 2025/26 season, which is outside the 20-season charts.</t>
        </is>
      </c>
    </row>
  </sheetData>
</worksheet>
</file>

<file path=xl/worksheets/sheet12.xml><?xml version="1.0" encoding="utf-8"?>
<worksheet xmlns="http://schemas.openxmlformats.org/spreadsheetml/2006/main" xmlns:r="http://schemas.openxmlformats.org/officeDocument/2006/relationships">
  <sheetViews>
    <sheetView workbookViewId="0">
      <pane xSplit="1" ySplit="47" topLeftCell="B48" activePane="bottomRight" state="frozen"/>
    </sheetView>
  </sheetViews>
  <sheetFormatPr defaultRowHeight="13.2"/>
  <cols>
    <col min="1" max="1" width="11" customWidth="1"/>
    <col min="2" max="2" width="22" customWidth="1"/>
    <col min="3" max="3" width="12"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s>
  <sheetData>
    <row r="1">
      <c r="A1" s="16" t="inlineStr">
        <is>
          <t xml:space="preserve">Rain as % of normal (CPC gauges): the wet and dry years that the ENSO-season charts do not show</t>
        </is>
      </c>
    </row>
    <row r="2">
      <c r="A2" s="7" t="inlineStr">
        <is>
          <t xml:space="preserve">Normal = average of the same calendar month over 2005–2019 (Jan–Jun: 2006–2019, as the file starts in July 2005). 100 % = normal, 200 % = twice the normal. The ENSO-season charts compare La Niña seasons with other La Niña seasons; La Niña is wet in Honduras, so a very wet La Niña year does not stand out there.</t>
        </is>
      </c>
    </row>
    <row r="3">
      <c r="A3" s="23" t="inlineStr">
        <is>
          <t xml:space="preserve">Calendar year: rain as % of normal. CPC = gauge grid 0.5° used in this file; GPCC = independent gauge analysis 1° (blue, for comparison, normal 2005–2019 of GPCC itself)</t>
        </is>
      </c>
    </row>
    <row r="4">
      <c r="A4" s="1" t="inlineStr">
        <is>
          <t xml:space="preserve">Year</t>
        </is>
      </c>
      <c r="B4" s="1" t="inlineStr">
        <is>
          <t xml:space="preserve">ENSO phase of the season starting in July</t>
        </is>
      </c>
      <c r="C4" s="1" t="inlineStr">
        <is>
          <t xml:space="preserve">Comayagua rain (mm)</t>
        </is>
      </c>
      <c r="D4" s="1" t="inlineStr">
        <is>
          <t xml:space="preserve">Comayagua % of normal (CPC)</t>
        </is>
      </c>
      <c r="E4" s="1" t="inlineStr">
        <is>
          <t xml:space="preserve">Ocotepeque rain (mm)</t>
        </is>
      </c>
      <c r="F4" s="1" t="inlineStr">
        <is>
          <t xml:space="preserve">Ocotepeque % of normal (CPC)</t>
        </is>
      </c>
      <c r="G4" s="1" t="inlineStr">
        <is>
          <t xml:space="preserve">Copán rain (mm)</t>
        </is>
      </c>
      <c r="H4" s="1" t="inlineStr">
        <is>
          <t xml:space="preserve">Copán % of normal (CPC)</t>
        </is>
      </c>
      <c r="I4" s="1" t="inlineStr">
        <is>
          <t xml:space="preserve">Mean of 3 towns rain (mm)</t>
        </is>
      </c>
      <c r="J4" s="1" t="inlineStr">
        <is>
          <t xml:space="preserve">Mean of 3 towns % of normal (CPC)</t>
        </is>
      </c>
      <c r="K4" s="1" t="inlineStr">
        <is>
          <t xml:space="preserve">Comayagua % of normal (GPCC)</t>
        </is>
      </c>
      <c r="L4" s="1" t="inlineStr">
        <is>
          <t xml:space="preserve">Ocotepeque % of normal (GPCC)</t>
        </is>
      </c>
      <c r="M4" s="1" t="inlineStr">
        <is>
          <t xml:space="preserve">Copán % of normal (GPCC)</t>
        </is>
      </c>
    </row>
    <row r="5">
      <c r="A5" s="2">
        <v>2006</v>
      </c>
      <c r="B5" s="6" t="inlineStr">
        <is>
          <t xml:space="preserve">El Niño</t>
        </is>
      </c>
      <c r="C5" s="28">
        <f>SUMIFS(Monthly!$P:$P,Monthly!$B:$B,$A5)</f>
        <v>956.6480000000001</v>
      </c>
      <c r="D5" s="29">
        <f>C5/C$43</f>
        <v>0.8363912864496048</v>
      </c>
      <c r="E5" s="28">
        <f>SUMIFS(Monthly!$U:$U,Monthly!$B:$B,$A5)</f>
        <v>1113.29</v>
      </c>
      <c r="F5" s="29">
        <f>E5/D$43</f>
        <v>0.8589105739838945</v>
      </c>
      <c r="G5" s="28">
        <f>SUMIFS(Monthly!$Z:$Z,Monthly!$B:$B,$A5)</f>
        <v>1292.773</v>
      </c>
      <c r="H5" s="29">
        <f>G5/E$43</f>
        <v>0.8672864314470684</v>
      </c>
      <c r="I5" s="28">
        <f>SUMIFS(Monthly!$AE:$AE,Monthly!$B:$B,$A5)</f>
        <v>1120.9036666666666</v>
      </c>
      <c r="J5" s="29">
        <f>I5/F$43</f>
        <v>0.8555339120353047</v>
      </c>
      <c r="K5" s="30">
        <v>0.7922803230073828</v>
      </c>
      <c r="L5" s="30">
        <v>1.0090881849032896</v>
      </c>
      <c r="M5" s="30">
        <v>0.7921633793981945</v>
      </c>
    </row>
    <row r="6">
      <c r="A6" s="2">
        <v>2007</v>
      </c>
      <c r="B6" s="5" t="inlineStr">
        <is>
          <t xml:space="preserve">La Niña</t>
        </is>
      </c>
      <c r="C6" s="28">
        <f>SUMIFS(Monthly!$P:$P,Monthly!$B:$B,$A6)</f>
        <v>1159.762</v>
      </c>
      <c r="D6" s="29">
        <f>C6/C$43</f>
        <v>1.0139725700104598</v>
      </c>
      <c r="E6" s="28">
        <f>SUMIFS(Monthly!$U:$U,Monthly!$B:$B,$A6)</f>
        <v>1399.713</v>
      </c>
      <c r="F6" s="29">
        <f>E6/D$43</f>
        <v>1.0798878066296462</v>
      </c>
      <c r="G6" s="28">
        <f>SUMIFS(Monthly!$Z:$Z,Monthly!$B:$B,$A6)</f>
        <v>1562.994</v>
      </c>
      <c r="H6" s="29">
        <f>G6/E$43</f>
        <v>1.0485703898775571</v>
      </c>
      <c r="I6" s="28">
        <f>SUMIFS(Monthly!$AE:$AE,Monthly!$B:$B,$A6)</f>
        <v>1374.1563333333331</v>
      </c>
      <c r="J6" s="29">
        <f>I6/F$43</f>
        <v>1.0488299561913796</v>
      </c>
      <c r="K6" s="30">
        <v>1.031529298576503</v>
      </c>
      <c r="L6" s="30">
        <v>0.9890474290283441</v>
      </c>
      <c r="M6" s="30">
        <v>1.0485373053844438</v>
      </c>
    </row>
    <row r="7">
      <c r="A7" s="2">
        <v>2008</v>
      </c>
      <c r="B7" s="5" t="inlineStr">
        <is>
          <t xml:space="preserve">La Niña</t>
        </is>
      </c>
      <c r="C7" s="28">
        <f>SUMIFS(Monthly!$P:$P,Monthly!$B:$B,$A7)</f>
        <v>1437.5739999999998</v>
      </c>
      <c r="D7" s="31">
        <f>C7/C$43</f>
        <v>1.2568618417918649</v>
      </c>
      <c r="E7" s="28">
        <f>SUMIFS(Monthly!$U:$U,Monthly!$B:$B,$A7)</f>
        <v>1664.9349999999997</v>
      </c>
      <c r="F7" s="31">
        <f>E7/D$43</f>
        <v>1.2845083280150502</v>
      </c>
      <c r="G7" s="28">
        <f>SUMIFS(Monthly!$Z:$Z,Monthly!$B:$B,$A7)</f>
        <v>1872.982</v>
      </c>
      <c r="H7" s="31">
        <f>G7/E$43</f>
        <v>1.256532952764788</v>
      </c>
      <c r="I7" s="28">
        <f>SUMIFS(Monthly!$AE:$AE,Monthly!$B:$B,$A7)</f>
        <v>1658.4970000000003</v>
      </c>
      <c r="J7" s="31">
        <f>I7/F$43</f>
        <v>1.265854032513187</v>
      </c>
      <c r="K7" s="30">
        <v>1.2148782269206064</v>
      </c>
      <c r="L7" s="30">
        <v>1.1566900631822539</v>
      </c>
      <c r="M7" s="30">
        <v>1.2476236199112447</v>
      </c>
    </row>
    <row r="8">
      <c r="A8" s="2">
        <v>2009</v>
      </c>
      <c r="B8" s="6" t="inlineStr">
        <is>
          <t xml:space="preserve">El Niño</t>
        </is>
      </c>
      <c r="C8" s="28">
        <f>SUMIFS(Monthly!$P:$P,Monthly!$B:$B,$A8)</f>
        <v>1313.6580000000001</v>
      </c>
      <c r="D8" s="29">
        <f>C8/C$43</f>
        <v>1.1485228679460104</v>
      </c>
      <c r="E8" s="28">
        <f>SUMIFS(Monthly!$U:$U,Monthly!$B:$B,$A8)</f>
        <v>1257.151</v>
      </c>
      <c r="F8" s="29">
        <f>E8/D$43</f>
        <v>0.9699002838383773</v>
      </c>
      <c r="G8" s="28">
        <f>SUMIFS(Monthly!$Z:$Z,Monthly!$B:$B,$A8)</f>
        <v>1357.2379999999998</v>
      </c>
      <c r="H8" s="29">
        <f>G8/E$43</f>
        <v>0.9105342559322914</v>
      </c>
      <c r="I8" s="28">
        <f>SUMIFS(Monthly!$AE:$AE,Monthly!$B:$B,$A8)</f>
        <v>1309.349</v>
      </c>
      <c r="J8" s="29">
        <f>I8/F$43</f>
        <v>0.9993655168608134</v>
      </c>
      <c r="K8" s="30">
        <v>0.9800804291903404</v>
      </c>
      <c r="L8" s="30">
        <v>1.0497933558492893</v>
      </c>
      <c r="M8" s="30">
        <v>1.0487505261738836</v>
      </c>
    </row>
    <row r="9">
      <c r="A9" s="2">
        <v>2010</v>
      </c>
      <c r="B9" s="5" t="inlineStr">
        <is>
          <t xml:space="preserve">La Niña</t>
        </is>
      </c>
      <c r="C9" s="28">
        <f>SUMIFS(Monthly!$P:$P,Monthly!$B:$B,$A9)</f>
        <v>1501.537</v>
      </c>
      <c r="D9" s="31">
        <f>C9/C$43</f>
        <v>1.3127842875139866</v>
      </c>
      <c r="E9" s="28">
        <f>SUMIFS(Monthly!$U:$U,Monthly!$B:$B,$A9)</f>
        <v>1323.4740000000002</v>
      </c>
      <c r="F9" s="29">
        <f>E9/D$43</f>
        <v>1.0210689155500912</v>
      </c>
      <c r="G9" s="28">
        <f>SUMIFS(Monthly!$Z:$Z,Monthly!$B:$B,$A9)</f>
        <v>1528.464</v>
      </c>
      <c r="H9" s="29">
        <f>G9/E$43</f>
        <v>1.0254051470407504</v>
      </c>
      <c r="I9" s="28">
        <f>SUMIFS(Monthly!$AE:$AE,Monthly!$B:$B,$A9)</f>
        <v>1451.158333333333</v>
      </c>
      <c r="J9" s="29">
        <f>I9/F$43</f>
        <v>1.1076020204227772</v>
      </c>
      <c r="K9" s="30">
        <v>1.2400893462121723</v>
      </c>
      <c r="L9" s="30">
        <v>1.0892512084030725</v>
      </c>
      <c r="M9" s="30">
        <v>1.1124897860363767</v>
      </c>
    </row>
    <row r="10">
      <c r="A10" s="2">
        <v>2011</v>
      </c>
      <c r="B10" s="5" t="inlineStr">
        <is>
          <t xml:space="preserve">La Niña</t>
        </is>
      </c>
      <c r="C10" s="28">
        <f>SUMIFS(Monthly!$P:$P,Monthly!$B:$B,$A10)</f>
        <v>1483.403</v>
      </c>
      <c r="D10" s="31">
        <f>C10/C$43</f>
        <v>1.2969298461850158</v>
      </c>
      <c r="E10" s="28">
        <f>SUMIFS(Monthly!$U:$U,Monthly!$B:$B,$A10)</f>
        <v>1590.7410000000002</v>
      </c>
      <c r="F10" s="31">
        <f>E10/D$43</f>
        <v>1.2272671679164588</v>
      </c>
      <c r="G10" s="28">
        <f>SUMIFS(Monthly!$Z:$Z,Monthly!$B:$B,$A10)</f>
        <v>1850.685</v>
      </c>
      <c r="H10" s="31">
        <f>G10/E$43</f>
        <v>1.2415744986804473</v>
      </c>
      <c r="I10" s="28">
        <f>SUMIFS(Monthly!$AE:$AE,Monthly!$B:$B,$A10)</f>
        <v>1641.6096666666665</v>
      </c>
      <c r="J10" s="31">
        <f>I10/F$43</f>
        <v>1.2529647122440548</v>
      </c>
      <c r="K10" s="30">
        <v>1.1912510522965734</v>
      </c>
      <c r="L10" s="30">
        <v>1.180001227036792</v>
      </c>
      <c r="M10" s="30">
        <v>1.3376578177746352</v>
      </c>
    </row>
    <row r="11">
      <c r="A11" s="2">
        <v>2012</v>
      </c>
      <c r="B11" s="21" t="inlineStr">
        <is>
          <t xml:space="preserve">Neutral</t>
        </is>
      </c>
      <c r="C11" s="28">
        <f>SUMIFS(Monthly!$P:$P,Monthly!$B:$B,$A11)</f>
        <v>1137.3460000000002</v>
      </c>
      <c r="D11" s="29">
        <f>C11/C$43</f>
        <v>0.9943744032061033</v>
      </c>
      <c r="E11" s="28">
        <f>SUMIFS(Monthly!$U:$U,Monthly!$B:$B,$A11)</f>
        <v>1274.9789999999998</v>
      </c>
      <c r="F11" s="29">
        <f>E11/D$43</f>
        <v>0.9836547033633749</v>
      </c>
      <c r="G11" s="28">
        <f>SUMIFS(Monthly!$Z:$Z,Monthly!$B:$B,$A11)</f>
        <v>1520.0099999999998</v>
      </c>
      <c r="H11" s="29">
        <f>G11/E$43</f>
        <v>1.0197335871524686</v>
      </c>
      <c r="I11" s="28">
        <f>SUMIFS(Monthly!$AE:$AE,Monthly!$B:$B,$A11)</f>
        <v>1310.7783333333334</v>
      </c>
      <c r="J11" s="29">
        <f>I11/F$43</f>
        <v>1.0004564608684334</v>
      </c>
      <c r="K11" s="30">
        <v>1.0438122028270478</v>
      </c>
      <c r="L11" s="30">
        <v>1.0356013063378477</v>
      </c>
      <c r="M11" s="30">
        <v>1.1140029658324</v>
      </c>
    </row>
    <row r="12">
      <c r="A12" s="2">
        <v>2013</v>
      </c>
      <c r="B12" s="21" t="inlineStr">
        <is>
          <t xml:space="preserve">Neutral</t>
        </is>
      </c>
      <c r="C12" s="28">
        <f>SUMIFS(Monthly!$P:$P,Monthly!$B:$B,$A12)</f>
        <v>1163.128</v>
      </c>
      <c r="D12" s="29">
        <f>C12/C$43</f>
        <v>1.016915442488309</v>
      </c>
      <c r="E12" s="28">
        <f>SUMIFS(Monthly!$U:$U,Monthly!$B:$B,$A12)</f>
        <v>1104.3429999999998</v>
      </c>
      <c r="F12" s="29">
        <f>E12/D$43</f>
        <v>0.8520079045038542</v>
      </c>
      <c r="G12" s="28">
        <f>SUMIFS(Monthly!$Z:$Z,Monthly!$B:$B,$A12)</f>
        <v>1315.2939999999999</v>
      </c>
      <c r="H12" s="29">
        <f>G12/E$43</f>
        <v>0.8823951610713872</v>
      </c>
      <c r="I12" s="28">
        <f>SUMIFS(Monthly!$AE:$AE,Monthly!$B:$B,$A12)</f>
        <v>1194.255</v>
      </c>
      <c r="J12" s="29">
        <f>I12/F$43</f>
        <v>0.9115195912920168</v>
      </c>
      <c r="K12" s="30">
        <v>1.1269839640268569</v>
      </c>
      <c r="L12" s="30">
        <v>0.9440526997091113</v>
      </c>
      <c r="M12" s="30">
        <v>0.9488050006465402</v>
      </c>
    </row>
    <row r="13">
      <c r="A13" s="2">
        <v>2014</v>
      </c>
      <c r="B13" s="6" t="inlineStr">
        <is>
          <t xml:space="preserve">El Niño</t>
        </is>
      </c>
      <c r="C13" s="28">
        <f>SUMIFS(Monthly!$P:$P,Monthly!$B:$B,$A13)</f>
        <v>846.551</v>
      </c>
      <c r="D13" s="32">
        <f>C13/C$43</f>
        <v>0.7401341767663753</v>
      </c>
      <c r="E13" s="28">
        <f>SUMIFS(Monthly!$U:$U,Monthly!$B:$B,$A13)</f>
        <v>1285.405</v>
      </c>
      <c r="F13" s="29">
        <f>E13/D$43</f>
        <v>0.9916984310932173</v>
      </c>
      <c r="G13" s="28">
        <f>SUMIFS(Monthly!$Z:$Z,Monthly!$B:$B,$A13)</f>
        <v>1628.388</v>
      </c>
      <c r="H13" s="29">
        <f>G13/E$43</f>
        <v>1.0924414553299218</v>
      </c>
      <c r="I13" s="28">
        <f>SUMIFS(Monthly!$AE:$AE,Monthly!$B:$B,$A13)</f>
        <v>1253.448</v>
      </c>
      <c r="J13" s="29">
        <f>I13/F$43</f>
        <v>0.9566988697269811</v>
      </c>
      <c r="K13" s="30">
        <v>0.9430997210497446</v>
      </c>
      <c r="L13" s="30">
        <v>1.0270374007912864</v>
      </c>
      <c r="M13" s="30">
        <v>1.0120008914004615</v>
      </c>
    </row>
    <row r="14">
      <c r="A14" s="2">
        <v>2015</v>
      </c>
      <c r="B14" s="6" t="inlineStr">
        <is>
          <t xml:space="preserve">El Niño</t>
        </is>
      </c>
      <c r="C14" s="28">
        <f>SUMIFS(Monthly!$P:$P,Monthly!$B:$B,$A14)</f>
        <v>885.23</v>
      </c>
      <c r="D14" s="32">
        <f>C14/C$43</f>
        <v>0.7739509814516767</v>
      </c>
      <c r="E14" s="28">
        <f>SUMIFS(Monthly!$U:$U,Monthly!$B:$B,$A14)</f>
        <v>1128.053</v>
      </c>
      <c r="F14" s="29">
        <f>E14/D$43</f>
        <v>0.8703003258039274</v>
      </c>
      <c r="G14" s="28">
        <f>SUMIFS(Monthly!$Z:$Z,Monthly!$B:$B,$A14)</f>
        <v>1344.945</v>
      </c>
      <c r="H14" s="29">
        <f>G14/E$43</f>
        <v>0.9022872148030454</v>
      </c>
      <c r="I14" s="28">
        <f>SUMIFS(Monthly!$AE:$AE,Monthly!$B:$B,$A14)</f>
        <v>1119.4093333333333</v>
      </c>
      <c r="J14" s="29">
        <f>I14/F$43</f>
        <v>0.8543933565348011</v>
      </c>
      <c r="K14" s="30">
        <v>0.8882116384734293</v>
      </c>
      <c r="L14" s="30">
        <v>0.9161021198835227</v>
      </c>
      <c r="M14" s="30">
        <v>0.8630489747519071</v>
      </c>
    </row>
    <row r="15">
      <c r="A15" s="2">
        <v>2016</v>
      </c>
      <c r="B15" s="21" t="inlineStr">
        <is>
          <t xml:space="preserve">Neutral</t>
        </is>
      </c>
      <c r="C15" s="28">
        <f>SUMIFS(Monthly!$P:$P,Monthly!$B:$B,$A15)</f>
        <v>819.136</v>
      </c>
      <c r="D15" s="32">
        <f>C15/C$43</f>
        <v>0.7161654159285165</v>
      </c>
      <c r="E15" s="28">
        <f>SUMIFS(Monthly!$U:$U,Monthly!$B:$B,$A15)</f>
        <v>1089.024</v>
      </c>
      <c r="F15" s="29">
        <f>E15/D$43</f>
        <v>0.8401891950185816</v>
      </c>
      <c r="G15" s="28">
        <f>SUMIFS(Monthly!$Z:$Z,Monthly!$B:$B,$A15)</f>
        <v>1204.6879999999999</v>
      </c>
      <c r="H15" s="29">
        <f>G15/E$43</f>
        <v>0.8081925879695089</v>
      </c>
      <c r="I15" s="28">
        <f>SUMIFS(Monthly!$AE:$AE,Monthly!$B:$B,$A15)</f>
        <v>1037.616</v>
      </c>
      <c r="J15" s="32">
        <f>I15/F$43</f>
        <v>0.7919642892330844</v>
      </c>
      <c r="K15" s="30">
        <v>0.9036184335960531</v>
      </c>
      <c r="L15" s="30">
        <v>0.6881622893058673</v>
      </c>
      <c r="M15" s="30">
        <v>0.7445945090832055</v>
      </c>
    </row>
    <row r="16">
      <c r="A16" s="2">
        <v>2017</v>
      </c>
      <c r="B16" s="5" t="inlineStr">
        <is>
          <t xml:space="preserve">La Niña</t>
        </is>
      </c>
      <c r="C16" s="28">
        <f>SUMIFS(Monthly!$P:$P,Monthly!$B:$B,$A16)</f>
        <v>1383.418</v>
      </c>
      <c r="D16" s="31">
        <f>C16/C$43</f>
        <v>1.2095135940466495</v>
      </c>
      <c r="E16" s="28">
        <f>SUMIFS(Monthly!$U:$U,Monthly!$B:$B,$A16)</f>
        <v>1433.9199999999998</v>
      </c>
      <c r="F16" s="29">
        <f>E16/D$43</f>
        <v>1.1062787326276047</v>
      </c>
      <c r="G16" s="28">
        <f>SUMIFS(Monthly!$Z:$Z,Monthly!$B:$B,$A16)</f>
        <v>1985.9549999999997</v>
      </c>
      <c r="H16" s="31">
        <f>G16/E$43</f>
        <v>1.3323234821306313</v>
      </c>
      <c r="I16" s="28">
        <f>SUMIFS(Monthly!$AE:$AE,Monthly!$B:$B,$A16)</f>
        <v>1601.0976666666666</v>
      </c>
      <c r="J16" s="31">
        <f>I16/F$43</f>
        <v>1.2220437768639039</v>
      </c>
      <c r="K16" s="30">
        <v>1.1274752801968786</v>
      </c>
      <c r="L16" s="30">
        <v>1.144711243257002</v>
      </c>
      <c r="M16" s="30">
        <v>1.2162113829637962</v>
      </c>
    </row>
    <row r="17">
      <c r="A17" s="2">
        <v>2018</v>
      </c>
      <c r="B17" s="6" t="inlineStr">
        <is>
          <t xml:space="preserve">El Niño</t>
        </is>
      </c>
      <c r="C17" s="28">
        <f>SUMIFS(Monthly!$P:$P,Monthly!$B:$B,$A17)</f>
        <v>993.0019999999998</v>
      </c>
      <c r="D17" s="29">
        <f>C17/C$43</f>
        <v>0.8681753583627732</v>
      </c>
      <c r="E17" s="28">
        <f>SUMIFS(Monthly!$U:$U,Monthly!$B:$B,$A17)</f>
        <v>1386.396</v>
      </c>
      <c r="F17" s="29">
        <f>E17/D$43</f>
        <v>1.0696136533418745</v>
      </c>
      <c r="G17" s="28">
        <f>SUMIFS(Monthly!$Z:$Z,Monthly!$B:$B,$A17)</f>
        <v>1135.53</v>
      </c>
      <c r="H17" s="32">
        <f>G17/E$43</f>
        <v>0.7617963567471548</v>
      </c>
      <c r="I17" s="28">
        <f>SUMIFS(Monthly!$AE:$AE,Monthly!$B:$B,$A17)</f>
        <v>1171.6426666666666</v>
      </c>
      <c r="J17" s="29">
        <f>I17/F$43</f>
        <v>0.8942606433804242</v>
      </c>
      <c r="K17" s="30">
        <v>0.8172861161383431</v>
      </c>
      <c r="L17" s="30">
        <v>0.7909215502646494</v>
      </c>
      <c r="M17" s="30">
        <v>0.763653696423118</v>
      </c>
    </row>
    <row r="18">
      <c r="A18" s="2">
        <v>2019</v>
      </c>
      <c r="B18" s="6" t="inlineStr">
        <is>
          <t xml:space="preserve">El Niño</t>
        </is>
      </c>
      <c r="C18" s="28">
        <f>SUMIFS(Monthly!$P:$P,Monthly!$B:$B,$A18)</f>
        <v>1043.961</v>
      </c>
      <c r="D18" s="29">
        <f>C18/C$43</f>
        <v>0.9127284892595979</v>
      </c>
      <c r="E18" s="28">
        <f>SUMIFS(Monthly!$U:$U,Monthly!$B:$B,$A18)</f>
        <v>1341.3370000000002</v>
      </c>
      <c r="F18" s="29">
        <f>E18/D$43</f>
        <v>1.0348503378058147</v>
      </c>
      <c r="G18" s="28">
        <f>SUMIFS(Monthly!$Z:$Z,Monthly!$B:$B,$A18)</f>
        <v>1538.065</v>
      </c>
      <c r="H18" s="29">
        <f>G18/E$43</f>
        <v>1.0318461981984737</v>
      </c>
      <c r="I18" s="28">
        <f>SUMIFS(Monthly!$AE:$AE,Monthly!$B:$B,$A18)</f>
        <v>1307.7876666666668</v>
      </c>
      <c r="J18" s="29">
        <f>I18/F$43</f>
        <v>0.9981738233599527</v>
      </c>
      <c r="K18" s="30">
        <v>0.738866188941133</v>
      </c>
      <c r="L18" s="30">
        <v>0.915600150286655</v>
      </c>
      <c r="M18" s="30">
        <v>0.9070206040063497</v>
      </c>
    </row>
    <row r="19">
      <c r="A19" s="2">
        <v>2020</v>
      </c>
      <c r="B19" s="5" t="inlineStr">
        <is>
          <t xml:space="preserve">La Niña</t>
        </is>
      </c>
      <c r="C19" s="28">
        <f>SUMIFS(Monthly!$P:$P,Monthly!$B:$B,$A19)</f>
        <v>1349.8839999999998</v>
      </c>
      <c r="D19" s="29">
        <f>C19/C$43</f>
        <v>1.1801950302700033</v>
      </c>
      <c r="E19" s="28">
        <f>SUMIFS(Monthly!$U:$U,Monthly!$B:$B,$A19)</f>
        <v>1491.336</v>
      </c>
      <c r="F19" s="29">
        <f>E19/D$43</f>
        <v>1.1505755551229646</v>
      </c>
      <c r="G19" s="28">
        <f>SUMIFS(Monthly!$Z:$Z,Monthly!$B:$B,$A19)</f>
        <v>2116.452</v>
      </c>
      <c r="H19" s="31">
        <f>G19/E$43</f>
        <v>1.4198703890079782</v>
      </c>
      <c r="I19" s="28">
        <f>SUMIFS(Monthly!$AE:$AE,Monthly!$B:$B,$A19)</f>
        <v>1652.5573333333334</v>
      </c>
      <c r="J19" s="31">
        <f>I19/F$43</f>
        <v>1.2613205597352535</v>
      </c>
      <c r="K19" s="30">
        <v>1.217840790095066</v>
      </c>
      <c r="L19" s="30">
        <v>1.2030461948929918</v>
      </c>
      <c r="M19" s="30">
        <v>1.1720884357297514</v>
      </c>
    </row>
    <row r="20">
      <c r="A20" s="2">
        <v>2021</v>
      </c>
      <c r="B20" s="5" t="inlineStr">
        <is>
          <t xml:space="preserve">La Niña</t>
        </is>
      </c>
      <c r="C20" s="28">
        <f>SUMIFS(Monthly!$P:$P,Monthly!$B:$B,$A20)</f>
        <v>1209.176</v>
      </c>
      <c r="D20" s="29">
        <f>C20/C$43</f>
        <v>1.0571749171941898</v>
      </c>
      <c r="E20" s="28">
        <f>SUMIFS(Monthly!$U:$U,Monthly!$B:$B,$A20)</f>
        <v>1248.686</v>
      </c>
      <c r="F20" s="29">
        <f>E20/D$43</f>
        <v>0.9633694805357573</v>
      </c>
      <c r="G20" s="28">
        <f>SUMIFS(Monthly!$Z:$Z,Monthly!$B:$B,$A20)</f>
        <v>1665.641</v>
      </c>
      <c r="H20" s="29">
        <f>G20/E$43</f>
        <v>1.1174334851995877</v>
      </c>
      <c r="I20" s="28">
        <f>SUMIFS(Monthly!$AE:$AE,Monthly!$B:$B,$A20)</f>
        <v>1374.501</v>
      </c>
      <c r="J20" s="29">
        <f>I20/F$43</f>
        <v>1.0490930243126202</v>
      </c>
      <c r="K20" s="30">
        <v>0.8237538901974357</v>
      </c>
      <c r="L20" s="30">
        <v>0.7571831088751774</v>
      </c>
      <c r="M20" s="30">
        <v>0.8988425550178417</v>
      </c>
    </row>
    <row r="21">
      <c r="A21" s="2">
        <v>2022</v>
      </c>
      <c r="B21" s="5" t="inlineStr">
        <is>
          <t xml:space="preserve">La Niña</t>
        </is>
      </c>
      <c r="C21" s="28">
        <f>SUMIFS(Monthly!$P:$P,Monthly!$B:$B,$A21)</f>
        <v>1488.9450000000002</v>
      </c>
      <c r="D21" s="31">
        <f>C21/C$43</f>
        <v>1.3017751816788483</v>
      </c>
      <c r="E21" s="28">
        <f>SUMIFS(Monthly!$U:$U,Monthly!$B:$B,$A21)</f>
        <v>1427.7170000000003</v>
      </c>
      <c r="F21" s="29">
        <f>E21/D$43</f>
        <v>1.101493077236447</v>
      </c>
      <c r="G21" s="28">
        <f>SUMIFS(Monthly!$Z:$Z,Monthly!$B:$B,$A21)</f>
        <v>2132.7430000000004</v>
      </c>
      <c r="H21" s="31">
        <f>G21/E$43</f>
        <v>1.4307995801766555</v>
      </c>
      <c r="I21" s="28">
        <f>SUMIFS(Monthly!$AE:$AE,Monthly!$B:$B,$A21)</f>
        <v>1683.135</v>
      </c>
      <c r="J21" s="31">
        <f>I21/F$43</f>
        <v>1.2846590780773692</v>
      </c>
      <c r="K21" s="30">
        <v>1.0400869996274797</v>
      </c>
      <c r="L21" s="30">
        <v>1.1242521793846663</v>
      </c>
      <c r="M21" s="30">
        <v>1.1478913151733414</v>
      </c>
    </row>
    <row r="22">
      <c r="A22" s="2">
        <v>2023</v>
      </c>
      <c r="B22" s="6" t="inlineStr">
        <is>
          <t xml:space="preserve">El Niño</t>
        </is>
      </c>
      <c r="C22" s="28">
        <f>SUMIFS(Monthly!$P:$P,Monthly!$B:$B,$A22)</f>
        <v>1012.5930000000002</v>
      </c>
      <c r="D22" s="29">
        <f>C22/C$43</f>
        <v>0.8853036455622807</v>
      </c>
      <c r="E22" s="28">
        <f>SUMIFS(Monthly!$U:$U,Monthly!$B:$B,$A22)</f>
        <v>1010.341</v>
      </c>
      <c r="F22" s="32">
        <f>E22/D$43</f>
        <v>0.7794847418277915</v>
      </c>
      <c r="G22" s="28">
        <f>SUMIFS(Monthly!$Z:$Z,Monthly!$B:$B,$A22)</f>
        <v>1222.433</v>
      </c>
      <c r="H22" s="29">
        <f>G22/E$43</f>
        <v>0.8200972284021512</v>
      </c>
      <c r="I22" s="28">
        <f>SUMIFS(Monthly!$AE:$AE,Monthly!$B:$B,$A22)</f>
        <v>1081.7890000000002</v>
      </c>
      <c r="J22" s="29">
        <f>I22/F$43</f>
        <v>0.8256794965432003</v>
      </c>
      <c r="K22" s="30">
        <v>0.8410672853828307</v>
      </c>
      <c r="L22" s="30">
        <v>0.6646457742526103</v>
      </c>
      <c r="M22" s="30">
        <v>0.7681313330013507</v>
      </c>
    </row>
    <row r="23">
      <c r="A23" s="2">
        <v>2024</v>
      </c>
      <c r="B23" s="21" t="inlineStr">
        <is>
          <t xml:space="preserve">Neutral</t>
        </is>
      </c>
      <c r="C23" s="28">
        <f>SUMIFS(Monthly!$P:$P,Monthly!$B:$B,$A23)</f>
        <v>1309.886</v>
      </c>
      <c r="D23" s="29">
        <f>C23/C$43</f>
        <v>1.1452250322399953</v>
      </c>
      <c r="E23" s="28">
        <f>SUMIFS(Monthly!$U:$U,Monthly!$B:$B,$A23)</f>
        <v>952.561</v>
      </c>
      <c r="F23" s="32">
        <f>E23/D$43</f>
        <v>0.734907090932886</v>
      </c>
      <c r="G23" s="28">
        <f>SUMIFS(Monthly!$Z:$Z,Monthly!$B:$B,$A23)</f>
        <v>1359.6469900938555</v>
      </c>
      <c r="H23" s="29">
        <f>G23/E$43</f>
        <v>0.9121503822142384</v>
      </c>
      <c r="I23" s="28">
        <f>SUMIFS(Monthly!$AE:$AE,Monthly!$B:$B,$A23)</f>
        <v>1207.3646633646185</v>
      </c>
      <c r="J23" s="29">
        <f>I23/F$43</f>
        <v>0.9215255908416046</v>
      </c>
      <c r="K23" s="30">
        <v>0.9814810469287607</v>
      </c>
      <c r="L23" s="30">
        <v>0.895019396815079</v>
      </c>
      <c r="M23" s="30">
        <v>0.922530696915589</v>
      </c>
    </row>
    <row r="24">
      <c r="A24" s="2">
        <v>2025</v>
      </c>
      <c r="B24" s="21" t="inlineStr">
        <is>
          <t xml:space="preserve">Neutral</t>
        </is>
      </c>
      <c r="C24" s="28">
        <f>SUMIFS(Monthly!$P:$P,Monthly!$B:$B,$A24)</f>
        <v>1377.008</v>
      </c>
      <c r="D24" s="31">
        <f>C24/C$43</f>
        <v>1.203909371651221</v>
      </c>
      <c r="E24" s="28">
        <f>SUMIFS(Monthly!$U:$U,Monthly!$B:$B,$A24)</f>
        <v>1184.952</v>
      </c>
      <c r="F24" s="29">
        <f>E24/D$43</f>
        <v>0.9141982793911414</v>
      </c>
      <c r="G24" s="28">
        <f>SUMIFS(Monthly!$Z:$Z,Monthly!$B:$B,$A24)</f>
        <v>1534.3741910693147</v>
      </c>
      <c r="H24" s="29">
        <f>G24/E$43</f>
        <v>1.0293701343368002</v>
      </c>
      <c r="I24" s="28">
        <f>SUMIFS(Monthly!$AE:$AE,Monthly!$B:$B,$A24)</f>
        <v>1365.4447303564384</v>
      </c>
      <c r="J24" s="29">
        <f>I24/F$43</f>
        <v>1.0421807926668414</v>
      </c>
      <c r="K24" s="30">
        <v>0.9783058245165301</v>
      </c>
      <c r="L24" s="30">
        <v>1.0926357003819533</v>
      </c>
      <c r="M24" s="30">
        <v>1.034595416991083</v>
      </c>
    </row>
    <row r="25">
      <c r="A25" s="7" t="inlineStr">
        <is>
          <t xml:space="preserve">Blue fill = at least 120 % of normal; red fill = 80 % or less. 2010 and 2011 are the wet years before the 2012–13 rust epidemic (La Niña).</t>
        </is>
      </c>
    </row>
    <row r="29">
      <c r="A29" s="23" t="inlineStr">
        <is>
          <t xml:space="preserve">Monthly normals, mm (average 2005–2019 of the Monthly sheet)</t>
        </is>
      </c>
    </row>
    <row r="30">
      <c r="A30" s="1" t="inlineStr">
        <is>
          <t xml:space="preserve">Month</t>
        </is>
      </c>
      <c r="B30" s="1" t="inlineStr">
        <is>
          <t xml:space="preserve">Month no.</t>
        </is>
      </c>
      <c r="C30" s="1" t="inlineStr">
        <is>
          <t xml:space="preserve">Comayagua</t>
        </is>
      </c>
      <c r="D30" s="1" t="inlineStr">
        <is>
          <t xml:space="preserve">Ocotepeque</t>
        </is>
      </c>
      <c r="E30" s="1" t="inlineStr">
        <is>
          <t xml:space="preserve">Copán</t>
        </is>
      </c>
      <c r="F30" s="1" t="inlineStr">
        <is>
          <t xml:space="preserve">Mean of 3 towns</t>
        </is>
      </c>
    </row>
    <row r="31">
      <c r="A31" s="23" t="inlineStr">
        <is>
          <t xml:space="preserve">Jan</t>
        </is>
      </c>
      <c r="B31" s="2">
        <v>1</v>
      </c>
      <c r="C31" s="4">
        <f>AVERAGEIFS(Monthly!$P:$P,Monthly!$C:$C,$B31,Monthly!$B:$B,"&gt;=2005",Monthly!$B:$B,"&lt;=2019")</f>
        <v>4.832071428571429</v>
      </c>
      <c r="D31" s="4">
        <f>AVERAGEIFS(Monthly!$U:$U,Monthly!$C:$C,$B31,Monthly!$B:$B,"&gt;=2005",Monthly!$B:$B,"&lt;=2019")</f>
        <v>14.249071428571428</v>
      </c>
      <c r="E31" s="4">
        <f>AVERAGEIFS(Monthly!$Z:$Z,Monthly!$C:$C,$B31,Monthly!$B:$B,"&gt;=2005",Monthly!$B:$B,"&lt;=2019")</f>
        <v>40.161500000000004</v>
      </c>
      <c r="F31" s="4">
        <f>AVERAGEIFS(Monthly!$AE:$AE,Monthly!$C:$C,$B31,Monthly!$B:$B,"&gt;=2005",Monthly!$B:$B,"&lt;=2019")</f>
        <v>19.74754761904762</v>
      </c>
    </row>
    <row r="32">
      <c r="A32" s="23" t="inlineStr">
        <is>
          <t xml:space="preserve">Feb</t>
        </is>
      </c>
      <c r="B32" s="2">
        <v>2</v>
      </c>
      <c r="C32" s="4">
        <f>AVERAGEIFS(Monthly!$P:$P,Monthly!$C:$C,$B32,Monthly!$B:$B,"&gt;=2005",Monthly!$B:$B,"&lt;=2019")</f>
        <v>5.8785</v>
      </c>
      <c r="D32" s="4">
        <f>AVERAGEIFS(Monthly!$U:$U,Monthly!$C:$C,$B32,Monthly!$B:$B,"&gt;=2005",Monthly!$B:$B,"&lt;=2019")</f>
        <v>12.850714285714284</v>
      </c>
      <c r="E32" s="4">
        <f>AVERAGEIFS(Monthly!$Z:$Z,Monthly!$C:$C,$B32,Monthly!$B:$B,"&gt;=2005",Monthly!$B:$B,"&lt;=2019")</f>
        <v>27.980785714285712</v>
      </c>
      <c r="F32" s="4">
        <f>AVERAGEIFS(Monthly!$AE:$AE,Monthly!$C:$C,$B32,Monthly!$B:$B,"&gt;=2005",Monthly!$B:$B,"&lt;=2019")</f>
        <v>15.570000000000002</v>
      </c>
    </row>
    <row r="33">
      <c r="A33" s="23" t="inlineStr">
        <is>
          <t xml:space="preserve">Mar</t>
        </is>
      </c>
      <c r="B33" s="2">
        <v>3</v>
      </c>
      <c r="C33" s="4">
        <f>AVERAGEIFS(Monthly!$P:$P,Monthly!$C:$C,$B33,Monthly!$B:$B,"&gt;=2005",Monthly!$B:$B,"&lt;=2019")</f>
        <v>8.098142857142857</v>
      </c>
      <c r="D33" s="4">
        <f>AVERAGEIFS(Monthly!$U:$U,Monthly!$C:$C,$B33,Monthly!$B:$B,"&gt;=2005",Monthly!$B:$B,"&lt;=2019")</f>
        <v>13.050214285714285</v>
      </c>
      <c r="E33" s="4">
        <f>AVERAGEIFS(Monthly!$Z:$Z,Monthly!$C:$C,$B33,Monthly!$B:$B,"&gt;=2005",Monthly!$B:$B,"&lt;=2019")</f>
        <v>22.94821428571429</v>
      </c>
      <c r="F33" s="4">
        <f>AVERAGEIFS(Monthly!$AE:$AE,Monthly!$C:$C,$B33,Monthly!$B:$B,"&gt;=2005",Monthly!$B:$B,"&lt;=2019")</f>
        <v>14.69885714285714</v>
      </c>
    </row>
    <row r="34">
      <c r="A34" s="23" t="inlineStr">
        <is>
          <t xml:space="preserve">Apr</t>
        </is>
      </c>
      <c r="B34" s="2">
        <v>4</v>
      </c>
      <c r="C34" s="4">
        <f>AVERAGEIFS(Monthly!$P:$P,Monthly!$C:$C,$B34,Monthly!$B:$B,"&gt;=2005",Monthly!$B:$B,"&lt;=2019")</f>
        <v>48.56264285714286</v>
      </c>
      <c r="D34" s="4">
        <f>AVERAGEIFS(Monthly!$U:$U,Monthly!$C:$C,$B34,Monthly!$B:$B,"&gt;=2005",Monthly!$B:$B,"&lt;=2019")</f>
        <v>40.45578571428571</v>
      </c>
      <c r="E34" s="4">
        <f>AVERAGEIFS(Monthly!$Z:$Z,Monthly!$C:$C,$B34,Monthly!$B:$B,"&gt;=2005",Monthly!$B:$B,"&lt;=2019")</f>
        <v>48.85292857142857</v>
      </c>
      <c r="F34" s="4">
        <f>AVERAGEIFS(Monthly!$AE:$AE,Monthly!$C:$C,$B34,Monthly!$B:$B,"&gt;=2005",Monthly!$B:$B,"&lt;=2019")</f>
        <v>45.95711904761904</v>
      </c>
    </row>
    <row r="35">
      <c r="A35" s="23" t="inlineStr">
        <is>
          <t xml:space="preserve">May</t>
        </is>
      </c>
      <c r="B35" s="2">
        <v>5</v>
      </c>
      <c r="C35" s="4">
        <f>AVERAGEIFS(Monthly!$P:$P,Monthly!$C:$C,$B35,Monthly!$B:$B,"&gt;=2005",Monthly!$B:$B,"&lt;=2019")</f>
        <v>157.25921428571428</v>
      </c>
      <c r="D35" s="4">
        <f>AVERAGEIFS(Monthly!$U:$U,Monthly!$C:$C,$B35,Monthly!$B:$B,"&gt;=2005",Monthly!$B:$B,"&lt;=2019")</f>
        <v>153.39671428571432</v>
      </c>
      <c r="E35" s="4">
        <f>AVERAGEIFS(Monthly!$Z:$Z,Monthly!$C:$C,$B35,Monthly!$B:$B,"&gt;=2005",Monthly!$B:$B,"&lt;=2019")</f>
        <v>157.15200000000002</v>
      </c>
      <c r="F35" s="4">
        <f>AVERAGEIFS(Monthly!$AE:$AE,Monthly!$C:$C,$B35,Monthly!$B:$B,"&gt;=2005",Monthly!$B:$B,"&lt;=2019")</f>
        <v>155.9359761904762</v>
      </c>
    </row>
    <row r="36">
      <c r="A36" s="23" t="inlineStr">
        <is>
          <t xml:space="preserve">Jun</t>
        </is>
      </c>
      <c r="B36" s="2">
        <v>6</v>
      </c>
      <c r="C36" s="4">
        <f>AVERAGEIFS(Monthly!$P:$P,Monthly!$C:$C,$B36,Monthly!$B:$B,"&gt;=2005",Monthly!$B:$B,"&lt;=2019")</f>
        <v>197.10614285714286</v>
      </c>
      <c r="D36" s="4">
        <f>AVERAGEIFS(Monthly!$U:$U,Monthly!$C:$C,$B36,Monthly!$B:$B,"&gt;=2005",Monthly!$B:$B,"&lt;=2019")</f>
        <v>192.85257142857145</v>
      </c>
      <c r="E36" s="4">
        <f>AVERAGEIFS(Monthly!$Z:$Z,Monthly!$C:$C,$B36,Monthly!$B:$B,"&gt;=2005",Monthly!$B:$B,"&lt;=2019")</f>
        <v>244.03071428571425</v>
      </c>
      <c r="F36" s="4">
        <f>AVERAGEIFS(Monthly!$AE:$AE,Monthly!$C:$C,$B36,Monthly!$B:$B,"&gt;=2005",Monthly!$B:$B,"&lt;=2019")</f>
        <v>211.32980952380953</v>
      </c>
    </row>
    <row r="37">
      <c r="A37" s="23" t="inlineStr">
        <is>
          <t xml:space="preserve">Jul</t>
        </is>
      </c>
      <c r="B37" s="2">
        <v>7</v>
      </c>
      <c r="C37" s="4">
        <f>AVERAGEIFS(Monthly!$P:$P,Monthly!$C:$C,$B37,Monthly!$B:$B,"&gt;=2005",Monthly!$B:$B,"&lt;=2019")</f>
        <v>137.10459999999998</v>
      </c>
      <c r="D37" s="4">
        <f>AVERAGEIFS(Monthly!$U:$U,Monthly!$C:$C,$B37,Monthly!$B:$B,"&gt;=2005",Monthly!$B:$B,"&lt;=2019")</f>
        <v>187.2258</v>
      </c>
      <c r="E37" s="4">
        <f>AVERAGEIFS(Monthly!$Z:$Z,Monthly!$C:$C,$B37,Monthly!$B:$B,"&gt;=2005",Monthly!$B:$B,"&lt;=2019")</f>
        <v>179.02346666666668</v>
      </c>
      <c r="F37" s="4">
        <f>AVERAGEIFS(Monthly!$AE:$AE,Monthly!$C:$C,$B37,Monthly!$B:$B,"&gt;=2005",Monthly!$B:$B,"&lt;=2019")</f>
        <v>167.78462222222225</v>
      </c>
    </row>
    <row r="38">
      <c r="A38" s="23" t="inlineStr">
        <is>
          <t xml:space="preserve">Aug</t>
        </is>
      </c>
      <c r="B38" s="2">
        <v>8</v>
      </c>
      <c r="C38" s="4">
        <f>AVERAGEIFS(Monthly!$P:$P,Monthly!$C:$C,$B38,Monthly!$B:$B,"&gt;=2005",Monthly!$B:$B,"&lt;=2019")</f>
        <v>168.58193333333332</v>
      </c>
      <c r="D38" s="4">
        <f>AVERAGEIFS(Monthly!$U:$U,Monthly!$C:$C,$B38,Monthly!$B:$B,"&gt;=2005",Monthly!$B:$B,"&lt;=2019")</f>
        <v>228.6517333333334</v>
      </c>
      <c r="E38" s="4">
        <f>AVERAGEIFS(Monthly!$Z:$Z,Monthly!$C:$C,$B38,Monthly!$B:$B,"&gt;=2005",Monthly!$B:$B,"&lt;=2019")</f>
        <v>219.19053333333335</v>
      </c>
      <c r="F38" s="4">
        <f>AVERAGEIFS(Monthly!$AE:$AE,Monthly!$C:$C,$B38,Monthly!$B:$B,"&gt;=2005",Monthly!$B:$B,"&lt;=2019")</f>
        <v>205.47473333333338</v>
      </c>
    </row>
    <row r="39">
      <c r="A39" s="23" t="inlineStr">
        <is>
          <t xml:space="preserve">Sep</t>
        </is>
      </c>
      <c r="B39" s="2">
        <v>9</v>
      </c>
      <c r="C39" s="4">
        <f>AVERAGEIFS(Monthly!$P:$P,Monthly!$C:$C,$B39,Monthly!$B:$B,"&gt;=2005",Monthly!$B:$B,"&lt;=2019")</f>
        <v>216.9424666666667</v>
      </c>
      <c r="D39" s="4">
        <f>AVERAGEIFS(Monthly!$U:$U,Monthly!$C:$C,$B39,Monthly!$B:$B,"&gt;=2005",Monthly!$B:$B,"&lt;=2019")</f>
        <v>235.93773333333334</v>
      </c>
      <c r="E39" s="4">
        <f>AVERAGEIFS(Monthly!$Z:$Z,Monthly!$C:$C,$B39,Monthly!$B:$B,"&gt;=2005",Monthly!$B:$B,"&lt;=2019")</f>
        <v>255.97060000000002</v>
      </c>
      <c r="F39" s="4">
        <f>AVERAGEIFS(Monthly!$AE:$AE,Monthly!$C:$C,$B39,Monthly!$B:$B,"&gt;=2005",Monthly!$B:$B,"&lt;=2019")</f>
        <v>236.28360000000004</v>
      </c>
    </row>
    <row r="40">
      <c r="A40" s="23" t="inlineStr">
        <is>
          <t xml:space="preserve">Oct</t>
        </is>
      </c>
      <c r="B40" s="2">
        <v>10</v>
      </c>
      <c r="C40" s="4">
        <f>AVERAGEIFS(Monthly!$P:$P,Monthly!$C:$C,$B40,Monthly!$B:$B,"&gt;=2005",Monthly!$B:$B,"&lt;=2019")</f>
        <v>157.55200000000002</v>
      </c>
      <c r="D40" s="4">
        <f>AVERAGEIFS(Monthly!$U:$U,Monthly!$C:$C,$B40,Monthly!$B:$B,"&gt;=2005",Monthly!$B:$B,"&lt;=2019")</f>
        <v>156.79653333333331</v>
      </c>
      <c r="E40" s="4">
        <f>AVERAGEIFS(Monthly!$Z:$Z,Monthly!$C:$C,$B40,Monthly!$B:$B,"&gt;=2005",Monthly!$B:$B,"&lt;=2019")</f>
        <v>182.93833333333333</v>
      </c>
      <c r="F40" s="4">
        <f>AVERAGEIFS(Monthly!$AE:$AE,Monthly!$C:$C,$B40,Monthly!$B:$B,"&gt;=2005",Monthly!$B:$B,"&lt;=2019")</f>
        <v>165.7622888888889</v>
      </c>
    </row>
    <row r="41">
      <c r="A41" s="23" t="inlineStr">
        <is>
          <t xml:space="preserve">Nov</t>
        </is>
      </c>
      <c r="B41" s="2">
        <v>11</v>
      </c>
      <c r="C41" s="4">
        <f>AVERAGEIFS(Monthly!$P:$P,Monthly!$C:$C,$B41,Monthly!$B:$B,"&gt;=2005",Monthly!$B:$B,"&lt;=2019")</f>
        <v>28.2242</v>
      </c>
      <c r="D41" s="4">
        <f>AVERAGEIFS(Monthly!$U:$U,Monthly!$C:$C,$B41,Monthly!$B:$B,"&gt;=2005",Monthly!$B:$B,"&lt;=2019")</f>
        <v>37.004000000000005</v>
      </c>
      <c r="E41" s="4">
        <f>AVERAGEIFS(Monthly!$Z:$Z,Monthly!$C:$C,$B41,Monthly!$B:$B,"&gt;=2005",Monthly!$B:$B,"&lt;=2019")</f>
        <v>60.208133333333336</v>
      </c>
      <c r="F41" s="4">
        <f>AVERAGEIFS(Monthly!$AE:$AE,Monthly!$C:$C,$B41,Monthly!$B:$B,"&gt;=2005",Monthly!$B:$B,"&lt;=2019")</f>
        <v>41.81211111111111</v>
      </c>
    </row>
    <row r="42">
      <c r="A42" s="23" t="inlineStr">
        <is>
          <t xml:space="preserve">Dec</t>
        </is>
      </c>
      <c r="B42" s="2">
        <v>12</v>
      </c>
      <c r="C42" s="4">
        <f>AVERAGEIFS(Monthly!$P:$P,Monthly!$C:$C,$B42,Monthly!$B:$B,"&gt;=2005",Monthly!$B:$B,"&lt;=2019")</f>
        <v>13.638533333333335</v>
      </c>
      <c r="D42" s="4">
        <f>AVERAGEIFS(Monthly!$U:$U,Monthly!$C:$C,$B42,Monthly!$B:$B,"&gt;=2005",Monthly!$B:$B,"&lt;=2019")</f>
        <v>23.69433333333333</v>
      </c>
      <c r="E42" s="4">
        <f>AVERAGEIFS(Monthly!$Z:$Z,Monthly!$C:$C,$B42,Monthly!$B:$B,"&gt;=2005",Monthly!$B:$B,"&lt;=2019")</f>
        <v>52.138</v>
      </c>
      <c r="F42" s="4">
        <f>AVERAGEIFS(Monthly!$AE:$AE,Monthly!$C:$C,$B42,Monthly!$B:$B,"&gt;=2005",Monthly!$B:$B,"&lt;=2019")</f>
        <v>29.823622222222223</v>
      </c>
    </row>
    <row r="43">
      <c r="A43" s="23" t="inlineStr">
        <is>
          <t xml:space="preserve">Year</t>
        </is>
      </c>
      <c r="C43" s="28">
        <f>SUM(C31:C42)</f>
        <v>1143.7804476190477</v>
      </c>
      <c r="D43" s="28">
        <f>SUM(D31:D42)</f>
        <v>1296.165204761905</v>
      </c>
      <c r="E43" s="28">
        <f>SUM(E31:E42)</f>
        <v>1490.5952095238094</v>
      </c>
      <c r="F43" s="28">
        <f>SUM(F31:F42)</f>
        <v>1310.1802873015874</v>
      </c>
    </row>
    <row r="46">
      <c r="A46" s="23" t="inlineStr">
        <is>
          <t xml:space="preserve">Month by month: rain, normal and % of normal</t>
        </is>
      </c>
    </row>
    <row r="47">
      <c r="A47" s="1" t="inlineStr">
        <is>
          <t xml:space="preserve">Month key</t>
        </is>
      </c>
      <c r="B47" s="1" t="inlineStr">
        <is>
          <t xml:space="preserve">Coffee season</t>
        </is>
      </c>
      <c r="C47" s="1" t="inlineStr">
        <is>
          <t xml:space="preserve">Phase of the season</t>
        </is>
      </c>
      <c r="D47" s="1" t="inlineStr">
        <is>
          <t xml:space="preserve">Comayagua rain (mm)</t>
        </is>
      </c>
      <c r="E47" s="1" t="inlineStr">
        <is>
          <t xml:space="preserve">Comayagua normal (mm)</t>
        </is>
      </c>
      <c r="F47" s="1" t="inlineStr">
        <is>
          <t xml:space="preserve">Comayagua % of normal</t>
        </is>
      </c>
      <c r="G47" s="1" t="inlineStr">
        <is>
          <t xml:space="preserve">Ocotepeque rain (mm)</t>
        </is>
      </c>
      <c r="H47" s="1" t="inlineStr">
        <is>
          <t xml:space="preserve">Ocotepeque normal (mm)</t>
        </is>
      </c>
      <c r="I47" s="1" t="inlineStr">
        <is>
          <t xml:space="preserve">Ocotepeque % of normal</t>
        </is>
      </c>
      <c r="J47" s="1" t="inlineStr">
        <is>
          <t xml:space="preserve">Copán rain (mm)</t>
        </is>
      </c>
      <c r="K47" s="1" t="inlineStr">
        <is>
          <t xml:space="preserve">Copán normal (mm)</t>
        </is>
      </c>
      <c r="L47" s="1" t="inlineStr">
        <is>
          <t xml:space="preserve">Copán % of normal</t>
        </is>
      </c>
      <c r="M47" s="1" t="inlineStr">
        <is>
          <t xml:space="preserve">Mean of 3 towns rain (mm)</t>
        </is>
      </c>
      <c r="N47" s="1" t="inlineStr">
        <is>
          <t xml:space="preserve">Mean of 3 towns normal (mm)</t>
        </is>
      </c>
      <c r="O47" s="1" t="inlineStr">
        <is>
          <t xml:space="preserve">Mean of 3 towns % of normal</t>
        </is>
      </c>
    </row>
    <row r="48">
      <c r="A48" s="2" t="inlineStr">
        <is>
          <t xml:space="preserve">2005-07</t>
        </is>
      </c>
      <c r="B48" s="2" t="inlineStr">
        <is>
          <t xml:space="preserve">2005/06</t>
        </is>
      </c>
      <c r="C48" s="5" t="inlineStr">
        <is>
          <t xml:space="preserve">La Niña</t>
        </is>
      </c>
      <c r="D48" s="4">
        <f>INDEX(Monthly!$P:$P,MATCH($A48,Monthly!$A:$A,0))</f>
        <v>151.869</v>
      </c>
      <c r="E48" s="4">
        <f>INDEX(C$31:C$42,7)</f>
        <v>137.10459999999998</v>
      </c>
      <c r="F48" s="29">
        <f>IF(E48&gt;0,D48/E48,0)</f>
        <v>1.1076871235538415</v>
      </c>
      <c r="G48" s="4">
        <f>INDEX(Monthly!$U:$U,MATCH($A48,Monthly!$A:$A,0))</f>
        <v>110.182</v>
      </c>
      <c r="H48" s="4">
        <f>INDEX(D$31:D$42,7)</f>
        <v>187.2258</v>
      </c>
      <c r="I48" s="29">
        <f>IF(H48&gt;0,G48/H48,0)</f>
        <v>0.5884979527394195</v>
      </c>
      <c r="J48" s="4">
        <f>INDEX(Monthly!$Z:$Z,MATCH($A48,Monthly!$A:$A,0))</f>
        <v>155.001</v>
      </c>
      <c r="K48" s="4">
        <f>INDEX(E$31:E$42,7)</f>
        <v>179.02346666666668</v>
      </c>
      <c r="L48" s="29">
        <f>IF(K48&gt;0,J48/K48,0)</f>
        <v>0.8658138672323032</v>
      </c>
      <c r="M48" s="4">
        <f>INDEX(Monthly!$AE:$AE,MATCH($A48,Monthly!$A:$A,0))</f>
        <v>139.01733333333334</v>
      </c>
      <c r="N48" s="4">
        <f>INDEX(F$31:F$42,7)</f>
        <v>167.78462222222225</v>
      </c>
      <c r="O48" s="29">
        <f>IF(N48&gt;0,M48/N48,0)</f>
        <v>0.8285463321496287</v>
      </c>
    </row>
    <row r="49">
      <c r="A49" s="2" t="inlineStr">
        <is>
          <t xml:space="preserve">2005-08</t>
        </is>
      </c>
      <c r="B49" s="2" t="inlineStr">
        <is>
          <t xml:space="preserve">2005/06</t>
        </is>
      </c>
      <c r="C49" s="5" t="inlineStr">
        <is>
          <t xml:space="preserve">La Niña</t>
        </is>
      </c>
      <c r="D49" s="4">
        <f>INDEX(Monthly!$P:$P,MATCH($A49,Monthly!$A:$A,0))</f>
        <v>170.789</v>
      </c>
      <c r="E49" s="4">
        <f>INDEX(C$31:C$42,8)</f>
        <v>168.58193333333332</v>
      </c>
      <c r="F49" s="29">
        <f>IF(E49&gt;0,D49/E49,0)</f>
        <v>1.013091952518439</v>
      </c>
      <c r="G49" s="4">
        <f>INDEX(Monthly!$U:$U,MATCH($A49,Monthly!$A:$A,0))</f>
        <v>167.823</v>
      </c>
      <c r="H49" s="4">
        <f>INDEX(D$31:D$42,8)</f>
        <v>228.6517333333334</v>
      </c>
      <c r="I49" s="29">
        <f>IF(H49&gt;0,G49/H49,0)</f>
        <v>0.7339677576611415</v>
      </c>
      <c r="J49" s="4">
        <f>INDEX(Monthly!$Z:$Z,MATCH($A49,Monthly!$A:$A,0))</f>
        <v>129.104</v>
      </c>
      <c r="K49" s="4">
        <f>INDEX(E$31:E$42,8)</f>
        <v>219.19053333333335</v>
      </c>
      <c r="L49" s="29">
        <f>IF(K49&gt;0,J49/K49,0)</f>
        <v>0.5890035396905827</v>
      </c>
      <c r="M49" s="4">
        <f>INDEX(Monthly!$AE:$AE,MATCH($A49,Monthly!$A:$A,0))</f>
        <v>155.90533333333335</v>
      </c>
      <c r="N49" s="4">
        <f>INDEX(F$31:F$42,8)</f>
        <v>205.47473333333338</v>
      </c>
      <c r="O49" s="29">
        <f>IF(N49&gt;0,M49/N49,0)</f>
        <v>0.7587567133152786</v>
      </c>
    </row>
    <row r="50">
      <c r="A50" s="2" t="inlineStr">
        <is>
          <t xml:space="preserve">2005-09</t>
        </is>
      </c>
      <c r="B50" s="2" t="inlineStr">
        <is>
          <t xml:space="preserve">2005/06</t>
        </is>
      </c>
      <c r="C50" s="5" t="inlineStr">
        <is>
          <t xml:space="preserve">La Niña</t>
        </is>
      </c>
      <c r="D50" s="4">
        <f>INDEX(Monthly!$P:$P,MATCH($A50,Monthly!$A:$A,0))</f>
        <v>165.032</v>
      </c>
      <c r="E50" s="4">
        <f>INDEX(C$31:C$42,9)</f>
        <v>216.9424666666667</v>
      </c>
      <c r="F50" s="29">
        <f>IF(E50&gt;0,D50/E50,0)</f>
        <v>0.760717818579857</v>
      </c>
      <c r="G50" s="4">
        <f>INDEX(Monthly!$U:$U,MATCH($A50,Monthly!$A:$A,0))</f>
        <v>223.733</v>
      </c>
      <c r="H50" s="4">
        <f>INDEX(D$31:D$42,9)</f>
        <v>235.93773333333334</v>
      </c>
      <c r="I50" s="29">
        <f>IF(H50&gt;0,G50/H50,0)</f>
        <v>0.9482713800759861</v>
      </c>
      <c r="J50" s="4">
        <f>INDEX(Monthly!$Z:$Z,MATCH($A50,Monthly!$A:$A,0))</f>
        <v>211.215</v>
      </c>
      <c r="K50" s="4">
        <f>INDEX(E$31:E$42,9)</f>
        <v>255.97060000000002</v>
      </c>
      <c r="L50" s="29">
        <f>IF(K50&gt;0,J50/K50,0)</f>
        <v>0.8251533574558952</v>
      </c>
      <c r="M50" s="4">
        <f>INDEX(Monthly!$AE:$AE,MATCH($A50,Monthly!$A:$A,0))</f>
        <v>199.99333333333334</v>
      </c>
      <c r="N50" s="4">
        <f>INDEX(F$31:F$42,9)</f>
        <v>236.28360000000004</v>
      </c>
      <c r="O50" s="29">
        <f>IF(N50&gt;0,M50/N50,0)</f>
        <v>0.8464122492349588</v>
      </c>
    </row>
    <row r="51">
      <c r="A51" s="2" t="inlineStr">
        <is>
          <t xml:space="preserve">2005-10</t>
        </is>
      </c>
      <c r="B51" s="2" t="inlineStr">
        <is>
          <t xml:space="preserve">2005/06</t>
        </is>
      </c>
      <c r="C51" s="5" t="inlineStr">
        <is>
          <t xml:space="preserve">La Niña</t>
        </is>
      </c>
      <c r="D51" s="4">
        <f>INDEX(Monthly!$P:$P,MATCH($A51,Monthly!$A:$A,0))</f>
        <v>106.964</v>
      </c>
      <c r="E51" s="4">
        <f>INDEX(C$31:C$42,10)</f>
        <v>157.55200000000002</v>
      </c>
      <c r="F51" s="29">
        <f>IF(E51&gt;0,D51/E51,0)</f>
        <v>0.6789123590941403</v>
      </c>
      <c r="G51" s="4">
        <f>INDEX(Monthly!$U:$U,MATCH($A51,Monthly!$A:$A,0))</f>
        <v>91.145</v>
      </c>
      <c r="H51" s="4">
        <f>INDEX(D$31:D$42,10)</f>
        <v>156.79653333333331</v>
      </c>
      <c r="I51" s="29">
        <f>IF(H51&gt;0,G51/H51,0)</f>
        <v>0.581294739509547</v>
      </c>
      <c r="J51" s="4">
        <f>INDEX(Monthly!$Z:$Z,MATCH($A51,Monthly!$A:$A,0))</f>
        <v>116.649</v>
      </c>
      <c r="K51" s="4">
        <f>INDEX(E$31:E$42,10)</f>
        <v>182.93833333333333</v>
      </c>
      <c r="L51" s="29">
        <f>IF(K51&gt;0,J51/K51,0)</f>
        <v>0.6376410994597451</v>
      </c>
      <c r="M51" s="4">
        <f>INDEX(Monthly!$AE:$AE,MATCH($A51,Monthly!$A:$A,0))</f>
        <v>104.91933333333333</v>
      </c>
      <c r="N51" s="4">
        <f>INDEX(F$31:F$42,10)</f>
        <v>165.7622888888889</v>
      </c>
      <c r="O51" s="29">
        <f>IF(N51&gt;0,M51/N51,0)</f>
        <v>0.6329505585173306</v>
      </c>
    </row>
    <row r="52">
      <c r="A52" s="2" t="inlineStr">
        <is>
          <t xml:space="preserve">2005-11</t>
        </is>
      </c>
      <c r="B52" s="2" t="inlineStr">
        <is>
          <t xml:space="preserve">2005/06</t>
        </is>
      </c>
      <c r="C52" s="5" t="inlineStr">
        <is>
          <t xml:space="preserve">La Niña</t>
        </is>
      </c>
      <c r="D52" s="4">
        <f>INDEX(Monthly!$P:$P,MATCH($A52,Monthly!$A:$A,0))</f>
        <v>10.746</v>
      </c>
      <c r="E52" s="4">
        <f>INDEX(C$31:C$42,11)</f>
        <v>28.2242</v>
      </c>
      <c r="F52" s="32">
        <f>IF(E52&gt;0,D52/E52,0)</f>
        <v>0.3807370979514034</v>
      </c>
      <c r="G52" s="4">
        <f>INDEX(Monthly!$U:$U,MATCH($A52,Monthly!$A:$A,0))</f>
        <v>6.397</v>
      </c>
      <c r="H52" s="4">
        <f>INDEX(D$31:D$42,11)</f>
        <v>37.004000000000005</v>
      </c>
      <c r="I52" s="32">
        <f>IF(H52&gt;0,G52/H52,0)</f>
        <v>0.1728732028969841</v>
      </c>
      <c r="J52" s="4">
        <f>INDEX(Monthly!$Z:$Z,MATCH($A52,Monthly!$A:$A,0))</f>
        <v>32.106</v>
      </c>
      <c r="K52" s="4">
        <f>INDEX(E$31:E$42,11)</f>
        <v>60.208133333333336</v>
      </c>
      <c r="L52" s="29">
        <f>IF(K52&gt;0,J52/K52,0)</f>
        <v>0.5332502142567671</v>
      </c>
      <c r="M52" s="4">
        <f>INDEX(Monthly!$AE:$AE,MATCH($A52,Monthly!$A:$A,0))</f>
        <v>16.416333333333334</v>
      </c>
      <c r="N52" s="4">
        <f>INDEX(F$31:F$42,11)</f>
        <v>41.81211111111111</v>
      </c>
      <c r="O52" s="32">
        <f>IF(N52&gt;0,M52/N52,0)</f>
        <v>0.39262148925484114</v>
      </c>
    </row>
    <row r="53">
      <c r="A53" s="2" t="inlineStr">
        <is>
          <t xml:space="preserve">2005-12</t>
        </is>
      </c>
      <c r="B53" s="2" t="inlineStr">
        <is>
          <t xml:space="preserve">2005/06</t>
        </is>
      </c>
      <c r="C53" s="5" t="inlineStr">
        <is>
          <t xml:space="preserve">La Niña</t>
        </is>
      </c>
      <c r="D53" s="4">
        <f>INDEX(Monthly!$P:$P,MATCH($A53,Monthly!$A:$A,0))</f>
        <v>5.216</v>
      </c>
      <c r="E53" s="4">
        <f>INDEX(C$31:C$42,12)</f>
        <v>13.638533333333335</v>
      </c>
      <c r="F53" s="32">
        <f>IF(E53&gt;0,D53/E53,0)</f>
        <v>0.3824458152880564</v>
      </c>
      <c r="G53" s="4">
        <f>INDEX(Monthly!$U:$U,MATCH($A53,Monthly!$A:$A,0))</f>
        <v>23.582</v>
      </c>
      <c r="H53" s="4">
        <f>INDEX(D$31:D$42,12)</f>
        <v>23.69433333333333</v>
      </c>
      <c r="I53" s="29">
        <f>IF(H53&gt;0,G53/H53,0)</f>
        <v>0.9952590633484801</v>
      </c>
      <c r="J53" s="4">
        <f>INDEX(Monthly!$Z:$Z,MATCH($A53,Monthly!$A:$A,0))</f>
        <v>35.716</v>
      </c>
      <c r="K53" s="4">
        <f>INDEX(E$31:E$42,12)</f>
        <v>52.138</v>
      </c>
      <c r="L53" s="29">
        <f>IF(K53&gt;0,J53/K53,0)</f>
        <v>0.6850281944071503</v>
      </c>
      <c r="M53" s="4">
        <f>INDEX(Monthly!$AE:$AE,MATCH($A53,Monthly!$A:$A,0))</f>
        <v>21.50466666666667</v>
      </c>
      <c r="N53" s="4">
        <f>INDEX(F$31:F$42,12)</f>
        <v>29.823622222222223</v>
      </c>
      <c r="O53" s="29">
        <f>IF(N53&gt;0,M53/N53,0)</f>
        <v>0.7210615298983729</v>
      </c>
    </row>
    <row r="54">
      <c r="A54" s="2" t="inlineStr">
        <is>
          <t xml:space="preserve">2006-01</t>
        </is>
      </c>
      <c r="B54" s="2" t="inlineStr">
        <is>
          <t xml:space="preserve">2005/06</t>
        </is>
      </c>
      <c r="C54" s="5" t="inlineStr">
        <is>
          <t xml:space="preserve">La Niña</t>
        </is>
      </c>
      <c r="D54" s="4">
        <f>INDEX(Monthly!$P:$P,MATCH($A54,Monthly!$A:$A,0))</f>
        <v>4.962</v>
      </c>
      <c r="E54" s="4">
        <f>INDEX(C$31:C$42,1)</f>
        <v>4.832071428571429</v>
      </c>
      <c r="F54" s="29">
        <f>IF(E54&gt;0,D54/E54,0)</f>
        <v>1.026888793625922</v>
      </c>
      <c r="G54" s="4">
        <f>INDEX(Monthly!$U:$U,MATCH($A54,Monthly!$A:$A,0))</f>
        <v>7.806</v>
      </c>
      <c r="H54" s="4">
        <f>INDEX(D$31:D$42,1)</f>
        <v>14.249071428571428</v>
      </c>
      <c r="I54" s="29">
        <f>IF(H54&gt;0,G54/H54,0)</f>
        <v>0.5478251715650644</v>
      </c>
      <c r="J54" s="4">
        <f>INDEX(Monthly!$Z:$Z,MATCH($A54,Monthly!$A:$A,0))</f>
        <v>49.05</v>
      </c>
      <c r="K54" s="4">
        <f>INDEX(E$31:E$42,1)</f>
        <v>40.161500000000004</v>
      </c>
      <c r="L54" s="29">
        <f>IF(K54&gt;0,J54/K54,0)</f>
        <v>1.2213189248409544</v>
      </c>
      <c r="M54" s="4">
        <f>INDEX(Monthly!$AE:$AE,MATCH($A54,Monthly!$A:$A,0))</f>
        <v>20.605999999999998</v>
      </c>
      <c r="N54" s="4">
        <f>INDEX(F$31:F$42,1)</f>
        <v>19.74754761904762</v>
      </c>
      <c r="O54" s="29">
        <f>IF(N54&gt;0,M54/N54,0)</f>
        <v>1.0434713412274217</v>
      </c>
    </row>
    <row r="55">
      <c r="A55" s="2" t="inlineStr">
        <is>
          <t xml:space="preserve">2006-02</t>
        </is>
      </c>
      <c r="B55" s="2" t="inlineStr">
        <is>
          <t xml:space="preserve">2005/06</t>
        </is>
      </c>
      <c r="C55" s="5" t="inlineStr">
        <is>
          <t xml:space="preserve">La Niña</t>
        </is>
      </c>
      <c r="D55" s="4">
        <f>INDEX(Monthly!$P:$P,MATCH($A55,Monthly!$A:$A,0))</f>
        <v>0.79</v>
      </c>
      <c r="E55" s="4">
        <f>INDEX(C$31:C$42,2)</f>
        <v>5.8785</v>
      </c>
      <c r="F55" s="32">
        <f>IF(E55&gt;0,D55/E55,0)</f>
        <v>0.13438802415582207</v>
      </c>
      <c r="G55" s="4">
        <f>INDEX(Monthly!$U:$U,MATCH($A55,Monthly!$A:$A,0))</f>
        <v>3.885</v>
      </c>
      <c r="H55" s="4">
        <f>INDEX(D$31:D$42,2)</f>
        <v>12.850714285714284</v>
      </c>
      <c r="I55" s="32">
        <f>IF(H55&gt;0,G55/H55,0)</f>
        <v>0.3023178255794564</v>
      </c>
      <c r="J55" s="4">
        <f>INDEX(Monthly!$Z:$Z,MATCH($A55,Monthly!$A:$A,0))</f>
        <v>12.137</v>
      </c>
      <c r="K55" s="4">
        <f>INDEX(E$31:E$42,2)</f>
        <v>27.980785714285712</v>
      </c>
      <c r="L55" s="32">
        <f>IF(K55&gt;0,J55/K55,0)</f>
        <v>0.43376194378285104</v>
      </c>
      <c r="M55" s="4">
        <f>INDEX(Monthly!$AE:$AE,MATCH($A55,Monthly!$A:$A,0))</f>
        <v>5.604</v>
      </c>
      <c r="N55" s="4">
        <f>INDEX(F$31:F$42,2)</f>
        <v>15.570000000000002</v>
      </c>
      <c r="O55" s="32">
        <f>IF(N55&gt;0,M55/N55,0)</f>
        <v>0.35992292870905584</v>
      </c>
    </row>
    <row r="56">
      <c r="A56" s="2" t="inlineStr">
        <is>
          <t xml:space="preserve">2006-03</t>
        </is>
      </c>
      <c r="B56" s="2" t="inlineStr">
        <is>
          <t xml:space="preserve">2005/06</t>
        </is>
      </c>
      <c r="C56" s="5" t="inlineStr">
        <is>
          <t xml:space="preserve">La Niña</t>
        </is>
      </c>
      <c r="D56" s="4">
        <f>INDEX(Monthly!$P:$P,MATCH($A56,Monthly!$A:$A,0))</f>
        <v>0.797</v>
      </c>
      <c r="E56" s="4">
        <f>INDEX(C$31:C$42,3)</f>
        <v>8.098142857142857</v>
      </c>
      <c r="F56" s="32">
        <f>IF(E56&gt;0,D56/E56,0)</f>
        <v>0.09841762661633179</v>
      </c>
      <c r="G56" s="4">
        <f>INDEX(Monthly!$U:$U,MATCH($A56,Monthly!$A:$A,0))</f>
        <v>4.185</v>
      </c>
      <c r="H56" s="4">
        <f>INDEX(D$31:D$42,3)</f>
        <v>13.050214285714285</v>
      </c>
      <c r="I56" s="32">
        <f>IF(H56&gt;0,G56/H56,0)</f>
        <v>0.32068438941889293</v>
      </c>
      <c r="J56" s="4">
        <f>INDEX(Monthly!$Z:$Z,MATCH($A56,Monthly!$A:$A,0))</f>
        <v>10.905</v>
      </c>
      <c r="K56" s="4">
        <f>INDEX(E$31:E$42,3)</f>
        <v>22.94821428571429</v>
      </c>
      <c r="L56" s="32">
        <f>IF(K56&gt;0,J56/K56,0)</f>
        <v>0.47520037351178884</v>
      </c>
      <c r="M56" s="4">
        <f>INDEX(Monthly!$AE:$AE,MATCH($A56,Monthly!$A:$A,0))</f>
        <v>5.2956666666666665</v>
      </c>
      <c r="N56" s="4">
        <f>INDEX(F$31:F$42,3)</f>
        <v>14.69885714285714</v>
      </c>
      <c r="O56" s="32">
        <f>IF(N56&gt;0,M56/N56,0)</f>
        <v>0.3602774430146821</v>
      </c>
    </row>
    <row r="57">
      <c r="A57" s="2" t="inlineStr">
        <is>
          <t xml:space="preserve">2006-04</t>
        </is>
      </c>
      <c r="B57" s="2" t="inlineStr">
        <is>
          <t xml:space="preserve">2005/06</t>
        </is>
      </c>
      <c r="C57" s="5" t="inlineStr">
        <is>
          <t xml:space="preserve">La Niña</t>
        </is>
      </c>
      <c r="D57" s="4">
        <f>INDEX(Monthly!$P:$P,MATCH($A57,Monthly!$A:$A,0))</f>
        <v>25.603</v>
      </c>
      <c r="E57" s="4">
        <f>INDEX(C$31:C$42,4)</f>
        <v>48.56264285714286</v>
      </c>
      <c r="F57" s="29">
        <f>IF(E57&gt;0,D57/E57,0)</f>
        <v>0.5272159522972537</v>
      </c>
      <c r="G57" s="4">
        <f>INDEX(Monthly!$U:$U,MATCH($A57,Monthly!$A:$A,0))</f>
        <v>33.662</v>
      </c>
      <c r="H57" s="4">
        <f>INDEX(D$31:D$42,4)</f>
        <v>40.45578571428571</v>
      </c>
      <c r="I57" s="29">
        <f>IF(H57&gt;0,G57/H57,0)</f>
        <v>0.8320688723668344</v>
      </c>
      <c r="J57" s="4">
        <f>INDEX(Monthly!$Z:$Z,MATCH($A57,Monthly!$A:$A,0))</f>
        <v>66.607</v>
      </c>
      <c r="K57" s="4">
        <f>INDEX(E$31:E$42,4)</f>
        <v>48.85292857142857</v>
      </c>
      <c r="L57" s="29">
        <f>IF(K57&gt;0,J57/K57,0)</f>
        <v>1.363418774426449</v>
      </c>
      <c r="M57" s="4">
        <f>INDEX(Monthly!$AE:$AE,MATCH($A57,Monthly!$A:$A,0))</f>
        <v>41.95733333333333</v>
      </c>
      <c r="N57" s="4">
        <f>INDEX(F$31:F$42,4)</f>
        <v>45.95711904761904</v>
      </c>
      <c r="O57" s="29">
        <f>IF(N57&gt;0,M57/N57,0)</f>
        <v>0.9129670049564839</v>
      </c>
    </row>
    <row r="58">
      <c r="A58" s="2" t="inlineStr">
        <is>
          <t xml:space="preserve">2006-05</t>
        </is>
      </c>
      <c r="B58" s="2" t="inlineStr">
        <is>
          <t xml:space="preserve">2005/06</t>
        </is>
      </c>
      <c r="C58" s="5" t="inlineStr">
        <is>
          <t xml:space="preserve">La Niña</t>
        </is>
      </c>
      <c r="D58" s="4">
        <f>INDEX(Monthly!$P:$P,MATCH($A58,Monthly!$A:$A,0))</f>
        <v>71.343</v>
      </c>
      <c r="E58" s="4">
        <f>INDEX(C$31:C$42,5)</f>
        <v>157.25921428571428</v>
      </c>
      <c r="F58" s="32">
        <f>IF(E58&gt;0,D58/E58,0)</f>
        <v>0.4536649907863678</v>
      </c>
      <c r="G58" s="4">
        <f>INDEX(Monthly!$U:$U,MATCH($A58,Monthly!$A:$A,0))</f>
        <v>144.414</v>
      </c>
      <c r="H58" s="4">
        <f>INDEX(D$31:D$42,5)</f>
        <v>153.39671428571432</v>
      </c>
      <c r="I58" s="29">
        <f>IF(H58&gt;0,G58/H58,0)</f>
        <v>0.9414412862260969</v>
      </c>
      <c r="J58" s="4">
        <f>INDEX(Monthly!$Z:$Z,MATCH($A58,Monthly!$A:$A,0))</f>
        <v>134.088</v>
      </c>
      <c r="K58" s="4">
        <f>INDEX(E$31:E$42,5)</f>
        <v>157.15200000000002</v>
      </c>
      <c r="L58" s="29">
        <f>IF(K58&gt;0,J58/K58,0)</f>
        <v>0.8532376298106291</v>
      </c>
      <c r="M58" s="4">
        <f>INDEX(Monthly!$AE:$AE,MATCH($A58,Monthly!$A:$A,0))</f>
        <v>116.61500000000001</v>
      </c>
      <c r="N58" s="4">
        <f>INDEX(F$31:F$42,5)</f>
        <v>155.9359761904762</v>
      </c>
      <c r="O58" s="29">
        <f>IF(N58&gt;0,M58/N58,0)</f>
        <v>0.7478389711528435</v>
      </c>
    </row>
    <row r="59">
      <c r="A59" s="2" t="inlineStr">
        <is>
          <t xml:space="preserve">2006-06</t>
        </is>
      </c>
      <c r="B59" s="2" t="inlineStr">
        <is>
          <t xml:space="preserve">2005/06</t>
        </is>
      </c>
      <c r="C59" s="5" t="inlineStr">
        <is>
          <t xml:space="preserve">La Niña</t>
        </is>
      </c>
      <c r="D59" s="4">
        <f>INDEX(Monthly!$P:$P,MATCH($A59,Monthly!$A:$A,0))</f>
        <v>213.956</v>
      </c>
      <c r="E59" s="4">
        <f>INDEX(C$31:C$42,6)</f>
        <v>197.10614285714286</v>
      </c>
      <c r="F59" s="29">
        <f>IF(E59&gt;0,D59/E59,0)</f>
        <v>1.0854862101130427</v>
      </c>
      <c r="G59" s="4">
        <f>INDEX(Monthly!$U:$U,MATCH($A59,Monthly!$A:$A,0))</f>
        <v>189.236</v>
      </c>
      <c r="H59" s="4">
        <f>INDEX(D$31:D$42,6)</f>
        <v>192.85257142857145</v>
      </c>
      <c r="I59" s="29">
        <f>IF(H59&gt;0,G59/H59,0)</f>
        <v>0.981246962890972</v>
      </c>
      <c r="J59" s="4">
        <f>INDEX(Monthly!$Z:$Z,MATCH($A59,Monthly!$A:$A,0))</f>
        <v>302.914</v>
      </c>
      <c r="K59" s="4">
        <f>INDEX(E$31:E$42,6)</f>
        <v>244.03071428571425</v>
      </c>
      <c r="L59" s="29">
        <f>IF(K59&gt;0,J59/K59,0)</f>
        <v>1.2412945677212763</v>
      </c>
      <c r="M59" s="4">
        <f>INDEX(Monthly!$AE:$AE,MATCH($A59,Monthly!$A:$A,0))</f>
        <v>235.36866666666666</v>
      </c>
      <c r="N59" s="4">
        <f>INDEX(F$31:F$42,6)</f>
        <v>211.32980952380953</v>
      </c>
      <c r="O59" s="29">
        <f>IF(N59&gt;0,M59/N59,0)</f>
        <v>1.113750432071197</v>
      </c>
    </row>
    <row r="60">
      <c r="A60" s="2" t="inlineStr">
        <is>
          <t xml:space="preserve">2006-07</t>
        </is>
      </c>
      <c r="B60" s="2" t="inlineStr">
        <is>
          <t xml:space="preserve">2006/07</t>
        </is>
      </c>
      <c r="C60" s="6" t="inlineStr">
        <is>
          <t xml:space="preserve">El Niño</t>
        </is>
      </c>
      <c r="D60" s="4">
        <f>INDEX(Monthly!$P:$P,MATCH($A60,Monthly!$A:$A,0))</f>
        <v>140.11</v>
      </c>
      <c r="E60" s="4">
        <f>INDEX(C$31:C$42,7)</f>
        <v>137.10459999999998</v>
      </c>
      <c r="F60" s="29">
        <f>IF(E60&gt;0,D60/E60,0)</f>
        <v>1.0219204899033296</v>
      </c>
      <c r="G60" s="4">
        <f>INDEX(Monthly!$U:$U,MATCH($A60,Monthly!$A:$A,0))</f>
        <v>241.077</v>
      </c>
      <c r="H60" s="4">
        <f>INDEX(D$31:D$42,7)</f>
        <v>187.2258</v>
      </c>
      <c r="I60" s="29">
        <f>IF(H60&gt;0,G60/H60,0)</f>
        <v>1.2876270257624751</v>
      </c>
      <c r="J60" s="4">
        <f>INDEX(Monthly!$Z:$Z,MATCH($A60,Monthly!$A:$A,0))</f>
        <v>111.276</v>
      </c>
      <c r="K60" s="4">
        <f>INDEX(E$31:E$42,7)</f>
        <v>179.02346666666668</v>
      </c>
      <c r="L60" s="29">
        <f>IF(K60&gt;0,J60/K60,0)</f>
        <v>0.6215721439870825</v>
      </c>
      <c r="M60" s="4">
        <f>INDEX(Monthly!$AE:$AE,MATCH($A60,Monthly!$A:$A,0))</f>
        <v>164.15433333333334</v>
      </c>
      <c r="N60" s="4">
        <f>INDEX(F$31:F$42,7)</f>
        <v>167.78462222222225</v>
      </c>
      <c r="O60" s="29">
        <f>IF(N60&gt;0,M60/N60,0)</f>
        <v>0.9783633992149723</v>
      </c>
    </row>
    <row r="61">
      <c r="A61" s="2" t="inlineStr">
        <is>
          <t xml:space="preserve">2006-08</t>
        </is>
      </c>
      <c r="B61" s="2" t="inlineStr">
        <is>
          <t xml:space="preserve">2006/07</t>
        </is>
      </c>
      <c r="C61" s="6" t="inlineStr">
        <is>
          <t xml:space="preserve">El Niño</t>
        </is>
      </c>
      <c r="D61" s="4">
        <f>INDEX(Monthly!$P:$P,MATCH($A61,Monthly!$A:$A,0))</f>
        <v>54.827</v>
      </c>
      <c r="E61" s="4">
        <f>INDEX(C$31:C$42,8)</f>
        <v>168.58193333333332</v>
      </c>
      <c r="F61" s="32">
        <f>IF(E61&gt;0,D61/E61,0)</f>
        <v>0.3252246484301007</v>
      </c>
      <c r="G61" s="4">
        <f>INDEX(Monthly!$U:$U,MATCH($A61,Monthly!$A:$A,0))</f>
        <v>151.768</v>
      </c>
      <c r="H61" s="4">
        <f>INDEX(D$31:D$42,8)</f>
        <v>228.6517333333334</v>
      </c>
      <c r="I61" s="29">
        <f>IF(H61&gt;0,G61/H61,0)</f>
        <v>0.6637518018669439</v>
      </c>
      <c r="J61" s="4">
        <f>INDEX(Monthly!$Z:$Z,MATCH($A61,Monthly!$A:$A,0))</f>
        <v>188.179</v>
      </c>
      <c r="K61" s="4">
        <f>INDEX(E$31:E$42,8)</f>
        <v>219.19053333333335</v>
      </c>
      <c r="L61" s="29">
        <f>IF(K61&gt;0,J61/K61,0)</f>
        <v>0.8585179165280252</v>
      </c>
      <c r="M61" s="4">
        <f>INDEX(Monthly!$AE:$AE,MATCH($A61,Monthly!$A:$A,0))</f>
        <v>131.59133333333332</v>
      </c>
      <c r="N61" s="4">
        <f>INDEX(F$31:F$42,8)</f>
        <v>205.47473333333338</v>
      </c>
      <c r="O61" s="29">
        <f>IF(N61&gt;0,M61/N61,0)</f>
        <v>0.6404258625796974</v>
      </c>
    </row>
    <row r="62">
      <c r="A62" s="2" t="inlineStr">
        <is>
          <t xml:space="preserve">2006-09</t>
        </is>
      </c>
      <c r="B62" s="2" t="inlineStr">
        <is>
          <t xml:space="preserve">2006/07</t>
        </is>
      </c>
      <c r="C62" s="6" t="inlineStr">
        <is>
          <t xml:space="preserve">El Niño</t>
        </is>
      </c>
      <c r="D62" s="4">
        <f>INDEX(Monthly!$P:$P,MATCH($A62,Monthly!$A:$A,0))</f>
        <v>183.784</v>
      </c>
      <c r="E62" s="4">
        <f>INDEX(C$31:C$42,9)</f>
        <v>216.9424666666667</v>
      </c>
      <c r="F62" s="29">
        <f>IF(E62&gt;0,D62/E62,0)</f>
        <v>0.8471554823905691</v>
      </c>
      <c r="G62" s="4">
        <f>INDEX(Monthly!$U:$U,MATCH($A62,Monthly!$A:$A,0))</f>
        <v>130.361</v>
      </c>
      <c r="H62" s="4">
        <f>INDEX(D$31:D$42,9)</f>
        <v>235.93773333333334</v>
      </c>
      <c r="I62" s="29">
        <f>IF(H62&gt;0,G62/H62,0)</f>
        <v>0.5525228972841987</v>
      </c>
      <c r="J62" s="4">
        <f>INDEX(Monthly!$Z:$Z,MATCH($A62,Monthly!$A:$A,0))</f>
        <v>165.874</v>
      </c>
      <c r="K62" s="4">
        <f>INDEX(E$31:E$42,9)</f>
        <v>255.97060000000002</v>
      </c>
      <c r="L62" s="29">
        <f>IF(K62&gt;0,J62/K62,0)</f>
        <v>0.648019733516271</v>
      </c>
      <c r="M62" s="4">
        <f>INDEX(Monthly!$AE:$AE,MATCH($A62,Monthly!$A:$A,0))</f>
        <v>160.00633333333334</v>
      </c>
      <c r="N62" s="4">
        <f>INDEX(F$31:F$42,9)</f>
        <v>236.28360000000004</v>
      </c>
      <c r="O62" s="29">
        <f>IF(N62&gt;0,M62/N62,0)</f>
        <v>0.6771791750816956</v>
      </c>
    </row>
    <row r="63">
      <c r="A63" s="2" t="inlineStr">
        <is>
          <t xml:space="preserve">2006-10</t>
        </is>
      </c>
      <c r="B63" s="2" t="inlineStr">
        <is>
          <t xml:space="preserve">2006/07</t>
        </is>
      </c>
      <c r="C63" s="6" t="inlineStr">
        <is>
          <t xml:space="preserve">El Niño</t>
        </is>
      </c>
      <c r="D63" s="4">
        <f>INDEX(Monthly!$P:$P,MATCH($A63,Monthly!$A:$A,0))</f>
        <v>172.228</v>
      </c>
      <c r="E63" s="4">
        <f>INDEX(C$31:C$42,10)</f>
        <v>157.55200000000002</v>
      </c>
      <c r="F63" s="29">
        <f>IF(E63&gt;0,D63/E63,0)</f>
        <v>1.0931501980298568</v>
      </c>
      <c r="G63" s="4">
        <f>INDEX(Monthly!$U:$U,MATCH($A63,Monthly!$A:$A,0))</f>
        <v>116.911</v>
      </c>
      <c r="H63" s="4">
        <f>INDEX(D$31:D$42,10)</f>
        <v>156.79653333333331</v>
      </c>
      <c r="I63" s="29">
        <f>IF(H63&gt;0,G63/H63,0)</f>
        <v>0.7456223521948615</v>
      </c>
      <c r="J63" s="4">
        <f>INDEX(Monthly!$Z:$Z,MATCH($A63,Monthly!$A:$A,0))</f>
        <v>113.251</v>
      </c>
      <c r="K63" s="4">
        <f>INDEX(E$31:E$42,10)</f>
        <v>182.93833333333333</v>
      </c>
      <c r="L63" s="29">
        <f>IF(K63&gt;0,J63/K63,0)</f>
        <v>0.6190665342601788</v>
      </c>
      <c r="M63" s="4">
        <f>INDEX(Monthly!$AE:$AE,MATCH($A63,Monthly!$A:$A,0))</f>
        <v>134.13</v>
      </c>
      <c r="N63" s="4">
        <f>INDEX(F$31:F$42,10)</f>
        <v>165.7622888888889</v>
      </c>
      <c r="O63" s="29">
        <f>IF(N63&gt;0,M63/N63,0)</f>
        <v>0.8091707764116834</v>
      </c>
    </row>
    <row r="64">
      <c r="A64" s="2" t="inlineStr">
        <is>
          <t xml:space="preserve">2006-11</t>
        </is>
      </c>
      <c r="B64" s="2" t="inlineStr">
        <is>
          <t xml:space="preserve">2006/07</t>
        </is>
      </c>
      <c r="C64" s="6" t="inlineStr">
        <is>
          <t xml:space="preserve">El Niño</t>
        </is>
      </c>
      <c r="D64" s="4">
        <f>INDEX(Monthly!$P:$P,MATCH($A64,Monthly!$A:$A,0))</f>
        <v>55.998</v>
      </c>
      <c r="E64" s="4">
        <f>INDEX(C$31:C$42,11)</f>
        <v>28.2242</v>
      </c>
      <c r="F64" s="31">
        <f>IF(E64&gt;0,D64/E64,0)</f>
        <v>1.9840420631939966</v>
      </c>
      <c r="G64" s="4">
        <f>INDEX(Monthly!$U:$U,MATCH($A64,Monthly!$A:$A,0))</f>
        <v>49.418</v>
      </c>
      <c r="H64" s="4">
        <f>INDEX(D$31:D$42,11)</f>
        <v>37.004000000000005</v>
      </c>
      <c r="I64" s="29">
        <f>IF(H64&gt;0,G64/H64,0)</f>
        <v>1.335477245703167</v>
      </c>
      <c r="J64" s="4">
        <f>INDEX(Monthly!$Z:$Z,MATCH($A64,Monthly!$A:$A,0))</f>
        <v>39.969</v>
      </c>
      <c r="K64" s="4">
        <f>INDEX(E$31:E$42,11)</f>
        <v>60.208133333333336</v>
      </c>
      <c r="L64" s="29">
        <f>IF(K64&gt;0,J64/K64,0)</f>
        <v>0.6638471878660912</v>
      </c>
      <c r="M64" s="4">
        <f>INDEX(Monthly!$AE:$AE,MATCH($A64,Monthly!$A:$A,0))</f>
        <v>48.461666666666666</v>
      </c>
      <c r="N64" s="4">
        <f>INDEX(F$31:F$42,11)</f>
        <v>41.81211111111111</v>
      </c>
      <c r="O64" s="29">
        <f>IF(N64&gt;0,M64/N64,0)</f>
        <v>1.1590341979596557</v>
      </c>
    </row>
    <row r="65">
      <c r="A65" s="2" t="inlineStr">
        <is>
          <t xml:space="preserve">2006-12</t>
        </is>
      </c>
      <c r="B65" s="2" t="inlineStr">
        <is>
          <t xml:space="preserve">2006/07</t>
        </is>
      </c>
      <c r="C65" s="6" t="inlineStr">
        <is>
          <t xml:space="preserve">El Niño</t>
        </is>
      </c>
      <c r="D65" s="4">
        <f>INDEX(Monthly!$P:$P,MATCH($A65,Monthly!$A:$A,0))</f>
        <v>32.25</v>
      </c>
      <c r="E65" s="4">
        <f>INDEX(C$31:C$42,12)</f>
        <v>13.638533333333335</v>
      </c>
      <c r="F65" s="31">
        <f>IF(E65&gt;0,D65/E65,0)</f>
        <v>2.3646237620858543</v>
      </c>
      <c r="G65" s="4">
        <f>INDEX(Monthly!$U:$U,MATCH($A65,Monthly!$A:$A,0))</f>
        <v>40.567</v>
      </c>
      <c r="H65" s="4">
        <f>INDEX(D$31:D$42,12)</f>
        <v>23.69433333333333</v>
      </c>
      <c r="I65" s="31">
        <f>IF(H65&gt;0,G65/H65,0)</f>
        <v>1.7120971258950808</v>
      </c>
      <c r="J65" s="4">
        <f>INDEX(Monthly!$Z:$Z,MATCH($A65,Monthly!$A:$A,0))</f>
        <v>98.523</v>
      </c>
      <c r="K65" s="4">
        <f>INDEX(E$31:E$42,12)</f>
        <v>52.138</v>
      </c>
      <c r="L65" s="31">
        <f>IF(K65&gt;0,J65/K65,0)</f>
        <v>1.8896582147378111</v>
      </c>
      <c r="M65" s="4">
        <f>INDEX(Monthly!$AE:$AE,MATCH($A65,Monthly!$A:$A,0))</f>
        <v>57.11333333333334</v>
      </c>
      <c r="N65" s="4">
        <f>INDEX(F$31:F$42,12)</f>
        <v>29.823622222222223</v>
      </c>
      <c r="O65" s="31">
        <f>IF(N65&gt;0,M65/N65,0)</f>
        <v>1.9150367754717923</v>
      </c>
    </row>
    <row r="66">
      <c r="A66" s="2" t="inlineStr">
        <is>
          <t xml:space="preserve">2007-01</t>
        </is>
      </c>
      <c r="B66" s="2" t="inlineStr">
        <is>
          <t xml:space="preserve">2006/07</t>
        </is>
      </c>
      <c r="C66" s="6" t="inlineStr">
        <is>
          <t xml:space="preserve">El Niño</t>
        </is>
      </c>
      <c r="D66" s="4">
        <f>INDEX(Monthly!$P:$P,MATCH($A66,Monthly!$A:$A,0))</f>
        <v>2.74</v>
      </c>
      <c r="E66" s="4">
        <f>INDEX(C$31:C$42,1)</f>
        <v>4.832071428571429</v>
      </c>
      <c r="F66" s="29">
        <f>IF(E66&gt;0,D66/E66,0)</f>
        <v>0.5670445978506704</v>
      </c>
      <c r="G66" s="4">
        <f>INDEX(Monthly!$U:$U,MATCH($A66,Monthly!$A:$A,0))</f>
        <v>17.497</v>
      </c>
      <c r="H66" s="4">
        <f>INDEX(D$31:D$42,1)</f>
        <v>14.249071428571428</v>
      </c>
      <c r="I66" s="29">
        <f>IF(H66&gt;0,G66/H66,0)</f>
        <v>1.2279396652413441</v>
      </c>
      <c r="J66" s="4">
        <f>INDEX(Monthly!$Z:$Z,MATCH($A66,Monthly!$A:$A,0))</f>
        <v>43.994</v>
      </c>
      <c r="K66" s="4">
        <f>INDEX(E$31:E$42,1)</f>
        <v>40.161500000000004</v>
      </c>
      <c r="L66" s="29">
        <f>IF(K66&gt;0,J66/K66,0)</f>
        <v>1.0954272126290103</v>
      </c>
      <c r="M66" s="4">
        <f>INDEX(Monthly!$AE:$AE,MATCH($A66,Monthly!$A:$A,0))</f>
        <v>21.41033333333333</v>
      </c>
      <c r="N66" s="4">
        <f>INDEX(F$31:F$42,1)</f>
        <v>19.74754761904762</v>
      </c>
      <c r="O66" s="29">
        <f>IF(N66&gt;0,M66/N66,0)</f>
        <v>1.0842021372153503</v>
      </c>
    </row>
    <row r="67">
      <c r="A67" s="2" t="inlineStr">
        <is>
          <t xml:space="preserve">2007-02</t>
        </is>
      </c>
      <c r="B67" s="2" t="inlineStr">
        <is>
          <t xml:space="preserve">2006/07</t>
        </is>
      </c>
      <c r="C67" s="6" t="inlineStr">
        <is>
          <t xml:space="preserve">El Niño</t>
        </is>
      </c>
      <c r="D67" s="4">
        <f>INDEX(Monthly!$P:$P,MATCH($A67,Monthly!$A:$A,0))</f>
        <v>2.085</v>
      </c>
      <c r="E67" s="4">
        <f>INDEX(C$31:C$42,2)</f>
        <v>5.8785</v>
      </c>
      <c r="F67" s="32">
        <f>IF(E67&gt;0,D67/E67,0)</f>
        <v>0.354682316917581</v>
      </c>
      <c r="G67" s="4">
        <f>INDEX(Monthly!$U:$U,MATCH($A67,Monthly!$A:$A,0))</f>
        <v>12.882</v>
      </c>
      <c r="H67" s="4">
        <f>INDEX(D$31:D$42,2)</f>
        <v>12.850714285714284</v>
      </c>
      <c r="I67" s="29">
        <f>IF(H67&gt;0,G67/H67,0)</f>
        <v>1.0024345506086378</v>
      </c>
      <c r="J67" s="4">
        <f>INDEX(Monthly!$Z:$Z,MATCH($A67,Monthly!$A:$A,0))</f>
        <v>18.063</v>
      </c>
      <c r="K67" s="4">
        <f>INDEX(E$31:E$42,2)</f>
        <v>27.980785714285712</v>
      </c>
      <c r="L67" s="29">
        <f>IF(K67&gt;0,J67/K67,0)</f>
        <v>0.645550135169287</v>
      </c>
      <c r="M67" s="4">
        <f>INDEX(Monthly!$AE:$AE,MATCH($A67,Monthly!$A:$A,0))</f>
        <v>11.01</v>
      </c>
      <c r="N67" s="4">
        <f>INDEX(F$31:F$42,2)</f>
        <v>15.570000000000002</v>
      </c>
      <c r="O67" s="29">
        <f>IF(N67&gt;0,M67/N67,0)</f>
        <v>0.7071290944123313</v>
      </c>
    </row>
    <row r="68">
      <c r="A68" s="2" t="inlineStr">
        <is>
          <t xml:space="preserve">2007-03</t>
        </is>
      </c>
      <c r="B68" s="2" t="inlineStr">
        <is>
          <t xml:space="preserve">2006/07</t>
        </is>
      </c>
      <c r="C68" s="6" t="inlineStr">
        <is>
          <t xml:space="preserve">El Niño</t>
        </is>
      </c>
      <c r="D68" s="4">
        <f>INDEX(Monthly!$P:$P,MATCH($A68,Monthly!$A:$A,0))</f>
        <v>5.48</v>
      </c>
      <c r="E68" s="4">
        <f>INDEX(C$31:C$42,3)</f>
        <v>8.098142857142857</v>
      </c>
      <c r="F68" s="29">
        <f>IF(E68&gt;0,D68/E68,0)</f>
        <v>0.6766983611762838</v>
      </c>
      <c r="G68" s="4">
        <f>INDEX(Monthly!$U:$U,MATCH($A68,Monthly!$A:$A,0))</f>
        <v>9.826</v>
      </c>
      <c r="H68" s="4">
        <f>INDEX(D$31:D$42,3)</f>
        <v>13.050214285714285</v>
      </c>
      <c r="I68" s="29">
        <f>IF(H68&gt;0,G68/H68,0)</f>
        <v>0.7529378280597473</v>
      </c>
      <c r="J68" s="4">
        <f>INDEX(Monthly!$Z:$Z,MATCH($A68,Monthly!$A:$A,0))</f>
        <v>17.174</v>
      </c>
      <c r="K68" s="4">
        <f>INDEX(E$31:E$42,3)</f>
        <v>22.94821428571429</v>
      </c>
      <c r="L68" s="29">
        <f>IF(K68&gt;0,J68/K68,0)</f>
        <v>0.7483806707649209</v>
      </c>
      <c r="M68" s="4">
        <f>INDEX(Monthly!$AE:$AE,MATCH($A68,Monthly!$A:$A,0))</f>
        <v>10.826666666666668</v>
      </c>
      <c r="N68" s="4">
        <f>INDEX(F$31:F$42,3)</f>
        <v>14.69885714285714</v>
      </c>
      <c r="O68" s="29">
        <f>IF(N68&gt;0,M68/N68,0)</f>
        <v>0.7365652010522362</v>
      </c>
    </row>
    <row r="69">
      <c r="A69" s="2" t="inlineStr">
        <is>
          <t xml:space="preserve">2007-04</t>
        </is>
      </c>
      <c r="B69" s="2" t="inlineStr">
        <is>
          <t xml:space="preserve">2006/07</t>
        </is>
      </c>
      <c r="C69" s="6" t="inlineStr">
        <is>
          <t xml:space="preserve">El Niño</t>
        </is>
      </c>
      <c r="D69" s="4">
        <f>INDEX(Monthly!$P:$P,MATCH($A69,Monthly!$A:$A,0))</f>
        <v>58.081</v>
      </c>
      <c r="E69" s="4">
        <f>INDEX(C$31:C$42,4)</f>
        <v>48.56264285714286</v>
      </c>
      <c r="F69" s="29">
        <f>IF(E69&gt;0,D69/E69,0)</f>
        <v>1.1960016297065499</v>
      </c>
      <c r="G69" s="4">
        <f>INDEX(Monthly!$U:$U,MATCH($A69,Monthly!$A:$A,0))</f>
        <v>37.349</v>
      </c>
      <c r="H69" s="4">
        <f>INDEX(D$31:D$42,4)</f>
        <v>40.45578571428571</v>
      </c>
      <c r="I69" s="29">
        <f>IF(H69&gt;0,G69/H69,0)</f>
        <v>0.9232054041360851</v>
      </c>
      <c r="J69" s="4">
        <f>INDEX(Monthly!$Z:$Z,MATCH($A69,Monthly!$A:$A,0))</f>
        <v>31.204</v>
      </c>
      <c r="K69" s="4">
        <f>INDEX(E$31:E$42,4)</f>
        <v>48.85292857142857</v>
      </c>
      <c r="L69" s="29">
        <f>IF(K69&gt;0,J69/K69,0)</f>
        <v>0.6387334580029564</v>
      </c>
      <c r="M69" s="4">
        <f>INDEX(Monthly!$AE:$AE,MATCH($A69,Monthly!$A:$A,0))</f>
        <v>42.211333333333336</v>
      </c>
      <c r="N69" s="4">
        <f>INDEX(F$31:F$42,4)</f>
        <v>45.95711904761904</v>
      </c>
      <c r="O69" s="29">
        <f>IF(N69&gt;0,M69/N69,0)</f>
        <v>0.9184938962252082</v>
      </c>
    </row>
    <row r="70">
      <c r="A70" s="2" t="inlineStr">
        <is>
          <t xml:space="preserve">2007-05</t>
        </is>
      </c>
      <c r="B70" s="2" t="inlineStr">
        <is>
          <t xml:space="preserve">2006/07</t>
        </is>
      </c>
      <c r="C70" s="6" t="inlineStr">
        <is>
          <t xml:space="preserve">El Niño</t>
        </is>
      </c>
      <c r="D70" s="4">
        <f>INDEX(Monthly!$P:$P,MATCH($A70,Monthly!$A:$A,0))</f>
        <v>77.63</v>
      </c>
      <c r="E70" s="4">
        <f>INDEX(C$31:C$42,5)</f>
        <v>157.25921428571428</v>
      </c>
      <c r="F70" s="32">
        <f>IF(E70&gt;0,D70/E70,0)</f>
        <v>0.49364357028364</v>
      </c>
      <c r="G70" s="4">
        <f>INDEX(Monthly!$U:$U,MATCH($A70,Monthly!$A:$A,0))</f>
        <v>102.166</v>
      </c>
      <c r="H70" s="4">
        <f>INDEX(D$31:D$42,5)</f>
        <v>153.39671428571432</v>
      </c>
      <c r="I70" s="29">
        <f>IF(H70&gt;0,G70/H70,0)</f>
        <v>0.6660246960029874</v>
      </c>
      <c r="J70" s="4">
        <f>INDEX(Monthly!$Z:$Z,MATCH($A70,Monthly!$A:$A,0))</f>
        <v>108.226</v>
      </c>
      <c r="K70" s="4">
        <f>INDEX(E$31:E$42,5)</f>
        <v>157.15200000000002</v>
      </c>
      <c r="L70" s="29">
        <f>IF(K70&gt;0,J70/K70,0)</f>
        <v>0.6886708409692526</v>
      </c>
      <c r="M70" s="4">
        <f>INDEX(Monthly!$AE:$AE,MATCH($A70,Monthly!$A:$A,0))</f>
        <v>96.00733333333334</v>
      </c>
      <c r="N70" s="4">
        <f>INDEX(F$31:F$42,5)</f>
        <v>155.9359761904762</v>
      </c>
      <c r="O70" s="29">
        <f>IF(N70&gt;0,M70/N70,0)</f>
        <v>0.6156843063339029</v>
      </c>
    </row>
    <row r="71">
      <c r="A71" s="2" t="inlineStr">
        <is>
          <t xml:space="preserve">2007-06</t>
        </is>
      </c>
      <c r="B71" s="2" t="inlineStr">
        <is>
          <t xml:space="preserve">2006/07</t>
        </is>
      </c>
      <c r="C71" s="6" t="inlineStr">
        <is>
          <t xml:space="preserve">El Niño</t>
        </is>
      </c>
      <c r="D71" s="4">
        <f>INDEX(Monthly!$P:$P,MATCH($A71,Monthly!$A:$A,0))</f>
        <v>191.058</v>
      </c>
      <c r="E71" s="4">
        <f>INDEX(C$31:C$42,6)</f>
        <v>197.10614285714286</v>
      </c>
      <c r="F71" s="29">
        <f>IF(E71&gt;0,D71/E71,0)</f>
        <v>0.9693153000232652</v>
      </c>
      <c r="G71" s="4">
        <f>INDEX(Monthly!$U:$U,MATCH($A71,Monthly!$A:$A,0))</f>
        <v>215.052</v>
      </c>
      <c r="H71" s="4">
        <f>INDEX(D$31:D$42,6)</f>
        <v>192.85257142857145</v>
      </c>
      <c r="I71" s="29">
        <f>IF(H71&gt;0,G71/H71,0)</f>
        <v>1.1151108767022624</v>
      </c>
      <c r="J71" s="4">
        <f>INDEX(Monthly!$Z:$Z,MATCH($A71,Monthly!$A:$A,0))</f>
        <v>252.203</v>
      </c>
      <c r="K71" s="4">
        <f>INDEX(E$31:E$42,6)</f>
        <v>244.03071428571425</v>
      </c>
      <c r="L71" s="29">
        <f>IF(K71&gt;0,J71/K71,0)</f>
        <v>1.033488758733532</v>
      </c>
      <c r="M71" s="4">
        <f>INDEX(Monthly!$AE:$AE,MATCH($A71,Monthly!$A:$A,0))</f>
        <v>219.43766666666667</v>
      </c>
      <c r="N71" s="4">
        <f>INDEX(F$31:F$42,6)</f>
        <v>211.32980952380953</v>
      </c>
      <c r="O71" s="29">
        <f>IF(N71&gt;0,M71/N71,0)</f>
        <v>1.0383658943389322</v>
      </c>
    </row>
    <row r="72">
      <c r="A72" s="2" t="inlineStr">
        <is>
          <t xml:space="preserve">2007-07</t>
        </is>
      </c>
      <c r="B72" s="2" t="inlineStr">
        <is>
          <t xml:space="preserve">2007/08</t>
        </is>
      </c>
      <c r="C72" s="5" t="inlineStr">
        <is>
          <t xml:space="preserve">La Niña</t>
        </is>
      </c>
      <c r="D72" s="4">
        <f>INDEX(Monthly!$P:$P,MATCH($A72,Monthly!$A:$A,0))</f>
        <v>146.112</v>
      </c>
      <c r="E72" s="4">
        <f>INDEX(C$31:C$42,7)</f>
        <v>137.10459999999998</v>
      </c>
      <c r="F72" s="29">
        <f>IF(E72&gt;0,D72/E72,0)</f>
        <v>1.0656972851385003</v>
      </c>
      <c r="G72" s="4">
        <f>INDEX(Monthly!$U:$U,MATCH($A72,Monthly!$A:$A,0))</f>
        <v>217.112</v>
      </c>
      <c r="H72" s="4">
        <f>INDEX(D$31:D$42,7)</f>
        <v>187.2258</v>
      </c>
      <c r="I72" s="29">
        <f>IF(H72&gt;0,G72/H72,0)</f>
        <v>1.1596265044667988</v>
      </c>
      <c r="J72" s="4">
        <f>INDEX(Monthly!$Z:$Z,MATCH($A72,Monthly!$A:$A,0))</f>
        <v>264.3</v>
      </c>
      <c r="K72" s="4">
        <f>INDEX(E$31:E$42,7)</f>
        <v>179.02346666666668</v>
      </c>
      <c r="L72" s="29">
        <f>IF(K72&gt;0,J72/K72,0)</f>
        <v>1.4763427662369775</v>
      </c>
      <c r="M72" s="4">
        <f>INDEX(Monthly!$AE:$AE,MATCH($A72,Monthly!$A:$A,0))</f>
        <v>209.17466666666667</v>
      </c>
      <c r="N72" s="4">
        <f>INDEX(F$31:F$42,7)</f>
        <v>167.78462222222225</v>
      </c>
      <c r="O72" s="29">
        <f>IF(N72&gt;0,M72/N72,0)</f>
        <v>1.2466855656749365</v>
      </c>
    </row>
    <row r="73">
      <c r="A73" s="2" t="inlineStr">
        <is>
          <t xml:space="preserve">2007-08</t>
        </is>
      </c>
      <c r="B73" s="2" t="inlineStr">
        <is>
          <t xml:space="preserve">2007/08</t>
        </is>
      </c>
      <c r="C73" s="5" t="inlineStr">
        <is>
          <t xml:space="preserve">La Niña</t>
        </is>
      </c>
      <c r="D73" s="4">
        <f>INDEX(Monthly!$P:$P,MATCH($A73,Monthly!$A:$A,0))</f>
        <v>196.552</v>
      </c>
      <c r="E73" s="4">
        <f>INDEX(C$31:C$42,8)</f>
        <v>168.58193333333332</v>
      </c>
      <c r="F73" s="29">
        <f>IF(E73&gt;0,D73/E73,0)</f>
        <v>1.1659137851466093</v>
      </c>
      <c r="G73" s="4">
        <f>INDEX(Monthly!$U:$U,MATCH($A73,Monthly!$A:$A,0))</f>
        <v>237.352</v>
      </c>
      <c r="H73" s="4">
        <f>INDEX(D$31:D$42,8)</f>
        <v>228.6517333333334</v>
      </c>
      <c r="I73" s="29">
        <f>IF(H73&gt;0,G73/H73,0)</f>
        <v>1.0380502983285202</v>
      </c>
      <c r="J73" s="4">
        <f>INDEX(Monthly!$Z:$Z,MATCH($A73,Monthly!$A:$A,0))</f>
        <v>213.736</v>
      </c>
      <c r="K73" s="4">
        <f>INDEX(E$31:E$42,8)</f>
        <v>219.19053333333335</v>
      </c>
      <c r="L73" s="29">
        <f>IF(K73&gt;0,J73/K73,0)</f>
        <v>0.9751151053360576</v>
      </c>
      <c r="M73" s="4">
        <f>INDEX(Monthly!$AE:$AE,MATCH($A73,Monthly!$A:$A,0))</f>
        <v>215.88</v>
      </c>
      <c r="N73" s="4">
        <f>INDEX(F$31:F$42,8)</f>
        <v>205.47473333333338</v>
      </c>
      <c r="O73" s="29">
        <f>IF(N73&gt;0,M73/N73,0)</f>
        <v>1.0506401273668358</v>
      </c>
    </row>
    <row r="74">
      <c r="A74" s="2" t="inlineStr">
        <is>
          <t xml:space="preserve">2007-09</t>
        </is>
      </c>
      <c r="B74" s="2" t="inlineStr">
        <is>
          <t xml:space="preserve">2007/08</t>
        </is>
      </c>
      <c r="C74" s="5" t="inlineStr">
        <is>
          <t xml:space="preserve">La Niña</t>
        </is>
      </c>
      <c r="D74" s="4">
        <f>INDEX(Monthly!$P:$P,MATCH($A74,Monthly!$A:$A,0))</f>
        <v>269.679</v>
      </c>
      <c r="E74" s="4">
        <f>INDEX(C$31:C$42,9)</f>
        <v>216.9424666666667</v>
      </c>
      <c r="F74" s="29">
        <f>IF(E74&gt;0,D74/E74,0)</f>
        <v>1.243089949808505</v>
      </c>
      <c r="G74" s="4">
        <f>INDEX(Monthly!$U:$U,MATCH($A74,Monthly!$A:$A,0))</f>
        <v>289.355</v>
      </c>
      <c r="H74" s="4">
        <f>INDEX(D$31:D$42,9)</f>
        <v>235.93773333333334</v>
      </c>
      <c r="I74" s="29">
        <f>IF(H74&gt;0,G74/H74,0)</f>
        <v>1.2264040851456288</v>
      </c>
      <c r="J74" s="4">
        <f>INDEX(Monthly!$Z:$Z,MATCH($A74,Monthly!$A:$A,0))</f>
        <v>308.432</v>
      </c>
      <c r="K74" s="4">
        <f>INDEX(E$31:E$42,9)</f>
        <v>255.97060000000002</v>
      </c>
      <c r="L74" s="29">
        <f>IF(K74&gt;0,J74/K74,0)</f>
        <v>1.2049508810777487</v>
      </c>
      <c r="M74" s="4">
        <f>INDEX(Monthly!$AE:$AE,MATCH($A74,Monthly!$A:$A,0))</f>
        <v>289.1553333333333</v>
      </c>
      <c r="N74" s="4">
        <f>INDEX(F$31:F$42,9)</f>
        <v>236.28360000000004</v>
      </c>
      <c r="O74" s="29">
        <f>IF(N74&gt;0,M74/N74,0)</f>
        <v>1.2237638724538362</v>
      </c>
    </row>
    <row r="75">
      <c r="A75" s="2" t="inlineStr">
        <is>
          <t xml:space="preserve">2007-10</t>
        </is>
      </c>
      <c r="B75" s="2" t="inlineStr">
        <is>
          <t xml:space="preserve">2007/08</t>
        </is>
      </c>
      <c r="C75" s="5" t="inlineStr">
        <is>
          <t xml:space="preserve">La Niña</t>
        </is>
      </c>
      <c r="D75" s="4">
        <f>INDEX(Monthly!$P:$P,MATCH($A75,Monthly!$A:$A,0))</f>
        <v>197.275</v>
      </c>
      <c r="E75" s="4">
        <f>INDEX(C$31:C$42,10)</f>
        <v>157.55200000000002</v>
      </c>
      <c r="F75" s="29">
        <f>IF(E75&gt;0,D75/E75,0)</f>
        <v>1.2521262821163806</v>
      </c>
      <c r="G75" s="4">
        <f>INDEX(Monthly!$U:$U,MATCH($A75,Monthly!$A:$A,0))</f>
        <v>210.576</v>
      </c>
      <c r="H75" s="4">
        <f>INDEX(D$31:D$42,10)</f>
        <v>156.79653333333331</v>
      </c>
      <c r="I75" s="29">
        <f>IF(H75&gt;0,G75/H75,0)</f>
        <v>1.3429888756043928</v>
      </c>
      <c r="J75" s="4">
        <f>INDEX(Monthly!$Z:$Z,MATCH($A75,Monthly!$A:$A,0))</f>
        <v>224.085</v>
      </c>
      <c r="K75" s="4">
        <f>INDEX(E$31:E$42,10)</f>
        <v>182.93833333333333</v>
      </c>
      <c r="L75" s="29">
        <f>IF(K75&gt;0,J75/K75,0)</f>
        <v>1.2249209660814664</v>
      </c>
      <c r="M75" s="4">
        <f>INDEX(Monthly!$AE:$AE,MATCH($A75,Monthly!$A:$A,0))</f>
        <v>210.64533333333335</v>
      </c>
      <c r="N75" s="4">
        <f>INDEX(F$31:F$42,10)</f>
        <v>165.7622888888889</v>
      </c>
      <c r="O75" s="29">
        <f>IF(N75&gt;0,M75/N75,0)</f>
        <v>1.270767523453599</v>
      </c>
    </row>
    <row r="76">
      <c r="A76" s="2" t="inlineStr">
        <is>
          <t xml:space="preserve">2007-11</t>
        </is>
      </c>
      <c r="B76" s="2" t="inlineStr">
        <is>
          <t xml:space="preserve">2007/08</t>
        </is>
      </c>
      <c r="C76" s="5" t="inlineStr">
        <is>
          <t xml:space="preserve">La Niña</t>
        </is>
      </c>
      <c r="D76" s="4">
        <f>INDEX(Monthly!$P:$P,MATCH($A76,Monthly!$A:$A,0))</f>
        <v>9.777</v>
      </c>
      <c r="E76" s="4">
        <f>INDEX(C$31:C$42,11)</f>
        <v>28.2242</v>
      </c>
      <c r="F76" s="32">
        <f>IF(E76&gt;0,D76/E76,0)</f>
        <v>0.3464048582422177</v>
      </c>
      <c r="G76" s="4">
        <f>INDEX(Monthly!$U:$U,MATCH($A76,Monthly!$A:$A,0))</f>
        <v>38.861</v>
      </c>
      <c r="H76" s="4">
        <f>INDEX(D$31:D$42,11)</f>
        <v>37.004000000000005</v>
      </c>
      <c r="I76" s="29">
        <f>IF(H76&gt;0,G76/H76,0)</f>
        <v>1.050183763917414</v>
      </c>
      <c r="J76" s="4">
        <f>INDEX(Monthly!$Z:$Z,MATCH($A76,Monthly!$A:$A,0))</f>
        <v>63.516</v>
      </c>
      <c r="K76" s="4">
        <f>INDEX(E$31:E$42,11)</f>
        <v>60.208133333333336</v>
      </c>
      <c r="L76" s="29">
        <f>IF(K76&gt;0,J76/K76,0)</f>
        <v>1.0549405285221707</v>
      </c>
      <c r="M76" s="4">
        <f>INDEX(Monthly!$AE:$AE,MATCH($A76,Monthly!$A:$A,0))</f>
        <v>37.38466666666667</v>
      </c>
      <c r="N76" s="4">
        <f>INDEX(F$31:F$42,11)</f>
        <v>41.81211111111111</v>
      </c>
      <c r="O76" s="29">
        <f>IF(N76&gt;0,M76/N76,0)</f>
        <v>0.8941109566871906</v>
      </c>
    </row>
    <row r="77">
      <c r="A77" s="2" t="inlineStr">
        <is>
          <t xml:space="preserve">2007-12</t>
        </is>
      </c>
      <c r="B77" s="2" t="inlineStr">
        <is>
          <t xml:space="preserve">2007/08</t>
        </is>
      </c>
      <c r="C77" s="5" t="inlineStr">
        <is>
          <t xml:space="preserve">La Niña</t>
        </is>
      </c>
      <c r="D77" s="4">
        <f>INDEX(Monthly!$P:$P,MATCH($A77,Monthly!$A:$A,0))</f>
        <v>3.293</v>
      </c>
      <c r="E77" s="4">
        <f>INDEX(C$31:C$42,12)</f>
        <v>13.638533333333335</v>
      </c>
      <c r="F77" s="32">
        <f>IF(E77&gt;0,D77/E77,0)</f>
        <v>0.24144824956740216</v>
      </c>
      <c r="G77" s="4">
        <f>INDEX(Monthly!$U:$U,MATCH($A77,Monthly!$A:$A,0))</f>
        <v>11.685</v>
      </c>
      <c r="H77" s="4">
        <f>INDEX(D$31:D$42,12)</f>
        <v>23.69433333333333</v>
      </c>
      <c r="I77" s="32">
        <f>IF(H77&gt;0,G77/H77,0)</f>
        <v>0.49315588818704903</v>
      </c>
      <c r="J77" s="4">
        <f>INDEX(Monthly!$Z:$Z,MATCH($A77,Monthly!$A:$A,0))</f>
        <v>18.061</v>
      </c>
      <c r="K77" s="4">
        <f>INDEX(E$31:E$42,12)</f>
        <v>52.138</v>
      </c>
      <c r="L77" s="32">
        <f>IF(K77&gt;0,J77/K77,0)</f>
        <v>0.3464076105719437</v>
      </c>
      <c r="M77" s="4">
        <f>INDEX(Monthly!$AE:$AE,MATCH($A77,Monthly!$A:$A,0))</f>
        <v>11.013</v>
      </c>
      <c r="N77" s="4">
        <f>INDEX(F$31:F$42,12)</f>
        <v>29.823622222222223</v>
      </c>
      <c r="O77" s="32">
        <f>IF(N77&gt;0,M77/N77,0)</f>
        <v>0.3692710401821673</v>
      </c>
    </row>
    <row r="78">
      <c r="A78" s="2" t="inlineStr">
        <is>
          <t xml:space="preserve">2008-01</t>
        </is>
      </c>
      <c r="B78" s="2" t="inlineStr">
        <is>
          <t xml:space="preserve">2007/08</t>
        </is>
      </c>
      <c r="C78" s="5" t="inlineStr">
        <is>
          <t xml:space="preserve">La Niña</t>
        </is>
      </c>
      <c r="D78" s="4">
        <f>INDEX(Monthly!$P:$P,MATCH($A78,Monthly!$A:$A,0))</f>
        <v>5.726</v>
      </c>
      <c r="E78" s="4">
        <f>INDEX(C$31:C$42,1)</f>
        <v>4.832071428571429</v>
      </c>
      <c r="F78" s="29">
        <f>IF(E78&gt;0,D78/E78,0)</f>
        <v>1.1849990391580068</v>
      </c>
      <c r="G78" s="4">
        <f>INDEX(Monthly!$U:$U,MATCH($A78,Monthly!$A:$A,0))</f>
        <v>25.694</v>
      </c>
      <c r="H78" s="4">
        <f>INDEX(D$31:D$42,1)</f>
        <v>14.249071428571428</v>
      </c>
      <c r="I78" s="31">
        <f>IF(H78&gt;0,G78/H78,0)</f>
        <v>1.8032052213928726</v>
      </c>
      <c r="J78" s="4">
        <f>INDEX(Monthly!$Z:$Z,MATCH($A78,Monthly!$A:$A,0))</f>
        <v>42.528</v>
      </c>
      <c r="K78" s="4">
        <f>INDEX(E$31:E$42,1)</f>
        <v>40.161500000000004</v>
      </c>
      <c r="L78" s="29">
        <f>IF(K78&gt;0,J78/K78,0)</f>
        <v>1.0589245919599615</v>
      </c>
      <c r="M78" s="4">
        <f>INDEX(Monthly!$AE:$AE,MATCH($A78,Monthly!$A:$A,0))</f>
        <v>24.64933333333333</v>
      </c>
      <c r="N78" s="4">
        <f>INDEX(F$31:F$42,1)</f>
        <v>19.74754761904762</v>
      </c>
      <c r="O78" s="29">
        <f>IF(N78&gt;0,M78/N78,0)</f>
        <v>1.2482225038190395</v>
      </c>
    </row>
    <row r="79">
      <c r="A79" s="2" t="inlineStr">
        <is>
          <t xml:space="preserve">2008-02</t>
        </is>
      </c>
      <c r="B79" s="2" t="inlineStr">
        <is>
          <t xml:space="preserve">2007/08</t>
        </is>
      </c>
      <c r="C79" s="5" t="inlineStr">
        <is>
          <t xml:space="preserve">La Niña</t>
        </is>
      </c>
      <c r="D79" s="4">
        <f>INDEX(Monthly!$P:$P,MATCH($A79,Monthly!$A:$A,0))</f>
        <v>6.983</v>
      </c>
      <c r="E79" s="4">
        <f>INDEX(C$31:C$42,2)</f>
        <v>5.8785</v>
      </c>
      <c r="F79" s="29">
        <f>IF(E79&gt;0,D79/E79,0)</f>
        <v>1.1878880666836777</v>
      </c>
      <c r="G79" s="4">
        <f>INDEX(Monthly!$U:$U,MATCH($A79,Monthly!$A:$A,0))</f>
        <v>15.238</v>
      </c>
      <c r="H79" s="4">
        <f>INDEX(D$31:D$42,2)</f>
        <v>12.850714285714284</v>
      </c>
      <c r="I79" s="29">
        <f>IF(H79&gt;0,G79/H79,0)</f>
        <v>1.1857706631093325</v>
      </c>
      <c r="J79" s="4">
        <f>INDEX(Monthly!$Z:$Z,MATCH($A79,Monthly!$A:$A,0))</f>
        <v>18.866</v>
      </c>
      <c r="K79" s="4">
        <f>INDEX(E$31:E$42,2)</f>
        <v>27.980785714285712</v>
      </c>
      <c r="L79" s="29">
        <f>IF(K79&gt;0,J79/K79,0)</f>
        <v>0.6742484000500344</v>
      </c>
      <c r="M79" s="4">
        <f>INDEX(Monthly!$AE:$AE,MATCH($A79,Monthly!$A:$A,0))</f>
        <v>13.695666666666668</v>
      </c>
      <c r="N79" s="4">
        <f>INDEX(F$31:F$42,2)</f>
        <v>15.570000000000002</v>
      </c>
      <c r="O79" s="29">
        <f>IF(N79&gt;0,M79/N79,0)</f>
        <v>0.8796189252836651</v>
      </c>
    </row>
    <row r="80">
      <c r="A80" s="2" t="inlineStr">
        <is>
          <t xml:space="preserve">2008-03</t>
        </is>
      </c>
      <c r="B80" s="2" t="inlineStr">
        <is>
          <t xml:space="preserve">2007/08</t>
        </is>
      </c>
      <c r="C80" s="5" t="inlineStr">
        <is>
          <t xml:space="preserve">La Niña</t>
        </is>
      </c>
      <c r="D80" s="4">
        <f>INDEX(Monthly!$P:$P,MATCH($A80,Monthly!$A:$A,0))</f>
        <v>4.322</v>
      </c>
      <c r="E80" s="4">
        <f>INDEX(C$31:C$42,3)</f>
        <v>8.098142857142857</v>
      </c>
      <c r="F80" s="29">
        <f>IF(E80&gt;0,D80/E80,0)</f>
        <v>0.5337026125919523</v>
      </c>
      <c r="G80" s="4">
        <f>INDEX(Monthly!$U:$U,MATCH($A80,Monthly!$A:$A,0))</f>
        <v>8.767</v>
      </c>
      <c r="H80" s="4">
        <f>INDEX(D$31:D$42,3)</f>
        <v>13.050214285714285</v>
      </c>
      <c r="I80" s="29">
        <f>IF(H80&gt;0,G80/H80,0)</f>
        <v>0.6717897352533894</v>
      </c>
      <c r="J80" s="4">
        <f>INDEX(Monthly!$Z:$Z,MATCH($A80,Monthly!$A:$A,0))</f>
        <v>12.903</v>
      </c>
      <c r="K80" s="4">
        <f>INDEX(E$31:E$42,3)</f>
        <v>22.94821428571429</v>
      </c>
      <c r="L80" s="29">
        <f>IF(K80&gt;0,J80/K80,0)</f>
        <v>0.562265971519726</v>
      </c>
      <c r="M80" s="4">
        <f>INDEX(Monthly!$AE:$AE,MATCH($A80,Monthly!$A:$A,0))</f>
        <v>8.664</v>
      </c>
      <c r="N80" s="4">
        <f>INDEX(F$31:F$42,3)</f>
        <v>14.69885714285714</v>
      </c>
      <c r="O80" s="29">
        <f>IF(N80&gt;0,M80/N80,0)</f>
        <v>0.5894335808420481</v>
      </c>
    </row>
    <row r="81">
      <c r="A81" s="2" t="inlineStr">
        <is>
          <t xml:space="preserve">2008-04</t>
        </is>
      </c>
      <c r="B81" s="2" t="inlineStr">
        <is>
          <t xml:space="preserve">2007/08</t>
        </is>
      </c>
      <c r="C81" s="5" t="inlineStr">
        <is>
          <t xml:space="preserve">La Niña</t>
        </is>
      </c>
      <c r="D81" s="4">
        <f>INDEX(Monthly!$P:$P,MATCH($A81,Monthly!$A:$A,0))</f>
        <v>32.516</v>
      </c>
      <c r="E81" s="4">
        <f>INDEX(C$31:C$42,4)</f>
        <v>48.56264285714286</v>
      </c>
      <c r="F81" s="29">
        <f>IF(E81&gt;0,D81/E81,0)</f>
        <v>0.6695681718899152</v>
      </c>
      <c r="G81" s="4">
        <f>INDEX(Monthly!$U:$U,MATCH($A81,Monthly!$A:$A,0))</f>
        <v>52.865</v>
      </c>
      <c r="H81" s="4">
        <f>INDEX(D$31:D$42,4)</f>
        <v>40.45578571428571</v>
      </c>
      <c r="I81" s="29">
        <f>IF(H81&gt;0,G81/H81,0)</f>
        <v>1.3067352188721022</v>
      </c>
      <c r="J81" s="4">
        <f>INDEX(Monthly!$Z:$Z,MATCH($A81,Monthly!$A:$A,0))</f>
        <v>58.894</v>
      </c>
      <c r="K81" s="4">
        <f>INDEX(E$31:E$42,4)</f>
        <v>48.85292857142857</v>
      </c>
      <c r="L81" s="29">
        <f>IF(K81&gt;0,J81/K81,0)</f>
        <v>1.2055367348937993</v>
      </c>
      <c r="M81" s="4">
        <f>INDEX(Monthly!$AE:$AE,MATCH($A81,Monthly!$A:$A,0))</f>
        <v>48.09166666666667</v>
      </c>
      <c r="N81" s="4">
        <f>INDEX(F$31:F$42,4)</f>
        <v>45.95711904761904</v>
      </c>
      <c r="O81" s="29">
        <f>IF(N81&gt;0,M81/N81,0)</f>
        <v>1.0464465062928747</v>
      </c>
    </row>
    <row r="82">
      <c r="A82" s="2" t="inlineStr">
        <is>
          <t xml:space="preserve">2008-05</t>
        </is>
      </c>
      <c r="B82" s="2" t="inlineStr">
        <is>
          <t xml:space="preserve">2007/08</t>
        </is>
      </c>
      <c r="C82" s="5" t="inlineStr">
        <is>
          <t xml:space="preserve">La Niña</t>
        </is>
      </c>
      <c r="D82" s="4">
        <f>INDEX(Monthly!$P:$P,MATCH($A82,Monthly!$A:$A,0))</f>
        <v>139.098</v>
      </c>
      <c r="E82" s="4">
        <f>INDEX(C$31:C$42,5)</f>
        <v>157.25921428571428</v>
      </c>
      <c r="F82" s="29">
        <f>IF(E82&gt;0,D82/E82,0)</f>
        <v>0.8845141483873987</v>
      </c>
      <c r="G82" s="4">
        <f>INDEX(Monthly!$U:$U,MATCH($A82,Monthly!$A:$A,0))</f>
        <v>106.164</v>
      </c>
      <c r="H82" s="4">
        <f>INDEX(D$31:D$42,5)</f>
        <v>153.39671428571432</v>
      </c>
      <c r="I82" s="29">
        <f>IF(H82&gt;0,G82/H82,0)</f>
        <v>0.6920878357424305</v>
      </c>
      <c r="J82" s="4">
        <f>INDEX(Monthly!$Z:$Z,MATCH($A82,Monthly!$A:$A,0))</f>
        <v>86.194</v>
      </c>
      <c r="K82" s="4">
        <f>INDEX(E$31:E$42,5)</f>
        <v>157.15200000000002</v>
      </c>
      <c r="L82" s="29">
        <f>IF(K82&gt;0,J82/K82,0)</f>
        <v>0.5484753614335166</v>
      </c>
      <c r="M82" s="4">
        <f>INDEX(Monthly!$AE:$AE,MATCH($A82,Monthly!$A:$A,0))</f>
        <v>110.48533333333334</v>
      </c>
      <c r="N82" s="4">
        <f>INDEX(F$31:F$42,5)</f>
        <v>155.9359761904762</v>
      </c>
      <c r="O82" s="29">
        <f>IF(N82&gt;0,M82/N82,0)</f>
        <v>0.7085301033956092</v>
      </c>
    </row>
    <row r="83">
      <c r="A83" s="2" t="inlineStr">
        <is>
          <t xml:space="preserve">2008-06</t>
        </is>
      </c>
      <c r="B83" s="2" t="inlineStr">
        <is>
          <t xml:space="preserve">2007/08</t>
        </is>
      </c>
      <c r="C83" s="5" t="inlineStr">
        <is>
          <t xml:space="preserve">La Niña</t>
        </is>
      </c>
      <c r="D83" s="4">
        <f>INDEX(Monthly!$P:$P,MATCH($A83,Monthly!$A:$A,0))</f>
        <v>172.321</v>
      </c>
      <c r="E83" s="4">
        <f>INDEX(C$31:C$42,6)</f>
        <v>197.10614285714286</v>
      </c>
      <c r="F83" s="29">
        <f>IF(E83&gt;0,D83/E83,0)</f>
        <v>0.8742548431120868</v>
      </c>
      <c r="G83" s="4">
        <f>INDEX(Monthly!$U:$U,MATCH($A83,Monthly!$A:$A,0))</f>
        <v>186.665</v>
      </c>
      <c r="H83" s="4">
        <f>INDEX(D$31:D$42,6)</f>
        <v>192.85257142857145</v>
      </c>
      <c r="I83" s="29">
        <f>IF(H83&gt;0,G83/H83,0)</f>
        <v>0.9679155357756627</v>
      </c>
      <c r="J83" s="4">
        <f>INDEX(Monthly!$Z:$Z,MATCH($A83,Monthly!$A:$A,0))</f>
        <v>188.332</v>
      </c>
      <c r="K83" s="4">
        <f>INDEX(E$31:E$42,6)</f>
        <v>244.03071428571425</v>
      </c>
      <c r="L83" s="29">
        <f>IF(K83&gt;0,J83/K83,0)</f>
        <v>0.7717553118313561</v>
      </c>
      <c r="M83" s="4">
        <f>INDEX(Monthly!$AE:$AE,MATCH($A83,Monthly!$A:$A,0))</f>
        <v>182.43933333333334</v>
      </c>
      <c r="N83" s="4">
        <f>INDEX(F$31:F$42,6)</f>
        <v>211.32980952380953</v>
      </c>
      <c r="O83" s="29">
        <f>IF(N83&gt;0,M83/N83,0)</f>
        <v>0.8632919972077047</v>
      </c>
    </row>
    <row r="84">
      <c r="A84" s="2" t="inlineStr">
        <is>
          <t xml:space="preserve">2008-07</t>
        </is>
      </c>
      <c r="B84" s="2" t="inlineStr">
        <is>
          <t xml:space="preserve">2008/09</t>
        </is>
      </c>
      <c r="C84" s="5" t="inlineStr">
        <is>
          <t xml:space="preserve">La Niña</t>
        </is>
      </c>
      <c r="D84" s="4">
        <f>INDEX(Monthly!$P:$P,MATCH($A84,Monthly!$A:$A,0))</f>
        <v>298.911</v>
      </c>
      <c r="E84" s="4">
        <f>INDEX(C$31:C$42,7)</f>
        <v>137.10459999999998</v>
      </c>
      <c r="F84" s="31">
        <f>IF(E84&gt;0,D84/E84,0)</f>
        <v>2.1801675509063885</v>
      </c>
      <c r="G84" s="4">
        <f>INDEX(Monthly!$U:$U,MATCH($A84,Monthly!$A:$A,0))</f>
        <v>357.091</v>
      </c>
      <c r="H84" s="4">
        <f>INDEX(D$31:D$42,7)</f>
        <v>187.2258</v>
      </c>
      <c r="I84" s="31">
        <f>IF(H84&gt;0,G84/H84,0)</f>
        <v>1.9072745316083575</v>
      </c>
      <c r="J84" s="4">
        <f>INDEX(Monthly!$Z:$Z,MATCH($A84,Monthly!$A:$A,0))</f>
        <v>404.252</v>
      </c>
      <c r="K84" s="4">
        <f>INDEX(E$31:E$42,7)</f>
        <v>179.02346666666668</v>
      </c>
      <c r="L84" s="31">
        <f>IF(K84&gt;0,J84/K84,0)</f>
        <v>2.2580950281378382</v>
      </c>
      <c r="M84" s="4">
        <f>INDEX(Monthly!$AE:$AE,MATCH($A84,Monthly!$A:$A,0))</f>
        <v>353.41799999999995</v>
      </c>
      <c r="N84" s="4">
        <f>INDEX(F$31:F$42,7)</f>
        <v>167.78462222222225</v>
      </c>
      <c r="O84" s="31">
        <f>IF(N84&gt;0,M84/N84,0)</f>
        <v>2.106378971559835</v>
      </c>
    </row>
    <row r="85">
      <c r="A85" s="2" t="inlineStr">
        <is>
          <t xml:space="preserve">2008-08</t>
        </is>
      </c>
      <c r="B85" s="2" t="inlineStr">
        <is>
          <t xml:space="preserve">2008/09</t>
        </is>
      </c>
      <c r="C85" s="5" t="inlineStr">
        <is>
          <t xml:space="preserve">La Niña</t>
        </is>
      </c>
      <c r="D85" s="4">
        <f>INDEX(Monthly!$P:$P,MATCH($A85,Monthly!$A:$A,0))</f>
        <v>261.903</v>
      </c>
      <c r="E85" s="4">
        <f>INDEX(C$31:C$42,8)</f>
        <v>168.58193333333332</v>
      </c>
      <c r="F85" s="31">
        <f>IF(E85&gt;0,D85/E85,0)</f>
        <v>1.553565051850159</v>
      </c>
      <c r="G85" s="4">
        <f>INDEX(Monthly!$U:$U,MATCH($A85,Monthly!$A:$A,0))</f>
        <v>263.939</v>
      </c>
      <c r="H85" s="4">
        <f>INDEX(D$31:D$42,8)</f>
        <v>228.6517333333334</v>
      </c>
      <c r="I85" s="29">
        <f>IF(H85&gt;0,G85/H85,0)</f>
        <v>1.1543275712466352</v>
      </c>
      <c r="J85" s="4">
        <f>INDEX(Monthly!$Z:$Z,MATCH($A85,Monthly!$A:$A,0))</f>
        <v>300.71</v>
      </c>
      <c r="K85" s="4">
        <f>INDEX(E$31:E$42,8)</f>
        <v>219.19053333333335</v>
      </c>
      <c r="L85" s="29">
        <f>IF(K85&gt;0,J85/K85,0)</f>
        <v>1.3719114389976694</v>
      </c>
      <c r="M85" s="4">
        <f>INDEX(Monthly!$AE:$AE,MATCH($A85,Monthly!$A:$A,0))</f>
        <v>275.5173333333334</v>
      </c>
      <c r="N85" s="4">
        <f>INDEX(F$31:F$42,8)</f>
        <v>205.47473333333338</v>
      </c>
      <c r="O85" s="29">
        <f>IF(N85&gt;0,M85/N85,0)</f>
        <v>1.3408818148281654</v>
      </c>
    </row>
    <row r="86">
      <c r="A86" s="2" t="inlineStr">
        <is>
          <t xml:space="preserve">2008-09</t>
        </is>
      </c>
      <c r="B86" s="2" t="inlineStr">
        <is>
          <t xml:space="preserve">2008/09</t>
        </is>
      </c>
      <c r="C86" s="5" t="inlineStr">
        <is>
          <t xml:space="preserve">La Niña</t>
        </is>
      </c>
      <c r="D86" s="4">
        <f>INDEX(Monthly!$P:$P,MATCH($A86,Monthly!$A:$A,0))</f>
        <v>298.214</v>
      </c>
      <c r="E86" s="4">
        <f>INDEX(C$31:C$42,9)</f>
        <v>216.9424666666667</v>
      </c>
      <c r="F86" s="29">
        <f>IF(E86&gt;0,D86/E86,0)</f>
        <v>1.3746225189658579</v>
      </c>
      <c r="G86" s="4">
        <f>INDEX(Monthly!$U:$U,MATCH($A86,Monthly!$A:$A,0))</f>
        <v>394.322</v>
      </c>
      <c r="H86" s="4">
        <f>INDEX(D$31:D$42,9)</f>
        <v>235.93773333333334</v>
      </c>
      <c r="I86" s="31">
        <f>IF(H86&gt;0,G86/H86,0)</f>
        <v>1.6712968901964529</v>
      </c>
      <c r="J86" s="4">
        <f>INDEX(Monthly!$Z:$Z,MATCH($A86,Monthly!$A:$A,0))</f>
        <v>436.868</v>
      </c>
      <c r="K86" s="4">
        <f>INDEX(E$31:E$42,9)</f>
        <v>255.97060000000002</v>
      </c>
      <c r="L86" s="31">
        <f>IF(K86&gt;0,J86/K86,0)</f>
        <v>1.7067116301637766</v>
      </c>
      <c r="M86" s="4">
        <f>INDEX(Monthly!$AE:$AE,MATCH($A86,Monthly!$A:$A,0))</f>
        <v>376.468</v>
      </c>
      <c r="N86" s="4">
        <f>INDEX(F$31:F$42,9)</f>
        <v>236.28360000000004</v>
      </c>
      <c r="O86" s="31">
        <f>IF(N86&gt;0,M86/N86,0)</f>
        <v>1.593288742849694</v>
      </c>
    </row>
    <row r="87">
      <c r="A87" s="2" t="inlineStr">
        <is>
          <t xml:space="preserve">2008-10</t>
        </is>
      </c>
      <c r="B87" s="2" t="inlineStr">
        <is>
          <t xml:space="preserve">2008/09</t>
        </is>
      </c>
      <c r="C87" s="5" t="inlineStr">
        <is>
          <t xml:space="preserve">La Niña</t>
        </is>
      </c>
      <c r="D87" s="4">
        <f>INDEX(Monthly!$P:$P,MATCH($A87,Monthly!$A:$A,0))</f>
        <v>207.098</v>
      </c>
      <c r="E87" s="4">
        <f>INDEX(C$31:C$42,10)</f>
        <v>157.55200000000002</v>
      </c>
      <c r="F87" s="29">
        <f>IF(E87&gt;0,D87/E87,0)</f>
        <v>1.3144739514572965</v>
      </c>
      <c r="G87" s="4">
        <f>INDEX(Monthly!$U:$U,MATCH($A87,Monthly!$A:$A,0))</f>
        <v>174.157</v>
      </c>
      <c r="H87" s="4">
        <f>INDEX(D$31:D$42,10)</f>
        <v>156.79653333333331</v>
      </c>
      <c r="I87" s="29">
        <f>IF(H87&gt;0,G87/H87,0)</f>
        <v>1.1107197097895023</v>
      </c>
      <c r="J87" s="4">
        <f>INDEX(Monthly!$Z:$Z,MATCH($A87,Monthly!$A:$A,0))</f>
        <v>199.493</v>
      </c>
      <c r="K87" s="4">
        <f>INDEX(E$31:E$42,10)</f>
        <v>182.93833333333333</v>
      </c>
      <c r="L87" s="29">
        <f>IF(K87&gt;0,J87/K87,0)</f>
        <v>1.090493153430573</v>
      </c>
      <c r="M87" s="4">
        <f>INDEX(Monthly!$AE:$AE,MATCH($A87,Monthly!$A:$A,0))</f>
        <v>193.58266666666668</v>
      </c>
      <c r="N87" s="4">
        <f>INDEX(F$31:F$42,10)</f>
        <v>165.7622888888889</v>
      </c>
      <c r="O87" s="29">
        <f>IF(N87&gt;0,M87/N87,0)</f>
        <v>1.1678329731343533</v>
      </c>
    </row>
    <row r="88">
      <c r="A88" s="2" t="inlineStr">
        <is>
          <t xml:space="preserve">2008-11</t>
        </is>
      </c>
      <c r="B88" s="2" t="inlineStr">
        <is>
          <t xml:space="preserve">2008/09</t>
        </is>
      </c>
      <c r="C88" s="5" t="inlineStr">
        <is>
          <t xml:space="preserve">La Niña</t>
        </is>
      </c>
      <c r="D88" s="4">
        <f>INDEX(Monthly!$P:$P,MATCH($A88,Monthly!$A:$A,0))</f>
        <v>3.902</v>
      </c>
      <c r="E88" s="4">
        <f>INDEX(C$31:C$42,11)</f>
        <v>28.2242</v>
      </c>
      <c r="F88" s="32">
        <f>IF(E88&gt;0,D88/E88,0)</f>
        <v>0.13825015412305752</v>
      </c>
      <c r="G88" s="4">
        <f>INDEX(Monthly!$U:$U,MATCH($A88,Monthly!$A:$A,0))</f>
        <v>21.868</v>
      </c>
      <c r="H88" s="4">
        <f>INDEX(D$31:D$42,11)</f>
        <v>37.004000000000005</v>
      </c>
      <c r="I88" s="29">
        <f>IF(H88&gt;0,G88/H88,0)</f>
        <v>0.590963139120095</v>
      </c>
      <c r="J88" s="4">
        <f>INDEX(Monthly!$Z:$Z,MATCH($A88,Monthly!$A:$A,0))</f>
        <v>36.068</v>
      </c>
      <c r="K88" s="4">
        <f>INDEX(E$31:E$42,11)</f>
        <v>60.208133333333336</v>
      </c>
      <c r="L88" s="29">
        <f>IF(K88&gt;0,J88/K88,0)</f>
        <v>0.5990552771386368</v>
      </c>
      <c r="M88" s="4">
        <f>INDEX(Monthly!$AE:$AE,MATCH($A88,Monthly!$A:$A,0))</f>
        <v>20.612666666666666</v>
      </c>
      <c r="N88" s="4">
        <f>INDEX(F$31:F$42,11)</f>
        <v>41.81211111111111</v>
      </c>
      <c r="O88" s="32">
        <f>IF(N88&gt;0,M88/N88,0)</f>
        <v>0.49298316011575594</v>
      </c>
    </row>
    <row r="89">
      <c r="A89" s="2" t="inlineStr">
        <is>
          <t xml:space="preserve">2008-12</t>
        </is>
      </c>
      <c r="B89" s="2" t="inlineStr">
        <is>
          <t xml:space="preserve">2008/09</t>
        </is>
      </c>
      <c r="C89" s="5" t="inlineStr">
        <is>
          <t xml:space="preserve">La Niña</t>
        </is>
      </c>
      <c r="D89" s="4">
        <f>INDEX(Monthly!$P:$P,MATCH($A89,Monthly!$A:$A,0))</f>
        <v>6.58</v>
      </c>
      <c r="E89" s="4">
        <f>INDEX(C$31:C$42,12)</f>
        <v>13.638533333333335</v>
      </c>
      <c r="F89" s="32">
        <f>IF(E89&gt;0,D89/E89,0)</f>
        <v>0.48245656913255575</v>
      </c>
      <c r="G89" s="4">
        <f>INDEX(Monthly!$U:$U,MATCH($A89,Monthly!$A:$A,0))</f>
        <v>58.165</v>
      </c>
      <c r="H89" s="4">
        <f>INDEX(D$31:D$42,12)</f>
        <v>23.69433333333333</v>
      </c>
      <c r="I89" s="31">
        <f>IF(H89&gt;0,G89/H89,0)</f>
        <v>2.4548063531364748</v>
      </c>
      <c r="J89" s="4">
        <f>INDEX(Monthly!$Z:$Z,MATCH($A89,Monthly!$A:$A,0))</f>
        <v>87.874</v>
      </c>
      <c r="K89" s="4">
        <f>INDEX(E$31:E$42,12)</f>
        <v>52.138</v>
      </c>
      <c r="L89" s="31">
        <f>IF(K89&gt;0,J89/K89,0)</f>
        <v>1.6854117917833442</v>
      </c>
      <c r="M89" s="4">
        <f>INDEX(Monthly!$AE:$AE,MATCH($A89,Monthly!$A:$A,0))</f>
        <v>50.873</v>
      </c>
      <c r="N89" s="4">
        <f>INDEX(F$31:F$42,12)</f>
        <v>29.823622222222223</v>
      </c>
      <c r="O89" s="31">
        <f>IF(N89&gt;0,M89/N89,0)</f>
        <v>1.7057954805400342</v>
      </c>
    </row>
    <row r="90">
      <c r="A90" s="2" t="inlineStr">
        <is>
          <t xml:space="preserve">2009-01</t>
        </is>
      </c>
      <c r="B90" s="2" t="inlineStr">
        <is>
          <t xml:space="preserve">2008/09</t>
        </is>
      </c>
      <c r="C90" s="5" t="inlineStr">
        <is>
          <t xml:space="preserve">La Niña</t>
        </is>
      </c>
      <c r="D90" s="4">
        <f>INDEX(Monthly!$P:$P,MATCH($A90,Monthly!$A:$A,0))</f>
        <v>4.084</v>
      </c>
      <c r="E90" s="4">
        <f>INDEX(C$31:C$42,1)</f>
        <v>4.832071428571429</v>
      </c>
      <c r="F90" s="29">
        <f>IF(E90&gt;0,D90/E90,0)</f>
        <v>0.8451861816139188</v>
      </c>
      <c r="G90" s="4">
        <f>INDEX(Monthly!$U:$U,MATCH($A90,Monthly!$A:$A,0))</f>
        <v>8.723</v>
      </c>
      <c r="H90" s="4">
        <f>INDEX(D$31:D$42,1)</f>
        <v>14.249071428571428</v>
      </c>
      <c r="I90" s="29">
        <f>IF(H90&gt;0,G90/H90,0)</f>
        <v>0.6121802423215549</v>
      </c>
      <c r="J90" s="4">
        <f>INDEX(Monthly!$Z:$Z,MATCH($A90,Monthly!$A:$A,0))</f>
        <v>36.652</v>
      </c>
      <c r="K90" s="4">
        <f>INDEX(E$31:E$42,1)</f>
        <v>40.161500000000004</v>
      </c>
      <c r="L90" s="29">
        <f>IF(K90&gt;0,J90/K90,0)</f>
        <v>0.9126153156630106</v>
      </c>
      <c r="M90" s="4">
        <f>INDEX(Monthly!$AE:$AE,MATCH($A90,Monthly!$A:$A,0))</f>
        <v>16.486333333333334</v>
      </c>
      <c r="N90" s="4">
        <f>INDEX(F$31:F$42,1)</f>
        <v>19.74754761904762</v>
      </c>
      <c r="O90" s="29">
        <f>IF(N90&gt;0,M90/N90,0)</f>
        <v>0.8348547197542311</v>
      </c>
    </row>
    <row r="91">
      <c r="A91" s="2" t="inlineStr">
        <is>
          <t xml:space="preserve">2009-02</t>
        </is>
      </c>
      <c r="B91" s="2" t="inlineStr">
        <is>
          <t xml:space="preserve">2008/09</t>
        </is>
      </c>
      <c r="C91" s="5" t="inlineStr">
        <is>
          <t xml:space="preserve">La Niña</t>
        </is>
      </c>
      <c r="D91" s="4">
        <f>INDEX(Monthly!$P:$P,MATCH($A91,Monthly!$A:$A,0))</f>
        <v>4.438</v>
      </c>
      <c r="E91" s="4">
        <f>INDEX(C$31:C$42,2)</f>
        <v>5.8785</v>
      </c>
      <c r="F91" s="29">
        <f>IF(E91&gt;0,D91/E91,0)</f>
        <v>0.7549544951943523</v>
      </c>
      <c r="G91" s="4">
        <f>INDEX(Monthly!$U:$U,MATCH($A91,Monthly!$A:$A,0))</f>
        <v>29.413</v>
      </c>
      <c r="H91" s="4">
        <f>INDEX(D$31:D$42,2)</f>
        <v>12.850714285714284</v>
      </c>
      <c r="I91" s="31">
        <f>IF(H91&gt;0,G91/H91,0)</f>
        <v>2.288822188872214</v>
      </c>
      <c r="J91" s="4">
        <f>INDEX(Monthly!$Z:$Z,MATCH($A91,Monthly!$A:$A,0))</f>
        <v>110.994</v>
      </c>
      <c r="K91" s="4">
        <f>INDEX(E$31:E$42,2)</f>
        <v>27.980785714285712</v>
      </c>
      <c r="L91" s="31">
        <f>IF(K91&gt;0,J91/K91,0)</f>
        <v>3.9667935394441596</v>
      </c>
      <c r="M91" s="4">
        <f>INDEX(Monthly!$AE:$AE,MATCH($A91,Monthly!$A:$A,0))</f>
        <v>48.281666666666666</v>
      </c>
      <c r="N91" s="4">
        <f>INDEX(F$31:F$42,2)</f>
        <v>15.570000000000002</v>
      </c>
      <c r="O91" s="31">
        <f>IF(N91&gt;0,M91/N91,0)</f>
        <v>3.1009419824448723</v>
      </c>
    </row>
    <row r="92">
      <c r="A92" s="2" t="inlineStr">
        <is>
          <t xml:space="preserve">2009-03</t>
        </is>
      </c>
      <c r="B92" s="2" t="inlineStr">
        <is>
          <t xml:space="preserve">2008/09</t>
        </is>
      </c>
      <c r="C92" s="5" t="inlineStr">
        <is>
          <t xml:space="preserve">La Niña</t>
        </is>
      </c>
      <c r="D92" s="4">
        <f>INDEX(Monthly!$P:$P,MATCH($A92,Monthly!$A:$A,0))</f>
        <v>1.058</v>
      </c>
      <c r="E92" s="4">
        <f>INDEX(C$31:C$42,3)</f>
        <v>8.098142857142857</v>
      </c>
      <c r="F92" s="32">
        <f>IF(E92&gt;0,D92/E92,0)</f>
        <v>0.13064723834388836</v>
      </c>
      <c r="G92" s="4">
        <f>INDEX(Monthly!$U:$U,MATCH($A92,Monthly!$A:$A,0))</f>
        <v>3.56</v>
      </c>
      <c r="H92" s="4">
        <f>INDEX(D$31:D$42,3)</f>
        <v>13.050214285714285</v>
      </c>
      <c r="I92" s="32">
        <f>IF(H92&gt;0,G92/H92,0)</f>
        <v>0.2727924555152351</v>
      </c>
      <c r="J92" s="4">
        <f>INDEX(Monthly!$Z:$Z,MATCH($A92,Monthly!$A:$A,0))</f>
        <v>13.823</v>
      </c>
      <c r="K92" s="4">
        <f>INDEX(E$31:E$42,3)</f>
        <v>22.94821428571429</v>
      </c>
      <c r="L92" s="29">
        <f>IF(K92&gt;0,J92/K92,0)</f>
        <v>0.6023562368687261</v>
      </c>
      <c r="M92" s="4">
        <f>INDEX(Monthly!$AE:$AE,MATCH($A92,Monthly!$A:$A,0))</f>
        <v>6.147000000000001</v>
      </c>
      <c r="N92" s="4">
        <f>INDEX(F$31:F$42,3)</f>
        <v>14.69885714285714</v>
      </c>
      <c r="O92" s="32">
        <f>IF(N92&gt;0,M92/N92,0)</f>
        <v>0.4181957780974227</v>
      </c>
    </row>
    <row r="93">
      <c r="A93" s="2" t="inlineStr">
        <is>
          <t xml:space="preserve">2009-04</t>
        </is>
      </c>
      <c r="B93" s="2" t="inlineStr">
        <is>
          <t xml:space="preserve">2008/09</t>
        </is>
      </c>
      <c r="C93" s="5" t="inlineStr">
        <is>
          <t xml:space="preserve">La Niña</t>
        </is>
      </c>
      <c r="D93" s="4">
        <f>INDEX(Monthly!$P:$P,MATCH($A93,Monthly!$A:$A,0))</f>
        <v>9.363</v>
      </c>
      <c r="E93" s="4">
        <f>INDEX(C$31:C$42,4)</f>
        <v>48.56264285714286</v>
      </c>
      <c r="F93" s="32">
        <f>IF(E93&gt;0,D93/E93,0)</f>
        <v>0.1928025216325894</v>
      </c>
      <c r="G93" s="4">
        <f>INDEX(Monthly!$U:$U,MATCH($A93,Monthly!$A:$A,0))</f>
        <v>19.22</v>
      </c>
      <c r="H93" s="4">
        <f>INDEX(D$31:D$42,4)</f>
        <v>40.45578571428571</v>
      </c>
      <c r="I93" s="32">
        <f>IF(H93&gt;0,G93/H93,0)</f>
        <v>0.4750865583414698</v>
      </c>
      <c r="J93" s="4">
        <f>INDEX(Monthly!$Z:$Z,MATCH($A93,Monthly!$A:$A,0))</f>
        <v>25.006</v>
      </c>
      <c r="K93" s="4">
        <f>INDEX(E$31:E$42,4)</f>
        <v>48.85292857142857</v>
      </c>
      <c r="L93" s="29">
        <f>IF(K93&gt;0,J93/K93,0)</f>
        <v>0.5118628653641176</v>
      </c>
      <c r="M93" s="4">
        <f>INDEX(Monthly!$AE:$AE,MATCH($A93,Monthly!$A:$A,0))</f>
        <v>17.863</v>
      </c>
      <c r="N93" s="4">
        <f>INDEX(F$31:F$42,4)</f>
        <v>45.95711904761904</v>
      </c>
      <c r="O93" s="32">
        <f>IF(N93&gt;0,M93/N93,0)</f>
        <v>0.3886884202095225</v>
      </c>
    </row>
    <row r="94">
      <c r="A94" s="2" t="inlineStr">
        <is>
          <t xml:space="preserve">2009-05</t>
        </is>
      </c>
      <c r="B94" s="2" t="inlineStr">
        <is>
          <t xml:space="preserve">2008/09</t>
        </is>
      </c>
      <c r="C94" s="5" t="inlineStr">
        <is>
          <t xml:space="preserve">La Niña</t>
        </is>
      </c>
      <c r="D94" s="4">
        <f>INDEX(Monthly!$P:$P,MATCH($A94,Monthly!$A:$A,0))</f>
        <v>247.94</v>
      </c>
      <c r="E94" s="4">
        <f>INDEX(C$31:C$42,5)</f>
        <v>157.25921428571428</v>
      </c>
      <c r="F94" s="31">
        <f>IF(E94&gt;0,D94/E94,0)</f>
        <v>1.5766325752431496</v>
      </c>
      <c r="G94" s="4">
        <f>INDEX(Monthly!$U:$U,MATCH($A94,Monthly!$A:$A,0))</f>
        <v>194.216</v>
      </c>
      <c r="H94" s="4">
        <f>INDEX(D$31:D$42,5)</f>
        <v>153.39671428571432</v>
      </c>
      <c r="I94" s="29">
        <f>IF(H94&gt;0,G94/H94,0)</f>
        <v>1.2661027382780594</v>
      </c>
      <c r="J94" s="4">
        <f>INDEX(Monthly!$Z:$Z,MATCH($A94,Monthly!$A:$A,0))</f>
        <v>197.946</v>
      </c>
      <c r="K94" s="4">
        <f>INDEX(E$31:E$42,5)</f>
        <v>157.15200000000002</v>
      </c>
      <c r="L94" s="29">
        <f>IF(K94&gt;0,J94/K94,0)</f>
        <v>1.2595830788026876</v>
      </c>
      <c r="M94" s="4">
        <f>INDEX(Monthly!$AE:$AE,MATCH($A94,Monthly!$A:$A,0))</f>
        <v>213.36733333333333</v>
      </c>
      <c r="N94" s="4">
        <f>INDEX(F$31:F$42,5)</f>
        <v>155.9359761904762</v>
      </c>
      <c r="O94" s="29">
        <f>IF(N94&gt;0,M94/N94,0)</f>
        <v>1.3683008792833322</v>
      </c>
    </row>
    <row r="95">
      <c r="A95" s="2" t="inlineStr">
        <is>
          <t xml:space="preserve">2009-06</t>
        </is>
      </c>
      <c r="B95" s="2" t="inlineStr">
        <is>
          <t xml:space="preserve">2008/09</t>
        </is>
      </c>
      <c r="C95" s="5" t="inlineStr">
        <is>
          <t xml:space="preserve">La Niña</t>
        </is>
      </c>
      <c r="D95" s="4">
        <f>INDEX(Monthly!$P:$P,MATCH($A95,Monthly!$A:$A,0))</f>
        <v>351.166</v>
      </c>
      <c r="E95" s="4">
        <f>INDEX(C$31:C$42,6)</f>
        <v>197.10614285714286</v>
      </c>
      <c r="F95" s="31">
        <f>IF(E95&gt;0,D95/E95,0)</f>
        <v>1.781608603921165</v>
      </c>
      <c r="G95" s="4">
        <f>INDEX(Monthly!$U:$U,MATCH($A95,Monthly!$A:$A,0))</f>
        <v>132.516</v>
      </c>
      <c r="H95" s="4">
        <f>INDEX(D$31:D$42,6)</f>
        <v>192.85257142857145</v>
      </c>
      <c r="I95" s="29">
        <f>IF(H95&gt;0,G95/H95,0)</f>
        <v>0.6871362876749669</v>
      </c>
      <c r="J95" s="4">
        <f>INDEX(Monthly!$Z:$Z,MATCH($A95,Monthly!$A:$A,0))</f>
        <v>218.581</v>
      </c>
      <c r="K95" s="4">
        <f>INDEX(E$31:E$42,6)</f>
        <v>244.03071428571425</v>
      </c>
      <c r="L95" s="29">
        <f>IF(K95&gt;0,J95/K95,0)</f>
        <v>0.8957110199828476</v>
      </c>
      <c r="M95" s="4">
        <f>INDEX(Monthly!$AE:$AE,MATCH($A95,Monthly!$A:$A,0))</f>
        <v>234.08766666666668</v>
      </c>
      <c r="N95" s="4">
        <f>INDEX(F$31:F$42,6)</f>
        <v>211.32980952380953</v>
      </c>
      <c r="O95" s="29">
        <f>IF(N95&gt;0,M95/N95,0)</f>
        <v>1.1076888168031644</v>
      </c>
    </row>
    <row r="96">
      <c r="A96" s="2" t="inlineStr">
        <is>
          <t xml:space="preserve">2009-07</t>
        </is>
      </c>
      <c r="B96" s="2" t="inlineStr">
        <is>
          <t xml:space="preserve">2009/10</t>
        </is>
      </c>
      <c r="C96" s="6" t="inlineStr">
        <is>
          <t xml:space="preserve">El Niño</t>
        </is>
      </c>
      <c r="D96" s="4">
        <f>INDEX(Monthly!$P:$P,MATCH($A96,Monthly!$A:$A,0))</f>
        <v>154.351</v>
      </c>
      <c r="E96" s="4">
        <f>INDEX(C$31:C$42,7)</f>
        <v>137.10459999999998</v>
      </c>
      <c r="F96" s="29">
        <f>IF(E96&gt;0,D96/E96,0)</f>
        <v>1.1257900901939106</v>
      </c>
      <c r="G96" s="4">
        <f>INDEX(Monthly!$U:$U,MATCH($A96,Monthly!$A:$A,0))</f>
        <v>193.474</v>
      </c>
      <c r="H96" s="4">
        <f>INDEX(D$31:D$42,7)</f>
        <v>187.2258</v>
      </c>
      <c r="I96" s="29">
        <f>IF(H96&gt;0,G96/H96,0)</f>
        <v>1.0333725373319276</v>
      </c>
      <c r="J96" s="4">
        <f>INDEX(Monthly!$Z:$Z,MATCH($A96,Monthly!$A:$A,0))</f>
        <v>163.399</v>
      </c>
      <c r="K96" s="4">
        <f>INDEX(E$31:E$42,7)</f>
        <v>179.02346666666668</v>
      </c>
      <c r="L96" s="29">
        <f>IF(K96&gt;0,J96/K96,0)</f>
        <v>0.9127239185030491</v>
      </c>
      <c r="M96" s="4">
        <f>INDEX(Monthly!$AE:$AE,MATCH($A96,Monthly!$A:$A,0))</f>
        <v>170.408</v>
      </c>
      <c r="N96" s="4">
        <f>INDEX(F$31:F$42,7)</f>
        <v>167.78462222222225</v>
      </c>
      <c r="O96" s="29">
        <f>IF(N96&gt;0,M96/N96,0)</f>
        <v>1.0156353886490457</v>
      </c>
    </row>
    <row r="97">
      <c r="A97" s="2" t="inlineStr">
        <is>
          <t xml:space="preserve">2009-08</t>
        </is>
      </c>
      <c r="B97" s="2" t="inlineStr">
        <is>
          <t xml:space="preserve">2009/10</t>
        </is>
      </c>
      <c r="C97" s="6" t="inlineStr">
        <is>
          <t xml:space="preserve">El Niño</t>
        </is>
      </c>
      <c r="D97" s="4">
        <f>INDEX(Monthly!$P:$P,MATCH($A97,Monthly!$A:$A,0))</f>
        <v>159.515</v>
      </c>
      <c r="E97" s="4">
        <f>INDEX(C$31:C$42,8)</f>
        <v>168.58193333333332</v>
      </c>
      <c r="F97" s="29">
        <f>IF(E97&gt;0,D97/E97,0)</f>
        <v>0.94621645894044</v>
      </c>
      <c r="G97" s="4">
        <f>INDEX(Monthly!$U:$U,MATCH($A97,Monthly!$A:$A,0))</f>
        <v>265.009</v>
      </c>
      <c r="H97" s="4">
        <f>INDEX(D$31:D$42,8)</f>
        <v>228.6517333333334</v>
      </c>
      <c r="I97" s="29">
        <f>IF(H97&gt;0,G97/H97,0)</f>
        <v>1.159007177145096</v>
      </c>
      <c r="J97" s="4">
        <f>INDEX(Monthly!$Z:$Z,MATCH($A97,Monthly!$A:$A,0))</f>
        <v>250.814</v>
      </c>
      <c r="K97" s="4">
        <f>INDEX(E$31:E$42,8)</f>
        <v>219.19053333333335</v>
      </c>
      <c r="L97" s="29">
        <f>IF(K97&gt;0,J97/K97,0)</f>
        <v>1.144273870708528</v>
      </c>
      <c r="M97" s="4">
        <f>INDEX(Monthly!$AE:$AE,MATCH($A97,Monthly!$A:$A,0))</f>
        <v>225.11266666666666</v>
      </c>
      <c r="N97" s="4">
        <f>INDEX(F$31:F$42,8)</f>
        <v>205.47473333333338</v>
      </c>
      <c r="O97" s="29">
        <f>IF(N97&gt;0,M97/N97,0)</f>
        <v>1.0955734703472055</v>
      </c>
    </row>
    <row r="98">
      <c r="A98" s="2" t="inlineStr">
        <is>
          <t xml:space="preserve">2009-09</t>
        </is>
      </c>
      <c r="B98" s="2" t="inlineStr">
        <is>
          <t xml:space="preserve">2009/10</t>
        </is>
      </c>
      <c r="C98" s="6" t="inlineStr">
        <is>
          <t xml:space="preserve">El Niño</t>
        </is>
      </c>
      <c r="D98" s="4">
        <f>INDEX(Monthly!$P:$P,MATCH($A98,Monthly!$A:$A,0))</f>
        <v>157.755</v>
      </c>
      <c r="E98" s="4">
        <f>INDEX(C$31:C$42,9)</f>
        <v>216.9424666666667</v>
      </c>
      <c r="F98" s="29">
        <f>IF(E98&gt;0,D98/E98,0)</f>
        <v>0.7271743629724254</v>
      </c>
      <c r="G98" s="4">
        <f>INDEX(Monthly!$U:$U,MATCH($A98,Monthly!$A:$A,0))</f>
        <v>181.344</v>
      </c>
      <c r="H98" s="4">
        <f>INDEX(D$31:D$42,9)</f>
        <v>235.93773333333334</v>
      </c>
      <c r="I98" s="29">
        <f>IF(H98&gt;0,G98/H98,0)</f>
        <v>0.7686095709998061</v>
      </c>
      <c r="J98" s="4">
        <f>INDEX(Monthly!$Z:$Z,MATCH($A98,Monthly!$A:$A,0))</f>
        <v>95.793</v>
      </c>
      <c r="K98" s="4">
        <f>INDEX(E$31:E$42,9)</f>
        <v>255.97060000000002</v>
      </c>
      <c r="L98" s="32">
        <f>IF(K98&gt;0,J98/K98,0)</f>
        <v>0.37423438473012133</v>
      </c>
      <c r="M98" s="4">
        <f>INDEX(Monthly!$AE:$AE,MATCH($A98,Monthly!$A:$A,0))</f>
        <v>144.964</v>
      </c>
      <c r="N98" s="4">
        <f>INDEX(F$31:F$42,9)</f>
        <v>236.28360000000004</v>
      </c>
      <c r="O98" s="29">
        <f>IF(N98&gt;0,M98/N98,0)</f>
        <v>0.6135169770563846</v>
      </c>
    </row>
    <row r="99">
      <c r="A99" s="2" t="inlineStr">
        <is>
          <t xml:space="preserve">2009-10</t>
        </is>
      </c>
      <c r="B99" s="2" t="inlineStr">
        <is>
          <t xml:space="preserve">2009/10</t>
        </is>
      </c>
      <c r="C99" s="6" t="inlineStr">
        <is>
          <t xml:space="preserve">El Niño</t>
        </is>
      </c>
      <c r="D99" s="4">
        <f>INDEX(Monthly!$P:$P,MATCH($A99,Monthly!$A:$A,0))</f>
        <v>88.816</v>
      </c>
      <c r="E99" s="4">
        <f>INDEX(C$31:C$42,10)</f>
        <v>157.55200000000002</v>
      </c>
      <c r="F99" s="29">
        <f>IF(E99&gt;0,D99/E99,0)</f>
        <v>0.563724992383467</v>
      </c>
      <c r="G99" s="4">
        <f>INDEX(Monthly!$U:$U,MATCH($A99,Monthly!$A:$A,0))</f>
        <v>85.421</v>
      </c>
      <c r="H99" s="4">
        <f>INDEX(D$31:D$42,10)</f>
        <v>156.79653333333331</v>
      </c>
      <c r="I99" s="29">
        <f>IF(H99&gt;0,G99/H99,0)</f>
        <v>0.5447888303652973</v>
      </c>
      <c r="J99" s="4">
        <f>INDEX(Monthly!$Z:$Z,MATCH($A99,Monthly!$A:$A,0))</f>
        <v>115.473</v>
      </c>
      <c r="K99" s="4">
        <f>INDEX(E$31:E$42,10)</f>
        <v>182.93833333333333</v>
      </c>
      <c r="L99" s="29">
        <f>IF(K99&gt;0,J99/K99,0)</f>
        <v>0.6312127037344096</v>
      </c>
      <c r="M99" s="4">
        <f>INDEX(Monthly!$AE:$AE,MATCH($A99,Monthly!$A:$A,0))</f>
        <v>96.57000000000001</v>
      </c>
      <c r="N99" s="4">
        <f>INDEX(F$31:F$42,10)</f>
        <v>165.7622888888889</v>
      </c>
      <c r="O99" s="29">
        <f>IF(N99&gt;0,M99/N99,0)</f>
        <v>0.5825812411695839</v>
      </c>
    </row>
    <row r="100">
      <c r="A100" s="2" t="inlineStr">
        <is>
          <t xml:space="preserve">2009-11</t>
        </is>
      </c>
      <c r="B100" s="2" t="inlineStr">
        <is>
          <t xml:space="preserve">2009/10</t>
        </is>
      </c>
      <c r="C100" s="6" t="inlineStr">
        <is>
          <t xml:space="preserve">El Niño</t>
        </is>
      </c>
      <c r="D100" s="4">
        <f>INDEX(Monthly!$P:$P,MATCH($A100,Monthly!$A:$A,0))</f>
        <v>101.03</v>
      </c>
      <c r="E100" s="4">
        <f>INDEX(C$31:C$42,11)</f>
        <v>28.2242</v>
      </c>
      <c r="F100" s="31">
        <f>IF(E100&gt;0,D100/E100,0)</f>
        <v>3.5795522990908513</v>
      </c>
      <c r="G100" s="4">
        <f>INDEX(Monthly!$U:$U,MATCH($A100,Monthly!$A:$A,0))</f>
        <v>104.896</v>
      </c>
      <c r="H100" s="4">
        <f>INDEX(D$31:D$42,11)</f>
        <v>37.004000000000005</v>
      </c>
      <c r="I100" s="31">
        <f>IF(H100&gt;0,G100/H100,0)</f>
        <v>2.834720570749108</v>
      </c>
      <c r="J100" s="4">
        <f>INDEX(Monthly!$Z:$Z,MATCH($A100,Monthly!$A:$A,0))</f>
        <v>84.1</v>
      </c>
      <c r="K100" s="4">
        <f>INDEX(E$31:E$42,11)</f>
        <v>60.208133333333336</v>
      </c>
      <c r="L100" s="29">
        <f>IF(K100&gt;0,J100/K100,0)</f>
        <v>1.3968212489563978</v>
      </c>
      <c r="M100" s="4">
        <f>INDEX(Monthly!$AE:$AE,MATCH($A100,Monthly!$A:$A,0))</f>
        <v>96.67533333333331</v>
      </c>
      <c r="N100" s="4">
        <f>INDEX(F$31:F$42,11)</f>
        <v>41.81211111111111</v>
      </c>
      <c r="O100" s="31">
        <f>IF(N100&gt;0,M100/N100,0)</f>
        <v>2.3121371000959314</v>
      </c>
    </row>
    <row r="101">
      <c r="A101" s="2" t="inlineStr">
        <is>
          <t xml:space="preserve">2009-12</t>
        </is>
      </c>
      <c r="B101" s="2" t="inlineStr">
        <is>
          <t xml:space="preserve">2009/10</t>
        </is>
      </c>
      <c r="C101" s="6" t="inlineStr">
        <is>
          <t xml:space="preserve">El Niño</t>
        </is>
      </c>
      <c r="D101" s="4">
        <f>INDEX(Monthly!$P:$P,MATCH($A101,Monthly!$A:$A,0))</f>
        <v>34.142</v>
      </c>
      <c r="E101" s="4">
        <f>INDEX(C$31:C$42,12)</f>
        <v>13.638533333333335</v>
      </c>
      <c r="F101" s="31">
        <f>IF(E101&gt;0,D101/E101,0)</f>
        <v>2.503348356128225</v>
      </c>
      <c r="G101" s="4">
        <f>INDEX(Monthly!$U:$U,MATCH($A101,Monthly!$A:$A,0))</f>
        <v>39.359</v>
      </c>
      <c r="H101" s="4">
        <f>INDEX(D$31:D$42,12)</f>
        <v>23.69433333333333</v>
      </c>
      <c r="I101" s="31">
        <f>IF(H101&gt;0,G101/H101,0)</f>
        <v>1.6611144718146396</v>
      </c>
      <c r="J101" s="4">
        <f>INDEX(Monthly!$Z:$Z,MATCH($A101,Monthly!$A:$A,0))</f>
        <v>44.657</v>
      </c>
      <c r="K101" s="4">
        <f>INDEX(E$31:E$42,12)</f>
        <v>52.138</v>
      </c>
      <c r="L101" s="29">
        <f>IF(K101&gt;0,J101/K101,0)</f>
        <v>0.8565154014346541</v>
      </c>
      <c r="M101" s="4">
        <f>INDEX(Monthly!$AE:$AE,MATCH($A101,Monthly!$A:$A,0))</f>
        <v>39.386</v>
      </c>
      <c r="N101" s="4">
        <f>INDEX(F$31:F$42,12)</f>
        <v>29.823622222222223</v>
      </c>
      <c r="O101" s="29">
        <f>IF(N101&gt;0,M101/N101,0)</f>
        <v>1.320630998693802</v>
      </c>
    </row>
    <row r="102">
      <c r="A102" s="2" t="inlineStr">
        <is>
          <t xml:space="preserve">2010-01</t>
        </is>
      </c>
      <c r="B102" s="2" t="inlineStr">
        <is>
          <t xml:space="preserve">2009/10</t>
        </is>
      </c>
      <c r="C102" s="6" t="inlineStr">
        <is>
          <t xml:space="preserve">El Niño</t>
        </is>
      </c>
      <c r="D102" s="4">
        <f>INDEX(Monthly!$P:$P,MATCH($A102,Monthly!$A:$A,0))</f>
        <v>1.428</v>
      </c>
      <c r="E102" s="4">
        <f>INDEX(C$31:C$42,1)</f>
        <v>4.832071428571429</v>
      </c>
      <c r="F102" s="32">
        <f>IF(E102&gt;0,D102/E102,0)</f>
        <v>0.2955254327484515</v>
      </c>
      <c r="G102" s="4">
        <f>INDEX(Monthly!$U:$U,MATCH($A102,Monthly!$A:$A,0))</f>
        <v>27.75</v>
      </c>
      <c r="H102" s="4">
        <f>INDEX(D$31:D$42,1)</f>
        <v>14.249071428571428</v>
      </c>
      <c r="I102" s="31">
        <f>IF(H102&gt;0,G102/H102,0)</f>
        <v>1.947495325509933</v>
      </c>
      <c r="J102" s="4">
        <f>INDEX(Monthly!$Z:$Z,MATCH($A102,Monthly!$A:$A,0))</f>
        <v>41.859</v>
      </c>
      <c r="K102" s="4">
        <f>INDEX(E$31:E$42,1)</f>
        <v>40.161500000000004</v>
      </c>
      <c r="L102" s="29">
        <f>IF(K102&gt;0,J102/K102,0)</f>
        <v>1.0422668476028036</v>
      </c>
      <c r="M102" s="4">
        <f>INDEX(Monthly!$AE:$AE,MATCH($A102,Monthly!$A:$A,0))</f>
        <v>23.679000000000002</v>
      </c>
      <c r="N102" s="4">
        <f>INDEX(F$31:F$42,1)</f>
        <v>19.74754761904762</v>
      </c>
      <c r="O102" s="29">
        <f>IF(N102&gt;0,M102/N102,0)</f>
        <v>1.199085600743673</v>
      </c>
    </row>
    <row r="103">
      <c r="A103" s="2" t="inlineStr">
        <is>
          <t xml:space="preserve">2010-02</t>
        </is>
      </c>
      <c r="B103" s="2" t="inlineStr">
        <is>
          <t xml:space="preserve">2009/10</t>
        </is>
      </c>
      <c r="C103" s="6" t="inlineStr">
        <is>
          <t xml:space="preserve">El Niño</t>
        </is>
      </c>
      <c r="D103" s="4">
        <f>INDEX(Monthly!$P:$P,MATCH($A103,Monthly!$A:$A,0))</f>
        <v>1.67</v>
      </c>
      <c r="E103" s="4">
        <f>INDEX(C$31:C$42,2)</f>
        <v>5.8785</v>
      </c>
      <c r="F103" s="32">
        <f>IF(E103&gt;0,D103/E103,0)</f>
        <v>0.2840860763800289</v>
      </c>
      <c r="G103" s="4">
        <f>INDEX(Monthly!$U:$U,MATCH($A103,Monthly!$A:$A,0))</f>
        <v>17.917</v>
      </c>
      <c r="H103" s="4">
        <f>INDEX(D$31:D$42,2)</f>
        <v>12.850714285714284</v>
      </c>
      <c r="I103" s="29">
        <f>IF(H103&gt;0,G103/H103,0)</f>
        <v>1.3942415652270583</v>
      </c>
      <c r="J103" s="4">
        <f>INDEX(Monthly!$Z:$Z,MATCH($A103,Monthly!$A:$A,0))</f>
        <v>26.009</v>
      </c>
      <c r="K103" s="4">
        <f>INDEX(E$31:E$42,2)</f>
        <v>27.980785714285712</v>
      </c>
      <c r="L103" s="29">
        <f>IF(K103&gt;0,J103/K103,0)</f>
        <v>0.929530723889608</v>
      </c>
      <c r="M103" s="4">
        <f>INDEX(Monthly!$AE:$AE,MATCH($A103,Monthly!$A:$A,0))</f>
        <v>15.198666666666668</v>
      </c>
      <c r="N103" s="4">
        <f>INDEX(F$31:F$42,2)</f>
        <v>15.570000000000002</v>
      </c>
      <c r="O103" s="29">
        <f>IF(N103&gt;0,M103/N103,0)</f>
        <v>0.9761507171911795</v>
      </c>
    </row>
    <row r="104">
      <c r="A104" s="2" t="inlineStr">
        <is>
          <t xml:space="preserve">2010-03</t>
        </is>
      </c>
      <c r="B104" s="2" t="inlineStr">
        <is>
          <t xml:space="preserve">2009/10</t>
        </is>
      </c>
      <c r="C104" s="6" t="inlineStr">
        <is>
          <t xml:space="preserve">El Niño</t>
        </is>
      </c>
      <c r="D104" s="4">
        <f>INDEX(Monthly!$P:$P,MATCH($A104,Monthly!$A:$A,0))</f>
        <v>0.995</v>
      </c>
      <c r="E104" s="4">
        <f>INDEX(C$31:C$42,3)</f>
        <v>8.098142857142857</v>
      </c>
      <c r="F104" s="32">
        <f>IF(E104&gt;0,D104/E104,0)</f>
        <v>0.1228676768924092</v>
      </c>
      <c r="G104" s="4">
        <f>INDEX(Monthly!$U:$U,MATCH($A104,Monthly!$A:$A,0))</f>
        <v>1.101</v>
      </c>
      <c r="H104" s="4">
        <f>INDEX(D$31:D$42,3)</f>
        <v>13.050214285714285</v>
      </c>
      <c r="I104" s="32">
        <f>IF(H104&gt;0,G104/H104,0)</f>
        <v>0.08436643076468367</v>
      </c>
      <c r="J104" s="4">
        <f>INDEX(Monthly!$Z:$Z,MATCH($A104,Monthly!$A:$A,0))</f>
        <v>1.796</v>
      </c>
      <c r="K104" s="4">
        <f>INDEX(E$31:E$42,3)</f>
        <v>22.94821428571429</v>
      </c>
      <c r="L104" s="32">
        <f>IF(K104&gt;0,J104/K104,0)</f>
        <v>0.07826317018130884</v>
      </c>
      <c r="M104" s="4">
        <f>INDEX(Monthly!$AE:$AE,MATCH($A104,Monthly!$A:$A,0))</f>
        <v>1.2973333333333334</v>
      </c>
      <c r="N104" s="4">
        <f>INDEX(F$31:F$42,3)</f>
        <v>14.69885714285714</v>
      </c>
      <c r="O104" s="32">
        <f>IF(N104&gt;0,M104/N104,0)</f>
        <v>0.08826083012608693</v>
      </c>
    </row>
    <row r="105">
      <c r="A105" s="2" t="inlineStr">
        <is>
          <t xml:space="preserve">2010-04</t>
        </is>
      </c>
      <c r="B105" s="2" t="inlineStr">
        <is>
          <t xml:space="preserve">2009/10</t>
        </is>
      </c>
      <c r="C105" s="6" t="inlineStr">
        <is>
          <t xml:space="preserve">El Niño</t>
        </is>
      </c>
      <c r="D105" s="4">
        <f>INDEX(Monthly!$P:$P,MATCH($A105,Monthly!$A:$A,0))</f>
        <v>111.742</v>
      </c>
      <c r="E105" s="4">
        <f>INDEX(C$31:C$42,4)</f>
        <v>48.56264285714286</v>
      </c>
      <c r="F105" s="31">
        <f>IF(E105&gt;0,D105/E105,0)</f>
        <v>2.3009867961410664</v>
      </c>
      <c r="G105" s="4">
        <f>INDEX(Monthly!$U:$U,MATCH($A105,Monthly!$A:$A,0))</f>
        <v>67.157</v>
      </c>
      <c r="H105" s="4">
        <f>INDEX(D$31:D$42,4)</f>
        <v>40.45578571428571</v>
      </c>
      <c r="I105" s="31">
        <f>IF(H105&gt;0,G105/H105,0)</f>
        <v>1.6600097814015655</v>
      </c>
      <c r="J105" s="4">
        <f>INDEX(Monthly!$Z:$Z,MATCH($A105,Monthly!$A:$A,0))</f>
        <v>137.995</v>
      </c>
      <c r="K105" s="4">
        <f>INDEX(E$31:E$42,4)</f>
        <v>48.85292857142857</v>
      </c>
      <c r="L105" s="31">
        <f>IF(K105&gt;0,J105/K105,0)</f>
        <v>2.8247027155851163</v>
      </c>
      <c r="M105" s="4">
        <f>INDEX(Monthly!$AE:$AE,MATCH($A105,Monthly!$A:$A,0))</f>
        <v>105.63133333333333</v>
      </c>
      <c r="N105" s="4">
        <f>INDEX(F$31:F$42,4)</f>
        <v>45.95711904761904</v>
      </c>
      <c r="O105" s="31">
        <f>IF(N105&gt;0,M105/N105,0)</f>
        <v>2.298475960250731</v>
      </c>
    </row>
    <row r="106">
      <c r="A106" s="2" t="inlineStr">
        <is>
          <t xml:space="preserve">2010-05</t>
        </is>
      </c>
      <c r="B106" s="2" t="inlineStr">
        <is>
          <t xml:space="preserve">2009/10</t>
        </is>
      </c>
      <c r="C106" s="6" t="inlineStr">
        <is>
          <t xml:space="preserve">El Niño</t>
        </is>
      </c>
      <c r="D106" s="4">
        <f>INDEX(Monthly!$P:$P,MATCH($A106,Monthly!$A:$A,0))</f>
        <v>320.1</v>
      </c>
      <c r="E106" s="4">
        <f>INDEX(C$31:C$42,5)</f>
        <v>157.25921428571428</v>
      </c>
      <c r="F106" s="31">
        <f>IF(E106&gt;0,D106/E106,0)</f>
        <v>2.035492810096524</v>
      </c>
      <c r="G106" s="4">
        <f>INDEX(Monthly!$U:$U,MATCH($A106,Monthly!$A:$A,0))</f>
        <v>223.127</v>
      </c>
      <c r="H106" s="4">
        <f>INDEX(D$31:D$42,5)</f>
        <v>153.39671428571432</v>
      </c>
      <c r="I106" s="29">
        <f>IF(H106&gt;0,G106/H106,0)</f>
        <v>1.4545748325769687</v>
      </c>
      <c r="J106" s="4">
        <f>INDEX(Monthly!$Z:$Z,MATCH($A106,Monthly!$A:$A,0))</f>
        <v>271.476</v>
      </c>
      <c r="K106" s="4">
        <f>INDEX(E$31:E$42,5)</f>
        <v>157.15200000000002</v>
      </c>
      <c r="L106" s="31">
        <f>IF(K106&gt;0,J106/K106,0)</f>
        <v>1.72747403787416</v>
      </c>
      <c r="M106" s="4">
        <f>INDEX(Monthly!$AE:$AE,MATCH($A106,Monthly!$A:$A,0))</f>
        <v>271.5676666666667</v>
      </c>
      <c r="N106" s="4">
        <f>INDEX(F$31:F$42,5)</f>
        <v>155.9359761904762</v>
      </c>
      <c r="O106" s="31">
        <f>IF(N106&gt;0,M106/N106,0)</f>
        <v>1.741533116995055</v>
      </c>
    </row>
    <row r="107">
      <c r="A107" s="2" t="inlineStr">
        <is>
          <t xml:space="preserve">2010-06</t>
        </is>
      </c>
      <c r="B107" s="2" t="inlineStr">
        <is>
          <t xml:space="preserve">2009/10</t>
        </is>
      </c>
      <c r="C107" s="6" t="inlineStr">
        <is>
          <t xml:space="preserve">El Niño</t>
        </is>
      </c>
      <c r="D107" s="4">
        <f>INDEX(Monthly!$P:$P,MATCH($A107,Monthly!$A:$A,0))</f>
        <v>250.838</v>
      </c>
      <c r="E107" s="4">
        <f>INDEX(C$31:C$42,6)</f>
        <v>197.10614285714286</v>
      </c>
      <c r="F107" s="29">
        <f>IF(E107&gt;0,D107/E107,0)</f>
        <v>1.2726036660450533</v>
      </c>
      <c r="G107" s="4">
        <f>INDEX(Monthly!$U:$U,MATCH($A107,Monthly!$A:$A,0))</f>
        <v>290.553</v>
      </c>
      <c r="H107" s="4">
        <f>INDEX(D$31:D$42,6)</f>
        <v>192.85257142857145</v>
      </c>
      <c r="I107" s="31">
        <f>IF(H107&gt;0,G107/H107,0)</f>
        <v>1.5066068232728478</v>
      </c>
      <c r="J107" s="4">
        <f>INDEX(Monthly!$Z:$Z,MATCH($A107,Monthly!$A:$A,0))</f>
        <v>306.941</v>
      </c>
      <c r="K107" s="4">
        <f>INDEX(E$31:E$42,6)</f>
        <v>244.03071428571425</v>
      </c>
      <c r="L107" s="29">
        <f>IF(K107&gt;0,J107/K107,0)</f>
        <v>1.2577965888368854</v>
      </c>
      <c r="M107" s="4">
        <f>INDEX(Monthly!$AE:$AE,MATCH($A107,Monthly!$A:$A,0))</f>
        <v>282.7773333333333</v>
      </c>
      <c r="N107" s="4">
        <f>INDEX(F$31:F$42,6)</f>
        <v>211.32980952380953</v>
      </c>
      <c r="O107" s="29">
        <f>IF(N107&gt;0,M107/N107,0)</f>
        <v>1.3380854029562455</v>
      </c>
    </row>
    <row r="108">
      <c r="A108" s="2" t="inlineStr">
        <is>
          <t xml:space="preserve">2010-07</t>
        </is>
      </c>
      <c r="B108" s="2" t="inlineStr">
        <is>
          <t xml:space="preserve">2010/11</t>
        </is>
      </c>
      <c r="C108" s="5" t="inlineStr">
        <is>
          <t xml:space="preserve">La Niña</t>
        </is>
      </c>
      <c r="D108" s="4">
        <f>INDEX(Monthly!$P:$P,MATCH($A108,Monthly!$A:$A,0))</f>
        <v>280.249</v>
      </c>
      <c r="E108" s="4">
        <f>INDEX(C$31:C$42,7)</f>
        <v>137.10459999999998</v>
      </c>
      <c r="F108" s="31">
        <f>IF(E108&gt;0,D108/E108,0)</f>
        <v>2.0440524971445164</v>
      </c>
      <c r="G108" s="4">
        <f>INDEX(Monthly!$U:$U,MATCH($A108,Monthly!$A:$A,0))</f>
        <v>193.684</v>
      </c>
      <c r="H108" s="4">
        <f>INDEX(D$31:D$42,7)</f>
        <v>187.2258</v>
      </c>
      <c r="I108" s="29">
        <f>IF(H108&gt;0,G108/H108,0)</f>
        <v>1.034494177618683</v>
      </c>
      <c r="J108" s="4">
        <f>INDEX(Monthly!$Z:$Z,MATCH($A108,Monthly!$A:$A,0))</f>
        <v>123.154</v>
      </c>
      <c r="K108" s="4">
        <f>INDEX(E$31:E$42,7)</f>
        <v>179.02346666666668</v>
      </c>
      <c r="L108" s="29">
        <f>IF(K108&gt;0,J108/K108,0)</f>
        <v>0.6879209876396092</v>
      </c>
      <c r="M108" s="4">
        <f>INDEX(Monthly!$AE:$AE,MATCH($A108,Monthly!$A:$A,0))</f>
        <v>199.029</v>
      </c>
      <c r="N108" s="4">
        <f>INDEX(F$31:F$42,7)</f>
        <v>167.78462222222225</v>
      </c>
      <c r="O108" s="29">
        <f>IF(N108&gt;0,M108/N108,0)</f>
        <v>1.1862171715379026</v>
      </c>
    </row>
    <row r="109">
      <c r="A109" s="2" t="inlineStr">
        <is>
          <t xml:space="preserve">2010-08</t>
        </is>
      </c>
      <c r="B109" s="2" t="inlineStr">
        <is>
          <t xml:space="preserve">2010/11</t>
        </is>
      </c>
      <c r="C109" s="5" t="inlineStr">
        <is>
          <t xml:space="preserve">La Niña</t>
        </is>
      </c>
      <c r="D109" s="4">
        <f>INDEX(Monthly!$P:$P,MATCH($A109,Monthly!$A:$A,0))</f>
        <v>274.56</v>
      </c>
      <c r="E109" s="4">
        <f>INDEX(C$31:C$42,8)</f>
        <v>168.58193333333332</v>
      </c>
      <c r="F109" s="31">
        <f>IF(E109&gt;0,D109/E109,0)</f>
        <v>1.6286442714897484</v>
      </c>
      <c r="G109" s="4">
        <f>INDEX(Monthly!$U:$U,MATCH($A109,Monthly!$A:$A,0))</f>
        <v>274.91</v>
      </c>
      <c r="H109" s="4">
        <f>INDEX(D$31:D$42,8)</f>
        <v>228.6517333333334</v>
      </c>
      <c r="I109" s="29">
        <f>IF(H109&gt;0,G109/H109,0)</f>
        <v>1.2023088388279581</v>
      </c>
      <c r="J109" s="4">
        <f>INDEX(Monthly!$Z:$Z,MATCH($A109,Monthly!$A:$A,0))</f>
        <v>331.006</v>
      </c>
      <c r="K109" s="4">
        <f>INDEX(E$31:E$42,8)</f>
        <v>219.19053333333335</v>
      </c>
      <c r="L109" s="31">
        <f>IF(K109&gt;0,J109/K109,0)</f>
        <v>1.5101290870834443</v>
      </c>
      <c r="M109" s="4">
        <f>INDEX(Monthly!$AE:$AE,MATCH($A109,Monthly!$A:$A,0))</f>
        <v>293.492</v>
      </c>
      <c r="N109" s="4">
        <f>INDEX(F$31:F$42,8)</f>
        <v>205.47473333333338</v>
      </c>
      <c r="O109" s="29">
        <f>IF(N109&gt;0,M109/N109,0)</f>
        <v>1.428360534839482</v>
      </c>
    </row>
    <row r="110">
      <c r="A110" s="2" t="inlineStr">
        <is>
          <t xml:space="preserve">2010-09</t>
        </is>
      </c>
      <c r="B110" s="2" t="inlineStr">
        <is>
          <t xml:space="preserve">2010/11</t>
        </is>
      </c>
      <c r="C110" s="5" t="inlineStr">
        <is>
          <t xml:space="preserve">La Niña</t>
        </is>
      </c>
      <c r="D110" s="4">
        <f>INDEX(Monthly!$P:$P,MATCH($A110,Monthly!$A:$A,0))</f>
        <v>232.771</v>
      </c>
      <c r="E110" s="4">
        <f>INDEX(C$31:C$42,9)</f>
        <v>216.9424666666667</v>
      </c>
      <c r="F110" s="29">
        <f>IF(E110&gt;0,D110/E110,0)</f>
        <v>1.0729618943517127</v>
      </c>
      <c r="G110" s="4">
        <f>INDEX(Monthly!$U:$U,MATCH($A110,Monthly!$A:$A,0))</f>
        <v>186.942</v>
      </c>
      <c r="H110" s="4">
        <f>INDEX(D$31:D$42,9)</f>
        <v>235.93773333333334</v>
      </c>
      <c r="I110" s="29">
        <f>IF(H110&gt;0,G110/H110,0)</f>
        <v>0.7923361700516464</v>
      </c>
      <c r="J110" s="4">
        <f>INDEX(Monthly!$Z:$Z,MATCH($A110,Monthly!$A:$A,0))</f>
        <v>190.439</v>
      </c>
      <c r="K110" s="4">
        <f>INDEX(E$31:E$42,9)</f>
        <v>255.97060000000002</v>
      </c>
      <c r="L110" s="29">
        <f>IF(K110&gt;0,J110/K110,0)</f>
        <v>0.7439877860973095</v>
      </c>
      <c r="M110" s="4">
        <f>INDEX(Monthly!$AE:$AE,MATCH($A110,Monthly!$A:$A,0))</f>
        <v>203.384</v>
      </c>
      <c r="N110" s="4">
        <f>INDEX(F$31:F$42,9)</f>
        <v>236.28360000000004</v>
      </c>
      <c r="O110" s="29">
        <f>IF(N110&gt;0,M110/N110,0)</f>
        <v>0.8607622365665665</v>
      </c>
    </row>
    <row r="111">
      <c r="A111" s="2" t="inlineStr">
        <is>
          <t xml:space="preserve">2010-10</t>
        </is>
      </c>
      <c r="B111" s="2" t="inlineStr">
        <is>
          <t xml:space="preserve">2010/11</t>
        </is>
      </c>
      <c r="C111" s="5" t="inlineStr">
        <is>
          <t xml:space="preserve">La Niña</t>
        </is>
      </c>
      <c r="D111" s="4">
        <f>INDEX(Monthly!$P:$P,MATCH($A111,Monthly!$A:$A,0))</f>
        <v>19.304</v>
      </c>
      <c r="E111" s="4">
        <f>INDEX(C$31:C$42,10)</f>
        <v>157.55200000000002</v>
      </c>
      <c r="F111" s="32">
        <f>IF(E111&gt;0,D111/E111,0)</f>
        <v>0.12252462678988522</v>
      </c>
      <c r="G111" s="4">
        <f>INDEX(Monthly!$U:$U,MATCH($A111,Monthly!$A:$A,0))</f>
        <v>20.887</v>
      </c>
      <c r="H111" s="4">
        <f>INDEX(D$31:D$42,10)</f>
        <v>156.79653333333331</v>
      </c>
      <c r="I111" s="32">
        <f>IF(H111&gt;0,G111/H111,0)</f>
        <v>0.13321085330117843</v>
      </c>
      <c r="J111" s="4">
        <f>INDEX(Monthly!$Z:$Z,MATCH($A111,Monthly!$A:$A,0))</f>
        <v>33.731</v>
      </c>
      <c r="K111" s="4">
        <f>INDEX(E$31:E$42,10)</f>
        <v>182.93833333333333</v>
      </c>
      <c r="L111" s="32">
        <f>IF(K111&gt;0,J111/K111,0)</f>
        <v>0.18438453759463572</v>
      </c>
      <c r="M111" s="4">
        <f>INDEX(Monthly!$AE:$AE,MATCH($A111,Monthly!$A:$A,0))</f>
        <v>24.640666666666664</v>
      </c>
      <c r="N111" s="4">
        <f>INDEX(F$31:F$42,10)</f>
        <v>165.7622888888889</v>
      </c>
      <c r="O111" s="32">
        <f>IF(N111&gt;0,M111/N111,0)</f>
        <v>0.14865061789285136</v>
      </c>
    </row>
    <row r="112">
      <c r="A112" s="2" t="inlineStr">
        <is>
          <t xml:space="preserve">2010-11</t>
        </is>
      </c>
      <c r="B112" s="2" t="inlineStr">
        <is>
          <t xml:space="preserve">2010/11</t>
        </is>
      </c>
      <c r="C112" s="5" t="inlineStr">
        <is>
          <t xml:space="preserve">La Niña</t>
        </is>
      </c>
      <c r="D112" s="4">
        <f>INDEX(Monthly!$P:$P,MATCH($A112,Monthly!$A:$A,0))</f>
        <v>7.254</v>
      </c>
      <c r="E112" s="4">
        <f>INDEX(C$31:C$42,11)</f>
        <v>28.2242</v>
      </c>
      <c r="F112" s="32">
        <f>IF(E112&gt;0,D112/E112,0)</f>
        <v>0.2570134848817681</v>
      </c>
      <c r="G112" s="4">
        <f>INDEX(Monthly!$U:$U,MATCH($A112,Monthly!$A:$A,0))</f>
        <v>11.228</v>
      </c>
      <c r="H112" s="4">
        <f>INDEX(D$31:D$42,11)</f>
        <v>37.004000000000005</v>
      </c>
      <c r="I112" s="32">
        <f>IF(H112&gt;0,G112/H112,0)</f>
        <v>0.3034266565776672</v>
      </c>
      <c r="J112" s="4">
        <f>INDEX(Monthly!$Z:$Z,MATCH($A112,Monthly!$A:$A,0))</f>
        <v>34.399</v>
      </c>
      <c r="K112" s="4">
        <f>INDEX(E$31:E$42,11)</f>
        <v>60.208133333333336</v>
      </c>
      <c r="L112" s="29">
        <f>IF(K112&gt;0,J112/K112,0)</f>
        <v>0.5713347698317613</v>
      </c>
      <c r="M112" s="4">
        <f>INDEX(Monthly!$AE:$AE,MATCH($A112,Monthly!$A:$A,0))</f>
        <v>17.627</v>
      </c>
      <c r="N112" s="4">
        <f>INDEX(F$31:F$42,11)</f>
        <v>41.81211111111111</v>
      </c>
      <c r="O112" s="32">
        <f>IF(N112&gt;0,M112/N112,0)</f>
        <v>0.42157641725284273</v>
      </c>
    </row>
    <row r="113">
      <c r="A113" s="2" t="inlineStr">
        <is>
          <t xml:space="preserve">2010-12</t>
        </is>
      </c>
      <c r="B113" s="2" t="inlineStr">
        <is>
          <t xml:space="preserve">2010/11</t>
        </is>
      </c>
      <c r="C113" s="5" t="inlineStr">
        <is>
          <t xml:space="preserve">La Niña</t>
        </is>
      </c>
      <c r="D113" s="4">
        <f>INDEX(Monthly!$P:$P,MATCH($A113,Monthly!$A:$A,0))</f>
        <v>0.626</v>
      </c>
      <c r="E113" s="4">
        <f>INDEX(C$31:C$42,12)</f>
        <v>13.638533333333335</v>
      </c>
      <c r="F113" s="32">
        <f>IF(E113&gt;0,D113/E113,0)</f>
        <v>0.04589936356793008</v>
      </c>
      <c r="G113" s="4">
        <f>INDEX(Monthly!$U:$U,MATCH($A113,Monthly!$A:$A,0))</f>
        <v>8.218</v>
      </c>
      <c r="H113" s="4">
        <f>INDEX(D$31:D$42,12)</f>
        <v>23.69433333333333</v>
      </c>
      <c r="I113" s="32">
        <f>IF(H113&gt;0,G113/H113,0)</f>
        <v>0.34683398280882916</v>
      </c>
      <c r="J113" s="4">
        <f>INDEX(Monthly!$Z:$Z,MATCH($A113,Monthly!$A:$A,0))</f>
        <v>29.659</v>
      </c>
      <c r="K113" s="4">
        <f>INDEX(E$31:E$42,12)</f>
        <v>52.138</v>
      </c>
      <c r="L113" s="29">
        <f>IF(K113&gt;0,J113/K113,0)</f>
        <v>0.5688557290268135</v>
      </c>
      <c r="M113" s="4">
        <f>INDEX(Monthly!$AE:$AE,MATCH($A113,Monthly!$A:$A,0))</f>
        <v>12.834333333333333</v>
      </c>
      <c r="N113" s="4">
        <f>INDEX(F$31:F$42,12)</f>
        <v>29.823622222222223</v>
      </c>
      <c r="O113" s="32">
        <f>IF(N113&gt;0,M113/N113,0)</f>
        <v>0.43034119858754766</v>
      </c>
    </row>
    <row r="114">
      <c r="A114" s="2" t="inlineStr">
        <is>
          <t xml:space="preserve">2011-01</t>
        </is>
      </c>
      <c r="B114" s="2" t="inlineStr">
        <is>
          <t xml:space="preserve">2010/11</t>
        </is>
      </c>
      <c r="C114" s="5" t="inlineStr">
        <is>
          <t xml:space="preserve">La Niña</t>
        </is>
      </c>
      <c r="D114" s="4">
        <f>INDEX(Monthly!$P:$P,MATCH($A114,Monthly!$A:$A,0))</f>
        <v>7.491</v>
      </c>
      <c r="E114" s="4">
        <f>INDEX(C$31:C$42,1)</f>
        <v>4.832071428571429</v>
      </c>
      <c r="F114" s="31">
        <f>IF(E114&gt;0,D114/E114,0)</f>
        <v>1.5502668184304274</v>
      </c>
      <c r="G114" s="4">
        <f>INDEX(Monthly!$U:$U,MATCH($A114,Monthly!$A:$A,0))</f>
        <v>8.262</v>
      </c>
      <c r="H114" s="4">
        <f>INDEX(D$31:D$42,1)</f>
        <v>14.249071428571428</v>
      </c>
      <c r="I114" s="29">
        <f>IF(H114&gt;0,G114/H114,0)</f>
        <v>0.5798272569139844</v>
      </c>
      <c r="J114" s="4">
        <f>INDEX(Monthly!$Z:$Z,MATCH($A114,Monthly!$A:$A,0))</f>
        <v>29.628</v>
      </c>
      <c r="K114" s="4">
        <f>INDEX(E$31:E$42,1)</f>
        <v>40.161500000000004</v>
      </c>
      <c r="L114" s="29">
        <f>IF(K114&gt;0,J114/K114,0)</f>
        <v>0.73772144964705</v>
      </c>
      <c r="M114" s="4">
        <f>INDEX(Monthly!$AE:$AE,MATCH($A114,Monthly!$A:$A,0))</f>
        <v>15.127</v>
      </c>
      <c r="N114" s="4">
        <f>INDEX(F$31:F$42,1)</f>
        <v>19.74754761904762</v>
      </c>
      <c r="O114" s="29">
        <f>IF(N114&gt;0,M114/N114,0)</f>
        <v>0.7660191681426386</v>
      </c>
    </row>
    <row r="115">
      <c r="A115" s="2" t="inlineStr">
        <is>
          <t xml:space="preserve">2011-02</t>
        </is>
      </c>
      <c r="B115" s="2" t="inlineStr">
        <is>
          <t xml:space="preserve">2010/11</t>
        </is>
      </c>
      <c r="C115" s="5" t="inlineStr">
        <is>
          <t xml:space="preserve">La Niña</t>
        </is>
      </c>
      <c r="D115" s="4">
        <f>INDEX(Monthly!$P:$P,MATCH($A115,Monthly!$A:$A,0))</f>
        <v>31.816</v>
      </c>
      <c r="E115" s="4">
        <f>INDEX(C$31:C$42,2)</f>
        <v>5.8785</v>
      </c>
      <c r="F115" s="31">
        <f>IF(E115&gt;0,D115/E115,0)</f>
        <v>5.412265033597006</v>
      </c>
      <c r="G115" s="4">
        <f>INDEX(Monthly!$U:$U,MATCH($A115,Monthly!$A:$A,0))</f>
        <v>16.499</v>
      </c>
      <c r="H115" s="4">
        <f>INDEX(D$31:D$42,2)</f>
        <v>12.850714285714284</v>
      </c>
      <c r="I115" s="29">
        <f>IF(H115&gt;0,G115/H115,0)</f>
        <v>1.2838975043077094</v>
      </c>
      <c r="J115" s="4">
        <f>INDEX(Monthly!$Z:$Z,MATCH($A115,Monthly!$A:$A,0))</f>
        <v>27.009</v>
      </c>
      <c r="K115" s="4">
        <f>INDEX(E$31:E$42,2)</f>
        <v>27.980785714285712</v>
      </c>
      <c r="L115" s="29">
        <f>IF(K115&gt;0,J115/K115,0)</f>
        <v>0.9652695344509371</v>
      </c>
      <c r="M115" s="4">
        <f>INDEX(Monthly!$AE:$AE,MATCH($A115,Monthly!$A:$A,0))</f>
        <v>25.108</v>
      </c>
      <c r="N115" s="4">
        <f>INDEX(F$31:F$42,2)</f>
        <v>15.570000000000002</v>
      </c>
      <c r="O115" s="31">
        <f>IF(N115&gt;0,M115/N115,0)</f>
        <v>1.6125883108542067</v>
      </c>
    </row>
    <row r="116">
      <c r="A116" s="2" t="inlineStr">
        <is>
          <t xml:space="preserve">2011-03</t>
        </is>
      </c>
      <c r="B116" s="2" t="inlineStr">
        <is>
          <t xml:space="preserve">2010/11</t>
        </is>
      </c>
      <c r="C116" s="5" t="inlineStr">
        <is>
          <t xml:space="preserve">La Niña</t>
        </is>
      </c>
      <c r="D116" s="4">
        <f>INDEX(Monthly!$P:$P,MATCH($A116,Monthly!$A:$A,0))</f>
        <v>17.813</v>
      </c>
      <c r="E116" s="4">
        <f>INDEX(C$31:C$42,3)</f>
        <v>8.098142857142857</v>
      </c>
      <c r="F116" s="31">
        <f>IF(E116&gt;0,D116/E116,0)</f>
        <v>2.1996401291301355</v>
      </c>
      <c r="G116" s="4">
        <f>INDEX(Monthly!$U:$U,MATCH($A116,Monthly!$A:$A,0))</f>
        <v>6.637</v>
      </c>
      <c r="H116" s="4">
        <f>INDEX(D$31:D$42,3)</f>
        <v>13.050214285714285</v>
      </c>
      <c r="I116" s="29">
        <f>IF(H116&gt;0,G116/H116,0)</f>
        <v>0.5085740245097234</v>
      </c>
      <c r="J116" s="4">
        <f>INDEX(Monthly!$Z:$Z,MATCH($A116,Monthly!$A:$A,0))</f>
        <v>13.181</v>
      </c>
      <c r="K116" s="4">
        <f>INDEX(E$31:E$42,3)</f>
        <v>22.94821428571429</v>
      </c>
      <c r="L116" s="29">
        <f>IF(K116&gt;0,J116/K116,0)</f>
        <v>0.5743802038751846</v>
      </c>
      <c r="M116" s="4">
        <f>INDEX(Monthly!$AE:$AE,MATCH($A116,Monthly!$A:$A,0))</f>
        <v>12.543666666666667</v>
      </c>
      <c r="N116" s="4">
        <f>INDEX(F$31:F$42,3)</f>
        <v>14.69885714285714</v>
      </c>
      <c r="O116" s="29">
        <f>IF(N116&gt;0,M116/N116,0)</f>
        <v>0.8533770037191102</v>
      </c>
    </row>
    <row r="117">
      <c r="A117" s="2" t="inlineStr">
        <is>
          <t xml:space="preserve">2011-04</t>
        </is>
      </c>
      <c r="B117" s="2" t="inlineStr">
        <is>
          <t xml:space="preserve">2010/11</t>
        </is>
      </c>
      <c r="C117" s="5" t="inlineStr">
        <is>
          <t xml:space="preserve">La Niña</t>
        </is>
      </c>
      <c r="D117" s="4">
        <f>INDEX(Monthly!$P:$P,MATCH($A117,Monthly!$A:$A,0))</f>
        <v>62.379</v>
      </c>
      <c r="E117" s="4">
        <f>INDEX(C$31:C$42,4)</f>
        <v>48.56264285714286</v>
      </c>
      <c r="F117" s="29">
        <f>IF(E117&gt;0,D117/E117,0)</f>
        <v>1.2845058738565944</v>
      </c>
      <c r="G117" s="4">
        <f>INDEX(Monthly!$U:$U,MATCH($A117,Monthly!$A:$A,0))</f>
        <v>46.635</v>
      </c>
      <c r="H117" s="4">
        <f>INDEX(D$31:D$42,4)</f>
        <v>40.45578571428571</v>
      </c>
      <c r="I117" s="29">
        <f>IF(H117&gt;0,G117/H117,0)</f>
        <v>1.1527399400756735</v>
      </c>
      <c r="J117" s="4">
        <f>INDEX(Monthly!$Z:$Z,MATCH($A117,Monthly!$A:$A,0))</f>
        <v>108.153</v>
      </c>
      <c r="K117" s="4">
        <f>INDEX(E$31:E$42,4)</f>
        <v>48.85292857142857</v>
      </c>
      <c r="L117" s="31">
        <f>IF(K117&gt;0,J117/K117,0)</f>
        <v>2.213848855383725</v>
      </c>
      <c r="M117" s="4">
        <f>INDEX(Monthly!$AE:$AE,MATCH($A117,Monthly!$A:$A,0))</f>
        <v>72.389</v>
      </c>
      <c r="N117" s="4">
        <f>INDEX(F$31:F$42,4)</f>
        <v>45.95711904761904</v>
      </c>
      <c r="O117" s="31">
        <f>IF(N117&gt;0,M117/N117,0)</f>
        <v>1.5751422521719265</v>
      </c>
    </row>
    <row r="118">
      <c r="A118" s="2" t="inlineStr">
        <is>
          <t xml:space="preserve">2011-05</t>
        </is>
      </c>
      <c r="B118" s="2" t="inlineStr">
        <is>
          <t xml:space="preserve">2010/11</t>
        </is>
      </c>
      <c r="C118" s="5" t="inlineStr">
        <is>
          <t xml:space="preserve">La Niña</t>
        </is>
      </c>
      <c r="D118" s="4">
        <f>INDEX(Monthly!$P:$P,MATCH($A118,Monthly!$A:$A,0))</f>
        <v>114.301</v>
      </c>
      <c r="E118" s="4">
        <f>INDEX(C$31:C$42,5)</f>
        <v>157.25921428571428</v>
      </c>
      <c r="F118" s="29">
        <f>IF(E118&gt;0,D118/E118,0)</f>
        <v>0.7268318140794839</v>
      </c>
      <c r="G118" s="4">
        <f>INDEX(Monthly!$U:$U,MATCH($A118,Monthly!$A:$A,0))</f>
        <v>141.937</v>
      </c>
      <c r="H118" s="4">
        <f>INDEX(D$31:D$42,5)</f>
        <v>153.39671428571432</v>
      </c>
      <c r="I118" s="29">
        <f>IF(H118&gt;0,G118/H118,0)</f>
        <v>0.9252936131058869</v>
      </c>
      <c r="J118" s="4">
        <f>INDEX(Monthly!$Z:$Z,MATCH($A118,Monthly!$A:$A,0))</f>
        <v>165.297</v>
      </c>
      <c r="K118" s="4">
        <f>INDEX(E$31:E$42,5)</f>
        <v>157.15200000000002</v>
      </c>
      <c r="L118" s="29">
        <f>IF(K118&gt;0,J118/K118,0)</f>
        <v>1.0518288026878435</v>
      </c>
      <c r="M118" s="4">
        <f>INDEX(Monthly!$AE:$AE,MATCH($A118,Monthly!$A:$A,0))</f>
        <v>140.51166666666666</v>
      </c>
      <c r="N118" s="4">
        <f>INDEX(F$31:F$42,5)</f>
        <v>155.9359761904762</v>
      </c>
      <c r="O118" s="29">
        <f>IF(N118&gt;0,M118/N118,0)</f>
        <v>0.9010856256482551</v>
      </c>
    </row>
    <row r="119">
      <c r="A119" s="2" t="inlineStr">
        <is>
          <t xml:space="preserve">2011-06</t>
        </is>
      </c>
      <c r="B119" s="2" t="inlineStr">
        <is>
          <t xml:space="preserve">2010/11</t>
        </is>
      </c>
      <c r="C119" s="5" t="inlineStr">
        <is>
          <t xml:space="preserve">La Niña</t>
        </is>
      </c>
      <c r="D119" s="4">
        <f>INDEX(Monthly!$P:$P,MATCH($A119,Monthly!$A:$A,0))</f>
        <v>257.146</v>
      </c>
      <c r="E119" s="4">
        <f>INDEX(C$31:C$42,6)</f>
        <v>197.10614285714286</v>
      </c>
      <c r="F119" s="29">
        <f>IF(E119&gt;0,D119/E119,0)</f>
        <v>1.3046067274847564</v>
      </c>
      <c r="G119" s="4">
        <f>INDEX(Monthly!$U:$U,MATCH($A119,Monthly!$A:$A,0))</f>
        <v>195.032</v>
      </c>
      <c r="H119" s="4">
        <f>INDEX(D$31:D$42,6)</f>
        <v>192.85257142857145</v>
      </c>
      <c r="I119" s="29">
        <f>IF(H119&gt;0,G119/H119,0)</f>
        <v>1.0113010086165004</v>
      </c>
      <c r="J119" s="4">
        <f>INDEX(Monthly!$Z:$Z,MATCH($A119,Monthly!$A:$A,0))</f>
        <v>353.024</v>
      </c>
      <c r="K119" s="4">
        <f>INDEX(E$31:E$42,6)</f>
        <v>244.03071428571425</v>
      </c>
      <c r="L119" s="29">
        <f>IF(K119&gt;0,J119/K119,0)</f>
        <v>1.4466375719684</v>
      </c>
      <c r="M119" s="4">
        <f>INDEX(Monthly!$AE:$AE,MATCH($A119,Monthly!$A:$A,0))</f>
        <v>268.40066666666667</v>
      </c>
      <c r="N119" s="4">
        <f>INDEX(F$31:F$42,6)</f>
        <v>211.32980952380953</v>
      </c>
      <c r="O119" s="29">
        <f>IF(N119&gt;0,M119/N119,0)</f>
        <v>1.270055877452666</v>
      </c>
    </row>
    <row r="120">
      <c r="A120" s="2" t="inlineStr">
        <is>
          <t xml:space="preserve">2011-07</t>
        </is>
      </c>
      <c r="B120" s="2" t="inlineStr">
        <is>
          <t xml:space="preserve">2011/12</t>
        </is>
      </c>
      <c r="C120" s="5" t="inlineStr">
        <is>
          <t xml:space="preserve">La Niña</t>
        </is>
      </c>
      <c r="D120" s="4">
        <f>INDEX(Monthly!$P:$P,MATCH($A120,Monthly!$A:$A,0))</f>
        <v>287.013</v>
      </c>
      <c r="E120" s="4">
        <f>INDEX(C$31:C$42,7)</f>
        <v>137.10459999999998</v>
      </c>
      <c r="F120" s="31">
        <f>IF(E120&gt;0,D120/E120,0)</f>
        <v>2.0933870927744223</v>
      </c>
      <c r="G120" s="4">
        <f>INDEX(Monthly!$U:$U,MATCH($A120,Monthly!$A:$A,0))</f>
        <v>296.705</v>
      </c>
      <c r="H120" s="4">
        <f>INDEX(D$31:D$42,7)</f>
        <v>187.2258</v>
      </c>
      <c r="I120" s="31">
        <f>IF(H120&gt;0,G120/H120,0)</f>
        <v>1.5847441965797449</v>
      </c>
      <c r="J120" s="4">
        <f>INDEX(Monthly!$Z:$Z,MATCH($A120,Monthly!$A:$A,0))</f>
        <v>349.576</v>
      </c>
      <c r="K120" s="4">
        <f>INDEX(E$31:E$42,7)</f>
        <v>179.02346666666668</v>
      </c>
      <c r="L120" s="31">
        <f>IF(K120&gt;0,J120/K120,0)</f>
        <v>1.9526825533486858</v>
      </c>
      <c r="M120" s="4">
        <f>INDEX(Monthly!$AE:$AE,MATCH($A120,Monthly!$A:$A,0))</f>
        <v>311.098</v>
      </c>
      <c r="N120" s="4">
        <f>INDEX(F$31:F$42,7)</f>
        <v>167.78462222222225</v>
      </c>
      <c r="O120" s="31">
        <f>IF(N120&gt;0,M120/N120,0)</f>
        <v>1.8541508505348387</v>
      </c>
    </row>
    <row r="121">
      <c r="A121" s="2" t="inlineStr">
        <is>
          <t xml:space="preserve">2011-08</t>
        </is>
      </c>
      <c r="B121" s="2" t="inlineStr">
        <is>
          <t xml:space="preserve">2011/12</t>
        </is>
      </c>
      <c r="C121" s="5" t="inlineStr">
        <is>
          <t xml:space="preserve">La Niña</t>
        </is>
      </c>
      <c r="D121" s="4">
        <f>INDEX(Monthly!$P:$P,MATCH($A121,Monthly!$A:$A,0))</f>
        <v>196.656</v>
      </c>
      <c r="E121" s="4">
        <f>INDEX(C$31:C$42,8)</f>
        <v>168.58193333333332</v>
      </c>
      <c r="F121" s="29">
        <f>IF(E121&gt;0,D121/E121,0)</f>
        <v>1.166530695855507</v>
      </c>
      <c r="G121" s="4">
        <f>INDEX(Monthly!$U:$U,MATCH($A121,Monthly!$A:$A,0))</f>
        <v>257.703</v>
      </c>
      <c r="H121" s="4">
        <f>INDEX(D$31:D$42,8)</f>
        <v>228.6517333333334</v>
      </c>
      <c r="I121" s="29">
        <f>IF(H121&gt;0,G121/H121,0)</f>
        <v>1.127054653131866</v>
      </c>
      <c r="J121" s="4">
        <f>INDEX(Monthly!$Z:$Z,MATCH($A121,Monthly!$A:$A,0))</f>
        <v>169.144</v>
      </c>
      <c r="K121" s="4">
        <f>INDEX(E$31:E$42,8)</f>
        <v>219.19053333333335</v>
      </c>
      <c r="L121" s="29">
        <f>IF(K121&gt;0,J121/K121,0)</f>
        <v>0.7716756623917456</v>
      </c>
      <c r="M121" s="4">
        <f>INDEX(Monthly!$AE:$AE,MATCH($A121,Monthly!$A:$A,0))</f>
        <v>207.83433333333332</v>
      </c>
      <c r="N121" s="4">
        <f>INDEX(F$31:F$42,8)</f>
        <v>205.47473333333338</v>
      </c>
      <c r="O121" s="29">
        <f>IF(N121&gt;0,M121/N121,0)</f>
        <v>1.0114836503823177</v>
      </c>
    </row>
    <row r="122">
      <c r="A122" s="2" t="inlineStr">
        <is>
          <t xml:space="preserve">2011-09</t>
        </is>
      </c>
      <c r="B122" s="2" t="inlineStr">
        <is>
          <t xml:space="preserve">2011/12</t>
        </is>
      </c>
      <c r="C122" s="5" t="inlineStr">
        <is>
          <t xml:space="preserve">La Niña</t>
        </is>
      </c>
      <c r="D122" s="4">
        <f>INDEX(Monthly!$P:$P,MATCH($A122,Monthly!$A:$A,0))</f>
        <v>260.758</v>
      </c>
      <c r="E122" s="4">
        <f>INDEX(C$31:C$42,9)</f>
        <v>216.9424666666667</v>
      </c>
      <c r="F122" s="29">
        <f>IF(E122&gt;0,D122/E122,0)</f>
        <v>1.2019684481630613</v>
      </c>
      <c r="G122" s="4">
        <f>INDEX(Monthly!$U:$U,MATCH($A122,Monthly!$A:$A,0))</f>
        <v>238.403</v>
      </c>
      <c r="H122" s="4">
        <f>INDEX(D$31:D$42,9)</f>
        <v>235.93773333333334</v>
      </c>
      <c r="I122" s="29">
        <f>IF(H122&gt;0,G122/H122,0)</f>
        <v>1.0104488020285578</v>
      </c>
      <c r="J122" s="4">
        <f>INDEX(Monthly!$Z:$Z,MATCH($A122,Monthly!$A:$A,0))</f>
        <v>273.497</v>
      </c>
      <c r="K122" s="4">
        <f>INDEX(E$31:E$42,9)</f>
        <v>255.97060000000002</v>
      </c>
      <c r="L122" s="29">
        <f>IF(K122&gt;0,J122/K122,0)</f>
        <v>1.068470363393296</v>
      </c>
      <c r="M122" s="4">
        <f>INDEX(Monthly!$AE:$AE,MATCH($A122,Monthly!$A:$A,0))</f>
        <v>257.55266666666665</v>
      </c>
      <c r="N122" s="4">
        <f>INDEX(F$31:F$42,9)</f>
        <v>236.28360000000004</v>
      </c>
      <c r="O122" s="29">
        <f>IF(N122&gt;0,M122/N122,0)</f>
        <v>1.090014993282084</v>
      </c>
    </row>
    <row r="123">
      <c r="A123" s="2" t="inlineStr">
        <is>
          <t xml:space="preserve">2011-10</t>
        </is>
      </c>
      <c r="B123" s="2" t="inlineStr">
        <is>
          <t xml:space="preserve">2011/12</t>
        </is>
      </c>
      <c r="C123" s="5" t="inlineStr">
        <is>
          <t xml:space="preserve">La Niña</t>
        </is>
      </c>
      <c r="D123" s="4">
        <f>INDEX(Monthly!$P:$P,MATCH($A123,Monthly!$A:$A,0))</f>
        <v>206.703</v>
      </c>
      <c r="E123" s="4">
        <f>INDEX(C$31:C$42,10)</f>
        <v>157.55200000000002</v>
      </c>
      <c r="F123" s="29">
        <f>IF(E123&gt;0,D123/E123,0)</f>
        <v>1.3119668426932058</v>
      </c>
      <c r="G123" s="4">
        <f>INDEX(Monthly!$U:$U,MATCH($A123,Monthly!$A:$A,0))</f>
        <v>322.373</v>
      </c>
      <c r="H123" s="4">
        <f>INDEX(D$31:D$42,10)</f>
        <v>156.79653333333331</v>
      </c>
      <c r="I123" s="31">
        <f>IF(H123&gt;0,G123/H123,0)</f>
        <v>2.0559957107895244</v>
      </c>
      <c r="J123" s="4">
        <f>INDEX(Monthly!$Z:$Z,MATCH($A123,Monthly!$A:$A,0))</f>
        <v>239.522</v>
      </c>
      <c r="K123" s="4">
        <f>INDEX(E$31:E$42,10)</f>
        <v>182.93833333333333</v>
      </c>
      <c r="L123" s="29">
        <f>IF(K123&gt;0,J123/K123,0)</f>
        <v>1.3093045926222862</v>
      </c>
      <c r="M123" s="4">
        <f>INDEX(Monthly!$AE:$AE,MATCH($A123,Monthly!$A:$A,0))</f>
        <v>256.1993333333333</v>
      </c>
      <c r="N123" s="4">
        <f>INDEX(F$31:F$42,10)</f>
        <v>165.7622888888889</v>
      </c>
      <c r="O123" s="31">
        <f>IF(N123&gt;0,M123/N123,0)</f>
        <v>1.5455827441250205</v>
      </c>
    </row>
    <row r="124">
      <c r="A124" s="2" t="inlineStr">
        <is>
          <t xml:space="preserve">2011-11</t>
        </is>
      </c>
      <c r="B124" s="2" t="inlineStr">
        <is>
          <t xml:space="preserve">2011/12</t>
        </is>
      </c>
      <c r="C124" s="5" t="inlineStr">
        <is>
          <t xml:space="preserve">La Niña</t>
        </is>
      </c>
      <c r="D124" s="4">
        <f>INDEX(Monthly!$P:$P,MATCH($A124,Monthly!$A:$A,0))</f>
        <v>39.889</v>
      </c>
      <c r="E124" s="4">
        <f>INDEX(C$31:C$42,11)</f>
        <v>28.2242</v>
      </c>
      <c r="F124" s="29">
        <f>IF(E124&gt;0,D124/E124,0)</f>
        <v>1.4132907221462434</v>
      </c>
      <c r="G124" s="4">
        <f>INDEX(Monthly!$U:$U,MATCH($A124,Monthly!$A:$A,0))</f>
        <v>25.039</v>
      </c>
      <c r="H124" s="4">
        <f>INDEX(D$31:D$42,11)</f>
        <v>37.004000000000005</v>
      </c>
      <c r="I124" s="29">
        <f>IF(H124&gt;0,G124/H124,0)</f>
        <v>0.6766565776672792</v>
      </c>
      <c r="J124" s="4">
        <f>INDEX(Monthly!$Z:$Z,MATCH($A124,Monthly!$A:$A,0))</f>
        <v>48.808</v>
      </c>
      <c r="K124" s="4">
        <f>INDEX(E$31:E$42,11)</f>
        <v>60.208133333333336</v>
      </c>
      <c r="L124" s="29">
        <f>IF(K124&gt;0,J124/K124,0)</f>
        <v>0.8106545959460626</v>
      </c>
      <c r="M124" s="4">
        <f>INDEX(Monthly!$AE:$AE,MATCH($A124,Monthly!$A:$A,0))</f>
        <v>37.912</v>
      </c>
      <c r="N124" s="4">
        <f>INDEX(F$31:F$42,11)</f>
        <v>41.81211111111111</v>
      </c>
      <c r="O124" s="29">
        <f>IF(N124&gt;0,M124/N124,0)</f>
        <v>0.9067229324836771</v>
      </c>
    </row>
    <row r="125">
      <c r="A125" s="2" t="inlineStr">
        <is>
          <t xml:space="preserve">2011-12</t>
        </is>
      </c>
      <c r="B125" s="2" t="inlineStr">
        <is>
          <t xml:space="preserve">2011/12</t>
        </is>
      </c>
      <c r="C125" s="5" t="inlineStr">
        <is>
          <t xml:space="preserve">La Niña</t>
        </is>
      </c>
      <c r="D125" s="4">
        <f>INDEX(Monthly!$P:$P,MATCH($A125,Monthly!$A:$A,0))</f>
        <v>1.438</v>
      </c>
      <c r="E125" s="4">
        <f>INDEX(C$31:C$42,12)</f>
        <v>13.638533333333335</v>
      </c>
      <c r="F125" s="32">
        <f>IF(E125&gt;0,D125/E125,0)</f>
        <v>0.10543655720556461</v>
      </c>
      <c r="G125" s="4">
        <f>INDEX(Monthly!$U:$U,MATCH($A125,Monthly!$A:$A,0))</f>
        <v>35.516</v>
      </c>
      <c r="H125" s="4">
        <f>INDEX(D$31:D$42,12)</f>
        <v>23.69433333333333</v>
      </c>
      <c r="I125" s="29">
        <f>IF(H125&gt;0,G125/H125,0)</f>
        <v>1.4989237933120438</v>
      </c>
      <c r="J125" s="4">
        <f>INDEX(Monthly!$Z:$Z,MATCH($A125,Monthly!$A:$A,0))</f>
        <v>73.846</v>
      </c>
      <c r="K125" s="4">
        <f>INDEX(E$31:E$42,12)</f>
        <v>52.138</v>
      </c>
      <c r="L125" s="29">
        <f>IF(K125&gt;0,J125/K125,0)</f>
        <v>1.41635659212091</v>
      </c>
      <c r="M125" s="4">
        <f>INDEX(Monthly!$AE:$AE,MATCH($A125,Monthly!$A:$A,0))</f>
        <v>36.93333333333334</v>
      </c>
      <c r="N125" s="4">
        <f>INDEX(F$31:F$42,12)</f>
        <v>29.823622222222223</v>
      </c>
      <c r="O125" s="29">
        <f>IF(N125&gt;0,M125/N125,0)</f>
        <v>1.2383919383814324</v>
      </c>
    </row>
    <row r="126">
      <c r="A126" s="2" t="inlineStr">
        <is>
          <t xml:space="preserve">2012-01</t>
        </is>
      </c>
      <c r="B126" s="2" t="inlineStr">
        <is>
          <t xml:space="preserve">2011/12</t>
        </is>
      </c>
      <c r="C126" s="5" t="inlineStr">
        <is>
          <t xml:space="preserve">La Niña</t>
        </is>
      </c>
      <c r="D126" s="4">
        <f>INDEX(Monthly!$P:$P,MATCH($A126,Monthly!$A:$A,0))</f>
        <v>0.812</v>
      </c>
      <c r="E126" s="4">
        <f>INDEX(C$31:C$42,1)</f>
        <v>4.832071428571429</v>
      </c>
      <c r="F126" s="32">
        <f>IF(E126&gt;0,D126/E126,0)</f>
        <v>0.16804387352362932</v>
      </c>
      <c r="G126" s="4">
        <f>INDEX(Monthly!$U:$U,MATCH($A126,Monthly!$A:$A,0))</f>
        <v>8.494</v>
      </c>
      <c r="H126" s="4">
        <f>INDEX(D$31:D$42,1)</f>
        <v>14.249071428571428</v>
      </c>
      <c r="I126" s="29">
        <f>IF(H126&gt;0,G126/H126,0)</f>
        <v>0.5961090196353647</v>
      </c>
      <c r="J126" s="4">
        <f>INDEX(Monthly!$Z:$Z,MATCH($A126,Monthly!$A:$A,0))</f>
        <v>22.599</v>
      </c>
      <c r="K126" s="4">
        <f>INDEX(E$31:E$42,1)</f>
        <v>40.161500000000004</v>
      </c>
      <c r="L126" s="29">
        <f>IF(K126&gt;0,J126/K126,0)</f>
        <v>0.5627030862891077</v>
      </c>
      <c r="M126" s="4">
        <f>INDEX(Monthly!$AE:$AE,MATCH($A126,Monthly!$A:$A,0))</f>
        <v>10.635</v>
      </c>
      <c r="N126" s="4">
        <f>INDEX(F$31:F$42,1)</f>
        <v>19.74754761904762</v>
      </c>
      <c r="O126" s="29">
        <f>IF(N126&gt;0,M126/N126,0)</f>
        <v>0.5385478847885874</v>
      </c>
    </row>
    <row r="127">
      <c r="A127" s="2" t="inlineStr">
        <is>
          <t xml:space="preserve">2012-02</t>
        </is>
      </c>
      <c r="B127" s="2" t="inlineStr">
        <is>
          <t xml:space="preserve">2011/12</t>
        </is>
      </c>
      <c r="C127" s="5" t="inlineStr">
        <is>
          <t xml:space="preserve">La Niña</t>
        </is>
      </c>
      <c r="D127" s="4">
        <f>INDEX(Monthly!$P:$P,MATCH($A127,Monthly!$A:$A,0))</f>
        <v>1.852</v>
      </c>
      <c r="E127" s="4">
        <f>INDEX(C$31:C$42,2)</f>
        <v>5.8785</v>
      </c>
      <c r="F127" s="32">
        <f>IF(E127&gt;0,D127/E127,0)</f>
        <v>0.31504635536276265</v>
      </c>
      <c r="G127" s="4">
        <f>INDEX(Monthly!$U:$U,MATCH($A127,Monthly!$A:$A,0))</f>
        <v>15.348</v>
      </c>
      <c r="H127" s="4">
        <f>INDEX(D$31:D$42,2)</f>
        <v>12.850714285714284</v>
      </c>
      <c r="I127" s="29">
        <f>IF(H127&gt;0,G127/H127,0)</f>
        <v>1.1943304985826249</v>
      </c>
      <c r="J127" s="4">
        <f>INDEX(Monthly!$Z:$Z,MATCH($A127,Monthly!$A:$A,0))</f>
        <v>26.948</v>
      </c>
      <c r="K127" s="4">
        <f>INDEX(E$31:E$42,2)</f>
        <v>27.980785714285712</v>
      </c>
      <c r="L127" s="29">
        <f>IF(K127&gt;0,J127/K127,0)</f>
        <v>0.963089467006696</v>
      </c>
      <c r="M127" s="4">
        <f>INDEX(Monthly!$AE:$AE,MATCH($A127,Monthly!$A:$A,0))</f>
        <v>14.716</v>
      </c>
      <c r="N127" s="4">
        <f>INDEX(F$31:F$42,2)</f>
        <v>15.570000000000002</v>
      </c>
      <c r="O127" s="29">
        <f>IF(N127&gt;0,M127/N127,0)</f>
        <v>0.9451509312780988</v>
      </c>
    </row>
    <row r="128">
      <c r="A128" s="2" t="inlineStr">
        <is>
          <t xml:space="preserve">2012-03</t>
        </is>
      </c>
      <c r="B128" s="2" t="inlineStr">
        <is>
          <t xml:space="preserve">2011/12</t>
        </is>
      </c>
      <c r="C128" s="5" t="inlineStr">
        <is>
          <t xml:space="preserve">La Niña</t>
        </is>
      </c>
      <c r="D128" s="4">
        <f>INDEX(Monthly!$P:$P,MATCH($A128,Monthly!$A:$A,0))</f>
        <v>8.166</v>
      </c>
      <c r="E128" s="4">
        <f>INDEX(C$31:C$42,3)</f>
        <v>8.098142857142857</v>
      </c>
      <c r="F128" s="29">
        <f>IF(E128&gt;0,D128/E128,0)</f>
        <v>1.0083793462345865</v>
      </c>
      <c r="G128" s="4">
        <f>INDEX(Monthly!$U:$U,MATCH($A128,Monthly!$A:$A,0))</f>
        <v>23.945</v>
      </c>
      <c r="H128" s="4">
        <f>INDEX(D$31:D$42,3)</f>
        <v>13.050214285714285</v>
      </c>
      <c r="I128" s="31">
        <f>IF(H128&gt;0,G128/H128,0)</f>
        <v>1.8348357717169397</v>
      </c>
      <c r="J128" s="4">
        <f>INDEX(Monthly!$Z:$Z,MATCH($A128,Monthly!$A:$A,0))</f>
        <v>34.221</v>
      </c>
      <c r="K128" s="4">
        <f>INDEX(E$31:E$42,3)</f>
        <v>22.94821428571429</v>
      </c>
      <c r="L128" s="29">
        <f>IF(K128&gt;0,J128/K128,0)</f>
        <v>1.4912271418566645</v>
      </c>
      <c r="M128" s="4">
        <f>INDEX(Monthly!$AE:$AE,MATCH($A128,Monthly!$A:$A,0))</f>
        <v>22.110666666666663</v>
      </c>
      <c r="N128" s="4">
        <f>INDEX(F$31:F$42,3)</f>
        <v>14.69885714285714</v>
      </c>
      <c r="O128" s="31">
        <f>IF(N128&gt;0,M128/N128,0)</f>
        <v>1.50424393214892</v>
      </c>
    </row>
    <row r="129">
      <c r="A129" s="2" t="inlineStr">
        <is>
          <t xml:space="preserve">2012-04</t>
        </is>
      </c>
      <c r="B129" s="2" t="inlineStr">
        <is>
          <t xml:space="preserve">2011/12</t>
        </is>
      </c>
      <c r="C129" s="5" t="inlineStr">
        <is>
          <t xml:space="preserve">La Niña</t>
        </is>
      </c>
      <c r="D129" s="4">
        <f>INDEX(Monthly!$P:$P,MATCH($A129,Monthly!$A:$A,0))</f>
        <v>92.497</v>
      </c>
      <c r="E129" s="4">
        <f>INDEX(C$31:C$42,4)</f>
        <v>48.56264285714286</v>
      </c>
      <c r="F129" s="31">
        <f>IF(E129&gt;0,D129/E129,0)</f>
        <v>1.9046945256274295</v>
      </c>
      <c r="G129" s="4">
        <f>INDEX(Monthly!$U:$U,MATCH($A129,Monthly!$A:$A,0))</f>
        <v>50.178</v>
      </c>
      <c r="H129" s="4">
        <f>INDEX(D$31:D$42,4)</f>
        <v>40.45578571428571</v>
      </c>
      <c r="I129" s="29">
        <f>IF(H129&gt;0,G129/H129,0)</f>
        <v>1.240317030408859</v>
      </c>
      <c r="J129" s="4">
        <f>INDEX(Monthly!$Z:$Z,MATCH($A129,Monthly!$A:$A,0))</f>
        <v>52.771</v>
      </c>
      <c r="K129" s="4">
        <f>INDEX(E$31:E$42,4)</f>
        <v>48.85292857142857</v>
      </c>
      <c r="L129" s="29">
        <f>IF(K129&gt;0,J129/K129,0)</f>
        <v>1.0802013623982185</v>
      </c>
      <c r="M129" s="4">
        <f>INDEX(Monthly!$AE:$AE,MATCH($A129,Monthly!$A:$A,0))</f>
        <v>65.14866666666667</v>
      </c>
      <c r="N129" s="4">
        <f>INDEX(F$31:F$42,4)</f>
        <v>45.95711904761904</v>
      </c>
      <c r="O129" s="29">
        <f>IF(N129&gt;0,M129/N129,0)</f>
        <v>1.417596838460698</v>
      </c>
    </row>
    <row r="130">
      <c r="A130" s="2" t="inlineStr">
        <is>
          <t xml:space="preserve">2012-05</t>
        </is>
      </c>
      <c r="B130" s="2" t="inlineStr">
        <is>
          <t xml:space="preserve">2011/12</t>
        </is>
      </c>
      <c r="C130" s="5" t="inlineStr">
        <is>
          <t xml:space="preserve">La Niña</t>
        </is>
      </c>
      <c r="D130" s="4">
        <f>INDEX(Monthly!$P:$P,MATCH($A130,Monthly!$A:$A,0))</f>
        <v>221.187</v>
      </c>
      <c r="E130" s="4">
        <f>INDEX(C$31:C$42,5)</f>
        <v>157.25921428571428</v>
      </c>
      <c r="F130" s="29">
        <f>IF(E130&gt;0,D130/E130,0)</f>
        <v>1.4065121780281784</v>
      </c>
      <c r="G130" s="4">
        <f>INDEX(Monthly!$U:$U,MATCH($A130,Monthly!$A:$A,0))</f>
        <v>188.655</v>
      </c>
      <c r="H130" s="4">
        <f>INDEX(D$31:D$42,5)</f>
        <v>153.39671428571432</v>
      </c>
      <c r="I130" s="29">
        <f>IF(H130&gt;0,G130/H130,0)</f>
        <v>1.2298503320521856</v>
      </c>
      <c r="J130" s="4">
        <f>INDEX(Monthly!$Z:$Z,MATCH($A130,Monthly!$A:$A,0))</f>
        <v>217.114</v>
      </c>
      <c r="K130" s="4">
        <f>INDEX(E$31:E$42,5)</f>
        <v>157.15200000000002</v>
      </c>
      <c r="L130" s="29">
        <f>IF(K130&gt;0,J130/K130,0)</f>
        <v>1.38155416412136</v>
      </c>
      <c r="M130" s="4">
        <f>INDEX(Monthly!$AE:$AE,MATCH($A130,Monthly!$A:$A,0))</f>
        <v>208.98533333333333</v>
      </c>
      <c r="N130" s="4">
        <f>INDEX(F$31:F$42,5)</f>
        <v>155.9359761904762</v>
      </c>
      <c r="O130" s="29">
        <f>IF(N130&gt;0,M130/N130,0)</f>
        <v>1.3401996026757623</v>
      </c>
    </row>
    <row r="131">
      <c r="A131" s="2" t="inlineStr">
        <is>
          <t xml:space="preserve">2012-06</t>
        </is>
      </c>
      <c r="B131" s="2" t="inlineStr">
        <is>
          <t xml:space="preserve">2011/12</t>
        </is>
      </c>
      <c r="C131" s="5" t="inlineStr">
        <is>
          <t xml:space="preserve">La Niña</t>
        </is>
      </c>
      <c r="D131" s="4">
        <f>INDEX(Monthly!$P:$P,MATCH($A131,Monthly!$A:$A,0))</f>
        <v>114.424</v>
      </c>
      <c r="E131" s="4">
        <f>INDEX(C$31:C$42,6)</f>
        <v>197.10614285714286</v>
      </c>
      <c r="F131" s="29">
        <f>IF(E131&gt;0,D131/E131,0)</f>
        <v>0.5805197054813832</v>
      </c>
      <c r="G131" s="4">
        <f>INDEX(Monthly!$U:$U,MATCH($A131,Monthly!$A:$A,0))</f>
        <v>112.506</v>
      </c>
      <c r="H131" s="4">
        <f>INDEX(D$31:D$42,6)</f>
        <v>192.85257142857145</v>
      </c>
      <c r="I131" s="29">
        <f>IF(H131&gt;0,G131/H131,0)</f>
        <v>0.583378272670167</v>
      </c>
      <c r="J131" s="4">
        <f>INDEX(Monthly!$Z:$Z,MATCH($A131,Monthly!$A:$A,0))</f>
        <v>137.905</v>
      </c>
      <c r="K131" s="4">
        <f>INDEX(E$31:E$42,6)</f>
        <v>244.03071428571425</v>
      </c>
      <c r="L131" s="29">
        <f>IF(K131&gt;0,J131/K131,0)</f>
        <v>0.5651132907742878</v>
      </c>
      <c r="M131" s="4">
        <f>INDEX(Monthly!$AE:$AE,MATCH($A131,Monthly!$A:$A,0))</f>
        <v>121.61166666666668</v>
      </c>
      <c r="N131" s="4">
        <f>INDEX(F$31:F$42,6)</f>
        <v>211.32980952380953</v>
      </c>
      <c r="O131" s="29">
        <f>IF(N131&gt;0,M131/N131,0)</f>
        <v>0.5754591221214594</v>
      </c>
    </row>
    <row r="132">
      <c r="A132" s="2" t="inlineStr">
        <is>
          <t xml:space="preserve">2012-07</t>
        </is>
      </c>
      <c r="B132" s="2" t="inlineStr">
        <is>
          <t xml:space="preserve">2012/13</t>
        </is>
      </c>
      <c r="C132" s="21" t="inlineStr">
        <is>
          <t xml:space="preserve">Neutral</t>
        </is>
      </c>
      <c r="D132" s="4">
        <f>INDEX(Monthly!$P:$P,MATCH($A132,Monthly!$A:$A,0))</f>
        <v>57.525</v>
      </c>
      <c r="E132" s="4">
        <f>INDEX(C$31:C$42,7)</f>
        <v>137.10459999999998</v>
      </c>
      <c r="F132" s="32">
        <f>IF(E132&gt;0,D132/E132,0)</f>
        <v>0.41957016759466864</v>
      </c>
      <c r="G132" s="4">
        <f>INDEX(Monthly!$U:$U,MATCH($A132,Monthly!$A:$A,0))</f>
        <v>130.434</v>
      </c>
      <c r="H132" s="4">
        <f>INDEX(D$31:D$42,7)</f>
        <v>187.2258</v>
      </c>
      <c r="I132" s="29">
        <f>IF(H132&gt;0,G132/H132,0)</f>
        <v>0.6966668055364165</v>
      </c>
      <c r="J132" s="4">
        <f>INDEX(Monthly!$Z:$Z,MATCH($A132,Monthly!$A:$A,0))</f>
        <v>160.3</v>
      </c>
      <c r="K132" s="4">
        <f>INDEX(E$31:E$42,7)</f>
        <v>179.02346666666668</v>
      </c>
      <c r="L132" s="29">
        <f>IF(K132&gt;0,J132/K132,0)</f>
        <v>0.8954133387354805</v>
      </c>
      <c r="M132" s="4">
        <f>INDEX(Monthly!$AE:$AE,MATCH($A132,Monthly!$A:$A,0))</f>
        <v>116.08633333333334</v>
      </c>
      <c r="N132" s="4">
        <f>INDEX(F$31:F$42,7)</f>
        <v>167.78462222222225</v>
      </c>
      <c r="O132" s="29">
        <f>IF(N132&gt;0,M132/N132,0)</f>
        <v>0.6918770730942366</v>
      </c>
    </row>
    <row r="133">
      <c r="A133" s="2" t="inlineStr">
        <is>
          <t xml:space="preserve">2012-08</t>
        </is>
      </c>
      <c r="B133" s="2" t="inlineStr">
        <is>
          <t xml:space="preserve">2012/13</t>
        </is>
      </c>
      <c r="C133" s="21" t="inlineStr">
        <is>
          <t xml:space="preserve">Neutral</t>
        </is>
      </c>
      <c r="D133" s="4">
        <f>INDEX(Monthly!$P:$P,MATCH($A133,Monthly!$A:$A,0))</f>
        <v>260.43</v>
      </c>
      <c r="E133" s="4">
        <f>INDEX(C$31:C$42,8)</f>
        <v>168.58193333333332</v>
      </c>
      <c r="F133" s="31">
        <f>IF(E133&gt;0,D133/E133,0)</f>
        <v>1.5448274607520223</v>
      </c>
      <c r="G133" s="4">
        <f>INDEX(Monthly!$U:$U,MATCH($A133,Monthly!$A:$A,0))</f>
        <v>373.815</v>
      </c>
      <c r="H133" s="4">
        <f>INDEX(D$31:D$42,8)</f>
        <v>228.6517333333334</v>
      </c>
      <c r="I133" s="31">
        <f>IF(H133&gt;0,G133/H133,0)</f>
        <v>1.6348662419936457</v>
      </c>
      <c r="J133" s="4">
        <f>INDEX(Monthly!$Z:$Z,MATCH($A133,Monthly!$A:$A,0))</f>
        <v>432.106</v>
      </c>
      <c r="K133" s="4">
        <f>INDEX(E$31:E$42,8)</f>
        <v>219.19053333333335</v>
      </c>
      <c r="L133" s="31">
        <f>IF(K133&gt;0,J133/K133,0)</f>
        <v>1.971371634663054</v>
      </c>
      <c r="M133" s="4">
        <f>INDEX(Monthly!$AE:$AE,MATCH($A133,Monthly!$A:$A,0))</f>
        <v>355.4503333333334</v>
      </c>
      <c r="N133" s="4">
        <f>INDEX(F$31:F$42,8)</f>
        <v>205.47473333333338</v>
      </c>
      <c r="O133" s="31">
        <f>IF(N133&gt;0,M133/N133,0)</f>
        <v>1.7298980150357497</v>
      </c>
    </row>
    <row r="134">
      <c r="A134" s="2" t="inlineStr">
        <is>
          <t xml:space="preserve">2012-09</t>
        </is>
      </c>
      <c r="B134" s="2" t="inlineStr">
        <is>
          <t xml:space="preserve">2012/13</t>
        </is>
      </c>
      <c r="C134" s="21" t="inlineStr">
        <is>
          <t xml:space="preserve">Neutral</t>
        </is>
      </c>
      <c r="D134" s="4">
        <f>INDEX(Monthly!$P:$P,MATCH($A134,Monthly!$A:$A,0))</f>
        <v>129.681</v>
      </c>
      <c r="E134" s="4">
        <f>INDEX(C$31:C$42,9)</f>
        <v>216.9424666666667</v>
      </c>
      <c r="F134" s="29">
        <f>IF(E134&gt;0,D134/E134,0)</f>
        <v>0.5977667811773136</v>
      </c>
      <c r="G134" s="4">
        <f>INDEX(Monthly!$U:$U,MATCH($A134,Monthly!$A:$A,0))</f>
        <v>151.059</v>
      </c>
      <c r="H134" s="4">
        <f>INDEX(D$31:D$42,9)</f>
        <v>235.93773333333334</v>
      </c>
      <c r="I134" s="29">
        <f>IF(H134&gt;0,G134/H134,0)</f>
        <v>0.6402494330425033</v>
      </c>
      <c r="J134" s="4">
        <f>INDEX(Monthly!$Z:$Z,MATCH($A134,Monthly!$A:$A,0))</f>
        <v>171.05</v>
      </c>
      <c r="K134" s="4">
        <f>INDEX(E$31:E$42,9)</f>
        <v>255.97060000000002</v>
      </c>
      <c r="L134" s="29">
        <f>IF(K134&gt;0,J134/K134,0)</f>
        <v>0.6682408057800387</v>
      </c>
      <c r="M134" s="4">
        <f>INDEX(Monthly!$AE:$AE,MATCH($A134,Monthly!$A:$A,0))</f>
        <v>150.59666666666666</v>
      </c>
      <c r="N134" s="4">
        <f>INDEX(F$31:F$42,9)</f>
        <v>236.28360000000004</v>
      </c>
      <c r="O134" s="29">
        <f>IF(N134&gt;0,M134/N134,0)</f>
        <v>0.637355561988503</v>
      </c>
    </row>
    <row r="135">
      <c r="A135" s="2" t="inlineStr">
        <is>
          <t xml:space="preserve">2012-10</t>
        </is>
      </c>
      <c r="B135" s="2" t="inlineStr">
        <is>
          <t xml:space="preserve">2012/13</t>
        </is>
      </c>
      <c r="C135" s="21" t="inlineStr">
        <is>
          <t xml:space="preserve">Neutral</t>
        </is>
      </c>
      <c r="D135" s="4">
        <f>INDEX(Monthly!$P:$P,MATCH($A135,Monthly!$A:$A,0))</f>
        <v>204.47</v>
      </c>
      <c r="E135" s="4">
        <f>INDEX(C$31:C$42,10)</f>
        <v>157.55200000000002</v>
      </c>
      <c r="F135" s="29">
        <f>IF(E135&gt;0,D135/E135,0)</f>
        <v>1.2977937442876002</v>
      </c>
      <c r="G135" s="4">
        <f>INDEX(Monthly!$U:$U,MATCH($A135,Monthly!$A:$A,0))</f>
        <v>146.86</v>
      </c>
      <c r="H135" s="4">
        <f>INDEX(D$31:D$42,10)</f>
        <v>156.79653333333331</v>
      </c>
      <c r="I135" s="29">
        <f>IF(H135&gt;0,G135/H135,0)</f>
        <v>0.936627850615745</v>
      </c>
      <c r="J135" s="4">
        <f>INDEX(Monthly!$Z:$Z,MATCH($A135,Monthly!$A:$A,0))</f>
        <v>155.693</v>
      </c>
      <c r="K135" s="4">
        <f>INDEX(E$31:E$42,10)</f>
        <v>182.93833333333333</v>
      </c>
      <c r="L135" s="29">
        <f>IF(K135&gt;0,J135/K135,0)</f>
        <v>0.8510682105992001</v>
      </c>
      <c r="M135" s="4">
        <f>INDEX(Monthly!$AE:$AE,MATCH($A135,Monthly!$A:$A,0))</f>
        <v>169.00766666666667</v>
      </c>
      <c r="N135" s="4">
        <f>INDEX(F$31:F$42,10)</f>
        <v>165.7622888888889</v>
      </c>
      <c r="O135" s="29">
        <f>IF(N135&gt;0,M135/N135,0)</f>
        <v>1.0195785048549442</v>
      </c>
    </row>
    <row r="136">
      <c r="A136" s="2" t="inlineStr">
        <is>
          <t xml:space="preserve">2012-11</t>
        </is>
      </c>
      <c r="B136" s="2" t="inlineStr">
        <is>
          <t xml:space="preserve">2012/13</t>
        </is>
      </c>
      <c r="C136" s="21" t="inlineStr">
        <is>
          <t xml:space="preserve">Neutral</t>
        </is>
      </c>
      <c r="D136" s="4">
        <f>INDEX(Monthly!$P:$P,MATCH($A136,Monthly!$A:$A,0))</f>
        <v>12.4</v>
      </c>
      <c r="E136" s="4">
        <f>INDEX(C$31:C$42,11)</f>
        <v>28.2242</v>
      </c>
      <c r="F136" s="32">
        <f>IF(E136&gt;0,D136/E136,0)</f>
        <v>0.43933929039618486</v>
      </c>
      <c r="G136" s="4">
        <f>INDEX(Monthly!$U:$U,MATCH($A136,Monthly!$A:$A,0))</f>
        <v>43.405</v>
      </c>
      <c r="H136" s="4">
        <f>INDEX(D$31:D$42,11)</f>
        <v>37.004000000000005</v>
      </c>
      <c r="I136" s="29">
        <f>IF(H136&gt;0,G136/H136,0)</f>
        <v>1.1729812993189923</v>
      </c>
      <c r="J136" s="4">
        <f>INDEX(Monthly!$Z:$Z,MATCH($A136,Monthly!$A:$A,0))</f>
        <v>65.07</v>
      </c>
      <c r="K136" s="4">
        <f>INDEX(E$31:E$42,11)</f>
        <v>60.208133333333336</v>
      </c>
      <c r="L136" s="29">
        <f>IF(K136&gt;0,J136/K136,0)</f>
        <v>1.0807509948821974</v>
      </c>
      <c r="M136" s="4">
        <f>INDEX(Monthly!$AE:$AE,MATCH($A136,Monthly!$A:$A,0))</f>
        <v>40.291666666666664</v>
      </c>
      <c r="N136" s="4">
        <f>INDEX(F$31:F$42,11)</f>
        <v>41.81211111111111</v>
      </c>
      <c r="O136" s="29">
        <f>IF(N136&gt;0,M136/N136,0)</f>
        <v>0.9636362670039781</v>
      </c>
    </row>
    <row r="137">
      <c r="A137" s="2" t="inlineStr">
        <is>
          <t xml:space="preserve">2012-12</t>
        </is>
      </c>
      <c r="B137" s="2" t="inlineStr">
        <is>
          <t xml:space="preserve">2012/13</t>
        </is>
      </c>
      <c r="C137" s="21" t="inlineStr">
        <is>
          <t xml:space="preserve">Neutral</t>
        </is>
      </c>
      <c r="D137" s="4">
        <f>INDEX(Monthly!$P:$P,MATCH($A137,Monthly!$A:$A,0))</f>
        <v>33.902</v>
      </c>
      <c r="E137" s="4">
        <f>INDEX(C$31:C$42,12)</f>
        <v>13.638533333333335</v>
      </c>
      <c r="F137" s="31">
        <f>IF(E137&gt;0,D137/E137,0)</f>
        <v>2.4857511560382837</v>
      </c>
      <c r="G137" s="4">
        <f>INDEX(Monthly!$U:$U,MATCH($A137,Monthly!$A:$A,0))</f>
        <v>30.28</v>
      </c>
      <c r="H137" s="4">
        <f>INDEX(D$31:D$42,12)</f>
        <v>23.69433333333333</v>
      </c>
      <c r="I137" s="29">
        <f>IF(H137&gt;0,G137/H137,0)</f>
        <v>1.2779426867183437</v>
      </c>
      <c r="J137" s="4">
        <f>INDEX(Monthly!$Z:$Z,MATCH($A137,Monthly!$A:$A,0))</f>
        <v>44.233</v>
      </c>
      <c r="K137" s="4">
        <f>INDEX(E$31:E$42,12)</f>
        <v>52.138</v>
      </c>
      <c r="L137" s="29">
        <f>IF(K137&gt;0,J137/K137,0)</f>
        <v>0.8483831370593425</v>
      </c>
      <c r="M137" s="4">
        <f>INDEX(Monthly!$AE:$AE,MATCH($A137,Monthly!$A:$A,0))</f>
        <v>36.13833333333333</v>
      </c>
      <c r="N137" s="4">
        <f>INDEX(F$31:F$42,12)</f>
        <v>29.823622222222223</v>
      </c>
      <c r="O137" s="29">
        <f>IF(N137&gt;0,M137/N137,0)</f>
        <v>1.2117352166030952</v>
      </c>
    </row>
    <row r="138">
      <c r="A138" s="2" t="inlineStr">
        <is>
          <t xml:space="preserve">2013-01</t>
        </is>
      </c>
      <c r="B138" s="2" t="inlineStr">
        <is>
          <t xml:space="preserve">2012/13</t>
        </is>
      </c>
      <c r="C138" s="21" t="inlineStr">
        <is>
          <t xml:space="preserve">Neutral</t>
        </is>
      </c>
      <c r="D138" s="4">
        <f>INDEX(Monthly!$P:$P,MATCH($A138,Monthly!$A:$A,0))</f>
        <v>7.226</v>
      </c>
      <c r="E138" s="4">
        <f>INDEX(C$31:C$42,1)</f>
        <v>4.832071428571429</v>
      </c>
      <c r="F138" s="29">
        <f>IF(E138&gt;0,D138/E138,0)</f>
        <v>1.4954249138937752</v>
      </c>
      <c r="G138" s="4">
        <f>INDEX(Monthly!$U:$U,MATCH($A138,Monthly!$A:$A,0))</f>
        <v>24.518</v>
      </c>
      <c r="H138" s="4">
        <f>INDEX(D$31:D$42,1)</f>
        <v>14.249071428571428</v>
      </c>
      <c r="I138" s="31">
        <f>IF(H138&gt;0,G138/H138,0)</f>
        <v>1.7206735275982898</v>
      </c>
      <c r="J138" s="4">
        <f>INDEX(Monthly!$Z:$Z,MATCH($A138,Monthly!$A:$A,0))</f>
        <v>39.416</v>
      </c>
      <c r="K138" s="4">
        <f>INDEX(E$31:E$42,1)</f>
        <v>40.161500000000004</v>
      </c>
      <c r="L138" s="29">
        <f>IF(K138&gt;0,J138/K138,0)</f>
        <v>0.9814374463105211</v>
      </c>
      <c r="M138" s="4">
        <f>INDEX(Monthly!$AE:$AE,MATCH($A138,Monthly!$A:$A,0))</f>
        <v>23.72</v>
      </c>
      <c r="N138" s="4">
        <f>INDEX(F$31:F$42,1)</f>
        <v>19.74754761904762</v>
      </c>
      <c r="O138" s="29">
        <f>IF(N138&gt;0,M138/N138,0)</f>
        <v>1.2011618079158712</v>
      </c>
    </row>
    <row r="139">
      <c r="A139" s="2" t="inlineStr">
        <is>
          <t xml:space="preserve">2013-02</t>
        </is>
      </c>
      <c r="B139" s="2" t="inlineStr">
        <is>
          <t xml:space="preserve">2012/13</t>
        </is>
      </c>
      <c r="C139" s="21" t="inlineStr">
        <is>
          <t xml:space="preserve">Neutral</t>
        </is>
      </c>
      <c r="D139" s="4">
        <f>INDEX(Monthly!$P:$P,MATCH($A139,Monthly!$A:$A,0))</f>
        <v>3.569</v>
      </c>
      <c r="E139" s="4">
        <f>INDEX(C$31:C$42,2)</f>
        <v>5.8785</v>
      </c>
      <c r="F139" s="29">
        <f>IF(E139&gt;0,D139/E139,0)</f>
        <v>0.6071276686229481</v>
      </c>
      <c r="G139" s="4">
        <f>INDEX(Monthly!$U:$U,MATCH($A139,Monthly!$A:$A,0))</f>
        <v>10.092</v>
      </c>
      <c r="H139" s="4">
        <f>INDEX(D$31:D$42,2)</f>
        <v>12.850714285714284</v>
      </c>
      <c r="I139" s="29">
        <f>IF(H139&gt;0,G139/H139,0)</f>
        <v>0.7853259963314992</v>
      </c>
      <c r="J139" s="4">
        <f>INDEX(Monthly!$Z:$Z,MATCH($A139,Monthly!$A:$A,0))</f>
        <v>17.454</v>
      </c>
      <c r="K139" s="4">
        <f>INDEX(E$31:E$42,2)</f>
        <v>27.980785714285712</v>
      </c>
      <c r="L139" s="29">
        <f>IF(K139&gt;0,J139/K139,0)</f>
        <v>0.6237851995374377</v>
      </c>
      <c r="M139" s="4">
        <f>INDEX(Monthly!$AE:$AE,MATCH($A139,Monthly!$A:$A,0))</f>
        <v>10.371666666666668</v>
      </c>
      <c r="N139" s="4">
        <f>INDEX(F$31:F$42,2)</f>
        <v>15.570000000000002</v>
      </c>
      <c r="O139" s="29">
        <f>IF(N139&gt;0,M139/N139,0)</f>
        <v>0.6661314493684436</v>
      </c>
    </row>
    <row r="140">
      <c r="A140" s="2" t="inlineStr">
        <is>
          <t xml:space="preserve">2013-03</t>
        </is>
      </c>
      <c r="B140" s="2" t="inlineStr">
        <is>
          <t xml:space="preserve">2012/13</t>
        </is>
      </c>
      <c r="C140" s="21" t="inlineStr">
        <is>
          <t xml:space="preserve">Neutral</t>
        </is>
      </c>
      <c r="D140" s="4">
        <f>INDEX(Monthly!$P:$P,MATCH($A140,Monthly!$A:$A,0))</f>
        <v>23.84</v>
      </c>
      <c r="E140" s="4">
        <f>INDEX(C$31:C$42,3)</f>
        <v>8.098142857142857</v>
      </c>
      <c r="F140" s="31">
        <f>IF(E140&gt;0,D140/E140,0)</f>
        <v>2.943884841321643</v>
      </c>
      <c r="G140" s="4">
        <f>INDEX(Monthly!$U:$U,MATCH($A140,Monthly!$A:$A,0))</f>
        <v>17.567</v>
      </c>
      <c r="H140" s="4">
        <f>INDEX(D$31:D$42,3)</f>
        <v>13.050214285714285</v>
      </c>
      <c r="I140" s="29">
        <f>IF(H140&gt;0,G140/H140,0)</f>
        <v>1.346108164616892</v>
      </c>
      <c r="J140" s="4">
        <f>INDEX(Monthly!$Z:$Z,MATCH($A140,Monthly!$A:$A,0))</f>
        <v>43.138</v>
      </c>
      <c r="K140" s="4">
        <f>INDEX(E$31:E$42,3)</f>
        <v>22.94821428571429</v>
      </c>
      <c r="L140" s="31">
        <f>IF(K140&gt;0,J140/K140,0)</f>
        <v>1.8797976811143098</v>
      </c>
      <c r="M140" s="4">
        <f>INDEX(Monthly!$AE:$AE,MATCH($A140,Monthly!$A:$A,0))</f>
        <v>28.18166666666666</v>
      </c>
      <c r="N140" s="4">
        <f>INDEX(F$31:F$42,3)</f>
        <v>14.69885714285714</v>
      </c>
      <c r="O140" s="31">
        <f>IF(N140&gt;0,M140/N140,0)</f>
        <v>1.9172692402389562</v>
      </c>
    </row>
    <row r="141">
      <c r="A141" s="2" t="inlineStr">
        <is>
          <t xml:space="preserve">2013-04</t>
        </is>
      </c>
      <c r="B141" s="2" t="inlineStr">
        <is>
          <t xml:space="preserve">2012/13</t>
        </is>
      </c>
      <c r="C141" s="21" t="inlineStr">
        <is>
          <t xml:space="preserve">Neutral</t>
        </is>
      </c>
      <c r="D141" s="4">
        <f>INDEX(Monthly!$P:$P,MATCH($A141,Monthly!$A:$A,0))</f>
        <v>23.036</v>
      </c>
      <c r="E141" s="4">
        <f>INDEX(C$31:C$42,4)</f>
        <v>48.56264285714286</v>
      </c>
      <c r="F141" s="32">
        <f>IF(E141&gt;0,D141/E141,0)</f>
        <v>0.4743563909354192</v>
      </c>
      <c r="G141" s="4">
        <f>INDEX(Monthly!$U:$U,MATCH($A141,Monthly!$A:$A,0))</f>
        <v>30.929</v>
      </c>
      <c r="H141" s="4">
        <f>INDEX(D$31:D$42,4)</f>
        <v>40.45578571428571</v>
      </c>
      <c r="I141" s="29">
        <f>IF(H141&gt;0,G141/H141,0)</f>
        <v>0.7645136401115151</v>
      </c>
      <c r="J141" s="4">
        <f>INDEX(Monthly!$Z:$Z,MATCH($A141,Monthly!$A:$A,0))</f>
        <v>13.709</v>
      </c>
      <c r="K141" s="4">
        <f>INDEX(E$31:E$42,4)</f>
        <v>48.85292857142857</v>
      </c>
      <c r="L141" s="32">
        <f>IF(K141&gt;0,J141/K141,0)</f>
        <v>0.280617772585647</v>
      </c>
      <c r="M141" s="4">
        <f>INDEX(Monthly!$AE:$AE,MATCH($A141,Monthly!$A:$A,0))</f>
        <v>22.558000000000003</v>
      </c>
      <c r="N141" s="4">
        <f>INDEX(F$31:F$42,4)</f>
        <v>45.95711904761904</v>
      </c>
      <c r="O141" s="32">
        <f>IF(N141&gt;0,M141/N141,0)</f>
        <v>0.4908488710231434</v>
      </c>
    </row>
    <row r="142">
      <c r="A142" s="2" t="inlineStr">
        <is>
          <t xml:space="preserve">2013-05</t>
        </is>
      </c>
      <c r="B142" s="2" t="inlineStr">
        <is>
          <t xml:space="preserve">2012/13</t>
        </is>
      </c>
      <c r="C142" s="21" t="inlineStr">
        <is>
          <t xml:space="preserve">Neutral</t>
        </is>
      </c>
      <c r="D142" s="4">
        <f>INDEX(Monthly!$P:$P,MATCH($A142,Monthly!$A:$A,0))</f>
        <v>215.504</v>
      </c>
      <c r="E142" s="4">
        <f>INDEX(C$31:C$42,5)</f>
        <v>157.25921428571428</v>
      </c>
      <c r="F142" s="29">
        <f>IF(E142&gt;0,D142/E142,0)</f>
        <v>1.3703743909623283</v>
      </c>
      <c r="G142" s="4">
        <f>INDEX(Monthly!$U:$U,MATCH($A142,Monthly!$A:$A,0))</f>
        <v>144.241</v>
      </c>
      <c r="H142" s="4">
        <f>INDEX(D$31:D$42,5)</f>
        <v>153.39671428571432</v>
      </c>
      <c r="I142" s="29">
        <f>IF(H142&gt;0,G142/H142,0)</f>
        <v>0.9403134915350206</v>
      </c>
      <c r="J142" s="4">
        <f>INDEX(Monthly!$Z:$Z,MATCH($A142,Monthly!$A:$A,0))</f>
        <v>142.103</v>
      </c>
      <c r="K142" s="4">
        <f>INDEX(E$31:E$42,5)</f>
        <v>157.15200000000002</v>
      </c>
      <c r="L142" s="29">
        <f>IF(K142&gt;0,J142/K142,0)</f>
        <v>0.9042392079006312</v>
      </c>
      <c r="M142" s="4">
        <f>INDEX(Monthly!$AE:$AE,MATCH($A142,Monthly!$A:$A,0))</f>
        <v>167.28266666666667</v>
      </c>
      <c r="N142" s="4">
        <f>INDEX(F$31:F$42,5)</f>
        <v>155.9359761904762</v>
      </c>
      <c r="O142" s="29">
        <f>IF(N142&gt;0,M142/N142,0)</f>
        <v>1.072765058797788</v>
      </c>
    </row>
    <row r="143">
      <c r="A143" s="2" t="inlineStr">
        <is>
          <t xml:space="preserve">2013-06</t>
        </is>
      </c>
      <c r="B143" s="2" t="inlineStr">
        <is>
          <t xml:space="preserve">2012/13</t>
        </is>
      </c>
      <c r="C143" s="21" t="inlineStr">
        <is>
          <t xml:space="preserve">Neutral</t>
        </is>
      </c>
      <c r="D143" s="4">
        <f>INDEX(Monthly!$P:$P,MATCH($A143,Monthly!$A:$A,0))</f>
        <v>128.901</v>
      </c>
      <c r="E143" s="4">
        <f>INDEX(C$31:C$42,6)</f>
        <v>197.10614285714286</v>
      </c>
      <c r="F143" s="29">
        <f>IF(E143&gt;0,D143/E143,0)</f>
        <v>0.6539674417627052</v>
      </c>
      <c r="G143" s="4">
        <f>INDEX(Monthly!$U:$U,MATCH($A143,Monthly!$A:$A,0))</f>
        <v>184.244</v>
      </c>
      <c r="H143" s="4">
        <f>INDEX(D$31:D$42,6)</f>
        <v>192.85257142857145</v>
      </c>
      <c r="I143" s="29">
        <f>IF(H143&gt;0,G143/H143,0)</f>
        <v>0.9553619048747821</v>
      </c>
      <c r="J143" s="4">
        <f>INDEX(Monthly!$Z:$Z,MATCH($A143,Monthly!$A:$A,0))</f>
        <v>104.458</v>
      </c>
      <c r="K143" s="4">
        <f>INDEX(E$31:E$42,6)</f>
        <v>244.03071428571425</v>
      </c>
      <c r="L143" s="32">
        <f>IF(K143&gt;0,J143/K143,0)</f>
        <v>0.4280526748682104</v>
      </c>
      <c r="M143" s="4">
        <f>INDEX(Monthly!$AE:$AE,MATCH($A143,Monthly!$A:$A,0))</f>
        <v>139.201</v>
      </c>
      <c r="N143" s="4">
        <f>INDEX(F$31:F$42,6)</f>
        <v>211.32980952380953</v>
      </c>
      <c r="O143" s="29">
        <f>IF(N143&gt;0,M143/N143,0)</f>
        <v>0.6586907938528042</v>
      </c>
    </row>
    <row r="144">
      <c r="A144" s="2" t="inlineStr">
        <is>
          <t xml:space="preserve">2013-07</t>
        </is>
      </c>
      <c r="B144" s="2" t="inlineStr">
        <is>
          <t xml:space="preserve">2013/14</t>
        </is>
      </c>
      <c r="C144" s="21" t="inlineStr">
        <is>
          <t xml:space="preserve">Neutral</t>
        </is>
      </c>
      <c r="D144" s="4">
        <f>INDEX(Monthly!$P:$P,MATCH($A144,Monthly!$A:$A,0))</f>
        <v>81.626</v>
      </c>
      <c r="E144" s="4">
        <f>INDEX(C$31:C$42,7)</f>
        <v>137.10459999999998</v>
      </c>
      <c r="F144" s="29">
        <f>IF(E144&gt;0,D144/E144,0)</f>
        <v>0.5953556627567567</v>
      </c>
      <c r="G144" s="4">
        <f>INDEX(Monthly!$U:$U,MATCH($A144,Monthly!$A:$A,0))</f>
        <v>181.49</v>
      </c>
      <c r="H144" s="4">
        <f>INDEX(D$31:D$42,7)</f>
        <v>187.2258</v>
      </c>
      <c r="I144" s="29">
        <f>IF(H144&gt;0,G144/H144,0)</f>
        <v>0.9693642649677556</v>
      </c>
      <c r="J144" s="4">
        <f>INDEX(Monthly!$Z:$Z,MATCH($A144,Monthly!$A:$A,0))</f>
        <v>215.164</v>
      </c>
      <c r="K144" s="4">
        <f>INDEX(E$31:E$42,7)</f>
        <v>179.02346666666668</v>
      </c>
      <c r="L144" s="29">
        <f>IF(K144&gt;0,J144/K144,0)</f>
        <v>1.2018759551820393</v>
      </c>
      <c r="M144" s="4">
        <f>INDEX(Monthly!$AE:$AE,MATCH($A144,Monthly!$A:$A,0))</f>
        <v>159.42666666666665</v>
      </c>
      <c r="N144" s="4">
        <f>INDEX(F$31:F$42,7)</f>
        <v>167.78462222222225</v>
      </c>
      <c r="O144" s="29">
        <f>IF(N144&gt;0,M144/N144,0)</f>
        <v>0.9501864029917717</v>
      </c>
    </row>
    <row r="145">
      <c r="A145" s="2" t="inlineStr">
        <is>
          <t xml:space="preserve">2013-08</t>
        </is>
      </c>
      <c r="B145" s="2" t="inlineStr">
        <is>
          <t xml:space="preserve">2013/14</t>
        </is>
      </c>
      <c r="C145" s="21" t="inlineStr">
        <is>
          <t xml:space="preserve">Neutral</t>
        </is>
      </c>
      <c r="D145" s="4">
        <f>INDEX(Monthly!$P:$P,MATCH($A145,Monthly!$A:$A,0))</f>
        <v>173.755</v>
      </c>
      <c r="E145" s="4">
        <f>INDEX(C$31:C$42,8)</f>
        <v>168.58193333333332</v>
      </c>
      <c r="F145" s="29">
        <f>IF(E145&gt;0,D145/E145,0)</f>
        <v>1.0306857713895003</v>
      </c>
      <c r="G145" s="4">
        <f>INDEX(Monthly!$U:$U,MATCH($A145,Monthly!$A:$A,0))</f>
        <v>197.388</v>
      </c>
      <c r="H145" s="4">
        <f>INDEX(D$31:D$42,8)</f>
        <v>228.6517333333334</v>
      </c>
      <c r="I145" s="29">
        <f>IF(H145&gt;0,G145/H145,0)</f>
        <v>0.86326920475273</v>
      </c>
      <c r="J145" s="4">
        <f>INDEX(Monthly!$Z:$Z,MATCH($A145,Monthly!$A:$A,0))</f>
        <v>166.868</v>
      </c>
      <c r="K145" s="4">
        <f>INDEX(E$31:E$42,8)</f>
        <v>219.19053333333335</v>
      </c>
      <c r="L145" s="29">
        <f>IF(K145&gt;0,J145/K145,0)</f>
        <v>0.7612920022701709</v>
      </c>
      <c r="M145" s="4">
        <f>INDEX(Monthly!$AE:$AE,MATCH($A145,Monthly!$A:$A,0))</f>
        <v>179.337</v>
      </c>
      <c r="N145" s="4">
        <f>INDEX(F$31:F$42,8)</f>
        <v>205.47473333333338</v>
      </c>
      <c r="O145" s="29">
        <f>IF(N145&gt;0,M145/N145,0)</f>
        <v>0.872793443216538</v>
      </c>
    </row>
    <row r="146">
      <c r="A146" s="2" t="inlineStr">
        <is>
          <t xml:space="preserve">2013-09</t>
        </is>
      </c>
      <c r="B146" s="2" t="inlineStr">
        <is>
          <t xml:space="preserve">2013/14</t>
        </is>
      </c>
      <c r="C146" s="21" t="inlineStr">
        <is>
          <t xml:space="preserve">Neutral</t>
        </is>
      </c>
      <c r="D146" s="4">
        <f>INDEX(Monthly!$P:$P,MATCH($A146,Monthly!$A:$A,0))</f>
        <v>311.456</v>
      </c>
      <c r="E146" s="4">
        <f>INDEX(C$31:C$42,9)</f>
        <v>216.9424666666667</v>
      </c>
      <c r="F146" s="29">
        <f>IF(E146&gt;0,D146/E146,0)</f>
        <v>1.4356617438048858</v>
      </c>
      <c r="G146" s="4">
        <f>INDEX(Monthly!$U:$U,MATCH($A146,Monthly!$A:$A,0))</f>
        <v>106.174</v>
      </c>
      <c r="H146" s="4">
        <f>INDEX(D$31:D$42,9)</f>
        <v>235.93773333333334</v>
      </c>
      <c r="I146" s="32">
        <f>IF(H146&gt;0,G146/H146,0)</f>
        <v>0.4500085615809369</v>
      </c>
      <c r="J146" s="4">
        <f>INDEX(Monthly!$Z:$Z,MATCH($A146,Monthly!$A:$A,0))</f>
        <v>242.385</v>
      </c>
      <c r="K146" s="4">
        <f>INDEX(E$31:E$42,9)</f>
        <v>255.97060000000002</v>
      </c>
      <c r="L146" s="29">
        <f>IF(K146&gt;0,J146/K146,0)</f>
        <v>0.9469251546857334</v>
      </c>
      <c r="M146" s="4">
        <f>INDEX(Monthly!$AE:$AE,MATCH($A146,Monthly!$A:$A,0))</f>
        <v>220.005</v>
      </c>
      <c r="N146" s="4">
        <f>INDEX(F$31:F$42,9)</f>
        <v>236.28360000000004</v>
      </c>
      <c r="O146" s="29">
        <f>IF(N146&gt;0,M146/N146,0)</f>
        <v>0.9311056713203962</v>
      </c>
    </row>
    <row r="147">
      <c r="A147" s="2" t="inlineStr">
        <is>
          <t xml:space="preserve">2013-10</t>
        </is>
      </c>
      <c r="B147" s="2" t="inlineStr">
        <is>
          <t xml:space="preserve">2013/14</t>
        </is>
      </c>
      <c r="C147" s="21" t="inlineStr">
        <is>
          <t xml:space="preserve">Neutral</t>
        </is>
      </c>
      <c r="D147" s="4">
        <f>INDEX(Monthly!$P:$P,MATCH($A147,Monthly!$A:$A,0))</f>
        <v>151.359</v>
      </c>
      <c r="E147" s="4">
        <f>INDEX(C$31:C$42,10)</f>
        <v>157.55200000000002</v>
      </c>
      <c r="F147" s="29">
        <f>IF(E147&gt;0,D147/E147,0)</f>
        <v>0.9606923428455366</v>
      </c>
      <c r="G147" s="4">
        <f>INDEX(Monthly!$U:$U,MATCH($A147,Monthly!$A:$A,0))</f>
        <v>157.347</v>
      </c>
      <c r="H147" s="4">
        <f>INDEX(D$31:D$42,10)</f>
        <v>156.79653333333331</v>
      </c>
      <c r="I147" s="29">
        <f>IF(H147&gt;0,G147/H147,0)</f>
        <v>1.0035107068693698</v>
      </c>
      <c r="J147" s="4">
        <f>INDEX(Monthly!$Z:$Z,MATCH($A147,Monthly!$A:$A,0))</f>
        <v>213.047</v>
      </c>
      <c r="K147" s="4">
        <f>INDEX(E$31:E$42,10)</f>
        <v>182.93833333333333</v>
      </c>
      <c r="L147" s="29">
        <f>IF(K147&gt;0,J147/K147,0)</f>
        <v>1.1645836939588021</v>
      </c>
      <c r="M147" s="4">
        <f>INDEX(Monthly!$AE:$AE,MATCH($A147,Monthly!$A:$A,0))</f>
        <v>173.9176666666667</v>
      </c>
      <c r="N147" s="4">
        <f>INDEX(F$31:F$42,10)</f>
        <v>165.7622888888889</v>
      </c>
      <c r="O147" s="29">
        <f>IF(N147&gt;0,M147/N147,0)</f>
        <v>1.0491992348346757</v>
      </c>
    </row>
    <row r="148">
      <c r="A148" s="2" t="inlineStr">
        <is>
          <t xml:space="preserve">2013-11</t>
        </is>
      </c>
      <c r="B148" s="2" t="inlineStr">
        <is>
          <t xml:space="preserve">2013/14</t>
        </is>
      </c>
      <c r="C148" s="21" t="inlineStr">
        <is>
          <t xml:space="preserve">Neutral</t>
        </is>
      </c>
      <c r="D148" s="4">
        <f>INDEX(Monthly!$P:$P,MATCH($A148,Monthly!$A:$A,0))</f>
        <v>30.635</v>
      </c>
      <c r="E148" s="4">
        <f>INDEX(C$31:C$42,11)</f>
        <v>28.2242</v>
      </c>
      <c r="F148" s="29">
        <f>IF(E148&gt;0,D148/E148,0)</f>
        <v>1.0854160613941228</v>
      </c>
      <c r="G148" s="4">
        <f>INDEX(Monthly!$U:$U,MATCH($A148,Monthly!$A:$A,0))</f>
        <v>39.533</v>
      </c>
      <c r="H148" s="4">
        <f>INDEX(D$31:D$42,11)</f>
        <v>37.004000000000005</v>
      </c>
      <c r="I148" s="29">
        <f>IF(H148&gt;0,G148/H148,0)</f>
        <v>1.0683439628148308</v>
      </c>
      <c r="J148" s="4">
        <f>INDEX(Monthly!$Z:$Z,MATCH($A148,Monthly!$A:$A,0))</f>
        <v>72.308</v>
      </c>
      <c r="K148" s="4">
        <f>INDEX(E$31:E$42,11)</f>
        <v>60.208133333333336</v>
      </c>
      <c r="L148" s="29">
        <f>IF(K148&gt;0,J148/K148,0)</f>
        <v>1.2009673111716912</v>
      </c>
      <c r="M148" s="4">
        <f>INDEX(Monthly!$AE:$AE,MATCH($A148,Monthly!$A:$A,0))</f>
        <v>47.492</v>
      </c>
      <c r="N148" s="4">
        <f>INDEX(F$31:F$42,11)</f>
        <v>41.81211111111111</v>
      </c>
      <c r="O148" s="29">
        <f>IF(N148&gt;0,M148/N148,0)</f>
        <v>1.1358431501771151</v>
      </c>
    </row>
    <row r="149">
      <c r="A149" s="2" t="inlineStr">
        <is>
          <t xml:space="preserve">2013-12</t>
        </is>
      </c>
      <c r="B149" s="2" t="inlineStr">
        <is>
          <t xml:space="preserve">2013/14</t>
        </is>
      </c>
      <c r="C149" s="21" t="inlineStr">
        <is>
          <t xml:space="preserve">Neutral</t>
        </is>
      </c>
      <c r="D149" s="4">
        <f>INDEX(Monthly!$P:$P,MATCH($A149,Monthly!$A:$A,0))</f>
        <v>12.221</v>
      </c>
      <c r="E149" s="4">
        <f>INDEX(C$31:C$42,12)</f>
        <v>13.638533333333335</v>
      </c>
      <c r="F149" s="29">
        <f>IF(E149&gt;0,D149/E149,0)</f>
        <v>0.8960640929132164</v>
      </c>
      <c r="G149" s="4">
        <f>INDEX(Monthly!$U:$U,MATCH($A149,Monthly!$A:$A,0))</f>
        <v>10.82</v>
      </c>
      <c r="H149" s="4">
        <f>INDEX(D$31:D$42,12)</f>
        <v>23.69433333333333</v>
      </c>
      <c r="I149" s="32">
        <f>IF(H149&gt;0,G149/H149,0)</f>
        <v>0.45664926916421655</v>
      </c>
      <c r="J149" s="4">
        <f>INDEX(Monthly!$Z:$Z,MATCH($A149,Monthly!$A:$A,0))</f>
        <v>45.244</v>
      </c>
      <c r="K149" s="4">
        <f>INDEX(E$31:E$42,12)</f>
        <v>52.138</v>
      </c>
      <c r="L149" s="29">
        <f>IF(K149&gt;0,J149/K149,0)</f>
        <v>0.8677739844259466</v>
      </c>
      <c r="M149" s="4">
        <f>INDEX(Monthly!$AE:$AE,MATCH($A149,Monthly!$A:$A,0))</f>
        <v>22.761666666666667</v>
      </c>
      <c r="N149" s="4">
        <f>INDEX(F$31:F$42,12)</f>
        <v>29.823622222222223</v>
      </c>
      <c r="O149" s="29">
        <f>IF(N149&gt;0,M149/N149,0)</f>
        <v>0.7632093277290262</v>
      </c>
    </row>
    <row r="150">
      <c r="A150" s="2" t="inlineStr">
        <is>
          <t xml:space="preserve">2014-01</t>
        </is>
      </c>
      <c r="B150" s="2" t="inlineStr">
        <is>
          <t xml:space="preserve">2013/14</t>
        </is>
      </c>
      <c r="C150" s="21" t="inlineStr">
        <is>
          <t xml:space="preserve">Neutral</t>
        </is>
      </c>
      <c r="D150" s="4">
        <f>INDEX(Monthly!$P:$P,MATCH($A150,Monthly!$A:$A,0))</f>
        <v>13.41</v>
      </c>
      <c r="E150" s="4">
        <f>INDEX(C$31:C$42,1)</f>
        <v>4.832071428571429</v>
      </c>
      <c r="F150" s="31">
        <f>IF(E150&gt;0,D150/E150,0)</f>
        <v>2.7752073201377696</v>
      </c>
      <c r="G150" s="4">
        <f>INDEX(Monthly!$U:$U,MATCH($A150,Monthly!$A:$A,0))</f>
        <v>13.172</v>
      </c>
      <c r="H150" s="4">
        <f>INDEX(D$31:D$42,1)</f>
        <v>14.249071428571428</v>
      </c>
      <c r="I150" s="29">
        <f>IF(H150&gt;0,G150/H150,0)</f>
        <v>0.9244111145087149</v>
      </c>
      <c r="J150" s="4">
        <f>INDEX(Monthly!$Z:$Z,MATCH($A150,Monthly!$A:$A,0))</f>
        <v>54.136</v>
      </c>
      <c r="K150" s="4">
        <f>INDEX(E$31:E$42,1)</f>
        <v>40.161500000000004</v>
      </c>
      <c r="L150" s="29">
        <f>IF(K150&gt;0,J150/K150,0)</f>
        <v>1.3479576211047894</v>
      </c>
      <c r="M150" s="4">
        <f>INDEX(Monthly!$AE:$AE,MATCH($A150,Monthly!$A:$A,0))</f>
        <v>26.906000000000002</v>
      </c>
      <c r="N150" s="4">
        <f>INDEX(F$31:F$42,1)</f>
        <v>19.74754761904762</v>
      </c>
      <c r="O150" s="29">
        <f>IF(N150&gt;0,M150/N150,0)</f>
        <v>1.362498296955499</v>
      </c>
    </row>
    <row r="151">
      <c r="A151" s="2" t="inlineStr">
        <is>
          <t xml:space="preserve">2014-02</t>
        </is>
      </c>
      <c r="B151" s="2" t="inlineStr">
        <is>
          <t xml:space="preserve">2013/14</t>
        </is>
      </c>
      <c r="C151" s="21" t="inlineStr">
        <is>
          <t xml:space="preserve">Neutral</t>
        </is>
      </c>
      <c r="D151" s="4">
        <f>INDEX(Monthly!$P:$P,MATCH($A151,Monthly!$A:$A,0))</f>
        <v>9.612</v>
      </c>
      <c r="E151" s="4">
        <f>INDEX(C$31:C$42,2)</f>
        <v>5.8785</v>
      </c>
      <c r="F151" s="31">
        <f>IF(E151&gt;0,D151/E151,0)</f>
        <v>1.6351109977034959</v>
      </c>
      <c r="G151" s="4">
        <f>INDEX(Monthly!$U:$U,MATCH($A151,Monthly!$A:$A,0))</f>
        <v>4.973</v>
      </c>
      <c r="H151" s="4">
        <f>INDEX(D$31:D$42,2)</f>
        <v>12.850714285714284</v>
      </c>
      <c r="I151" s="32">
        <f>IF(H151&gt;0,G151/H151,0)</f>
        <v>0.3869823800789284</v>
      </c>
      <c r="J151" s="4">
        <f>INDEX(Monthly!$Z:$Z,MATCH($A151,Monthly!$A:$A,0))</f>
        <v>22.302</v>
      </c>
      <c r="K151" s="4">
        <f>INDEX(E$31:E$42,2)</f>
        <v>27.980785714285712</v>
      </c>
      <c r="L151" s="29">
        <f>IF(K151&gt;0,J151/K151,0)</f>
        <v>0.7970469531387611</v>
      </c>
      <c r="M151" s="4">
        <f>INDEX(Monthly!$AE:$AE,MATCH($A151,Monthly!$A:$A,0))</f>
        <v>12.295666666666667</v>
      </c>
      <c r="N151" s="4">
        <f>INDEX(F$31:F$42,2)</f>
        <v>15.570000000000002</v>
      </c>
      <c r="O151" s="29">
        <f>IF(N151&gt;0,M151/N151,0)</f>
        <v>0.7897024191821879</v>
      </c>
    </row>
    <row r="152">
      <c r="A152" s="2" t="inlineStr">
        <is>
          <t xml:space="preserve">2014-03</t>
        </is>
      </c>
      <c r="B152" s="2" t="inlineStr">
        <is>
          <t xml:space="preserve">2013/14</t>
        </is>
      </c>
      <c r="C152" s="21" t="inlineStr">
        <is>
          <t xml:space="preserve">Neutral</t>
        </is>
      </c>
      <c r="D152" s="4">
        <f>INDEX(Monthly!$P:$P,MATCH($A152,Monthly!$A:$A,0))</f>
        <v>3.138</v>
      </c>
      <c r="E152" s="4">
        <f>INDEX(C$31:C$42,3)</f>
        <v>8.098142857142857</v>
      </c>
      <c r="F152" s="32">
        <f>IF(E152&gt;0,D152/E152,0)</f>
        <v>0.38749625134510557</v>
      </c>
      <c r="G152" s="4">
        <f>INDEX(Monthly!$U:$U,MATCH($A152,Monthly!$A:$A,0))</f>
        <v>25.253</v>
      </c>
      <c r="H152" s="4">
        <f>INDEX(D$31:D$42,3)</f>
        <v>13.050214285714285</v>
      </c>
      <c r="I152" s="31">
        <f>IF(H152&gt;0,G152/H152,0)</f>
        <v>1.9350640109905148</v>
      </c>
      <c r="J152" s="4">
        <f>INDEX(Monthly!$Z:$Z,MATCH($A152,Monthly!$A:$A,0))</f>
        <v>65.599</v>
      </c>
      <c r="K152" s="4">
        <f>INDEX(E$31:E$42,3)</f>
        <v>22.94821428571429</v>
      </c>
      <c r="L152" s="31">
        <f>IF(K152&gt;0,J152/K152,0)</f>
        <v>2.8585666485098433</v>
      </c>
      <c r="M152" s="4">
        <f>INDEX(Monthly!$AE:$AE,MATCH($A152,Monthly!$A:$A,0))</f>
        <v>31.330000000000002</v>
      </c>
      <c r="N152" s="4">
        <f>INDEX(F$31:F$42,3)</f>
        <v>14.69885714285714</v>
      </c>
      <c r="O152" s="31">
        <f>IF(N152&gt;0,M152/N152,0)</f>
        <v>2.131458228044941</v>
      </c>
    </row>
    <row r="153">
      <c r="A153" s="2" t="inlineStr">
        <is>
          <t xml:space="preserve">2014-04</t>
        </is>
      </c>
      <c r="B153" s="2" t="inlineStr">
        <is>
          <t xml:space="preserve">2013/14</t>
        </is>
      </c>
      <c r="C153" s="21" t="inlineStr">
        <is>
          <t xml:space="preserve">Neutral</t>
        </is>
      </c>
      <c r="D153" s="4">
        <f>INDEX(Monthly!$P:$P,MATCH($A153,Monthly!$A:$A,0))</f>
        <v>5.382</v>
      </c>
      <c r="E153" s="4">
        <f>INDEX(C$31:C$42,4)</f>
        <v>48.56264285714286</v>
      </c>
      <c r="F153" s="32">
        <f>IF(E153&gt;0,D153/E153,0)</f>
        <v>0.11082592880771079</v>
      </c>
      <c r="G153" s="4">
        <f>INDEX(Monthly!$U:$U,MATCH($A153,Monthly!$A:$A,0))</f>
        <v>6.163</v>
      </c>
      <c r="H153" s="4">
        <f>INDEX(D$31:D$42,4)</f>
        <v>40.45578571428571</v>
      </c>
      <c r="I153" s="32">
        <f>IF(H153&gt;0,G153/H153,0)</f>
        <v>0.15233914979492605</v>
      </c>
      <c r="J153" s="4">
        <f>INDEX(Monthly!$Z:$Z,MATCH($A153,Monthly!$A:$A,0))</f>
        <v>14.354</v>
      </c>
      <c r="K153" s="4">
        <f>INDEX(E$31:E$42,4)</f>
        <v>48.85292857142857</v>
      </c>
      <c r="L153" s="32">
        <f>IF(K153&gt;0,J153/K153,0)</f>
        <v>0.2938206658176655</v>
      </c>
      <c r="M153" s="4">
        <f>INDEX(Monthly!$AE:$AE,MATCH($A153,Monthly!$A:$A,0))</f>
        <v>8.633000000000001</v>
      </c>
      <c r="N153" s="4">
        <f>INDEX(F$31:F$42,4)</f>
        <v>45.95711904761904</v>
      </c>
      <c r="O153" s="32">
        <f>IF(N153&gt;0,M153/N153,0)</f>
        <v>0.18784902489328825</v>
      </c>
    </row>
    <row r="154">
      <c r="A154" s="2" t="inlineStr">
        <is>
          <t xml:space="preserve">2014-05</t>
        </is>
      </c>
      <c r="B154" s="2" t="inlineStr">
        <is>
          <t xml:space="preserve">2013/14</t>
        </is>
      </c>
      <c r="C154" s="21" t="inlineStr">
        <is>
          <t xml:space="preserve">Neutral</t>
        </is>
      </c>
      <c r="D154" s="4">
        <f>INDEX(Monthly!$P:$P,MATCH($A154,Monthly!$A:$A,0))</f>
        <v>92.647</v>
      </c>
      <c r="E154" s="4">
        <f>INDEX(C$31:C$42,5)</f>
        <v>157.25921428571428</v>
      </c>
      <c r="F154" s="29">
        <f>IF(E154&gt;0,D154/E154,0)</f>
        <v>0.589135590056272</v>
      </c>
      <c r="G154" s="4">
        <f>INDEX(Monthly!$U:$U,MATCH($A154,Monthly!$A:$A,0))</f>
        <v>142.951</v>
      </c>
      <c r="H154" s="4">
        <f>INDEX(D$31:D$42,5)</f>
        <v>153.39671428571432</v>
      </c>
      <c r="I154" s="29">
        <f>IF(H154&gt;0,G154/H154,0)</f>
        <v>0.9319039241853753</v>
      </c>
      <c r="J154" s="4">
        <f>INDEX(Monthly!$Z:$Z,MATCH($A154,Monthly!$A:$A,0))</f>
        <v>142.846</v>
      </c>
      <c r="K154" s="4">
        <f>INDEX(E$31:E$42,5)</f>
        <v>157.15200000000002</v>
      </c>
      <c r="L154" s="29">
        <f>IF(K154&gt;0,J154/K154,0)</f>
        <v>0.9089671146406026</v>
      </c>
      <c r="M154" s="4">
        <f>INDEX(Monthly!$AE:$AE,MATCH($A154,Monthly!$A:$A,0))</f>
        <v>126.14800000000001</v>
      </c>
      <c r="N154" s="4">
        <f>INDEX(F$31:F$42,5)</f>
        <v>155.9359761904762</v>
      </c>
      <c r="O154" s="29">
        <f>IF(N154&gt;0,M154/N154,0)</f>
        <v>0.8089730354841906</v>
      </c>
    </row>
    <row r="155">
      <c r="A155" s="2" t="inlineStr">
        <is>
          <t xml:space="preserve">2014-06</t>
        </is>
      </c>
      <c r="B155" s="2" t="inlineStr">
        <is>
          <t xml:space="preserve">2013/14</t>
        </is>
      </c>
      <c r="C155" s="21" t="inlineStr">
        <is>
          <t xml:space="preserve">Neutral</t>
        </is>
      </c>
      <c r="D155" s="4">
        <f>INDEX(Monthly!$P:$P,MATCH($A155,Monthly!$A:$A,0))</f>
        <v>128.357</v>
      </c>
      <c r="E155" s="4">
        <f>INDEX(C$31:C$42,6)</f>
        <v>197.10614285714286</v>
      </c>
      <c r="F155" s="29">
        <f>IF(E155&gt;0,D155/E155,0)</f>
        <v>0.6512075074850896</v>
      </c>
      <c r="G155" s="4">
        <f>INDEX(Monthly!$U:$U,MATCH($A155,Monthly!$A:$A,0))</f>
        <v>242.509</v>
      </c>
      <c r="H155" s="4">
        <f>INDEX(D$31:D$42,6)</f>
        <v>192.85257142857145</v>
      </c>
      <c r="I155" s="29">
        <f>IF(H155&gt;0,G155/H155,0)</f>
        <v>1.2574838810994036</v>
      </c>
      <c r="J155" s="4">
        <f>INDEX(Monthly!$Z:$Z,MATCH($A155,Monthly!$A:$A,0))</f>
        <v>203.678</v>
      </c>
      <c r="K155" s="4">
        <f>INDEX(E$31:E$42,6)</f>
        <v>244.03071428571425</v>
      </c>
      <c r="L155" s="29">
        <f>IF(K155&gt;0,J155/K155,0)</f>
        <v>0.8346408385361328</v>
      </c>
      <c r="M155" s="4">
        <f>INDEX(Monthly!$AE:$AE,MATCH($A155,Monthly!$A:$A,0))</f>
        <v>191.51466666666667</v>
      </c>
      <c r="N155" s="4">
        <f>INDEX(F$31:F$42,6)</f>
        <v>211.32980952380953</v>
      </c>
      <c r="O155" s="29">
        <f>IF(N155&gt;0,M155/N155,0)</f>
        <v>0.9062359309280957</v>
      </c>
    </row>
    <row r="156">
      <c r="A156" s="2" t="inlineStr">
        <is>
          <t xml:space="preserve">2014-07</t>
        </is>
      </c>
      <c r="B156" s="2" t="inlineStr">
        <is>
          <t xml:space="preserve">2014/15</t>
        </is>
      </c>
      <c r="C156" s="6" t="inlineStr">
        <is>
          <t xml:space="preserve">El Niño</t>
        </is>
      </c>
      <c r="D156" s="4">
        <f>INDEX(Monthly!$P:$P,MATCH($A156,Monthly!$A:$A,0))</f>
        <v>29.379</v>
      </c>
      <c r="E156" s="4">
        <f>INDEX(C$31:C$42,7)</f>
        <v>137.10459999999998</v>
      </c>
      <c r="F156" s="32">
        <f>IF(E156&gt;0,D156/E156,0)</f>
        <v>0.21428165065212987</v>
      </c>
      <c r="G156" s="4">
        <f>INDEX(Monthly!$U:$U,MATCH($A156,Monthly!$A:$A,0))</f>
        <v>76.476</v>
      </c>
      <c r="H156" s="4">
        <f>INDEX(D$31:D$42,7)</f>
        <v>187.2258</v>
      </c>
      <c r="I156" s="32">
        <f>IF(H156&gt;0,G156/H156,0)</f>
        <v>0.408469345570963</v>
      </c>
      <c r="J156" s="4">
        <f>INDEX(Monthly!$Z:$Z,MATCH($A156,Monthly!$A:$A,0))</f>
        <v>65.469</v>
      </c>
      <c r="K156" s="4">
        <f>INDEX(E$31:E$42,7)</f>
        <v>179.02346666666668</v>
      </c>
      <c r="L156" s="32">
        <f>IF(K156&gt;0,J156/K156,0)</f>
        <v>0.3657006604720721</v>
      </c>
      <c r="M156" s="4">
        <f>INDEX(Monthly!$AE:$AE,MATCH($A156,Monthly!$A:$A,0))</f>
        <v>57.108000000000004</v>
      </c>
      <c r="N156" s="4">
        <f>INDEX(F$31:F$42,7)</f>
        <v>167.78462222222225</v>
      </c>
      <c r="O156" s="32">
        <f>IF(N156&gt;0,M156/N156,0)</f>
        <v>0.34036492286142495</v>
      </c>
    </row>
    <row r="157">
      <c r="A157" s="2" t="inlineStr">
        <is>
          <t xml:space="preserve">2014-08</t>
        </is>
      </c>
      <c r="B157" s="2" t="inlineStr">
        <is>
          <t xml:space="preserve">2014/15</t>
        </is>
      </c>
      <c r="C157" s="6" t="inlineStr">
        <is>
          <t xml:space="preserve">El Niño</t>
        </is>
      </c>
      <c r="D157" s="4">
        <f>INDEX(Monthly!$P:$P,MATCH($A157,Monthly!$A:$A,0))</f>
        <v>164.523</v>
      </c>
      <c r="E157" s="4">
        <f>INDEX(C$31:C$42,8)</f>
        <v>168.58193333333332</v>
      </c>
      <c r="F157" s="29">
        <f>IF(E157&gt;0,D157/E157,0)</f>
        <v>0.9759230823073568</v>
      </c>
      <c r="G157" s="4">
        <f>INDEX(Monthly!$U:$U,MATCH($A157,Monthly!$A:$A,0))</f>
        <v>208.168</v>
      </c>
      <c r="H157" s="4">
        <f>INDEX(D$31:D$42,8)</f>
        <v>228.6517333333334</v>
      </c>
      <c r="I157" s="29">
        <f>IF(H157&gt;0,G157/H157,0)</f>
        <v>0.9104151408138605</v>
      </c>
      <c r="J157" s="4">
        <f>INDEX(Monthly!$Z:$Z,MATCH($A157,Monthly!$A:$A,0))</f>
        <v>284.291</v>
      </c>
      <c r="K157" s="4">
        <f>INDEX(E$31:E$42,8)</f>
        <v>219.19053333333335</v>
      </c>
      <c r="L157" s="29">
        <f>IF(K157&gt;0,J157/K157,0)</f>
        <v>1.2970040068640434</v>
      </c>
      <c r="M157" s="4">
        <f>INDEX(Monthly!$AE:$AE,MATCH($A157,Monthly!$A:$A,0))</f>
        <v>218.994</v>
      </c>
      <c r="N157" s="4">
        <f>INDEX(F$31:F$42,8)</f>
        <v>205.47473333333338</v>
      </c>
      <c r="O157" s="29">
        <f>IF(N157&gt;0,M157/N157,0)</f>
        <v>1.0657952753963909</v>
      </c>
    </row>
    <row r="158">
      <c r="A158" s="2" t="inlineStr">
        <is>
          <t xml:space="preserve">2014-09</t>
        </is>
      </c>
      <c r="B158" s="2" t="inlineStr">
        <is>
          <t xml:space="preserve">2014/15</t>
        </is>
      </c>
      <c r="C158" s="6" t="inlineStr">
        <is>
          <t xml:space="preserve">El Niño</t>
        </is>
      </c>
      <c r="D158" s="4">
        <f>INDEX(Monthly!$P:$P,MATCH($A158,Monthly!$A:$A,0))</f>
        <v>210.235</v>
      </c>
      <c r="E158" s="4">
        <f>INDEX(C$31:C$42,9)</f>
        <v>216.9424666666667</v>
      </c>
      <c r="F158" s="29">
        <f>IF(E158&gt;0,D158/E158,0)</f>
        <v>0.9690818180058184</v>
      </c>
      <c r="G158" s="4">
        <f>INDEX(Monthly!$U:$U,MATCH($A158,Monthly!$A:$A,0))</f>
        <v>262.123</v>
      </c>
      <c r="H158" s="4">
        <f>INDEX(D$31:D$42,9)</f>
        <v>235.93773333333334</v>
      </c>
      <c r="I158" s="29">
        <f>IF(H158&gt;0,G158/H158,0)</f>
        <v>1.110983801940964</v>
      </c>
      <c r="J158" s="4">
        <f>INDEX(Monthly!$Z:$Z,MATCH($A158,Monthly!$A:$A,0))</f>
        <v>297.636</v>
      </c>
      <c r="K158" s="4">
        <f>INDEX(E$31:E$42,9)</f>
        <v>255.97060000000002</v>
      </c>
      <c r="L158" s="29">
        <f>IF(K158&gt;0,J158/K158,0)</f>
        <v>1.1627741623452068</v>
      </c>
      <c r="M158" s="4">
        <f>INDEX(Monthly!$AE:$AE,MATCH($A158,Monthly!$A:$A,0))</f>
        <v>256.6646666666667</v>
      </c>
      <c r="N158" s="4">
        <f>INDEX(F$31:F$42,9)</f>
        <v>236.28360000000004</v>
      </c>
      <c r="O158" s="29">
        <f>IF(N158&gt;0,M158/N158,0)</f>
        <v>1.086256797622292</v>
      </c>
    </row>
    <row r="159">
      <c r="A159" s="2" t="inlineStr">
        <is>
          <t xml:space="preserve">2014-10</t>
        </is>
      </c>
      <c r="B159" s="2" t="inlineStr">
        <is>
          <t xml:space="preserve">2014/15</t>
        </is>
      </c>
      <c r="C159" s="6" t="inlineStr">
        <is>
          <t xml:space="preserve">El Niño</t>
        </is>
      </c>
      <c r="D159" s="4">
        <f>INDEX(Monthly!$P:$P,MATCH($A159,Monthly!$A:$A,0))</f>
        <v>153.326</v>
      </c>
      <c r="E159" s="4">
        <f>INDEX(C$31:C$42,10)</f>
        <v>157.55200000000002</v>
      </c>
      <c r="F159" s="29">
        <f>IF(E159&gt;0,D159/E159,0)</f>
        <v>0.9731771097796281</v>
      </c>
      <c r="G159" s="4">
        <f>INDEX(Monthly!$U:$U,MATCH($A159,Monthly!$A:$A,0))</f>
        <v>249.157</v>
      </c>
      <c r="H159" s="4">
        <f>INDEX(D$31:D$42,10)</f>
        <v>156.79653333333331</v>
      </c>
      <c r="I159" s="31">
        <f>IF(H159&gt;0,G159/H159,0)</f>
        <v>1.589046611574746</v>
      </c>
      <c r="J159" s="4">
        <f>INDEX(Monthly!$Z:$Z,MATCH($A159,Monthly!$A:$A,0))</f>
        <v>272.222</v>
      </c>
      <c r="K159" s="4">
        <f>INDEX(E$31:E$42,10)</f>
        <v>182.93833333333333</v>
      </c>
      <c r="L159" s="29">
        <f>IF(K159&gt;0,J159/K159,0)</f>
        <v>1.4880533513114618</v>
      </c>
      <c r="M159" s="4">
        <f>INDEX(Monthly!$AE:$AE,MATCH($A159,Monthly!$A:$A,0))</f>
        <v>224.90166666666664</v>
      </c>
      <c r="N159" s="4">
        <f>INDEX(F$31:F$42,10)</f>
        <v>165.7622888888889</v>
      </c>
      <c r="O159" s="29">
        <f>IF(N159&gt;0,M159/N159,0)</f>
        <v>1.3567722078054745</v>
      </c>
    </row>
    <row r="160">
      <c r="A160" s="2" t="inlineStr">
        <is>
          <t xml:space="preserve">2014-11</t>
        </is>
      </c>
      <c r="B160" s="2" t="inlineStr">
        <is>
          <t xml:space="preserve">2014/15</t>
        </is>
      </c>
      <c r="C160" s="6" t="inlineStr">
        <is>
          <t xml:space="preserve">El Niño</t>
        </is>
      </c>
      <c r="D160" s="4">
        <f>INDEX(Monthly!$P:$P,MATCH($A160,Monthly!$A:$A,0))</f>
        <v>33.889</v>
      </c>
      <c r="E160" s="4">
        <f>INDEX(C$31:C$42,11)</f>
        <v>28.2242</v>
      </c>
      <c r="F160" s="29">
        <f>IF(E160&gt;0,D160/E160,0)</f>
        <v>1.2007071945351862</v>
      </c>
      <c r="G160" s="4">
        <f>INDEX(Monthly!$U:$U,MATCH($A160,Monthly!$A:$A,0))</f>
        <v>29.378</v>
      </c>
      <c r="H160" s="4">
        <f>INDEX(D$31:D$42,11)</f>
        <v>37.004000000000005</v>
      </c>
      <c r="I160" s="29">
        <f>IF(H160&gt;0,G160/H160,0)</f>
        <v>0.7939141714409252</v>
      </c>
      <c r="J160" s="4">
        <f>INDEX(Monthly!$Z:$Z,MATCH($A160,Monthly!$A:$A,0))</f>
        <v>113.902</v>
      </c>
      <c r="K160" s="4">
        <f>INDEX(E$31:E$42,11)</f>
        <v>60.208133333333336</v>
      </c>
      <c r="L160" s="31">
        <f>IF(K160&gt;0,J160/K160,0)</f>
        <v>1.8918042080693416</v>
      </c>
      <c r="M160" s="4">
        <f>INDEX(Monthly!$AE:$AE,MATCH($A160,Monthly!$A:$A,0))</f>
        <v>59.056333333333335</v>
      </c>
      <c r="N160" s="4">
        <f>INDEX(F$31:F$42,11)</f>
        <v>41.81211111111111</v>
      </c>
      <c r="O160" s="29">
        <f>IF(N160&gt;0,M160/N160,0)</f>
        <v>1.4124217066293925</v>
      </c>
    </row>
    <row r="161">
      <c r="A161" s="2" t="inlineStr">
        <is>
          <t xml:space="preserve">2014-12</t>
        </is>
      </c>
      <c r="B161" s="2" t="inlineStr">
        <is>
          <t xml:space="preserve">2014/15</t>
        </is>
      </c>
      <c r="C161" s="6" t="inlineStr">
        <is>
          <t xml:space="preserve">El Niño</t>
        </is>
      </c>
      <c r="D161" s="4">
        <f>INDEX(Monthly!$P:$P,MATCH($A161,Monthly!$A:$A,0))</f>
        <v>2.653</v>
      </c>
      <c r="E161" s="4">
        <f>INDEX(C$31:C$42,12)</f>
        <v>13.638533333333335</v>
      </c>
      <c r="F161" s="32">
        <f>IF(E161&gt;0,D161/E161,0)</f>
        <v>0.19452238266089217</v>
      </c>
      <c r="G161" s="4">
        <f>INDEX(Monthly!$U:$U,MATCH($A161,Monthly!$A:$A,0))</f>
        <v>25.082</v>
      </c>
      <c r="H161" s="4">
        <f>INDEX(D$31:D$42,12)</f>
        <v>23.69433333333333</v>
      </c>
      <c r="I161" s="29">
        <f>IF(H161&gt;0,G161/H161,0)</f>
        <v>1.0585653391106173</v>
      </c>
      <c r="J161" s="4">
        <f>INDEX(Monthly!$Z:$Z,MATCH($A161,Monthly!$A:$A,0))</f>
        <v>91.953</v>
      </c>
      <c r="K161" s="4">
        <f>INDEX(E$31:E$42,12)</f>
        <v>52.138</v>
      </c>
      <c r="L161" s="31">
        <f>IF(K161&gt;0,J161/K161,0)</f>
        <v>1.7636464766580997</v>
      </c>
      <c r="M161" s="4">
        <f>INDEX(Monthly!$AE:$AE,MATCH($A161,Monthly!$A:$A,0))</f>
        <v>39.896</v>
      </c>
      <c r="N161" s="4">
        <f>INDEX(F$31:F$42,12)</f>
        <v>29.823622222222223</v>
      </c>
      <c r="O161" s="29">
        <f>IF(N161&gt;0,M161/N161,0)</f>
        <v>1.3377315371931124</v>
      </c>
    </row>
    <row r="162">
      <c r="A162" s="2" t="inlineStr">
        <is>
          <t xml:space="preserve">2015-01</t>
        </is>
      </c>
      <c r="B162" s="2" t="inlineStr">
        <is>
          <t xml:space="preserve">2014/15</t>
        </is>
      </c>
      <c r="C162" s="6" t="inlineStr">
        <is>
          <t xml:space="preserve">El Niño</t>
        </is>
      </c>
      <c r="D162" s="4">
        <f>INDEX(Monthly!$P:$P,MATCH($A162,Monthly!$A:$A,0))</f>
        <v>5.953</v>
      </c>
      <c r="E162" s="4">
        <f>INDEX(C$31:C$42,1)</f>
        <v>4.832071428571429</v>
      </c>
      <c r="F162" s="29">
        <f>IF(E162&gt;0,D162/E162,0)</f>
        <v>1.2319768215346862</v>
      </c>
      <c r="G162" s="4">
        <f>INDEX(Monthly!$U:$U,MATCH($A162,Monthly!$A:$A,0))</f>
        <v>7.495</v>
      </c>
      <c r="H162" s="4">
        <f>INDEX(D$31:D$42,1)</f>
        <v>14.249071428571428</v>
      </c>
      <c r="I162" s="29">
        <f>IF(H162&gt;0,G162/H162,0)</f>
        <v>0.5259991879170072</v>
      </c>
      <c r="J162" s="4">
        <f>INDEX(Monthly!$Z:$Z,MATCH($A162,Monthly!$A:$A,0))</f>
        <v>37.503</v>
      </c>
      <c r="K162" s="4">
        <f>INDEX(E$31:E$42,1)</f>
        <v>40.161500000000004</v>
      </c>
      <c r="L162" s="29">
        <f>IF(K162&gt;0,J162/K162,0)</f>
        <v>0.9338047632683041</v>
      </c>
      <c r="M162" s="4">
        <f>INDEX(Monthly!$AE:$AE,MATCH($A162,Monthly!$A:$A,0))</f>
        <v>16.983666666666668</v>
      </c>
      <c r="N162" s="4">
        <f>INDEX(F$31:F$42,1)</f>
        <v>19.74754761904762</v>
      </c>
      <c r="O162" s="29">
        <f>IF(N162&gt;0,M162/N162,0)</f>
        <v>0.8600392815503312</v>
      </c>
    </row>
    <row r="163">
      <c r="A163" s="2" t="inlineStr">
        <is>
          <t xml:space="preserve">2015-02</t>
        </is>
      </c>
      <c r="B163" s="2" t="inlineStr">
        <is>
          <t xml:space="preserve">2014/15</t>
        </is>
      </c>
      <c r="C163" s="6" t="inlineStr">
        <is>
          <t xml:space="preserve">El Niño</t>
        </is>
      </c>
      <c r="D163" s="4">
        <f>INDEX(Monthly!$P:$P,MATCH($A163,Monthly!$A:$A,0))</f>
        <v>3.411</v>
      </c>
      <c r="E163" s="4">
        <f>INDEX(C$31:C$42,2)</f>
        <v>5.8785</v>
      </c>
      <c r="F163" s="29">
        <f>IF(E163&gt;0,D163/E163,0)</f>
        <v>0.5802500637917837</v>
      </c>
      <c r="G163" s="4">
        <f>INDEX(Monthly!$U:$U,MATCH($A163,Monthly!$A:$A,0))</f>
        <v>8.184</v>
      </c>
      <c r="H163" s="4">
        <f>INDEX(D$31:D$42,2)</f>
        <v>12.850714285714284</v>
      </c>
      <c r="I163" s="29">
        <f>IF(H163&gt;0,G163/H163,0)</f>
        <v>0.6368517592129398</v>
      </c>
      <c r="J163" s="4">
        <f>INDEX(Monthly!$Z:$Z,MATCH($A163,Monthly!$A:$A,0))</f>
        <v>35.568</v>
      </c>
      <c r="K163" s="4">
        <f>INDEX(E$31:E$42,2)</f>
        <v>27.980785714285712</v>
      </c>
      <c r="L163" s="29">
        <f>IF(K163&gt;0,J163/K163,0)</f>
        <v>1.2711580140453527</v>
      </c>
      <c r="M163" s="4">
        <f>INDEX(Monthly!$AE:$AE,MATCH($A163,Monthly!$A:$A,0))</f>
        <v>15.720999999999998</v>
      </c>
      <c r="N163" s="4">
        <f>INDEX(F$31:F$42,2)</f>
        <v>15.570000000000002</v>
      </c>
      <c r="O163" s="29">
        <f>IF(N163&gt;0,M163/N163,0)</f>
        <v>1.0096981374438019</v>
      </c>
    </row>
    <row r="164">
      <c r="A164" s="2" t="inlineStr">
        <is>
          <t xml:space="preserve">2015-03</t>
        </is>
      </c>
      <c r="B164" s="2" t="inlineStr">
        <is>
          <t xml:space="preserve">2014/15</t>
        </is>
      </c>
      <c r="C164" s="6" t="inlineStr">
        <is>
          <t xml:space="preserve">El Niño</t>
        </is>
      </c>
      <c r="D164" s="4">
        <f>INDEX(Monthly!$P:$P,MATCH($A164,Monthly!$A:$A,0))</f>
        <v>12.708</v>
      </c>
      <c r="E164" s="4">
        <f>INDEX(C$31:C$42,3)</f>
        <v>8.098142857142857</v>
      </c>
      <c r="F164" s="31">
        <f>IF(E164&gt;0,D164/E164,0)</f>
        <v>1.5692486813555135</v>
      </c>
      <c r="G164" s="4">
        <f>INDEX(Monthly!$U:$U,MATCH($A164,Monthly!$A:$A,0))</f>
        <v>22.006</v>
      </c>
      <c r="H164" s="4">
        <f>INDEX(D$31:D$42,3)</f>
        <v>13.050214285714285</v>
      </c>
      <c r="I164" s="31">
        <f>IF(H164&gt;0,G164/H164,0)</f>
        <v>1.6862558359742315</v>
      </c>
      <c r="J164" s="4">
        <f>INDEX(Monthly!$Z:$Z,MATCH($A164,Monthly!$A:$A,0))</f>
        <v>34.61</v>
      </c>
      <c r="K164" s="4">
        <f>INDEX(E$31:E$42,3)</f>
        <v>22.94821428571429</v>
      </c>
      <c r="L164" s="31">
        <f>IF(K164&gt;0,J164/K164,0)</f>
        <v>1.5081783518792309</v>
      </c>
      <c r="M164" s="4">
        <f>INDEX(Monthly!$AE:$AE,MATCH($A164,Monthly!$A:$A,0))</f>
        <v>23.108</v>
      </c>
      <c r="N164" s="4">
        <f>INDEX(F$31:F$42,3)</f>
        <v>14.69885714285714</v>
      </c>
      <c r="O164" s="31">
        <f>IF(N164&gt;0,M164/N164,0)</f>
        <v>1.5720950122458504</v>
      </c>
    </row>
    <row r="165">
      <c r="A165" s="2" t="inlineStr">
        <is>
          <t xml:space="preserve">2015-04</t>
        </is>
      </c>
      <c r="B165" s="2" t="inlineStr">
        <is>
          <t xml:space="preserve">2014/15</t>
        </is>
      </c>
      <c r="C165" s="6" t="inlineStr">
        <is>
          <t xml:space="preserve">El Niño</t>
        </is>
      </c>
      <c r="D165" s="4">
        <f>INDEX(Monthly!$P:$P,MATCH($A165,Monthly!$A:$A,0))</f>
        <v>27.371</v>
      </c>
      <c r="E165" s="4">
        <f>INDEX(C$31:C$42,4)</f>
        <v>48.56264285714286</v>
      </c>
      <c r="F165" s="29">
        <f>IF(E165&gt;0,D165/E165,0)</f>
        <v>0.5636225376060668</v>
      </c>
      <c r="G165" s="4">
        <f>INDEX(Monthly!$U:$U,MATCH($A165,Monthly!$A:$A,0))</f>
        <v>28.217</v>
      </c>
      <c r="H165" s="4">
        <f>INDEX(D$31:D$42,4)</f>
        <v>40.45578571428571</v>
      </c>
      <c r="I165" s="29">
        <f>IF(H165&gt;0,G165/H165,0)</f>
        <v>0.6974774930656219</v>
      </c>
      <c r="J165" s="4">
        <f>INDEX(Monthly!$Z:$Z,MATCH($A165,Monthly!$A:$A,0))</f>
        <v>21.681</v>
      </c>
      <c r="K165" s="4">
        <f>INDEX(E$31:E$42,4)</f>
        <v>48.85292857142857</v>
      </c>
      <c r="L165" s="32">
        <f>IF(K165&gt;0,J165/K165,0)</f>
        <v>0.44380143901301433</v>
      </c>
      <c r="M165" s="4">
        <f>INDEX(Monthly!$AE:$AE,MATCH($A165,Monthly!$A:$A,0))</f>
        <v>25.75633333333333</v>
      </c>
      <c r="N165" s="4">
        <f>INDEX(F$31:F$42,4)</f>
        <v>45.95711904761904</v>
      </c>
      <c r="O165" s="29">
        <f>IF(N165&gt;0,M165/N165,0)</f>
        <v>0.5604427315525499</v>
      </c>
    </row>
    <row r="166">
      <c r="A166" s="2" t="inlineStr">
        <is>
          <t xml:space="preserve">2015-05</t>
        </is>
      </c>
      <c r="B166" s="2" t="inlineStr">
        <is>
          <t xml:space="preserve">2014/15</t>
        </is>
      </c>
      <c r="C166" s="6" t="inlineStr">
        <is>
          <t xml:space="preserve">El Niño</t>
        </is>
      </c>
      <c r="D166" s="4">
        <f>INDEX(Monthly!$P:$P,MATCH($A166,Monthly!$A:$A,0))</f>
        <v>37.529</v>
      </c>
      <c r="E166" s="4">
        <f>INDEX(C$31:C$42,5)</f>
        <v>157.25921428571428</v>
      </c>
      <c r="F166" s="32">
        <f>IF(E166&gt;0,D166/E166,0)</f>
        <v>0.238644203905381</v>
      </c>
      <c r="G166" s="4">
        <f>INDEX(Monthly!$U:$U,MATCH($A166,Monthly!$A:$A,0))</f>
        <v>64.122</v>
      </c>
      <c r="H166" s="4">
        <f>INDEX(D$31:D$42,5)</f>
        <v>153.39671428571432</v>
      </c>
      <c r="I166" s="32">
        <f>IF(H166&gt;0,G166/H166,0)</f>
        <v>0.41801416867748137</v>
      </c>
      <c r="J166" s="4">
        <f>INDEX(Monthly!$Z:$Z,MATCH($A166,Monthly!$A:$A,0))</f>
        <v>46.324</v>
      </c>
      <c r="K166" s="4">
        <f>INDEX(E$31:E$42,5)</f>
        <v>157.15200000000002</v>
      </c>
      <c r="L166" s="32">
        <f>IF(K166&gt;0,J166/K166,0)</f>
        <v>0.2947719405416412</v>
      </c>
      <c r="M166" s="4">
        <f>INDEX(Monthly!$AE:$AE,MATCH($A166,Monthly!$A:$A,0))</f>
        <v>49.32500000000001</v>
      </c>
      <c r="N166" s="4">
        <f>INDEX(F$31:F$42,5)</f>
        <v>155.9359761904762</v>
      </c>
      <c r="O166" s="32">
        <f>IF(N166&gt;0,M166/N166,0)</f>
        <v>0.31631571626389404</v>
      </c>
    </row>
    <row r="167">
      <c r="A167" s="2" t="inlineStr">
        <is>
          <t xml:space="preserve">2015-06</t>
        </is>
      </c>
      <c r="B167" s="2" t="inlineStr">
        <is>
          <t xml:space="preserve">2014/15</t>
        </is>
      </c>
      <c r="C167" s="6" t="inlineStr">
        <is>
          <t xml:space="preserve">El Niño</t>
        </is>
      </c>
      <c r="D167" s="4">
        <f>INDEX(Monthly!$P:$P,MATCH($A167,Monthly!$A:$A,0))</f>
        <v>189.803</v>
      </c>
      <c r="E167" s="4">
        <f>INDEX(C$31:C$42,6)</f>
        <v>197.10614285714286</v>
      </c>
      <c r="F167" s="29">
        <f>IF(E167&gt;0,D167/E167,0)</f>
        <v>0.9629481722320751</v>
      </c>
      <c r="G167" s="4">
        <f>INDEX(Monthly!$U:$U,MATCH($A167,Monthly!$A:$A,0))</f>
        <v>172.435</v>
      </c>
      <c r="H167" s="4">
        <f>INDEX(D$31:D$42,6)</f>
        <v>192.85257142857145</v>
      </c>
      <c r="I167" s="29">
        <f>IF(H167&gt;0,G167/H167,0)</f>
        <v>0.8941286015668518</v>
      </c>
      <c r="J167" s="4">
        <f>INDEX(Monthly!$Z:$Z,MATCH($A167,Monthly!$A:$A,0))</f>
        <v>166.379</v>
      </c>
      <c r="K167" s="4">
        <f>INDEX(E$31:E$42,6)</f>
        <v>244.03071428571425</v>
      </c>
      <c r="L167" s="29">
        <f>IF(K167&gt;0,J167/K167,0)</f>
        <v>0.6817953243590532</v>
      </c>
      <c r="M167" s="4">
        <f>INDEX(Monthly!$AE:$AE,MATCH($A167,Monthly!$A:$A,0))</f>
        <v>176.20566666666664</v>
      </c>
      <c r="N167" s="4">
        <f>INDEX(F$31:F$42,6)</f>
        <v>211.32980952380953</v>
      </c>
      <c r="O167" s="29">
        <f>IF(N167&gt;0,M167/N167,0)</f>
        <v>0.833794659937998</v>
      </c>
    </row>
    <row r="168">
      <c r="A168" s="2" t="inlineStr">
        <is>
          <t xml:space="preserve">2015-07</t>
        </is>
      </c>
      <c r="B168" s="2" t="inlineStr">
        <is>
          <t xml:space="preserve">2015/16</t>
        </is>
      </c>
      <c r="C168" s="6" t="inlineStr">
        <is>
          <t xml:space="preserve">El Niño</t>
        </is>
      </c>
      <c r="D168" s="4">
        <f>INDEX(Monthly!$P:$P,MATCH($A168,Monthly!$A:$A,0))</f>
        <v>22.655</v>
      </c>
      <c r="E168" s="4">
        <f>INDEX(C$31:C$42,7)</f>
        <v>137.10459999999998</v>
      </c>
      <c r="F168" s="32">
        <f>IF(E168&gt;0,D168/E168,0)</f>
        <v>0.165238803074441</v>
      </c>
      <c r="G168" s="4">
        <f>INDEX(Monthly!$U:$U,MATCH($A168,Monthly!$A:$A,0))</f>
        <v>58.162</v>
      </c>
      <c r="H168" s="4">
        <f>INDEX(D$31:D$42,7)</f>
        <v>187.2258</v>
      </c>
      <c r="I168" s="32">
        <f>IF(H168&gt;0,G168/H168,0)</f>
        <v>0.3106516302774511</v>
      </c>
      <c r="J168" s="4">
        <f>INDEX(Monthly!$Z:$Z,MATCH($A168,Monthly!$A:$A,0))</f>
        <v>44.525</v>
      </c>
      <c r="K168" s="4">
        <f>INDEX(E$31:E$42,7)</f>
        <v>179.02346666666668</v>
      </c>
      <c r="L168" s="32">
        <f>IF(K168&gt;0,J168/K168,0)</f>
        <v>0.24871041114907838</v>
      </c>
      <c r="M168" s="4">
        <f>INDEX(Monthly!$AE:$AE,MATCH($A168,Monthly!$A:$A,0))</f>
        <v>41.78066666666667</v>
      </c>
      <c r="N168" s="4">
        <f>INDEX(F$31:F$42,7)</f>
        <v>167.78462222222225</v>
      </c>
      <c r="O168" s="32">
        <f>IF(N168&gt;0,M168/N168,0)</f>
        <v>0.24901368262062948</v>
      </c>
    </row>
    <row r="169">
      <c r="A169" s="2" t="inlineStr">
        <is>
          <t xml:space="preserve">2015-08</t>
        </is>
      </c>
      <c r="B169" s="2" t="inlineStr">
        <is>
          <t xml:space="preserve">2015/16</t>
        </is>
      </c>
      <c r="C169" s="6" t="inlineStr">
        <is>
          <t xml:space="preserve">El Niño</t>
        </is>
      </c>
      <c r="D169" s="4">
        <f>INDEX(Monthly!$P:$P,MATCH($A169,Monthly!$A:$A,0))</f>
        <v>49.157</v>
      </c>
      <c r="E169" s="4">
        <f>INDEX(C$31:C$42,8)</f>
        <v>168.58193333333332</v>
      </c>
      <c r="F169" s="32">
        <f>IF(E169&gt;0,D169/E169,0)</f>
        <v>0.2915911511277009</v>
      </c>
      <c r="G169" s="4">
        <f>INDEX(Monthly!$U:$U,MATCH($A169,Monthly!$A:$A,0))</f>
        <v>106.513</v>
      </c>
      <c r="H169" s="4">
        <f>INDEX(D$31:D$42,8)</f>
        <v>228.6517333333334</v>
      </c>
      <c r="I169" s="32">
        <f>IF(H169&gt;0,G169/H169,0)</f>
        <v>0.4658307131427824</v>
      </c>
      <c r="J169" s="4">
        <f>INDEX(Monthly!$Z:$Z,MATCH($A169,Monthly!$A:$A,0))</f>
        <v>119.271</v>
      </c>
      <c r="K169" s="4">
        <f>INDEX(E$31:E$42,8)</f>
        <v>219.19053333333335</v>
      </c>
      <c r="L169" s="29">
        <f>IF(K169&gt;0,J169/K169,0)</f>
        <v>0.5441430256416183</v>
      </c>
      <c r="M169" s="4">
        <f>INDEX(Monthly!$AE:$AE,MATCH($A169,Monthly!$A:$A,0))</f>
        <v>91.647</v>
      </c>
      <c r="N169" s="4">
        <f>INDEX(F$31:F$42,8)</f>
        <v>205.47473333333338</v>
      </c>
      <c r="O169" s="32">
        <f>IF(N169&gt;0,M169/N169,0)</f>
        <v>0.44602564273109324</v>
      </c>
    </row>
    <row r="170">
      <c r="A170" s="2" t="inlineStr">
        <is>
          <t xml:space="preserve">2015-09</t>
        </is>
      </c>
      <c r="B170" s="2" t="inlineStr">
        <is>
          <t xml:space="preserve">2015/16</t>
        </is>
      </c>
      <c r="C170" s="6" t="inlineStr">
        <is>
          <t xml:space="preserve">El Niño</t>
        </is>
      </c>
      <c r="D170" s="4">
        <f>INDEX(Monthly!$P:$P,MATCH($A170,Monthly!$A:$A,0))</f>
        <v>217.192</v>
      </c>
      <c r="E170" s="4">
        <f>INDEX(C$31:C$42,9)</f>
        <v>216.9424666666667</v>
      </c>
      <c r="F170" s="29">
        <f>IF(E170&gt;0,D170/E170,0)</f>
        <v>1.0011502281557292</v>
      </c>
      <c r="G170" s="4">
        <f>INDEX(Monthly!$U:$U,MATCH($A170,Monthly!$A:$A,0))</f>
        <v>376.803</v>
      </c>
      <c r="H170" s="4">
        <f>INDEX(D$31:D$42,9)</f>
        <v>235.93773333333334</v>
      </c>
      <c r="I170" s="31">
        <f>IF(H170&gt;0,G170/H170,0)</f>
        <v>1.597044248397741</v>
      </c>
      <c r="J170" s="4">
        <f>INDEX(Monthly!$Z:$Z,MATCH($A170,Monthly!$A:$A,0))</f>
        <v>455.048</v>
      </c>
      <c r="K170" s="4">
        <f>INDEX(E$31:E$42,9)</f>
        <v>255.97060000000002</v>
      </c>
      <c r="L170" s="31">
        <f>IF(K170&gt;0,J170/K170,0)</f>
        <v>1.777735411801199</v>
      </c>
      <c r="M170" s="4">
        <f>INDEX(Monthly!$AE:$AE,MATCH($A170,Monthly!$A:$A,0))</f>
        <v>349.68100000000004</v>
      </c>
      <c r="N170" s="4">
        <f>INDEX(F$31:F$42,9)</f>
        <v>236.28360000000004</v>
      </c>
      <c r="O170" s="29">
        <f>IF(N170&gt;0,M170/N170,0)</f>
        <v>1.4799207393149587</v>
      </c>
    </row>
    <row r="171">
      <c r="A171" s="2" t="inlineStr">
        <is>
          <t xml:space="preserve">2015-10</t>
        </is>
      </c>
      <c r="B171" s="2" t="inlineStr">
        <is>
          <t xml:space="preserve">2015/16</t>
        </is>
      </c>
      <c r="C171" s="6" t="inlineStr">
        <is>
          <t xml:space="preserve">El Niño</t>
        </is>
      </c>
      <c r="D171" s="4">
        <f>INDEX(Monthly!$P:$P,MATCH($A171,Monthly!$A:$A,0))</f>
        <v>217.079</v>
      </c>
      <c r="E171" s="4">
        <f>INDEX(C$31:C$42,10)</f>
        <v>157.55200000000002</v>
      </c>
      <c r="F171" s="29">
        <f>IF(E171&gt;0,D171/E171,0)</f>
        <v>1.3778244643038489</v>
      </c>
      <c r="G171" s="4">
        <f>INDEX(Monthly!$U:$U,MATCH($A171,Monthly!$A:$A,0))</f>
        <v>193.916</v>
      </c>
      <c r="H171" s="4">
        <f>INDEX(D$31:D$42,10)</f>
        <v>156.79653333333331</v>
      </c>
      <c r="I171" s="29">
        <f>IF(H171&gt;0,G171/H171,0)</f>
        <v>1.2367365264878307</v>
      </c>
      <c r="J171" s="4">
        <f>INDEX(Monthly!$Z:$Z,MATCH($A171,Monthly!$A:$A,0))</f>
        <v>252.865</v>
      </c>
      <c r="K171" s="4">
        <f>INDEX(E$31:E$42,10)</f>
        <v>182.93833333333333</v>
      </c>
      <c r="L171" s="29">
        <f>IF(K171&gt;0,J171/K171,0)</f>
        <v>1.3822417390195239</v>
      </c>
      <c r="M171" s="4">
        <f>INDEX(Monthly!$AE:$AE,MATCH($A171,Monthly!$A:$A,0))</f>
        <v>221.28666666666666</v>
      </c>
      <c r="N171" s="4">
        <f>INDEX(F$31:F$42,10)</f>
        <v>165.7622888888889</v>
      </c>
      <c r="O171" s="29">
        <f>IF(N171&gt;0,M171/N171,0)</f>
        <v>1.334963869948707</v>
      </c>
    </row>
    <row r="172">
      <c r="A172" s="2" t="inlineStr">
        <is>
          <t xml:space="preserve">2015-11</t>
        </is>
      </c>
      <c r="B172" s="2" t="inlineStr">
        <is>
          <t xml:space="preserve">2015/16</t>
        </is>
      </c>
      <c r="C172" s="6" t="inlineStr">
        <is>
          <t xml:space="preserve">El Niño</t>
        </is>
      </c>
      <c r="D172" s="4">
        <f>INDEX(Monthly!$P:$P,MATCH($A172,Monthly!$A:$A,0))</f>
        <v>69.095</v>
      </c>
      <c r="E172" s="4">
        <f>INDEX(C$31:C$42,11)</f>
        <v>28.2242</v>
      </c>
      <c r="F172" s="31">
        <f>IF(E172&gt;0,D172/E172,0)</f>
        <v>2.448076473380999</v>
      </c>
      <c r="G172" s="4">
        <f>INDEX(Monthly!$U:$U,MATCH($A172,Monthly!$A:$A,0))</f>
        <v>76.598</v>
      </c>
      <c r="H172" s="4">
        <f>INDEX(D$31:D$42,11)</f>
        <v>37.004000000000005</v>
      </c>
      <c r="I172" s="31">
        <f>IF(H172&gt;0,G172/H172,0)</f>
        <v>2.069992433250459</v>
      </c>
      <c r="J172" s="4">
        <f>INDEX(Monthly!$Z:$Z,MATCH($A172,Monthly!$A:$A,0))</f>
        <v>90.873</v>
      </c>
      <c r="K172" s="4">
        <f>INDEX(E$31:E$42,11)</f>
        <v>60.208133333333336</v>
      </c>
      <c r="L172" s="31">
        <f>IF(K172&gt;0,J172/K172,0)</f>
        <v>1.5093143561999376</v>
      </c>
      <c r="M172" s="4">
        <f>INDEX(Monthly!$AE:$AE,MATCH($A172,Monthly!$A:$A,0))</f>
        <v>78.85533333333332</v>
      </c>
      <c r="N172" s="4">
        <f>INDEX(F$31:F$42,11)</f>
        <v>41.81211111111111</v>
      </c>
      <c r="O172" s="31">
        <f>IF(N172&gt;0,M172/N172,0)</f>
        <v>1.8859447953676365</v>
      </c>
    </row>
    <row r="173">
      <c r="A173" s="2" t="inlineStr">
        <is>
          <t xml:space="preserve">2015-12</t>
        </is>
      </c>
      <c r="B173" s="2" t="inlineStr">
        <is>
          <t xml:space="preserve">2015/16</t>
        </is>
      </c>
      <c r="C173" s="6" t="inlineStr">
        <is>
          <t xml:space="preserve">El Niño</t>
        </is>
      </c>
      <c r="D173" s="4">
        <f>INDEX(Monthly!$P:$P,MATCH($A173,Monthly!$A:$A,0))</f>
        <v>33.277</v>
      </c>
      <c r="E173" s="4">
        <f>INDEX(C$31:C$42,12)</f>
        <v>13.638533333333335</v>
      </c>
      <c r="F173" s="31">
        <f>IF(E173&gt;0,D173/E173,0)</f>
        <v>2.4399251141373948</v>
      </c>
      <c r="G173" s="4">
        <f>INDEX(Monthly!$U:$U,MATCH($A173,Monthly!$A:$A,0))</f>
        <v>13.602</v>
      </c>
      <c r="H173" s="4">
        <f>INDEX(D$31:D$42,12)</f>
        <v>23.69433333333333</v>
      </c>
      <c r="I173" s="29">
        <f>IF(H173&gt;0,G173/H173,0)</f>
        <v>0.5740613086110604</v>
      </c>
      <c r="J173" s="4">
        <f>INDEX(Monthly!$Z:$Z,MATCH($A173,Monthly!$A:$A,0))</f>
        <v>40.298</v>
      </c>
      <c r="K173" s="4">
        <f>INDEX(E$31:E$42,12)</f>
        <v>52.138</v>
      </c>
      <c r="L173" s="29">
        <f>IF(K173&gt;0,J173/K173,0)</f>
        <v>0.7729103532931836</v>
      </c>
      <c r="M173" s="4">
        <f>INDEX(Monthly!$AE:$AE,MATCH($A173,Monthly!$A:$A,0))</f>
        <v>29.059</v>
      </c>
      <c r="N173" s="4">
        <f>INDEX(F$31:F$42,12)</f>
        <v>29.823622222222223</v>
      </c>
      <c r="O173" s="29">
        <f>IF(N173&gt;0,M173/N173,0)</f>
        <v>0.9743618593165895</v>
      </c>
    </row>
    <row r="174">
      <c r="A174" s="2" t="inlineStr">
        <is>
          <t xml:space="preserve">2016-01</t>
        </is>
      </c>
      <c r="B174" s="2" t="inlineStr">
        <is>
          <t xml:space="preserve">2015/16</t>
        </is>
      </c>
      <c r="C174" s="6" t="inlineStr">
        <is>
          <t xml:space="preserve">El Niño</t>
        </is>
      </c>
      <c r="D174" s="4">
        <f>INDEX(Monthly!$P:$P,MATCH($A174,Monthly!$A:$A,0))</f>
        <v>1.265</v>
      </c>
      <c r="E174" s="4">
        <f>INDEX(C$31:C$42,1)</f>
        <v>4.832071428571429</v>
      </c>
      <c r="F174" s="32">
        <f>IF(E174&gt;0,D174/E174,0)</f>
        <v>0.26179248769383134</v>
      </c>
      <c r="G174" s="4">
        <f>INDEX(Monthly!$U:$U,MATCH($A174,Monthly!$A:$A,0))</f>
        <v>9.022</v>
      </c>
      <c r="H174" s="4">
        <f>INDEX(D$31:D$42,1)</f>
        <v>14.249071428571428</v>
      </c>
      <c r="I174" s="29">
        <f>IF(H174&gt;0,G174/H174,0)</f>
        <v>0.6331640658288511</v>
      </c>
      <c r="J174" s="4">
        <f>INDEX(Monthly!$Z:$Z,MATCH($A174,Monthly!$A:$A,0))</f>
        <v>21.122</v>
      </c>
      <c r="K174" s="4">
        <f>INDEX(E$31:E$42,1)</f>
        <v>40.161500000000004</v>
      </c>
      <c r="L174" s="29">
        <f>IF(K174&gt;0,J174/K174,0)</f>
        <v>0.5259265714676992</v>
      </c>
      <c r="M174" s="4">
        <f>INDEX(Monthly!$AE:$AE,MATCH($A174,Monthly!$A:$A,0))</f>
        <v>10.469666666666667</v>
      </c>
      <c r="N174" s="4">
        <f>INDEX(F$31:F$42,1)</f>
        <v>19.74754761904762</v>
      </c>
      <c r="O174" s="29">
        <f>IF(N174&gt;0,M174/N174,0)</f>
        <v>0.5301755371673638</v>
      </c>
    </row>
    <row r="175">
      <c r="A175" s="2" t="inlineStr">
        <is>
          <t xml:space="preserve">2016-02</t>
        </is>
      </c>
      <c r="B175" s="2" t="inlineStr">
        <is>
          <t xml:space="preserve">2015/16</t>
        </is>
      </c>
      <c r="C175" s="6" t="inlineStr">
        <is>
          <t xml:space="preserve">El Niño</t>
        </is>
      </c>
      <c r="D175" s="4">
        <f>INDEX(Monthly!$P:$P,MATCH($A175,Monthly!$A:$A,0))</f>
        <v>7.57</v>
      </c>
      <c r="E175" s="4">
        <f>INDEX(C$31:C$42,2)</f>
        <v>5.8785</v>
      </c>
      <c r="F175" s="29">
        <f>IF(E175&gt;0,D175/E175,0)</f>
        <v>1.2877434719741432</v>
      </c>
      <c r="G175" s="4">
        <f>INDEX(Monthly!$U:$U,MATCH($A175,Monthly!$A:$A,0))</f>
        <v>22.076</v>
      </c>
      <c r="H175" s="4">
        <f>INDEX(D$31:D$42,2)</f>
        <v>12.850714285714284</v>
      </c>
      <c r="I175" s="31">
        <f>IF(H175&gt;0,G175/H175,0)</f>
        <v>1.7178811628036244</v>
      </c>
      <c r="J175" s="4">
        <f>INDEX(Monthly!$Z:$Z,MATCH($A175,Monthly!$A:$A,0))</f>
        <v>39.453</v>
      </c>
      <c r="K175" s="4">
        <f>INDEX(E$31:E$42,2)</f>
        <v>27.980785714285712</v>
      </c>
      <c r="L175" s="29">
        <f>IF(K175&gt;0,J175/K175,0)</f>
        <v>1.4100032930761162</v>
      </c>
      <c r="M175" s="4">
        <f>INDEX(Monthly!$AE:$AE,MATCH($A175,Monthly!$A:$A,0))</f>
        <v>23.033</v>
      </c>
      <c r="N175" s="4">
        <f>INDEX(F$31:F$42,2)</f>
        <v>15.570000000000002</v>
      </c>
      <c r="O175" s="29">
        <f>IF(N175&gt;0,M175/N175,0)</f>
        <v>1.47931920359666</v>
      </c>
    </row>
    <row r="176">
      <c r="A176" s="2" t="inlineStr">
        <is>
          <t xml:space="preserve">2016-03</t>
        </is>
      </c>
      <c r="B176" s="2" t="inlineStr">
        <is>
          <t xml:space="preserve">2015/16</t>
        </is>
      </c>
      <c r="C176" s="6" t="inlineStr">
        <is>
          <t xml:space="preserve">El Niño</t>
        </is>
      </c>
      <c r="D176" s="4">
        <f>INDEX(Monthly!$P:$P,MATCH($A176,Monthly!$A:$A,0))</f>
        <v>29.937</v>
      </c>
      <c r="E176" s="4">
        <f>INDEX(C$31:C$42,3)</f>
        <v>8.098142857142857</v>
      </c>
      <c r="F176" s="31">
        <f>IF(E176&gt;0,D176/E176,0)</f>
        <v>3.6967735106814614</v>
      </c>
      <c r="G176" s="4">
        <f>INDEX(Monthly!$U:$U,MATCH($A176,Monthly!$A:$A,0))</f>
        <v>14.397</v>
      </c>
      <c r="H176" s="4">
        <f>INDEX(D$31:D$42,3)</f>
        <v>13.050214285714285</v>
      </c>
      <c r="I176" s="29">
        <f>IF(H176&gt;0,G176/H176,0)</f>
        <v>1.1032002758575394</v>
      </c>
      <c r="J176" s="4">
        <f>INDEX(Monthly!$Z:$Z,MATCH($A176,Monthly!$A:$A,0))</f>
        <v>18.195</v>
      </c>
      <c r="K176" s="4">
        <f>INDEX(E$31:E$42,3)</f>
        <v>22.94821428571429</v>
      </c>
      <c r="L176" s="29">
        <f>IF(K176&gt;0,J176/K176,0)</f>
        <v>0.7928721500272351</v>
      </c>
      <c r="M176" s="4">
        <f>INDEX(Monthly!$AE:$AE,MATCH($A176,Monthly!$A:$A,0))</f>
        <v>20.843</v>
      </c>
      <c r="N176" s="4">
        <f>INDEX(F$31:F$42,3)</f>
        <v>14.69885714285714</v>
      </c>
      <c r="O176" s="29">
        <f>IF(N176&gt;0,M176/N176,0)</f>
        <v>1.4180013995257166</v>
      </c>
    </row>
    <row r="177">
      <c r="A177" s="2" t="inlineStr">
        <is>
          <t xml:space="preserve">2016-04</t>
        </is>
      </c>
      <c r="B177" s="2" t="inlineStr">
        <is>
          <t xml:space="preserve">2015/16</t>
        </is>
      </c>
      <c r="C177" s="6" t="inlineStr">
        <is>
          <t xml:space="preserve">El Niño</t>
        </is>
      </c>
      <c r="D177" s="4">
        <f>INDEX(Monthly!$P:$P,MATCH($A177,Monthly!$A:$A,0))</f>
        <v>38.327</v>
      </c>
      <c r="E177" s="4">
        <f>INDEX(C$31:C$42,4)</f>
        <v>48.56264285714286</v>
      </c>
      <c r="F177" s="29">
        <f>IF(E177&gt;0,D177/E177,0)</f>
        <v>0.7892280515446175</v>
      </c>
      <c r="G177" s="4">
        <f>INDEX(Monthly!$U:$U,MATCH($A177,Monthly!$A:$A,0))</f>
        <v>22.145</v>
      </c>
      <c r="H177" s="4">
        <f>INDEX(D$31:D$42,4)</f>
        <v>40.45578571428571</v>
      </c>
      <c r="I177" s="29">
        <f>IF(H177&gt;0,G177/H177,0)</f>
        <v>0.5473877125115426</v>
      </c>
      <c r="J177" s="4">
        <f>INDEX(Monthly!$Z:$Z,MATCH($A177,Monthly!$A:$A,0))</f>
        <v>15.951</v>
      </c>
      <c r="K177" s="4">
        <f>INDEX(E$31:E$42,4)</f>
        <v>48.85292857142857</v>
      </c>
      <c r="L177" s="32">
        <f>IF(K177&gt;0,J177/K177,0)</f>
        <v>0.32651062006810533</v>
      </c>
      <c r="M177" s="4">
        <f>INDEX(Monthly!$AE:$AE,MATCH($A177,Monthly!$A:$A,0))</f>
        <v>25.474333333333334</v>
      </c>
      <c r="N177" s="4">
        <f>INDEX(F$31:F$42,4)</f>
        <v>45.95711904761904</v>
      </c>
      <c r="O177" s="29">
        <f>IF(N177&gt;0,M177/N177,0)</f>
        <v>0.5543065766793995</v>
      </c>
    </row>
    <row r="178">
      <c r="A178" s="2" t="inlineStr">
        <is>
          <t xml:space="preserve">2016-05</t>
        </is>
      </c>
      <c r="B178" s="2" t="inlineStr">
        <is>
          <t xml:space="preserve">2015/16</t>
        </is>
      </c>
      <c r="C178" s="6" t="inlineStr">
        <is>
          <t xml:space="preserve">El Niño</t>
        </is>
      </c>
      <c r="D178" s="4">
        <f>INDEX(Monthly!$P:$P,MATCH($A178,Monthly!$A:$A,0))</f>
        <v>94.403</v>
      </c>
      <c r="E178" s="4">
        <f>INDEX(C$31:C$42,5)</f>
        <v>157.25921428571428</v>
      </c>
      <c r="F178" s="29">
        <f>IF(E178&gt;0,D178/E178,0)</f>
        <v>0.6003018673900099</v>
      </c>
      <c r="G178" s="4">
        <f>INDEX(Monthly!$U:$U,MATCH($A178,Monthly!$A:$A,0))</f>
        <v>51.304</v>
      </c>
      <c r="H178" s="4">
        <f>INDEX(D$31:D$42,5)</f>
        <v>153.39671428571432</v>
      </c>
      <c r="I178" s="32">
        <f>IF(H178&gt;0,G178/H178,0)</f>
        <v>0.33445305682651044</v>
      </c>
      <c r="J178" s="4">
        <f>INDEX(Monthly!$Z:$Z,MATCH($A178,Monthly!$A:$A,0))</f>
        <v>42.623</v>
      </c>
      <c r="K178" s="4">
        <f>INDEX(E$31:E$42,5)</f>
        <v>157.15200000000002</v>
      </c>
      <c r="L178" s="32">
        <f>IF(K178&gt;0,J178/K178,0)</f>
        <v>0.2712214925677051</v>
      </c>
      <c r="M178" s="4">
        <f>INDEX(Monthly!$AE:$AE,MATCH($A178,Monthly!$A:$A,0))</f>
        <v>62.776666666666664</v>
      </c>
      <c r="N178" s="4">
        <f>INDEX(F$31:F$42,5)</f>
        <v>155.9359761904762</v>
      </c>
      <c r="O178" s="32">
        <f>IF(N178&gt;0,M178/N178,0)</f>
        <v>0.4025797522823393</v>
      </c>
    </row>
    <row r="179">
      <c r="A179" s="2" t="inlineStr">
        <is>
          <t xml:space="preserve">2016-06</t>
        </is>
      </c>
      <c r="B179" s="2" t="inlineStr">
        <is>
          <t xml:space="preserve">2015/16</t>
        </is>
      </c>
      <c r="C179" s="6" t="inlineStr">
        <is>
          <t xml:space="preserve">El Niño</t>
        </is>
      </c>
      <c r="D179" s="4">
        <f>INDEX(Monthly!$P:$P,MATCH($A179,Monthly!$A:$A,0))</f>
        <v>165.26</v>
      </c>
      <c r="E179" s="4">
        <f>INDEX(C$31:C$42,6)</f>
        <v>197.10614285714286</v>
      </c>
      <c r="F179" s="29">
        <f>IF(E179&gt;0,D179/E179,0)</f>
        <v>0.8384315049976698</v>
      </c>
      <c r="G179" s="4">
        <f>INDEX(Monthly!$U:$U,MATCH($A179,Monthly!$A:$A,0))</f>
        <v>230.345</v>
      </c>
      <c r="H179" s="4">
        <f>INDEX(D$31:D$42,6)</f>
        <v>192.85257142857145</v>
      </c>
      <c r="I179" s="29">
        <f>IF(H179&gt;0,G179/H179,0)</f>
        <v>1.1944097934173252</v>
      </c>
      <c r="J179" s="4">
        <f>INDEX(Monthly!$Z:$Z,MATCH($A179,Monthly!$A:$A,0))</f>
        <v>278.205</v>
      </c>
      <c r="K179" s="4">
        <f>INDEX(E$31:E$42,6)</f>
        <v>244.03071428571425</v>
      </c>
      <c r="L179" s="29">
        <f>IF(K179&gt;0,J179/K179,0)</f>
        <v>1.140040919907623</v>
      </c>
      <c r="M179" s="4">
        <f>INDEX(Monthly!$AE:$AE,MATCH($A179,Monthly!$A:$A,0))</f>
        <v>224.60333333333332</v>
      </c>
      <c r="N179" s="4">
        <f>INDEX(F$31:F$42,6)</f>
        <v>211.32980952380953</v>
      </c>
      <c r="O179" s="29">
        <f>IF(N179&gt;0,M179/N179,0)</f>
        <v>1.0628095195818947</v>
      </c>
    </row>
    <row r="180">
      <c r="A180" s="2" t="inlineStr">
        <is>
          <t xml:space="preserve">2016-07</t>
        </is>
      </c>
      <c r="B180" s="2" t="inlineStr">
        <is>
          <t xml:space="preserve">2016/17</t>
        </is>
      </c>
      <c r="C180" s="21" t="inlineStr">
        <is>
          <t xml:space="preserve">Neutral</t>
        </is>
      </c>
      <c r="D180" s="4">
        <f>INDEX(Monthly!$P:$P,MATCH($A180,Monthly!$A:$A,0))</f>
        <v>71.837</v>
      </c>
      <c r="E180" s="4">
        <f>INDEX(C$31:C$42,7)</f>
        <v>137.10459999999998</v>
      </c>
      <c r="F180" s="29">
        <f>IF(E180&gt;0,D180/E180,0)</f>
        <v>0.523957620677935</v>
      </c>
      <c r="G180" s="4">
        <f>INDEX(Monthly!$U:$U,MATCH($A180,Monthly!$A:$A,0))</f>
        <v>172.17</v>
      </c>
      <c r="H180" s="4">
        <f>INDEX(D$31:D$42,7)</f>
        <v>187.2258</v>
      </c>
      <c r="I180" s="29">
        <f>IF(H180&gt;0,G180/H180,0)</f>
        <v>0.9195848008127084</v>
      </c>
      <c r="J180" s="4">
        <f>INDEX(Monthly!$Z:$Z,MATCH($A180,Monthly!$A:$A,0))</f>
        <v>113.312</v>
      </c>
      <c r="K180" s="4">
        <f>INDEX(E$31:E$42,7)</f>
        <v>179.02346666666668</v>
      </c>
      <c r="L180" s="29">
        <f>IF(K180&gt;0,J180/K180,0)</f>
        <v>0.6329449547024002</v>
      </c>
      <c r="M180" s="4">
        <f>INDEX(Monthly!$AE:$AE,MATCH($A180,Monthly!$A:$A,0))</f>
        <v>119.10633333333334</v>
      </c>
      <c r="N180" s="4">
        <f>INDEX(F$31:F$42,7)</f>
        <v>167.78462222222225</v>
      </c>
      <c r="O180" s="29">
        <f>IF(N180&gt;0,M180/N180,0)</f>
        <v>0.7098763388195554</v>
      </c>
    </row>
    <row r="181">
      <c r="A181" s="2" t="inlineStr">
        <is>
          <t xml:space="preserve">2016-08</t>
        </is>
      </c>
      <c r="B181" s="2" t="inlineStr">
        <is>
          <t xml:space="preserve">2016/17</t>
        </is>
      </c>
      <c r="C181" s="21" t="inlineStr">
        <is>
          <t xml:space="preserve">Neutral</t>
        </is>
      </c>
      <c r="D181" s="4">
        <f>INDEX(Monthly!$P:$P,MATCH($A181,Monthly!$A:$A,0))</f>
        <v>154.676</v>
      </c>
      <c r="E181" s="4">
        <f>INDEX(C$31:C$42,8)</f>
        <v>168.58193333333332</v>
      </c>
      <c r="F181" s="29">
        <f>IF(E181&gt;0,D181/E181,0)</f>
        <v>0.917512315475482</v>
      </c>
      <c r="G181" s="4">
        <f>INDEX(Monthly!$U:$U,MATCH($A181,Monthly!$A:$A,0))</f>
        <v>182.226</v>
      </c>
      <c r="H181" s="4">
        <f>INDEX(D$31:D$42,8)</f>
        <v>228.6517333333334</v>
      </c>
      <c r="I181" s="29">
        <f>IF(H181&gt;0,G181/H181,0)</f>
        <v>0.7969587518251918</v>
      </c>
      <c r="J181" s="4">
        <f>INDEX(Monthly!$Z:$Z,MATCH($A181,Monthly!$A:$A,0))</f>
        <v>182.094</v>
      </c>
      <c r="K181" s="4">
        <f>INDEX(E$31:E$42,8)</f>
        <v>219.19053333333335</v>
      </c>
      <c r="L181" s="29">
        <f>IF(K181&gt;0,J181/K181,0)</f>
        <v>0.8307566810975412</v>
      </c>
      <c r="M181" s="4">
        <f>INDEX(Monthly!$AE:$AE,MATCH($A181,Monthly!$A:$A,0))</f>
        <v>172.99866666666665</v>
      </c>
      <c r="N181" s="4">
        <f>INDEX(F$31:F$42,8)</f>
        <v>205.47473333333338</v>
      </c>
      <c r="O181" s="29">
        <f>IF(N181&gt;0,M181/N181,0)</f>
        <v>0.8419461792707033</v>
      </c>
    </row>
    <row r="182">
      <c r="A182" s="2" t="inlineStr">
        <is>
          <t xml:space="preserve">2016-09</t>
        </is>
      </c>
      <c r="B182" s="2" t="inlineStr">
        <is>
          <t xml:space="preserve">2016/17</t>
        </is>
      </c>
      <c r="C182" s="21" t="inlineStr">
        <is>
          <t xml:space="preserve">Neutral</t>
        </is>
      </c>
      <c r="D182" s="4">
        <f>INDEX(Monthly!$P:$P,MATCH($A182,Monthly!$A:$A,0))</f>
        <v>93.253</v>
      </c>
      <c r="E182" s="4">
        <f>INDEX(C$31:C$42,9)</f>
        <v>216.9424666666667</v>
      </c>
      <c r="F182" s="32">
        <f>IF(E182&gt;0,D182/E182,0)</f>
        <v>0.42985129390680227</v>
      </c>
      <c r="G182" s="4">
        <f>INDEX(Monthly!$U:$U,MATCH($A182,Monthly!$A:$A,0))</f>
        <v>270.349</v>
      </c>
      <c r="H182" s="4">
        <f>INDEX(D$31:D$42,9)</f>
        <v>235.93773333333334</v>
      </c>
      <c r="I182" s="29">
        <f>IF(H182&gt;0,G182/H182,0)</f>
        <v>1.1458489330235717</v>
      </c>
      <c r="J182" s="4">
        <f>INDEX(Monthly!$Z:$Z,MATCH($A182,Monthly!$A:$A,0))</f>
        <v>309.184</v>
      </c>
      <c r="K182" s="4">
        <f>INDEX(E$31:E$42,9)</f>
        <v>255.97060000000002</v>
      </c>
      <c r="L182" s="29">
        <f>IF(K182&gt;0,J182/K182,0)</f>
        <v>1.2078887184700118</v>
      </c>
      <c r="M182" s="4">
        <f>INDEX(Monthly!$AE:$AE,MATCH($A182,Monthly!$A:$A,0))</f>
        <v>224.26200000000003</v>
      </c>
      <c r="N182" s="4">
        <f>INDEX(F$31:F$42,9)</f>
        <v>236.28360000000004</v>
      </c>
      <c r="O182" s="29">
        <f>IF(N182&gt;0,M182/N182,0)</f>
        <v>0.9491221565948715</v>
      </c>
    </row>
    <row r="183">
      <c r="A183" s="2" t="inlineStr">
        <is>
          <t xml:space="preserve">2016-10</t>
        </is>
      </c>
      <c r="B183" s="2" t="inlineStr">
        <is>
          <t xml:space="preserve">2016/17</t>
        </is>
      </c>
      <c r="C183" s="21" t="inlineStr">
        <is>
          <t xml:space="preserve">Neutral</t>
        </is>
      </c>
      <c r="D183" s="4">
        <f>INDEX(Monthly!$P:$P,MATCH($A183,Monthly!$A:$A,0))</f>
        <v>124.823</v>
      </c>
      <c r="E183" s="4">
        <f>INDEX(C$31:C$42,10)</f>
        <v>157.55200000000002</v>
      </c>
      <c r="F183" s="29">
        <f>IF(E183&gt;0,D183/E183,0)</f>
        <v>0.7922654107850106</v>
      </c>
      <c r="G183" s="4">
        <f>INDEX(Monthly!$U:$U,MATCH($A183,Monthly!$A:$A,0))</f>
        <v>73.824</v>
      </c>
      <c r="H183" s="4">
        <f>INDEX(D$31:D$42,10)</f>
        <v>156.79653333333331</v>
      </c>
      <c r="I183" s="32">
        <f>IF(H183&gt;0,G183/H183,0)</f>
        <v>0.470826735965251</v>
      </c>
      <c r="J183" s="4">
        <f>INDEX(Monthly!$Z:$Z,MATCH($A183,Monthly!$A:$A,0))</f>
        <v>54.179</v>
      </c>
      <c r="K183" s="4">
        <f>INDEX(E$31:E$42,10)</f>
        <v>182.93833333333333</v>
      </c>
      <c r="L183" s="32">
        <f>IF(K183&gt;0,J183/K183,0)</f>
        <v>0.29615990816577537</v>
      </c>
      <c r="M183" s="4">
        <f>INDEX(Monthly!$AE:$AE,MATCH($A183,Monthly!$A:$A,0))</f>
        <v>84.27533333333334</v>
      </c>
      <c r="N183" s="4">
        <f>INDEX(F$31:F$42,10)</f>
        <v>165.7622888888889</v>
      </c>
      <c r="O183" s="29">
        <f>IF(N183&gt;0,M183/N183,0)</f>
        <v>0.5084107724273971</v>
      </c>
    </row>
    <row r="184">
      <c r="A184" s="2" t="inlineStr">
        <is>
          <t xml:space="preserve">2016-11</t>
        </is>
      </c>
      <c r="B184" s="2" t="inlineStr">
        <is>
          <t xml:space="preserve">2016/17</t>
        </is>
      </c>
      <c r="C184" s="21" t="inlineStr">
        <is>
          <t xml:space="preserve">Neutral</t>
        </is>
      </c>
      <c r="D184" s="4">
        <f>INDEX(Monthly!$P:$P,MATCH($A184,Monthly!$A:$A,0))</f>
        <v>19.88</v>
      </c>
      <c r="E184" s="4">
        <f>INDEX(C$31:C$42,11)</f>
        <v>28.2242</v>
      </c>
      <c r="F184" s="29">
        <f>IF(E184&gt;0,D184/E184,0)</f>
        <v>0.7043600881513028</v>
      </c>
      <c r="G184" s="4">
        <f>INDEX(Monthly!$U:$U,MATCH($A184,Monthly!$A:$A,0))</f>
        <v>24.331</v>
      </c>
      <c r="H184" s="4">
        <f>INDEX(D$31:D$42,11)</f>
        <v>37.004000000000005</v>
      </c>
      <c r="I184" s="29">
        <f>IF(H184&gt;0,G184/H184,0)</f>
        <v>0.6575235109717867</v>
      </c>
      <c r="J184" s="4">
        <f>INDEX(Monthly!$Z:$Z,MATCH($A184,Monthly!$A:$A,0))</f>
        <v>79.954</v>
      </c>
      <c r="K184" s="4">
        <f>INDEX(E$31:E$42,11)</f>
        <v>60.208133333333336</v>
      </c>
      <c r="L184" s="29">
        <f>IF(K184&gt;0,J184/K184,0)</f>
        <v>1.32796012055957</v>
      </c>
      <c r="M184" s="4">
        <f>INDEX(Monthly!$AE:$AE,MATCH($A184,Monthly!$A:$A,0))</f>
        <v>41.38833333333333</v>
      </c>
      <c r="N184" s="4">
        <f>INDEX(F$31:F$42,11)</f>
        <v>41.81211111111111</v>
      </c>
      <c r="O184" s="29">
        <f>IF(N184&gt;0,M184/N184,0)</f>
        <v>0.9898647122444586</v>
      </c>
    </row>
    <row r="185">
      <c r="A185" s="2" t="inlineStr">
        <is>
          <t xml:space="preserve">2016-12</t>
        </is>
      </c>
      <c r="B185" s="2" t="inlineStr">
        <is>
          <t xml:space="preserve">2016/17</t>
        </is>
      </c>
      <c r="C185" s="21" t="inlineStr">
        <is>
          <t xml:space="preserve">Neutral</t>
        </is>
      </c>
      <c r="D185" s="4">
        <f>INDEX(Monthly!$P:$P,MATCH($A185,Monthly!$A:$A,0))</f>
        <v>17.905</v>
      </c>
      <c r="E185" s="4">
        <f>INDEX(C$31:C$42,12)</f>
        <v>13.638533333333335</v>
      </c>
      <c r="F185" s="29">
        <f>IF(E185&gt;0,D185/E185,0)</f>
        <v>1.3128244483766582</v>
      </c>
      <c r="G185" s="4">
        <f>INDEX(Monthly!$U:$U,MATCH($A185,Monthly!$A:$A,0))</f>
        <v>16.835</v>
      </c>
      <c r="H185" s="4">
        <f>INDEX(D$31:D$42,12)</f>
        <v>23.69433333333333</v>
      </c>
      <c r="I185" s="29">
        <f>IF(H185&gt;0,G185/H185,0)</f>
        <v>0.7105074349703869</v>
      </c>
      <c r="J185" s="4">
        <f>INDEX(Monthly!$Z:$Z,MATCH($A185,Monthly!$A:$A,0))</f>
        <v>50.416</v>
      </c>
      <c r="K185" s="4">
        <f>INDEX(E$31:E$42,12)</f>
        <v>52.138</v>
      </c>
      <c r="L185" s="29">
        <f>IF(K185&gt;0,J185/K185,0)</f>
        <v>0.9669722659097012</v>
      </c>
      <c r="M185" s="4">
        <f>INDEX(Monthly!$AE:$AE,MATCH($A185,Monthly!$A:$A,0))</f>
        <v>28.385333333333335</v>
      </c>
      <c r="N185" s="4">
        <f>INDEX(F$31:F$42,12)</f>
        <v>29.823622222222223</v>
      </c>
      <c r="O185" s="29">
        <f>IF(N185&gt;0,M185/N185,0)</f>
        <v>0.9517735009459318</v>
      </c>
    </row>
    <row r="186">
      <c r="A186" s="2" t="inlineStr">
        <is>
          <t xml:space="preserve">2017-01</t>
        </is>
      </c>
      <c r="B186" s="2" t="inlineStr">
        <is>
          <t xml:space="preserve">2016/17</t>
        </is>
      </c>
      <c r="C186" s="21" t="inlineStr">
        <is>
          <t xml:space="preserve">Neutral</t>
        </is>
      </c>
      <c r="D186" s="4">
        <f>INDEX(Monthly!$P:$P,MATCH($A186,Monthly!$A:$A,0))</f>
        <v>5.523</v>
      </c>
      <c r="E186" s="4">
        <f>INDEX(C$31:C$42,1)</f>
        <v>4.832071428571429</v>
      </c>
      <c r="F186" s="29">
        <f>IF(E186&gt;0,D186/E186,0)</f>
        <v>1.1429880707770992</v>
      </c>
      <c r="G186" s="4">
        <f>INDEX(Monthly!$U:$U,MATCH($A186,Monthly!$A:$A,0))</f>
        <v>9.237</v>
      </c>
      <c r="H186" s="4">
        <f>INDEX(D$31:D$42,1)</f>
        <v>14.249071428571428</v>
      </c>
      <c r="I186" s="29">
        <f>IF(H186&gt;0,G186/H186,0)</f>
        <v>0.6482527683508199</v>
      </c>
      <c r="J186" s="4">
        <f>INDEX(Monthly!$Z:$Z,MATCH($A186,Monthly!$A:$A,0))</f>
        <v>32.38</v>
      </c>
      <c r="K186" s="4">
        <f>INDEX(E$31:E$42,1)</f>
        <v>40.161500000000004</v>
      </c>
      <c r="L186" s="29">
        <f>IF(K186&gt;0,J186/K186,0)</f>
        <v>0.8062447866738045</v>
      </c>
      <c r="M186" s="4">
        <f>INDEX(Monthly!$AE:$AE,MATCH($A186,Monthly!$A:$A,0))</f>
        <v>15.713333333333333</v>
      </c>
      <c r="N186" s="4">
        <f>INDEX(F$31:F$42,1)</f>
        <v>19.74754761904762</v>
      </c>
      <c r="O186" s="29">
        <f>IF(N186&gt;0,M186/N186,0)</f>
        <v>0.7957106186783892</v>
      </c>
    </row>
    <row r="187">
      <c r="A187" s="2" t="inlineStr">
        <is>
          <t xml:space="preserve">2017-02</t>
        </is>
      </c>
      <c r="B187" s="2" t="inlineStr">
        <is>
          <t xml:space="preserve">2016/17</t>
        </is>
      </c>
      <c r="C187" s="21" t="inlineStr">
        <is>
          <t xml:space="preserve">Neutral</t>
        </is>
      </c>
      <c r="D187" s="4">
        <f>INDEX(Monthly!$P:$P,MATCH($A187,Monthly!$A:$A,0))</f>
        <v>0.866</v>
      </c>
      <c r="E187" s="4">
        <f>INDEX(C$31:C$42,2)</f>
        <v>5.8785</v>
      </c>
      <c r="F187" s="32">
        <f>IF(E187&gt;0,D187/E187,0)</f>
        <v>0.1473164923024581</v>
      </c>
      <c r="G187" s="4">
        <f>INDEX(Monthly!$U:$U,MATCH($A187,Monthly!$A:$A,0))</f>
        <v>3.509</v>
      </c>
      <c r="H187" s="4">
        <f>INDEX(D$31:D$42,2)</f>
        <v>12.850714285714284</v>
      </c>
      <c r="I187" s="32">
        <f>IF(H187&gt;0,G187/H187,0)</f>
        <v>0.27305875159802123</v>
      </c>
      <c r="J187" s="4">
        <f>INDEX(Monthly!$Z:$Z,MATCH($A187,Monthly!$A:$A,0))</f>
        <v>6.274</v>
      </c>
      <c r="K187" s="4">
        <f>INDEX(E$31:E$42,2)</f>
        <v>27.980785714285712</v>
      </c>
      <c r="L187" s="32">
        <f>IF(K187&gt;0,J187/K187,0)</f>
        <v>0.22422529746177863</v>
      </c>
      <c r="M187" s="4">
        <f>INDEX(Monthly!$AE:$AE,MATCH($A187,Monthly!$A:$A,0))</f>
        <v>3.549666666666667</v>
      </c>
      <c r="N187" s="4">
        <f>INDEX(F$31:F$42,2)</f>
        <v>15.570000000000002</v>
      </c>
      <c r="O187" s="32">
        <f>IF(N187&gt;0,M187/N187,0)</f>
        <v>0.22798116035110252</v>
      </c>
    </row>
    <row r="188">
      <c r="A188" s="2" t="inlineStr">
        <is>
          <t xml:space="preserve">2017-03</t>
        </is>
      </c>
      <c r="B188" s="2" t="inlineStr">
        <is>
          <t xml:space="preserve">2016/17</t>
        </is>
      </c>
      <c r="C188" s="21" t="inlineStr">
        <is>
          <t xml:space="preserve">Neutral</t>
        </is>
      </c>
      <c r="D188" s="4">
        <f>INDEX(Monthly!$P:$P,MATCH($A188,Monthly!$A:$A,0))</f>
        <v>4.565</v>
      </c>
      <c r="E188" s="4">
        <f>INDEX(C$31:C$42,3)</f>
        <v>8.098142857142857</v>
      </c>
      <c r="F188" s="29">
        <f>IF(E188&gt;0,D188/E188,0)</f>
        <v>0.5637094924762291</v>
      </c>
      <c r="G188" s="4">
        <f>INDEX(Monthly!$U:$U,MATCH($A188,Monthly!$A:$A,0))</f>
        <v>40.521</v>
      </c>
      <c r="H188" s="4">
        <f>INDEX(D$31:D$42,3)</f>
        <v>13.050214285714285</v>
      </c>
      <c r="I188" s="31">
        <f>IF(H188&gt;0,G188/H188,0)</f>
        <v>3.1050064859361917</v>
      </c>
      <c r="J188" s="4">
        <f>INDEX(Monthly!$Z:$Z,MATCH($A188,Monthly!$A:$A,0))</f>
        <v>38.13</v>
      </c>
      <c r="K188" s="4">
        <f>INDEX(E$31:E$42,3)</f>
        <v>22.94821428571429</v>
      </c>
      <c r="L188" s="31">
        <f>IF(K188&gt;0,J188/K188,0)</f>
        <v>1.6615671932145357</v>
      </c>
      <c r="M188" s="4">
        <f>INDEX(Monthly!$AE:$AE,MATCH($A188,Monthly!$A:$A,0))</f>
        <v>27.73866666666667</v>
      </c>
      <c r="N188" s="4">
        <f>INDEX(F$31:F$42,3)</f>
        <v>14.69885714285714</v>
      </c>
      <c r="O188" s="31">
        <f>IF(N188&gt;0,M188/N188,0)</f>
        <v>1.887130842695902</v>
      </c>
    </row>
    <row r="189">
      <c r="A189" s="2" t="inlineStr">
        <is>
          <t xml:space="preserve">2017-04</t>
        </is>
      </c>
      <c r="B189" s="2" t="inlineStr">
        <is>
          <t xml:space="preserve">2016/17</t>
        </is>
      </c>
      <c r="C189" s="21" t="inlineStr">
        <is>
          <t xml:space="preserve">Neutral</t>
        </is>
      </c>
      <c r="D189" s="4">
        <f>INDEX(Monthly!$P:$P,MATCH($A189,Monthly!$A:$A,0))</f>
        <v>86.835</v>
      </c>
      <c r="E189" s="4">
        <f>INDEX(C$31:C$42,4)</f>
        <v>48.56264285714286</v>
      </c>
      <c r="F189" s="31">
        <f>IF(E189&gt;0,D189/E189,0)</f>
        <v>1.7881028480151553</v>
      </c>
      <c r="G189" s="4">
        <f>INDEX(Monthly!$U:$U,MATCH($A189,Monthly!$A:$A,0))</f>
        <v>28.016</v>
      </c>
      <c r="H189" s="4">
        <f>INDEX(D$31:D$42,4)</f>
        <v>40.45578571428571</v>
      </c>
      <c r="I189" s="29">
        <f>IF(H189&gt;0,G189/H189,0)</f>
        <v>0.6925091060611144</v>
      </c>
      <c r="J189" s="4">
        <f>INDEX(Monthly!$Z:$Z,MATCH($A189,Monthly!$A:$A,0))</f>
        <v>74.726</v>
      </c>
      <c r="K189" s="4">
        <f>INDEX(E$31:E$42,4)</f>
        <v>48.85292857142857</v>
      </c>
      <c r="L189" s="31">
        <f>IF(K189&gt;0,J189/K189,0)</f>
        <v>1.529611472334602</v>
      </c>
      <c r="M189" s="4">
        <f>INDEX(Monthly!$AE:$AE,MATCH($A189,Monthly!$A:$A,0))</f>
        <v>63.19233333333333</v>
      </c>
      <c r="N189" s="4">
        <f>INDEX(F$31:F$42,4)</f>
        <v>45.95711904761904</v>
      </c>
      <c r="O189" s="29">
        <f>IF(N189&gt;0,M189/N189,0)</f>
        <v>1.3750281706704854</v>
      </c>
    </row>
    <row r="190">
      <c r="A190" s="2" t="inlineStr">
        <is>
          <t xml:space="preserve">2017-05</t>
        </is>
      </c>
      <c r="B190" s="2" t="inlineStr">
        <is>
          <t xml:space="preserve">2016/17</t>
        </is>
      </c>
      <c r="C190" s="21" t="inlineStr">
        <is>
          <t xml:space="preserve">Neutral</t>
        </is>
      </c>
      <c r="D190" s="4">
        <f>INDEX(Monthly!$P:$P,MATCH($A190,Monthly!$A:$A,0))</f>
        <v>227.82</v>
      </c>
      <c r="E190" s="4">
        <f>INDEX(C$31:C$42,5)</f>
        <v>157.25921428571428</v>
      </c>
      <c r="F190" s="29">
        <f>IF(E190&gt;0,D190/E190,0)</f>
        <v>1.4486909465672917</v>
      </c>
      <c r="G190" s="4">
        <f>INDEX(Monthly!$U:$U,MATCH($A190,Monthly!$A:$A,0))</f>
        <v>205.415</v>
      </c>
      <c r="H190" s="4">
        <f>INDEX(D$31:D$42,5)</f>
        <v>153.39671428571432</v>
      </c>
      <c r="I190" s="29">
        <f>IF(H190&gt;0,G190/H190,0)</f>
        <v>1.3391095171530025</v>
      </c>
      <c r="J190" s="4">
        <f>INDEX(Monthly!$Z:$Z,MATCH($A190,Monthly!$A:$A,0))</f>
        <v>264.116</v>
      </c>
      <c r="K190" s="4">
        <f>INDEX(E$31:E$42,5)</f>
        <v>157.15200000000002</v>
      </c>
      <c r="L190" s="31">
        <f>IF(K190&gt;0,J190/K190,0)</f>
        <v>1.680640399104052</v>
      </c>
      <c r="M190" s="4">
        <f>INDEX(Monthly!$AE:$AE,MATCH($A190,Monthly!$A:$A,0))</f>
        <v>232.45033333333333</v>
      </c>
      <c r="N190" s="4">
        <f>INDEX(F$31:F$42,5)</f>
        <v>155.9359761904762</v>
      </c>
      <c r="O190" s="29">
        <f>IF(N190&gt;0,M190/N190,0)</f>
        <v>1.4906780270474251</v>
      </c>
    </row>
    <row r="191">
      <c r="A191" s="2" t="inlineStr">
        <is>
          <t xml:space="preserve">2017-06</t>
        </is>
      </c>
      <c r="B191" s="2" t="inlineStr">
        <is>
          <t xml:space="preserve">2016/17</t>
        </is>
      </c>
      <c r="C191" s="21" t="inlineStr">
        <is>
          <t xml:space="preserve">Neutral</t>
        </is>
      </c>
      <c r="D191" s="4">
        <f>INDEX(Monthly!$P:$P,MATCH($A191,Monthly!$A:$A,0))</f>
        <v>254.474</v>
      </c>
      <c r="E191" s="4">
        <f>INDEX(C$31:C$42,6)</f>
        <v>197.10614285714286</v>
      </c>
      <c r="F191" s="29">
        <f>IF(E191&gt;0,D191/E191,0)</f>
        <v>1.2910505797094096</v>
      </c>
      <c r="G191" s="4">
        <f>INDEX(Monthly!$U:$U,MATCH($A191,Monthly!$A:$A,0))</f>
        <v>230.711</v>
      </c>
      <c r="H191" s="4">
        <f>INDEX(D$31:D$42,6)</f>
        <v>192.85257142857145</v>
      </c>
      <c r="I191" s="29">
        <f>IF(H191&gt;0,G191/H191,0)</f>
        <v>1.1963076161805317</v>
      </c>
      <c r="J191" s="4">
        <f>INDEX(Monthly!$Z:$Z,MATCH($A191,Monthly!$A:$A,0))</f>
        <v>432.015</v>
      </c>
      <c r="K191" s="4">
        <f>INDEX(E$31:E$42,6)</f>
        <v>244.03071428571425</v>
      </c>
      <c r="L191" s="31">
        <f>IF(K191&gt;0,J191/K191,0)</f>
        <v>1.7703304326446028</v>
      </c>
      <c r="M191" s="4">
        <f>INDEX(Monthly!$AE:$AE,MATCH($A191,Monthly!$A:$A,0))</f>
        <v>305.73333333333335</v>
      </c>
      <c r="N191" s="4">
        <f>INDEX(F$31:F$42,6)</f>
        <v>211.32980952380953</v>
      </c>
      <c r="O191" s="29">
        <f>IF(N191&gt;0,M191/N191,0)</f>
        <v>1.4467118198906426</v>
      </c>
    </row>
    <row r="192">
      <c r="A192" s="2" t="inlineStr">
        <is>
          <t xml:space="preserve">2017-07</t>
        </is>
      </c>
      <c r="B192" s="2" t="inlineStr">
        <is>
          <t xml:space="preserve">2017/18</t>
        </is>
      </c>
      <c r="C192" s="5" t="inlineStr">
        <is>
          <t xml:space="preserve">La Niña</t>
        </is>
      </c>
      <c r="D192" s="4">
        <f>INDEX(Monthly!$P:$P,MATCH($A192,Monthly!$A:$A,0))</f>
        <v>171.605</v>
      </c>
      <c r="E192" s="4">
        <f>INDEX(C$31:C$42,7)</f>
        <v>137.10459999999998</v>
      </c>
      <c r="F192" s="29">
        <f>IF(E192&gt;0,D192/E192,0)</f>
        <v>1.2516356125177421</v>
      </c>
      <c r="G192" s="4">
        <f>INDEX(Monthly!$U:$U,MATCH($A192,Monthly!$A:$A,0))</f>
        <v>269.24</v>
      </c>
      <c r="H192" s="4">
        <f>INDEX(D$31:D$42,7)</f>
        <v>187.2258</v>
      </c>
      <c r="I192" s="29">
        <f>IF(H192&gt;0,G192/H192,0)</f>
        <v>1.438049670504813</v>
      </c>
      <c r="J192" s="4">
        <f>INDEX(Monthly!$Z:$Z,MATCH($A192,Monthly!$A:$A,0))</f>
        <v>340.568</v>
      </c>
      <c r="K192" s="4">
        <f>INDEX(E$31:E$42,7)</f>
        <v>179.02346666666668</v>
      </c>
      <c r="L192" s="31">
        <f>IF(K192&gt;0,J192/K192,0)</f>
        <v>1.902365127551248</v>
      </c>
      <c r="M192" s="4">
        <f>INDEX(Monthly!$AE:$AE,MATCH($A192,Monthly!$A:$A,0))</f>
        <v>260.471</v>
      </c>
      <c r="N192" s="4">
        <f>INDEX(F$31:F$42,7)</f>
        <v>167.78462222222225</v>
      </c>
      <c r="O192" s="31">
        <f>IF(N192&gt;0,M192/N192,0)</f>
        <v>1.552412828721689</v>
      </c>
    </row>
    <row r="193">
      <c r="A193" s="2" t="inlineStr">
        <is>
          <t xml:space="preserve">2017-08</t>
        </is>
      </c>
      <c r="B193" s="2" t="inlineStr">
        <is>
          <t xml:space="preserve">2017/18</t>
        </is>
      </c>
      <c r="C193" s="5" t="inlineStr">
        <is>
          <t xml:space="preserve">La Niña</t>
        </is>
      </c>
      <c r="D193" s="4">
        <f>INDEX(Monthly!$P:$P,MATCH($A193,Monthly!$A:$A,0))</f>
        <v>122.604</v>
      </c>
      <c r="E193" s="4">
        <f>INDEX(C$31:C$42,8)</f>
        <v>168.58193333333332</v>
      </c>
      <c r="F193" s="29">
        <f>IF(E193&gt;0,D193/E193,0)</f>
        <v>0.7272665437854353</v>
      </c>
      <c r="G193" s="4">
        <f>INDEX(Monthly!$U:$U,MATCH($A193,Monthly!$A:$A,0))</f>
        <v>207.396</v>
      </c>
      <c r="H193" s="4">
        <f>INDEX(D$31:D$42,8)</f>
        <v>228.6517333333334</v>
      </c>
      <c r="I193" s="29">
        <f>IF(H193&gt;0,G193/H193,0)</f>
        <v>0.907038827025438</v>
      </c>
      <c r="J193" s="4">
        <f>INDEX(Monthly!$Z:$Z,MATCH($A193,Monthly!$A:$A,0))</f>
        <v>169.206</v>
      </c>
      <c r="K193" s="4">
        <f>INDEX(E$31:E$42,8)</f>
        <v>219.19053333333335</v>
      </c>
      <c r="L193" s="29">
        <f>IF(K193&gt;0,J193/K193,0)</f>
        <v>0.771958521323001</v>
      </c>
      <c r="M193" s="4">
        <f>INDEX(Monthly!$AE:$AE,MATCH($A193,Monthly!$A:$A,0))</f>
        <v>166.40200000000002</v>
      </c>
      <c r="N193" s="4">
        <f>INDEX(F$31:F$42,8)</f>
        <v>205.47473333333338</v>
      </c>
      <c r="O193" s="29">
        <f>IF(N193&gt;0,M193/N193,0)</f>
        <v>0.8098416642305736</v>
      </c>
    </row>
    <row r="194">
      <c r="A194" s="2" t="inlineStr">
        <is>
          <t xml:space="preserve">2017-09</t>
        </is>
      </c>
      <c r="B194" s="2" t="inlineStr">
        <is>
          <t xml:space="preserve">2017/18</t>
        </is>
      </c>
      <c r="C194" s="5" t="inlineStr">
        <is>
          <t xml:space="preserve">La Niña</t>
        </is>
      </c>
      <c r="D194" s="4">
        <f>INDEX(Monthly!$P:$P,MATCH($A194,Monthly!$A:$A,0))</f>
        <v>351.863</v>
      </c>
      <c r="E194" s="4">
        <f>INDEX(C$31:C$42,9)</f>
        <v>216.9424666666667</v>
      </c>
      <c r="F194" s="31">
        <f>IF(E194&gt;0,D194/E194,0)</f>
        <v>1.6219184994362559</v>
      </c>
      <c r="G194" s="4">
        <f>INDEX(Monthly!$U:$U,MATCH($A194,Monthly!$A:$A,0))</f>
        <v>261.335</v>
      </c>
      <c r="H194" s="4">
        <f>INDEX(D$31:D$42,9)</f>
        <v>235.93773333333334</v>
      </c>
      <c r="I194" s="29">
        <f>IF(H194&gt;0,G194/H194,0)</f>
        <v>1.1076439376942955</v>
      </c>
      <c r="J194" s="4">
        <f>INDEX(Monthly!$Z:$Z,MATCH($A194,Monthly!$A:$A,0))</f>
        <v>283.865</v>
      </c>
      <c r="K194" s="4">
        <f>INDEX(E$31:E$42,9)</f>
        <v>255.97060000000002</v>
      </c>
      <c r="L194" s="29">
        <f>IF(K194&gt;0,J194/K194,0)</f>
        <v>1.1089750150993902</v>
      </c>
      <c r="M194" s="4">
        <f>INDEX(Monthly!$AE:$AE,MATCH($A194,Monthly!$A:$A,0))</f>
        <v>299.021</v>
      </c>
      <c r="N194" s="4">
        <f>INDEX(F$31:F$42,9)</f>
        <v>236.28360000000004</v>
      </c>
      <c r="O194" s="29">
        <f>IF(N194&gt;0,M194/N194,0)</f>
        <v>1.26551736980476</v>
      </c>
    </row>
    <row r="195">
      <c r="A195" s="2" t="inlineStr">
        <is>
          <t xml:space="preserve">2017-10</t>
        </is>
      </c>
      <c r="B195" s="2" t="inlineStr">
        <is>
          <t xml:space="preserve">2017/18</t>
        </is>
      </c>
      <c r="C195" s="5" t="inlineStr">
        <is>
          <t xml:space="preserve">La Niña</t>
        </is>
      </c>
      <c r="D195" s="4">
        <f>INDEX(Monthly!$P:$P,MATCH($A195,Monthly!$A:$A,0))</f>
        <v>135.644</v>
      </c>
      <c r="E195" s="4">
        <f>INDEX(C$31:C$42,10)</f>
        <v>157.55200000000002</v>
      </c>
      <c r="F195" s="29">
        <f>IF(E195&gt;0,D195/E195,0)</f>
        <v>0.8609474966995023</v>
      </c>
      <c r="G195" s="4">
        <f>INDEX(Monthly!$U:$U,MATCH($A195,Monthly!$A:$A,0))</f>
        <v>152.433</v>
      </c>
      <c r="H195" s="4">
        <f>INDEX(D$31:D$42,10)</f>
        <v>156.79653333333331</v>
      </c>
      <c r="I195" s="29">
        <f>IF(H195&gt;0,G195/H195,0)</f>
        <v>0.9721707282644004</v>
      </c>
      <c r="J195" s="4">
        <f>INDEX(Monthly!$Z:$Z,MATCH($A195,Monthly!$A:$A,0))</f>
        <v>248.724</v>
      </c>
      <c r="K195" s="4">
        <f>INDEX(E$31:E$42,10)</f>
        <v>182.93833333333333</v>
      </c>
      <c r="L195" s="29">
        <f>IF(K195&gt;0,J195/K195,0)</f>
        <v>1.3596056959084573</v>
      </c>
      <c r="M195" s="4">
        <f>INDEX(Monthly!$AE:$AE,MATCH($A195,Monthly!$A:$A,0))</f>
        <v>178.93366666666665</v>
      </c>
      <c r="N195" s="4">
        <f>INDEX(F$31:F$42,10)</f>
        <v>165.7622888888889</v>
      </c>
      <c r="O195" s="29">
        <f>IF(N195&gt;0,M195/N195,0)</f>
        <v>1.0794594347487962</v>
      </c>
    </row>
    <row r="196">
      <c r="A196" s="2" t="inlineStr">
        <is>
          <t xml:space="preserve">2017-11</t>
        </is>
      </c>
      <c r="B196" s="2" t="inlineStr">
        <is>
          <t xml:space="preserve">2017/18</t>
        </is>
      </c>
      <c r="C196" s="5" t="inlineStr">
        <is>
          <t xml:space="preserve">La Niña</t>
        </is>
      </c>
      <c r="D196" s="4">
        <f>INDEX(Monthly!$P:$P,MATCH($A196,Monthly!$A:$A,0))</f>
        <v>3.673</v>
      </c>
      <c r="E196" s="4">
        <f>INDEX(C$31:C$42,11)</f>
        <v>28.2242</v>
      </c>
      <c r="F196" s="32">
        <f>IF(E196&gt;0,D196/E196,0)</f>
        <v>0.13013654948590217</v>
      </c>
      <c r="G196" s="4">
        <f>INDEX(Monthly!$U:$U,MATCH($A196,Monthly!$A:$A,0))</f>
        <v>15.103</v>
      </c>
      <c r="H196" s="4">
        <f>INDEX(D$31:D$42,11)</f>
        <v>37.004000000000005</v>
      </c>
      <c r="I196" s="32">
        <f>IF(H196&gt;0,G196/H196,0)</f>
        <v>0.4081450653983352</v>
      </c>
      <c r="J196" s="4">
        <f>INDEX(Monthly!$Z:$Z,MATCH($A196,Monthly!$A:$A,0))</f>
        <v>56.539</v>
      </c>
      <c r="K196" s="4">
        <f>INDEX(E$31:E$42,11)</f>
        <v>60.208133333333336</v>
      </c>
      <c r="L196" s="29">
        <f>IF(K196&gt;0,J196/K196,0)</f>
        <v>0.9390591747294386</v>
      </c>
      <c r="M196" s="4">
        <f>INDEX(Monthly!$AE:$AE,MATCH($A196,Monthly!$A:$A,0))</f>
        <v>25.105</v>
      </c>
      <c r="N196" s="4">
        <f>INDEX(F$31:F$42,11)</f>
        <v>41.81211111111111</v>
      </c>
      <c r="O196" s="29">
        <f>IF(N196&gt;0,M196/N196,0)</f>
        <v>0.6004241195400589</v>
      </c>
    </row>
    <row r="197">
      <c r="A197" s="2" t="inlineStr">
        <is>
          <t xml:space="preserve">2017-12</t>
        </is>
      </c>
      <c r="B197" s="2" t="inlineStr">
        <is>
          <t xml:space="preserve">2017/18</t>
        </is>
      </c>
      <c r="C197" s="5" t="inlineStr">
        <is>
          <t xml:space="preserve">La Niña</t>
        </is>
      </c>
      <c r="D197" s="4">
        <f>INDEX(Monthly!$P:$P,MATCH($A197,Monthly!$A:$A,0))</f>
        <v>17.946</v>
      </c>
      <c r="E197" s="4">
        <f>INDEX(C$31:C$42,12)</f>
        <v>13.638533333333335</v>
      </c>
      <c r="F197" s="29">
        <f>IF(E197&gt;0,D197/E197,0)</f>
        <v>1.3158306367253565</v>
      </c>
      <c r="G197" s="4">
        <f>INDEX(Monthly!$U:$U,MATCH($A197,Monthly!$A:$A,0))</f>
        <v>11.004</v>
      </c>
      <c r="H197" s="4">
        <f>INDEX(D$31:D$42,12)</f>
        <v>23.69433333333333</v>
      </c>
      <c r="I197" s="32">
        <f>IF(H197&gt;0,G197/H197,0)</f>
        <v>0.4644148389910387</v>
      </c>
      <c r="J197" s="4">
        <f>INDEX(Monthly!$Z:$Z,MATCH($A197,Monthly!$A:$A,0))</f>
        <v>39.412</v>
      </c>
      <c r="K197" s="4">
        <f>INDEX(E$31:E$42,12)</f>
        <v>52.138</v>
      </c>
      <c r="L197" s="29">
        <f>IF(K197&gt;0,J197/K197,0)</f>
        <v>0.7559169895277916</v>
      </c>
      <c r="M197" s="4">
        <f>INDEX(Monthly!$AE:$AE,MATCH($A197,Monthly!$A:$A,0))</f>
        <v>22.787333333333333</v>
      </c>
      <c r="N197" s="4">
        <f>INDEX(F$31:F$42,12)</f>
        <v>29.823622222222223</v>
      </c>
      <c r="O197" s="29">
        <f>IF(N197&gt;0,M197/N197,0)</f>
        <v>0.7640699430652659</v>
      </c>
    </row>
    <row r="198">
      <c r="A198" s="2" t="inlineStr">
        <is>
          <t xml:space="preserve">2018-01</t>
        </is>
      </c>
      <c r="B198" s="2" t="inlineStr">
        <is>
          <t xml:space="preserve">2017/18</t>
        </is>
      </c>
      <c r="C198" s="5" t="inlineStr">
        <is>
          <t xml:space="preserve">La Niña</t>
        </is>
      </c>
      <c r="D198" s="4">
        <f>INDEX(Monthly!$P:$P,MATCH($A198,Monthly!$A:$A,0))</f>
        <v>0.812</v>
      </c>
      <c r="E198" s="4">
        <f>INDEX(C$31:C$42,1)</f>
        <v>4.832071428571429</v>
      </c>
      <c r="F198" s="32">
        <f>IF(E198&gt;0,D198/E198,0)</f>
        <v>0.16804387352362932</v>
      </c>
      <c r="G198" s="4">
        <f>INDEX(Monthly!$U:$U,MATCH($A198,Monthly!$A:$A,0))</f>
        <v>21.208</v>
      </c>
      <c r="H198" s="4">
        <f>INDEX(D$31:D$42,1)</f>
        <v>14.249071428571428</v>
      </c>
      <c r="I198" s="29">
        <f>IF(H198&gt;0,G198/H198,0)</f>
        <v>1.4883776887716993</v>
      </c>
      <c r="J198" s="4">
        <f>INDEX(Monthly!$Z:$Z,MATCH($A198,Monthly!$A:$A,0))</f>
        <v>68.178</v>
      </c>
      <c r="K198" s="4">
        <f>INDEX(E$31:E$42,1)</f>
        <v>40.161500000000004</v>
      </c>
      <c r="L198" s="31">
        <f>IF(K198&gt;0,J198/K198,0)</f>
        <v>1.6975959563263323</v>
      </c>
      <c r="M198" s="4">
        <f>INDEX(Monthly!$AE:$AE,MATCH($A198,Monthly!$A:$A,0))</f>
        <v>30.066</v>
      </c>
      <c r="N198" s="4">
        <f>INDEX(F$31:F$42,1)</f>
        <v>19.74754761904762</v>
      </c>
      <c r="O198" s="31">
        <f>IF(N198&gt;0,M198/N198,0)</f>
        <v>1.5225181668127568</v>
      </c>
    </row>
    <row r="199">
      <c r="A199" s="2" t="inlineStr">
        <is>
          <t xml:space="preserve">2018-02</t>
        </is>
      </c>
      <c r="B199" s="2" t="inlineStr">
        <is>
          <t xml:space="preserve">2017/18</t>
        </is>
      </c>
      <c r="C199" s="5" t="inlineStr">
        <is>
          <t xml:space="preserve">La Niña</t>
        </is>
      </c>
      <c r="D199" s="4">
        <f>INDEX(Monthly!$P:$P,MATCH($A199,Monthly!$A:$A,0))</f>
        <v>2.899</v>
      </c>
      <c r="E199" s="4">
        <f>INDEX(C$31:C$42,2)</f>
        <v>5.8785</v>
      </c>
      <c r="F199" s="32">
        <f>IF(E199&gt;0,D199/E199,0)</f>
        <v>0.4931530152249724</v>
      </c>
      <c r="G199" s="4">
        <f>INDEX(Monthly!$U:$U,MATCH($A199,Monthly!$A:$A,0))</f>
        <v>13.424</v>
      </c>
      <c r="H199" s="4">
        <f>INDEX(D$31:D$42,2)</f>
        <v>12.850714285714284</v>
      </c>
      <c r="I199" s="29">
        <f>IF(H199&gt;0,G199/H199,0)</f>
        <v>1.044611194486132</v>
      </c>
      <c r="J199" s="4">
        <f>INDEX(Monthly!$Z:$Z,MATCH($A199,Monthly!$A:$A,0))</f>
        <v>19.481</v>
      </c>
      <c r="K199" s="4">
        <f>INDEX(E$31:E$42,2)</f>
        <v>27.980785714285712</v>
      </c>
      <c r="L199" s="29">
        <f>IF(K199&gt;0,J199/K199,0)</f>
        <v>0.6962277685452518</v>
      </c>
      <c r="M199" s="4">
        <f>INDEX(Monthly!$AE:$AE,MATCH($A199,Monthly!$A:$A,0))</f>
        <v>11.934666666666667</v>
      </c>
      <c r="N199" s="4">
        <f>INDEX(F$31:F$42,2)</f>
        <v>15.570000000000002</v>
      </c>
      <c r="O199" s="29">
        <f>IF(N199&gt;0,M199/N199,0)</f>
        <v>0.7665168058231641</v>
      </c>
    </row>
    <row r="200">
      <c r="A200" s="2" t="inlineStr">
        <is>
          <t xml:space="preserve">2018-03</t>
        </is>
      </c>
      <c r="B200" s="2" t="inlineStr">
        <is>
          <t xml:space="preserve">2017/18</t>
        </is>
      </c>
      <c r="C200" s="5" t="inlineStr">
        <is>
          <t xml:space="preserve">La Niña</t>
        </is>
      </c>
      <c r="D200" s="4">
        <f>INDEX(Monthly!$P:$P,MATCH($A200,Monthly!$A:$A,0))</f>
        <v>0.497</v>
      </c>
      <c r="E200" s="4">
        <f>INDEX(C$31:C$42,3)</f>
        <v>8.098142857142857</v>
      </c>
      <c r="F200" s="32">
        <f>IF(E200&gt;0,D200/E200,0)</f>
        <v>0.06137209589500238</v>
      </c>
      <c r="G200" s="4">
        <f>INDEX(Monthly!$U:$U,MATCH($A200,Monthly!$A:$A,0))</f>
        <v>4.261</v>
      </c>
      <c r="H200" s="4">
        <f>INDEX(D$31:D$42,3)</f>
        <v>13.050214285714285</v>
      </c>
      <c r="I200" s="32">
        <f>IF(H200&gt;0,G200/H200,0)</f>
        <v>0.3265080485815778</v>
      </c>
      <c r="J200" s="4">
        <f>INDEX(Monthly!$Z:$Z,MATCH($A200,Monthly!$A:$A,0))</f>
        <v>14.403</v>
      </c>
      <c r="K200" s="4">
        <f>INDEX(E$31:E$42,3)</f>
        <v>22.94821428571429</v>
      </c>
      <c r="L200" s="29">
        <f>IF(K200&gt;0,J200/K200,0)</f>
        <v>0.6276305345887478</v>
      </c>
      <c r="M200" s="4">
        <f>INDEX(Monthly!$AE:$AE,MATCH($A200,Monthly!$A:$A,0))</f>
        <v>6.3870000000000005</v>
      </c>
      <c r="N200" s="4">
        <f>INDEX(F$31:F$42,3)</f>
        <v>14.69885714285714</v>
      </c>
      <c r="O200" s="32">
        <f>IF(N200&gt;0,M200/N200,0)</f>
        <v>0.4345235781207481</v>
      </c>
    </row>
    <row r="201">
      <c r="A201" s="2" t="inlineStr">
        <is>
          <t xml:space="preserve">2018-04</t>
        </is>
      </c>
      <c r="B201" s="2" t="inlineStr">
        <is>
          <t xml:space="preserve">2017/18</t>
        </is>
      </c>
      <c r="C201" s="5" t="inlineStr">
        <is>
          <t xml:space="preserve">La Niña</t>
        </is>
      </c>
      <c r="D201" s="4">
        <f>INDEX(Monthly!$P:$P,MATCH($A201,Monthly!$A:$A,0))</f>
        <v>81.822</v>
      </c>
      <c r="E201" s="4">
        <f>INDEX(C$31:C$42,4)</f>
        <v>48.56264285714286</v>
      </c>
      <c r="F201" s="31">
        <f>IF(E201&gt;0,D201/E201,0)</f>
        <v>1.6848753524534583</v>
      </c>
      <c r="G201" s="4">
        <f>INDEX(Monthly!$U:$U,MATCH($A201,Monthly!$A:$A,0))</f>
        <v>122.293</v>
      </c>
      <c r="H201" s="4">
        <f>INDEX(D$31:D$42,4)</f>
        <v>40.45578571428571</v>
      </c>
      <c r="I201" s="31">
        <f>IF(H201&gt;0,G201/H201,0)</f>
        <v>3.0228803579216117</v>
      </c>
      <c r="J201" s="4">
        <f>INDEX(Monthly!$Z:$Z,MATCH($A201,Monthly!$A:$A,0))</f>
        <v>47.433</v>
      </c>
      <c r="K201" s="4">
        <f>INDEX(E$31:E$42,4)</f>
        <v>48.85292857142857</v>
      </c>
      <c r="L201" s="29">
        <f>IF(K201&gt;0,J201/K201,0)</f>
        <v>0.9709346274020713</v>
      </c>
      <c r="M201" s="4">
        <f>INDEX(Monthly!$AE:$AE,MATCH($A201,Monthly!$A:$A,0))</f>
        <v>83.84933333333333</v>
      </c>
      <c r="N201" s="4">
        <f>INDEX(F$31:F$42,4)</f>
        <v>45.95711904761904</v>
      </c>
      <c r="O201" s="31">
        <f>IF(N201&gt;0,M201/N201,0)</f>
        <v>1.8245123948359732</v>
      </c>
    </row>
    <row r="202">
      <c r="A202" s="2" t="inlineStr">
        <is>
          <t xml:space="preserve">2018-05</t>
        </is>
      </c>
      <c r="B202" s="2" t="inlineStr">
        <is>
          <t xml:space="preserve">2017/18</t>
        </is>
      </c>
      <c r="C202" s="5" t="inlineStr">
        <is>
          <t xml:space="preserve">La Niña</t>
        </is>
      </c>
      <c r="D202" s="4">
        <f>INDEX(Monthly!$P:$P,MATCH($A202,Monthly!$A:$A,0))</f>
        <v>206.764</v>
      </c>
      <c r="E202" s="4">
        <f>INDEX(C$31:C$42,5)</f>
        <v>157.25921428571428</v>
      </c>
      <c r="F202" s="29">
        <f>IF(E202&gt;0,D202/E202,0)</f>
        <v>1.3147973614083028</v>
      </c>
      <c r="G202" s="4">
        <f>INDEX(Monthly!$U:$U,MATCH($A202,Monthly!$A:$A,0))</f>
        <v>188.437</v>
      </c>
      <c r="H202" s="4">
        <f>INDEX(D$31:D$42,5)</f>
        <v>153.39671428571432</v>
      </c>
      <c r="I202" s="29">
        <f>IF(H202&gt;0,G202/H202,0)</f>
        <v>1.2284291803605403</v>
      </c>
      <c r="J202" s="4">
        <f>INDEX(Monthly!$Z:$Z,MATCH($A202,Monthly!$A:$A,0))</f>
        <v>142.19</v>
      </c>
      <c r="K202" s="4">
        <f>INDEX(E$31:E$42,5)</f>
        <v>157.15200000000002</v>
      </c>
      <c r="L202" s="29">
        <f>IF(K202&gt;0,J202/K202,0)</f>
        <v>0.9047928120545713</v>
      </c>
      <c r="M202" s="4">
        <f>INDEX(Monthly!$AE:$AE,MATCH($A202,Monthly!$A:$A,0))</f>
        <v>179.13033333333337</v>
      </c>
      <c r="N202" s="4">
        <f>INDEX(F$31:F$42,5)</f>
        <v>155.9359761904762</v>
      </c>
      <c r="O202" s="29">
        <f>IF(N202&gt;0,M202/N202,0)</f>
        <v>1.1487428219548592</v>
      </c>
    </row>
    <row r="203">
      <c r="A203" s="2" t="inlineStr">
        <is>
          <t xml:space="preserve">2018-06</t>
        </is>
      </c>
      <c r="B203" s="2" t="inlineStr">
        <is>
          <t xml:space="preserve">2017/18</t>
        </is>
      </c>
      <c r="C203" s="5" t="inlineStr">
        <is>
          <t xml:space="preserve">La Niña</t>
        </is>
      </c>
      <c r="D203" s="4">
        <f>INDEX(Monthly!$P:$P,MATCH($A203,Monthly!$A:$A,0))</f>
        <v>193.913</v>
      </c>
      <c r="E203" s="4">
        <f>INDEX(C$31:C$42,6)</f>
        <v>197.10614285714286</v>
      </c>
      <c r="F203" s="29">
        <f>IF(E203&gt;0,D203/E203,0)</f>
        <v>0.9837998815721479</v>
      </c>
      <c r="G203" s="4">
        <f>INDEX(Monthly!$U:$U,MATCH($A203,Monthly!$A:$A,0))</f>
        <v>183.928</v>
      </c>
      <c r="H203" s="4">
        <f>INDEX(D$31:D$42,6)</f>
        <v>192.85257142857145</v>
      </c>
      <c r="I203" s="29">
        <f>IF(H203&gt;0,G203/H203,0)</f>
        <v>0.9537233475163854</v>
      </c>
      <c r="J203" s="4">
        <f>INDEX(Monthly!$Z:$Z,MATCH($A203,Monthly!$A:$A,0))</f>
        <v>303.535</v>
      </c>
      <c r="K203" s="4">
        <f>INDEX(E$31:E$42,6)</f>
        <v>244.03071428571425</v>
      </c>
      <c r="L203" s="29">
        <f>IF(K203&gt;0,J203/K203,0)</f>
        <v>1.2438393293584242</v>
      </c>
      <c r="M203" s="4">
        <f>INDEX(Monthly!$AE:$AE,MATCH($A203,Monthly!$A:$A,0))</f>
        <v>227.12533333333332</v>
      </c>
      <c r="N203" s="4">
        <f>INDEX(F$31:F$42,6)</f>
        <v>211.32980952380953</v>
      </c>
      <c r="O203" s="29">
        <f>IF(N203&gt;0,M203/N203,0)</f>
        <v>1.0747434725139624</v>
      </c>
    </row>
    <row r="204">
      <c r="A204" s="2" t="inlineStr">
        <is>
          <t xml:space="preserve">2018-07</t>
        </is>
      </c>
      <c r="B204" s="2" t="inlineStr">
        <is>
          <t xml:space="preserve">2018/19</t>
        </is>
      </c>
      <c r="C204" s="6" t="inlineStr">
        <is>
          <t xml:space="preserve">El Niño</t>
        </is>
      </c>
      <c r="D204" s="4">
        <f>INDEX(Monthly!$P:$P,MATCH($A204,Monthly!$A:$A,0))</f>
        <v>67.395</v>
      </c>
      <c r="E204" s="4">
        <f>INDEX(C$31:C$42,7)</f>
        <v>137.10459999999998</v>
      </c>
      <c r="F204" s="32">
        <f>IF(E204&gt;0,D204/E204,0)</f>
        <v>0.49155899947922976</v>
      </c>
      <c r="G204" s="4">
        <f>INDEX(Monthly!$U:$U,MATCH($A204,Monthly!$A:$A,0))</f>
        <v>104.002</v>
      </c>
      <c r="H204" s="4">
        <f>INDEX(D$31:D$42,7)</f>
        <v>187.2258</v>
      </c>
      <c r="I204" s="29">
        <f>IF(H204&gt;0,G204/H204,0)</f>
        <v>0.5554896814434763</v>
      </c>
      <c r="J204" s="4">
        <f>INDEX(Monthly!$Z:$Z,MATCH($A204,Monthly!$A:$A,0))</f>
        <v>102.399</v>
      </c>
      <c r="K204" s="4">
        <f>INDEX(E$31:E$42,7)</f>
        <v>179.02346666666668</v>
      </c>
      <c r="L204" s="29">
        <f>IF(K204&gt;0,J204/K204,0)</f>
        <v>0.5719864658339018</v>
      </c>
      <c r="M204" s="4">
        <f>INDEX(Monthly!$AE:$AE,MATCH($A204,Monthly!$A:$A,0))</f>
        <v>91.26533333333333</v>
      </c>
      <c r="N204" s="4">
        <f>INDEX(F$31:F$42,7)</f>
        <v>167.78462222222225</v>
      </c>
      <c r="O204" s="29">
        <f>IF(N204&gt;0,M204/N204,0)</f>
        <v>0.5439433729061118</v>
      </c>
    </row>
    <row r="205">
      <c r="A205" s="2" t="inlineStr">
        <is>
          <t xml:space="preserve">2018-08</t>
        </is>
      </c>
      <c r="B205" s="2" t="inlineStr">
        <is>
          <t xml:space="preserve">2018/19</t>
        </is>
      </c>
      <c r="C205" s="6" t="inlineStr">
        <is>
          <t xml:space="preserve">El Niño</t>
        </is>
      </c>
      <c r="D205" s="4">
        <f>INDEX(Monthly!$P:$P,MATCH($A205,Monthly!$A:$A,0))</f>
        <v>136.17</v>
      </c>
      <c r="E205" s="4">
        <f>INDEX(C$31:C$42,8)</f>
        <v>168.58193333333332</v>
      </c>
      <c r="F205" s="29">
        <f>IF(E205&gt;0,D205/E205,0)</f>
        <v>0.8077378002941398</v>
      </c>
      <c r="G205" s="4">
        <f>INDEX(Monthly!$U:$U,MATCH($A205,Monthly!$A:$A,0))</f>
        <v>319.697</v>
      </c>
      <c r="H205" s="4">
        <f>INDEX(D$31:D$42,8)</f>
        <v>228.6517333333334</v>
      </c>
      <c r="I205" s="29">
        <f>IF(H205&gt;0,G205/H205,0)</f>
        <v>1.398183146654475</v>
      </c>
      <c r="J205" s="4">
        <f>INDEX(Monthly!$Z:$Z,MATCH($A205,Monthly!$A:$A,0))</f>
        <v>126.959</v>
      </c>
      <c r="K205" s="4">
        <f>INDEX(E$31:E$42,8)</f>
        <v>219.19053333333335</v>
      </c>
      <c r="L205" s="29">
        <f>IF(K205&gt;0,J205/K205,0)</f>
        <v>0.5792175331173062</v>
      </c>
      <c r="M205" s="4">
        <f>INDEX(Monthly!$AE:$AE,MATCH($A205,Monthly!$A:$A,0))</f>
        <v>194.27533333333335</v>
      </c>
      <c r="N205" s="4">
        <f>INDEX(F$31:F$42,8)</f>
        <v>205.47473333333338</v>
      </c>
      <c r="O205" s="29">
        <f>IF(N205&gt;0,M205/N205,0)</f>
        <v>0.9454950016563268</v>
      </c>
    </row>
    <row r="206">
      <c r="A206" s="2" t="inlineStr">
        <is>
          <t xml:space="preserve">2018-09</t>
        </is>
      </c>
      <c r="B206" s="2" t="inlineStr">
        <is>
          <t xml:space="preserve">2018/19</t>
        </is>
      </c>
      <c r="C206" s="6" t="inlineStr">
        <is>
          <t xml:space="preserve">El Niño</t>
        </is>
      </c>
      <c r="D206" s="4">
        <f>INDEX(Monthly!$P:$P,MATCH($A206,Monthly!$A:$A,0))</f>
        <v>134.23</v>
      </c>
      <c r="E206" s="4">
        <f>INDEX(C$31:C$42,9)</f>
        <v>216.9424666666667</v>
      </c>
      <c r="F206" s="29">
        <f>IF(E206&gt;0,D206/E206,0)</f>
        <v>0.6187354742593811</v>
      </c>
      <c r="G206" s="4">
        <f>INDEX(Monthly!$U:$U,MATCH($A206,Monthly!$A:$A,0))</f>
        <v>238.022</v>
      </c>
      <c r="H206" s="4">
        <f>INDEX(D$31:D$42,9)</f>
        <v>235.93773333333334</v>
      </c>
      <c r="I206" s="29">
        <f>IF(H206&gt;0,G206/H206,0)</f>
        <v>1.0088339691884807</v>
      </c>
      <c r="J206" s="4">
        <f>INDEX(Monthly!$Z:$Z,MATCH($A206,Monthly!$A:$A,0))</f>
        <v>168.533</v>
      </c>
      <c r="K206" s="4">
        <f>INDEX(E$31:E$42,9)</f>
        <v>255.97060000000002</v>
      </c>
      <c r="L206" s="29">
        <f>IF(K206&gt;0,J206/K206,0)</f>
        <v>0.6584076452530094</v>
      </c>
      <c r="M206" s="4">
        <f>INDEX(Monthly!$AE:$AE,MATCH($A206,Monthly!$A:$A,0))</f>
        <v>180.26166666666666</v>
      </c>
      <c r="N206" s="4">
        <f>INDEX(F$31:F$42,9)</f>
        <v>236.28360000000004</v>
      </c>
      <c r="O206" s="29">
        <f>IF(N206&gt;0,M206/N206,0)</f>
        <v>0.7629038437990052</v>
      </c>
    </row>
    <row r="207">
      <c r="A207" s="2" t="inlineStr">
        <is>
          <t xml:space="preserve">2018-10</t>
        </is>
      </c>
      <c r="B207" s="2" t="inlineStr">
        <is>
          <t xml:space="preserve">2018/19</t>
        </is>
      </c>
      <c r="C207" s="6" t="inlineStr">
        <is>
          <t xml:space="preserve">El Niño</t>
        </is>
      </c>
      <c r="D207" s="4">
        <f>INDEX(Monthly!$P:$P,MATCH($A207,Monthly!$A:$A,0))</f>
        <v>158.318</v>
      </c>
      <c r="E207" s="4">
        <f>INDEX(C$31:C$42,10)</f>
        <v>157.55200000000002</v>
      </c>
      <c r="F207" s="29">
        <f>IF(E207&gt;0,D207/E207,0)</f>
        <v>1.004861886869097</v>
      </c>
      <c r="G207" s="4">
        <f>INDEX(Monthly!$U:$U,MATCH($A207,Monthly!$A:$A,0))</f>
        <v>131.118</v>
      </c>
      <c r="H207" s="4">
        <f>INDEX(D$31:D$42,10)</f>
        <v>156.79653333333331</v>
      </c>
      <c r="I207" s="29">
        <f>IF(H207&gt;0,G207/H207,0)</f>
        <v>0.8362302227770343</v>
      </c>
      <c r="J207" s="4">
        <f>INDEX(Monthly!$Z:$Z,MATCH($A207,Monthly!$A:$A,0))</f>
        <v>95.923</v>
      </c>
      <c r="K207" s="4">
        <f>INDEX(E$31:E$42,10)</f>
        <v>182.93833333333333</v>
      </c>
      <c r="L207" s="29">
        <f>IF(K207&gt;0,J207/K207,0)</f>
        <v>0.5243460911236026</v>
      </c>
      <c r="M207" s="4">
        <f>INDEX(Monthly!$AE:$AE,MATCH($A207,Monthly!$A:$A,0))</f>
        <v>128.453</v>
      </c>
      <c r="N207" s="4">
        <f>INDEX(F$31:F$42,10)</f>
        <v>165.7622888888889</v>
      </c>
      <c r="O207" s="29">
        <f>IF(N207&gt;0,M207/N207,0)</f>
        <v>0.7749229385104748</v>
      </c>
    </row>
    <row r="208">
      <c r="A208" s="2" t="inlineStr">
        <is>
          <t xml:space="preserve">2018-11</t>
        </is>
      </c>
      <c r="B208" s="2" t="inlineStr">
        <is>
          <t xml:space="preserve">2018/19</t>
        </is>
      </c>
      <c r="C208" s="6" t="inlineStr">
        <is>
          <t xml:space="preserve">El Niño</t>
        </is>
      </c>
      <c r="D208" s="4">
        <f>INDEX(Monthly!$P:$P,MATCH($A208,Monthly!$A:$A,0))</f>
        <v>9.031</v>
      </c>
      <c r="E208" s="4">
        <f>INDEX(C$31:C$42,11)</f>
        <v>28.2242</v>
      </c>
      <c r="F208" s="32">
        <f>IF(E208&gt;0,D208/E208,0)</f>
        <v>0.31997363964257625</v>
      </c>
      <c r="G208" s="4">
        <f>INDEX(Monthly!$U:$U,MATCH($A208,Monthly!$A:$A,0))</f>
        <v>44.65</v>
      </c>
      <c r="H208" s="4">
        <f>INDEX(D$31:D$42,11)</f>
        <v>37.004000000000005</v>
      </c>
      <c r="I208" s="29">
        <f>IF(H208&gt;0,G208/H208,0)</f>
        <v>1.2066263106691166</v>
      </c>
      <c r="J208" s="4">
        <f>INDEX(Monthly!$Z:$Z,MATCH($A208,Monthly!$A:$A,0))</f>
        <v>13.58</v>
      </c>
      <c r="K208" s="4">
        <f>INDEX(E$31:E$42,11)</f>
        <v>60.208133333333336</v>
      </c>
      <c r="L208" s="32">
        <f>IF(K208&gt;0,J208/K208,0)</f>
        <v>0.22555092224527803</v>
      </c>
      <c r="M208" s="4">
        <f>INDEX(Monthly!$AE:$AE,MATCH($A208,Monthly!$A:$A,0))</f>
        <v>22.420333333333332</v>
      </c>
      <c r="N208" s="4">
        <f>INDEX(F$31:F$42,11)</f>
        <v>41.81211111111111</v>
      </c>
      <c r="O208" s="29">
        <f>IF(N208&gt;0,M208/N208,0)</f>
        <v>0.536216247817618</v>
      </c>
    </row>
    <row r="209">
      <c r="A209" s="2" t="inlineStr">
        <is>
          <t xml:space="preserve">2018-12</t>
        </is>
      </c>
      <c r="B209" s="2" t="inlineStr">
        <is>
          <t xml:space="preserve">2018/19</t>
        </is>
      </c>
      <c r="C209" s="6" t="inlineStr">
        <is>
          <t xml:space="preserve">El Niño</t>
        </is>
      </c>
      <c r="D209" s="4">
        <f>INDEX(Monthly!$P:$P,MATCH($A209,Monthly!$A:$A,0))</f>
        <v>1.151</v>
      </c>
      <c r="E209" s="4">
        <f>INDEX(C$31:C$42,12)</f>
        <v>13.638533333333335</v>
      </c>
      <c r="F209" s="32">
        <f>IF(E209&gt;0,D209/E209,0)</f>
        <v>0.08439323876467654</v>
      </c>
      <c r="G209" s="4">
        <f>INDEX(Monthly!$U:$U,MATCH($A209,Monthly!$A:$A,0))</f>
        <v>15.356</v>
      </c>
      <c r="H209" s="4">
        <f>INDEX(D$31:D$42,12)</f>
        <v>23.69433333333333</v>
      </c>
      <c r="I209" s="29">
        <f>IF(H209&gt;0,G209/H209,0)</f>
        <v>0.6480874470689195</v>
      </c>
      <c r="J209" s="4">
        <f>INDEX(Monthly!$Z:$Z,MATCH($A209,Monthly!$A:$A,0))</f>
        <v>32.916</v>
      </c>
      <c r="K209" s="4">
        <f>INDEX(E$31:E$42,12)</f>
        <v>52.138</v>
      </c>
      <c r="L209" s="29">
        <f>IF(K209&gt;0,J209/K209,0)</f>
        <v>0.6313245617399976</v>
      </c>
      <c r="M209" s="4">
        <f>INDEX(Monthly!$AE:$AE,MATCH($A209,Monthly!$A:$A,0))</f>
        <v>16.474333333333334</v>
      </c>
      <c r="N209" s="4">
        <f>INDEX(F$31:F$42,12)</f>
        <v>29.823622222222223</v>
      </c>
      <c r="O209" s="29">
        <f>IF(N209&gt;0,M209/N209,0)</f>
        <v>0.5523921008179199</v>
      </c>
    </row>
    <row r="210">
      <c r="A210" s="2" t="inlineStr">
        <is>
          <t xml:space="preserve">2019-01</t>
        </is>
      </c>
      <c r="B210" s="2" t="inlineStr">
        <is>
          <t xml:space="preserve">2018/19</t>
        </is>
      </c>
      <c r="C210" s="6" t="inlineStr">
        <is>
          <t xml:space="preserve">El Niño</t>
        </is>
      </c>
      <c r="D210" s="4">
        <f>INDEX(Monthly!$P:$P,MATCH($A210,Monthly!$A:$A,0))</f>
        <v>6.217</v>
      </c>
      <c r="E210" s="4">
        <f>INDEX(C$31:C$42,1)</f>
        <v>4.832071428571429</v>
      </c>
      <c r="F210" s="29">
        <f>IF(E210&gt;0,D210/E210,0)</f>
        <v>1.2866117754881814</v>
      </c>
      <c r="G210" s="4">
        <f>INDEX(Monthly!$U:$U,MATCH($A210,Monthly!$A:$A,0))</f>
        <v>10.609</v>
      </c>
      <c r="H210" s="4">
        <f>INDEX(D$31:D$42,1)</f>
        <v>14.249071428571428</v>
      </c>
      <c r="I210" s="29">
        <f>IF(H210&gt;0,G210/H210,0)</f>
        <v>0.7445397444445002</v>
      </c>
      <c r="J210" s="4">
        <f>INDEX(Monthly!$Z:$Z,MATCH($A210,Monthly!$A:$A,0))</f>
        <v>43.216</v>
      </c>
      <c r="K210" s="4">
        <f>INDEX(E$31:E$42,1)</f>
        <v>40.161500000000004</v>
      </c>
      <c r="L210" s="29">
        <f>IF(K210&gt;0,J210/K210,0)</f>
        <v>1.0760554262166502</v>
      </c>
      <c r="M210" s="4">
        <f>INDEX(Monthly!$AE:$AE,MATCH($A210,Monthly!$A:$A,0))</f>
        <v>20.014</v>
      </c>
      <c r="N210" s="4">
        <f>INDEX(F$31:F$42,1)</f>
        <v>19.74754761904762</v>
      </c>
      <c r="O210" s="29">
        <f>IF(N210&gt;0,M210/N210,0)</f>
        <v>1.0134929352288469</v>
      </c>
    </row>
    <row r="211">
      <c r="A211" s="2" t="inlineStr">
        <is>
          <t xml:space="preserve">2019-02</t>
        </is>
      </c>
      <c r="B211" s="2" t="inlineStr">
        <is>
          <t xml:space="preserve">2018/19</t>
        </is>
      </c>
      <c r="C211" s="6" t="inlineStr">
        <is>
          <t xml:space="preserve">El Niño</t>
        </is>
      </c>
      <c r="D211" s="4">
        <f>INDEX(Monthly!$P:$P,MATCH($A211,Monthly!$A:$A,0))</f>
        <v>4.738</v>
      </c>
      <c r="E211" s="4">
        <f>INDEX(C$31:C$42,2)</f>
        <v>5.8785</v>
      </c>
      <c r="F211" s="29">
        <f>IF(E211&gt;0,D211/E211,0)</f>
        <v>0.8059879220889684</v>
      </c>
      <c r="G211" s="4">
        <f>INDEX(Monthly!$U:$U,MATCH($A211,Monthly!$A:$A,0))</f>
        <v>6.47</v>
      </c>
      <c r="H211" s="4">
        <f>INDEX(D$31:D$42,2)</f>
        <v>12.850714285714284</v>
      </c>
      <c r="I211" s="29">
        <f>IF(H211&gt;0,G211/H211,0)</f>
        <v>0.5034739592018231</v>
      </c>
      <c r="J211" s="4">
        <f>INDEX(Monthly!$Z:$Z,MATCH($A211,Monthly!$A:$A,0))</f>
        <v>11.173</v>
      </c>
      <c r="K211" s="4">
        <f>INDEX(E$31:E$42,2)</f>
        <v>27.980785714285712</v>
      </c>
      <c r="L211" s="32">
        <f>IF(K211&gt;0,J211/K211,0)</f>
        <v>0.3993097304017298</v>
      </c>
      <c r="M211" s="4">
        <f>INDEX(Monthly!$AE:$AE,MATCH($A211,Monthly!$A:$A,0))</f>
        <v>7.460333333333334</v>
      </c>
      <c r="N211" s="4">
        <f>INDEX(F$31:F$42,2)</f>
        <v>15.570000000000002</v>
      </c>
      <c r="O211" s="32">
        <f>IF(N211&gt;0,M211/N211,0)</f>
        <v>0.4791479340612288</v>
      </c>
    </row>
    <row r="212">
      <c r="A212" s="2" t="inlineStr">
        <is>
          <t xml:space="preserve">2019-03</t>
        </is>
      </c>
      <c r="B212" s="2" t="inlineStr">
        <is>
          <t xml:space="preserve">2018/19</t>
        </is>
      </c>
      <c r="C212" s="6" t="inlineStr">
        <is>
          <t xml:space="preserve">El Niño</t>
        </is>
      </c>
      <c r="D212" s="4">
        <f>INDEX(Monthly!$P:$P,MATCH($A212,Monthly!$A:$A,0))</f>
        <v>0.058</v>
      </c>
      <c r="E212" s="4">
        <f>INDEX(C$31:C$42,3)</f>
        <v>8.098142857142857</v>
      </c>
      <c r="F212" s="32">
        <f>IF(E212&gt;0,D212/E212,0)</f>
        <v>0.007162135939457018</v>
      </c>
      <c r="G212" s="4">
        <f>INDEX(Monthly!$U:$U,MATCH($A212,Monthly!$A:$A,0))</f>
        <v>0.677</v>
      </c>
      <c r="H212" s="4">
        <f>INDEX(D$31:D$42,3)</f>
        <v>13.050214285714285</v>
      </c>
      <c r="I212" s="32">
        <f>IF(H212&gt;0,G212/H212,0)</f>
        <v>0.05187654280444219</v>
      </c>
      <c r="J212" s="4">
        <f>INDEX(Monthly!$Z:$Z,MATCH($A212,Monthly!$A:$A,0))</f>
        <v>3.197</v>
      </c>
      <c r="K212" s="4">
        <f>INDEX(E$31:E$42,3)</f>
        <v>22.94821428571429</v>
      </c>
      <c r="L212" s="32">
        <f>IF(K212&gt;0,J212/K212,0)</f>
        <v>0.13931367208777526</v>
      </c>
      <c r="M212" s="4">
        <f>INDEX(Monthly!$AE:$AE,MATCH($A212,Monthly!$A:$A,0))</f>
        <v>1.3106666666666669</v>
      </c>
      <c r="N212" s="4">
        <f>INDEX(F$31:F$42,3)</f>
        <v>14.69885714285714</v>
      </c>
      <c r="O212" s="32">
        <f>IF(N212&gt;0,M212/N212,0)</f>
        <v>0.08916793012738279</v>
      </c>
    </row>
    <row r="213">
      <c r="A213" s="2" t="inlineStr">
        <is>
          <t xml:space="preserve">2019-04</t>
        </is>
      </c>
      <c r="B213" s="2" t="inlineStr">
        <is>
          <t xml:space="preserve">2018/19</t>
        </is>
      </c>
      <c r="C213" s="6" t="inlineStr">
        <is>
          <t xml:space="preserve">El Niño</t>
        </is>
      </c>
      <c r="D213" s="4">
        <f>INDEX(Monthly!$P:$P,MATCH($A213,Monthly!$A:$A,0))</f>
        <v>24.923</v>
      </c>
      <c r="E213" s="4">
        <f>INDEX(C$31:C$42,4)</f>
        <v>48.56264285714286</v>
      </c>
      <c r="F213" s="29">
        <f>IF(E213&gt;0,D213/E213,0)</f>
        <v>0.5132134194861717</v>
      </c>
      <c r="G213" s="4">
        <f>INDEX(Monthly!$U:$U,MATCH($A213,Monthly!$A:$A,0))</f>
        <v>21.552</v>
      </c>
      <c r="H213" s="4">
        <f>INDEX(D$31:D$42,4)</f>
        <v>40.45578571428571</v>
      </c>
      <c r="I213" s="29">
        <f>IF(H213&gt;0,G213/H213,0)</f>
        <v>0.53272973493108</v>
      </c>
      <c r="J213" s="4">
        <f>INDEX(Monthly!$Z:$Z,MATCH($A213,Monthly!$A:$A,0))</f>
        <v>15.457</v>
      </c>
      <c r="K213" s="4">
        <f>INDEX(E$31:E$42,4)</f>
        <v>48.85292857142857</v>
      </c>
      <c r="L213" s="32">
        <f>IF(K213&gt;0,J213/K213,0)</f>
        <v>0.3163986367245128</v>
      </c>
      <c r="M213" s="4">
        <f>INDEX(Monthly!$AE:$AE,MATCH($A213,Monthly!$A:$A,0))</f>
        <v>20.644</v>
      </c>
      <c r="N213" s="4">
        <f>INDEX(F$31:F$42,4)</f>
        <v>45.95711904761904</v>
      </c>
      <c r="O213" s="32">
        <f>IF(N213&gt;0,M213/N213,0)</f>
        <v>0.4492013517777183</v>
      </c>
    </row>
    <row r="214">
      <c r="A214" s="2" t="inlineStr">
        <is>
          <t xml:space="preserve">2019-05</t>
        </is>
      </c>
      <c r="B214" s="2" t="inlineStr">
        <is>
          <t xml:space="preserve">2018/19</t>
        </is>
      </c>
      <c r="C214" s="6" t="inlineStr">
        <is>
          <t xml:space="preserve">El Niño</t>
        </is>
      </c>
      <c r="D214" s="4">
        <f>INDEX(Monthly!$P:$P,MATCH($A214,Monthly!$A:$A,0))</f>
        <v>135.363</v>
      </c>
      <c r="E214" s="4">
        <f>INDEX(C$31:C$42,5)</f>
        <v>157.25921428571428</v>
      </c>
      <c r="F214" s="29">
        <f>IF(E214&gt;0,D214/E214,0)</f>
        <v>0.8607635528056725</v>
      </c>
      <c r="G214" s="4">
        <f>INDEX(Monthly!$U:$U,MATCH($A214,Monthly!$A:$A,0))</f>
        <v>250.405</v>
      </c>
      <c r="H214" s="4">
        <f>INDEX(D$31:D$42,5)</f>
        <v>153.39671428571432</v>
      </c>
      <c r="I214" s="31">
        <f>IF(H214&gt;0,G214/H214,0)</f>
        <v>1.6324013272774511</v>
      </c>
      <c r="J214" s="4">
        <f>INDEX(Monthly!$Z:$Z,MATCH($A214,Monthly!$A:$A,0))</f>
        <v>239.585</v>
      </c>
      <c r="K214" s="4">
        <f>INDEX(E$31:E$42,5)</f>
        <v>157.15200000000002</v>
      </c>
      <c r="L214" s="31">
        <f>IF(K214&gt;0,J214/K214,0)</f>
        <v>1.524543117491346</v>
      </c>
      <c r="M214" s="4">
        <f>INDEX(Monthly!$AE:$AE,MATCH($A214,Monthly!$A:$A,0))</f>
        <v>208.45100000000002</v>
      </c>
      <c r="N214" s="4">
        <f>INDEX(F$31:F$42,5)</f>
        <v>155.9359761904762</v>
      </c>
      <c r="O214" s="29">
        <f>IF(N214&gt;0,M214/N214,0)</f>
        <v>1.3367729826847436</v>
      </c>
    </row>
    <row r="215">
      <c r="A215" s="2" t="inlineStr">
        <is>
          <t xml:space="preserve">2019-06</t>
        </is>
      </c>
      <c r="B215" s="2" t="inlineStr">
        <is>
          <t xml:space="preserve">2018/19</t>
        </is>
      </c>
      <c r="C215" s="6" t="inlineStr">
        <is>
          <t xml:space="preserve">El Niño</t>
        </is>
      </c>
      <c r="D215" s="4">
        <f>INDEX(Monthly!$P:$P,MATCH($A215,Monthly!$A:$A,0))</f>
        <v>147.869</v>
      </c>
      <c r="E215" s="4">
        <f>INDEX(C$31:C$42,6)</f>
        <v>197.10614285714286</v>
      </c>
      <c r="F215" s="29">
        <f>IF(E215&gt;0,D215/E215,0)</f>
        <v>0.7501998560601504</v>
      </c>
      <c r="G215" s="4">
        <f>INDEX(Monthly!$U:$U,MATCH($A215,Monthly!$A:$A,0))</f>
        <v>134.204</v>
      </c>
      <c r="H215" s="4">
        <f>INDEX(D$31:D$42,6)</f>
        <v>192.85257142857145</v>
      </c>
      <c r="I215" s="29">
        <f>IF(H215&gt;0,G215/H215,0)</f>
        <v>0.6958890877413391</v>
      </c>
      <c r="J215" s="4">
        <f>INDEX(Monthly!$Z:$Z,MATCH($A215,Monthly!$A:$A,0))</f>
        <v>168.26</v>
      </c>
      <c r="K215" s="4">
        <f>INDEX(E$31:E$42,6)</f>
        <v>244.03071428571425</v>
      </c>
      <c r="L215" s="29">
        <f>IF(K215&gt;0,J215/K215,0)</f>
        <v>0.6895033704773698</v>
      </c>
      <c r="M215" s="4">
        <f>INDEX(Monthly!$AE:$AE,MATCH($A215,Monthly!$A:$A,0))</f>
        <v>150.111</v>
      </c>
      <c r="N215" s="4">
        <f>INDEX(F$31:F$42,6)</f>
        <v>211.32980952380953</v>
      </c>
      <c r="O215" s="29">
        <f>IF(N215&gt;0,M215/N215,0)</f>
        <v>0.7103162603432324</v>
      </c>
    </row>
    <row r="216">
      <c r="A216" s="2" t="inlineStr">
        <is>
          <t xml:space="preserve">2019-07</t>
        </is>
      </c>
      <c r="B216" s="2" t="inlineStr">
        <is>
          <t xml:space="preserve">2019/20</t>
        </is>
      </c>
      <c r="C216" s="6" t="inlineStr">
        <is>
          <t xml:space="preserve">El Niño</t>
        </is>
      </c>
      <c r="D216" s="4">
        <f>INDEX(Monthly!$P:$P,MATCH($A216,Monthly!$A:$A,0))</f>
        <v>95.932</v>
      </c>
      <c r="E216" s="4">
        <f>INDEX(C$31:C$42,7)</f>
        <v>137.10459999999998</v>
      </c>
      <c r="F216" s="29">
        <f>IF(E216&gt;0,D216/E216,0)</f>
        <v>0.6996993536321905</v>
      </c>
      <c r="G216" s="4">
        <f>INDEX(Monthly!$U:$U,MATCH($A216,Monthly!$A:$A,0))</f>
        <v>207.088</v>
      </c>
      <c r="H216" s="4">
        <f>INDEX(D$31:D$42,7)</f>
        <v>187.2258</v>
      </c>
      <c r="I216" s="29">
        <f>IF(H216&gt;0,G216/H216,0)</f>
        <v>1.1060868747790102</v>
      </c>
      <c r="J216" s="4">
        <f>INDEX(Monthly!$Z:$Z,MATCH($A216,Monthly!$A:$A,0))</f>
        <v>72.657</v>
      </c>
      <c r="K216" s="4">
        <f>INDEX(E$31:E$42,7)</f>
        <v>179.02346666666668</v>
      </c>
      <c r="L216" s="32">
        <f>IF(K216&gt;0,J216/K216,0)</f>
        <v>0.4058518212882333</v>
      </c>
      <c r="M216" s="4">
        <f>INDEX(Monthly!$AE:$AE,MATCH($A216,Monthly!$A:$A,0))</f>
        <v>125.22566666666665</v>
      </c>
      <c r="N216" s="4">
        <f>INDEX(F$31:F$42,7)</f>
        <v>167.78462222222225</v>
      </c>
      <c r="O216" s="29">
        <f>IF(N216&gt;0,M216/N216,0)</f>
        <v>0.7463476986634185</v>
      </c>
    </row>
    <row r="217">
      <c r="A217" s="2" t="inlineStr">
        <is>
          <t xml:space="preserve">2019-08</t>
        </is>
      </c>
      <c r="B217" s="2" t="inlineStr">
        <is>
          <t xml:space="preserve">2019/20</t>
        </is>
      </c>
      <c r="C217" s="6" t="inlineStr">
        <is>
          <t xml:space="preserve">El Niño</t>
        </is>
      </c>
      <c r="D217" s="4">
        <f>INDEX(Monthly!$P:$P,MATCH($A217,Monthly!$A:$A,0))</f>
        <v>152.612</v>
      </c>
      <c r="E217" s="4">
        <f>INDEX(C$31:C$42,8)</f>
        <v>168.58193333333332</v>
      </c>
      <c r="F217" s="29">
        <f>IF(E217&gt;0,D217/E217,0)</f>
        <v>0.9052690106373598</v>
      </c>
      <c r="G217" s="4">
        <f>INDEX(Monthly!$U:$U,MATCH($A217,Monthly!$A:$A,0))</f>
        <v>216.069</v>
      </c>
      <c r="H217" s="4">
        <f>INDEX(D$31:D$42,8)</f>
        <v>228.6517333333334</v>
      </c>
      <c r="I217" s="29">
        <f>IF(H217&gt;0,G217/H217,0)</f>
        <v>0.9449698755837113</v>
      </c>
      <c r="J217" s="4">
        <f>INDEX(Monthly!$Z:$Z,MATCH($A217,Monthly!$A:$A,0))</f>
        <v>224.37</v>
      </c>
      <c r="K217" s="4">
        <f>INDEX(E$31:E$42,8)</f>
        <v>219.19053333333335</v>
      </c>
      <c r="L217" s="29">
        <f>IF(K217&gt;0,J217/K217,0)</f>
        <v>1.0236299742872106</v>
      </c>
      <c r="M217" s="4">
        <f>INDEX(Monthly!$AE:$AE,MATCH($A217,Monthly!$A:$A,0))</f>
        <v>197.68366666666665</v>
      </c>
      <c r="N217" s="4">
        <f>INDEX(F$31:F$42,8)</f>
        <v>205.47473333333338</v>
      </c>
      <c r="O217" s="29">
        <f>IF(N217&gt;0,M217/N217,0)</f>
        <v>0.9620826048036398</v>
      </c>
    </row>
    <row r="218">
      <c r="A218" s="2" t="inlineStr">
        <is>
          <t xml:space="preserve">2019-09</t>
        </is>
      </c>
      <c r="B218" s="2" t="inlineStr">
        <is>
          <t xml:space="preserve">2019/20</t>
        </is>
      </c>
      <c r="C218" s="6" t="inlineStr">
        <is>
          <t xml:space="preserve">El Niño</t>
        </is>
      </c>
      <c r="D218" s="4">
        <f>INDEX(Monthly!$P:$P,MATCH($A218,Monthly!$A:$A,0))</f>
        <v>238.234</v>
      </c>
      <c r="E218" s="4">
        <f>INDEX(C$31:C$42,9)</f>
        <v>216.9424666666667</v>
      </c>
      <c r="F218" s="29">
        <f>IF(E218&gt;0,D218/E218,0)</f>
        <v>1.0981436860218239</v>
      </c>
      <c r="G218" s="4">
        <f>INDEX(Monthly!$U:$U,MATCH($A218,Monthly!$A:$A,0))</f>
        <v>228.741</v>
      </c>
      <c r="H218" s="4">
        <f>INDEX(D$31:D$42,9)</f>
        <v>235.93773333333334</v>
      </c>
      <c r="I218" s="29">
        <f>IF(H218&gt;0,G218/H218,0)</f>
        <v>0.9694973193492294</v>
      </c>
      <c r="J218" s="4">
        <f>INDEX(Monthly!$Z:$Z,MATCH($A218,Monthly!$A:$A,0))</f>
        <v>229.74</v>
      </c>
      <c r="K218" s="4">
        <f>INDEX(E$31:E$42,9)</f>
        <v>255.97060000000002</v>
      </c>
      <c r="L218" s="29">
        <f>IF(K218&gt;0,J218/K218,0)</f>
        <v>0.8975249501309915</v>
      </c>
      <c r="M218" s="4">
        <f>INDEX(Monthly!$AE:$AE,MATCH($A218,Monthly!$A:$A,0))</f>
        <v>232.23833333333334</v>
      </c>
      <c r="N218" s="4">
        <f>INDEX(F$31:F$42,9)</f>
        <v>236.28360000000004</v>
      </c>
      <c r="O218" s="29">
        <f>IF(N218&gt;0,M218/N218,0)</f>
        <v>0.9828796130299915</v>
      </c>
    </row>
    <row r="219">
      <c r="A219" s="2" t="inlineStr">
        <is>
          <t xml:space="preserve">2019-10</t>
        </is>
      </c>
      <c r="B219" s="2" t="inlineStr">
        <is>
          <t xml:space="preserve">2019/20</t>
        </is>
      </c>
      <c r="C219" s="6" t="inlineStr">
        <is>
          <t xml:space="preserve">El Niño</t>
        </is>
      </c>
      <c r="D219" s="4">
        <f>INDEX(Monthly!$P:$P,MATCH($A219,Monthly!$A:$A,0))</f>
        <v>219.873</v>
      </c>
      <c r="E219" s="4">
        <f>INDEX(C$31:C$42,10)</f>
        <v>157.55200000000002</v>
      </c>
      <c r="F219" s="29">
        <f>IF(E219&gt;0,D219/E219,0)</f>
        <v>1.3955582918655425</v>
      </c>
      <c r="G219" s="4">
        <f>INDEX(Monthly!$U:$U,MATCH($A219,Monthly!$A:$A,0))</f>
        <v>225.823</v>
      </c>
      <c r="H219" s="4">
        <f>INDEX(D$31:D$42,10)</f>
        <v>156.79653333333331</v>
      </c>
      <c r="I219" s="29">
        <f>IF(H219&gt;0,G219/H219,0)</f>
        <v>1.440229545891321</v>
      </c>
      <c r="J219" s="4">
        <f>INDEX(Monthly!$Z:$Z,MATCH($A219,Monthly!$A:$A,0))</f>
        <v>409.218</v>
      </c>
      <c r="K219" s="4">
        <f>INDEX(E$31:E$42,10)</f>
        <v>182.93833333333333</v>
      </c>
      <c r="L219" s="31">
        <f>IF(K219&gt;0,J219/K219,0)</f>
        <v>2.2369177227298818</v>
      </c>
      <c r="M219" s="4">
        <f>INDEX(Monthly!$AE:$AE,MATCH($A219,Monthly!$A:$A,0))</f>
        <v>284.97133333333335</v>
      </c>
      <c r="N219" s="4">
        <f>INDEX(F$31:F$42,10)</f>
        <v>165.7622888888889</v>
      </c>
      <c r="O219" s="31">
        <f>IF(N219&gt;0,M219/N219,0)</f>
        <v>1.7191566021651086</v>
      </c>
    </row>
    <row r="220">
      <c r="A220" s="2" t="inlineStr">
        <is>
          <t xml:space="preserve">2019-11</t>
        </is>
      </c>
      <c r="B220" s="2" t="inlineStr">
        <is>
          <t xml:space="preserve">2019/20</t>
        </is>
      </c>
      <c r="C220" s="6" t="inlineStr">
        <is>
          <t xml:space="preserve">El Niño</t>
        </is>
      </c>
      <c r="D220" s="4">
        <f>INDEX(Monthly!$P:$P,MATCH($A220,Monthly!$A:$A,0))</f>
        <v>16.164</v>
      </c>
      <c r="E220" s="4">
        <f>INDEX(C$31:C$42,11)</f>
        <v>28.2242</v>
      </c>
      <c r="F220" s="29">
        <f>IF(E220&gt;0,D220/E220,0)</f>
        <v>0.5727000233841881</v>
      </c>
      <c r="G220" s="4">
        <f>INDEX(Monthly!$U:$U,MATCH($A220,Monthly!$A:$A,0))</f>
        <v>24.355</v>
      </c>
      <c r="H220" s="4">
        <f>INDEX(D$31:D$42,11)</f>
        <v>37.004000000000005</v>
      </c>
      <c r="I220" s="29">
        <f>IF(H220&gt;0,G220/H220,0)</f>
        <v>0.6581720895038373</v>
      </c>
      <c r="J220" s="4">
        <f>INDEX(Monthly!$Z:$Z,MATCH($A220,Monthly!$A:$A,0))</f>
        <v>71.93</v>
      </c>
      <c r="K220" s="4">
        <f>INDEX(E$31:E$42,11)</f>
        <v>60.208133333333336</v>
      </c>
      <c r="L220" s="29">
        <f>IF(K220&gt;0,J220/K220,0)</f>
        <v>1.1946890896246576</v>
      </c>
      <c r="M220" s="4">
        <f>INDEX(Monthly!$AE:$AE,MATCH($A220,Monthly!$A:$A,0))</f>
        <v>37.483000000000004</v>
      </c>
      <c r="N220" s="4">
        <f>INDEX(F$31:F$42,11)</f>
        <v>41.81211111111111</v>
      </c>
      <c r="O220" s="29">
        <f>IF(N220&gt;0,M220/N220,0)</f>
        <v>0.8964627473698479</v>
      </c>
    </row>
    <row r="221">
      <c r="A221" s="2" t="inlineStr">
        <is>
          <t xml:space="preserve">2019-12</t>
        </is>
      </c>
      <c r="B221" s="2" t="inlineStr">
        <is>
          <t xml:space="preserve">2019/20</t>
        </is>
      </c>
      <c r="C221" s="6" t="inlineStr">
        <is>
          <t xml:space="preserve">El Niño</t>
        </is>
      </c>
      <c r="D221" s="4">
        <f>INDEX(Monthly!$P:$P,MATCH($A221,Monthly!$A:$A,0))</f>
        <v>1.978</v>
      </c>
      <c r="E221" s="4">
        <f>INDEX(C$31:C$42,12)</f>
        <v>13.638533333333335</v>
      </c>
      <c r="F221" s="32">
        <f>IF(E221&gt;0,D221/E221,0)</f>
        <v>0.1450302574079324</v>
      </c>
      <c r="G221" s="4">
        <f>INDEX(Monthly!$U:$U,MATCH($A221,Monthly!$A:$A,0))</f>
        <v>15.344</v>
      </c>
      <c r="H221" s="4">
        <f>INDEX(D$31:D$42,12)</f>
        <v>23.69433333333333</v>
      </c>
      <c r="I221" s="29">
        <f>IF(H221&gt;0,G221/H221,0)</f>
        <v>0.6475809968628224</v>
      </c>
      <c r="J221" s="4">
        <f>INDEX(Monthly!$Z:$Z,MATCH($A221,Monthly!$A:$A,0))</f>
        <v>49.262</v>
      </c>
      <c r="K221" s="4">
        <f>INDEX(E$31:E$42,12)</f>
        <v>52.138</v>
      </c>
      <c r="L221" s="29">
        <f>IF(K221&gt;0,J221/K221,0)</f>
        <v>0.9448386973033105</v>
      </c>
      <c r="M221" s="4">
        <f>INDEX(Monthly!$AE:$AE,MATCH($A221,Monthly!$A:$A,0))</f>
        <v>22.194666666666667</v>
      </c>
      <c r="N221" s="4">
        <f>INDEX(F$31:F$42,12)</f>
        <v>29.823622222222223</v>
      </c>
      <c r="O221" s="29">
        <f>IF(N221&gt;0,M221/N221,0)</f>
        <v>0.7441975525739104</v>
      </c>
    </row>
    <row r="222">
      <c r="A222" s="2" t="inlineStr">
        <is>
          <t xml:space="preserve">2020-01</t>
        </is>
      </c>
      <c r="B222" s="2" t="inlineStr">
        <is>
          <t xml:space="preserve">2019/20</t>
        </is>
      </c>
      <c r="C222" s="6" t="inlineStr">
        <is>
          <t xml:space="preserve">El Niño</t>
        </is>
      </c>
      <c r="D222" s="4">
        <f>INDEX(Monthly!$P:$P,MATCH($A222,Monthly!$A:$A,0))</f>
        <v>1.587</v>
      </c>
      <c r="E222" s="4">
        <f>INDEX(C$31:C$42,1)</f>
        <v>4.832071428571429</v>
      </c>
      <c r="F222" s="32">
        <f>IF(E222&gt;0,D222/E222,0)</f>
        <v>0.32843057547044296</v>
      </c>
      <c r="G222" s="4">
        <f>INDEX(Monthly!$U:$U,MATCH($A222,Monthly!$A:$A,0))</f>
        <v>12.872</v>
      </c>
      <c r="H222" s="4">
        <f>INDEX(D$31:D$42,1)</f>
        <v>14.249071428571428</v>
      </c>
      <c r="I222" s="29">
        <f>IF(H222&gt;0,G222/H222,0)</f>
        <v>0.9033571109896886</v>
      </c>
      <c r="J222" s="4">
        <f>INDEX(Monthly!$Z:$Z,MATCH($A222,Monthly!$A:$A,0))</f>
        <v>51.669</v>
      </c>
      <c r="K222" s="4">
        <f>INDEX(E$31:E$42,1)</f>
        <v>40.161500000000004</v>
      </c>
      <c r="L222" s="29">
        <f>IF(K222&gt;0,J222/K222,0)</f>
        <v>1.2865306325709944</v>
      </c>
      <c r="M222" s="4">
        <f>INDEX(Monthly!$AE:$AE,MATCH($A222,Monthly!$A:$A,0))</f>
        <v>22.042666666666666</v>
      </c>
      <c r="N222" s="4">
        <f>INDEX(F$31:F$42,1)</f>
        <v>19.74754761904762</v>
      </c>
      <c r="O222" s="29">
        <f>IF(N222&gt;0,M222/N222,0)</f>
        <v>1.1162229909199093</v>
      </c>
    </row>
    <row r="223">
      <c r="A223" s="2" t="inlineStr">
        <is>
          <t xml:space="preserve">2020-02</t>
        </is>
      </c>
      <c r="B223" s="2" t="inlineStr">
        <is>
          <t xml:space="preserve">2019/20</t>
        </is>
      </c>
      <c r="C223" s="6" t="inlineStr">
        <is>
          <t xml:space="preserve">El Niño</t>
        </is>
      </c>
      <c r="D223" s="4">
        <f>INDEX(Monthly!$P:$P,MATCH($A223,Monthly!$A:$A,0))</f>
        <v>2.659</v>
      </c>
      <c r="E223" s="4">
        <f>INDEX(C$31:C$42,2)</f>
        <v>5.8785</v>
      </c>
      <c r="F223" s="32">
        <f>IF(E223&gt;0,D223/E223,0)</f>
        <v>0.4523262737092796</v>
      </c>
      <c r="G223" s="4">
        <f>INDEX(Monthly!$U:$U,MATCH($A223,Monthly!$A:$A,0))</f>
        <v>8.3</v>
      </c>
      <c r="H223" s="4">
        <f>INDEX(D$31:D$42,2)</f>
        <v>12.850714285714284</v>
      </c>
      <c r="I223" s="29">
        <f>IF(H223&gt;0,G223/H223,0)</f>
        <v>0.6458784948029571</v>
      </c>
      <c r="J223" s="4">
        <f>INDEX(Monthly!$Z:$Z,MATCH($A223,Monthly!$A:$A,0))</f>
        <v>34.539</v>
      </c>
      <c r="K223" s="4">
        <f>INDEX(E$31:E$42,2)</f>
        <v>27.980785714285712</v>
      </c>
      <c r="L223" s="29">
        <f>IF(K223&gt;0,J223/K223,0)</f>
        <v>1.234382777977745</v>
      </c>
      <c r="M223" s="4">
        <f>INDEX(Monthly!$AE:$AE,MATCH($A223,Monthly!$A:$A,0))</f>
        <v>15.166000000000002</v>
      </c>
      <c r="N223" s="4">
        <f>INDEX(F$31:F$42,2)</f>
        <v>15.570000000000002</v>
      </c>
      <c r="O223" s="29">
        <f>IF(N223&gt;0,M223/N223,0)</f>
        <v>0.9740526653821452</v>
      </c>
    </row>
    <row r="224">
      <c r="A224" s="2" t="inlineStr">
        <is>
          <t xml:space="preserve">2020-03</t>
        </is>
      </c>
      <c r="B224" s="2" t="inlineStr">
        <is>
          <t xml:space="preserve">2019/20</t>
        </is>
      </c>
      <c r="C224" s="6" t="inlineStr">
        <is>
          <t xml:space="preserve">El Niño</t>
        </is>
      </c>
      <c r="D224" s="4">
        <f>INDEX(Monthly!$P:$P,MATCH($A224,Monthly!$A:$A,0))</f>
        <v>1.387</v>
      </c>
      <c r="E224" s="4">
        <f>INDEX(C$31:C$42,3)</f>
        <v>8.098142857142857</v>
      </c>
      <c r="F224" s="32">
        <f>IF(E224&gt;0,D224/E224,0)</f>
        <v>0.17127383703494628</v>
      </c>
      <c r="G224" s="4">
        <f>INDEX(Monthly!$U:$U,MATCH($A224,Monthly!$A:$A,0))</f>
        <v>7.126</v>
      </c>
      <c r="H224" s="4">
        <f>INDEX(D$31:D$42,3)</f>
        <v>13.050214285714285</v>
      </c>
      <c r="I224" s="29">
        <f>IF(H224&gt;0,G224/H224,0)</f>
        <v>0.5460446735959454</v>
      </c>
      <c r="J224" s="4">
        <f>INDEX(Monthly!$Z:$Z,MATCH($A224,Monthly!$A:$A,0))</f>
        <v>29.557</v>
      </c>
      <c r="K224" s="4">
        <f>INDEX(E$31:E$42,3)</f>
        <v>22.94821428571429</v>
      </c>
      <c r="L224" s="29">
        <f>IF(K224&gt;0,J224/K224,0)</f>
        <v>1.2879869270873858</v>
      </c>
      <c r="M224" s="4">
        <f>INDEX(Monthly!$AE:$AE,MATCH($A224,Monthly!$A:$A,0))</f>
        <v>12.69</v>
      </c>
      <c r="N224" s="4">
        <f>INDEX(F$31:F$42,3)</f>
        <v>14.69885714285714</v>
      </c>
      <c r="O224" s="29">
        <f>IF(N224&gt;0,M224/N224,0)</f>
        <v>0.8633324262333322</v>
      </c>
    </row>
    <row r="225">
      <c r="A225" s="2" t="inlineStr">
        <is>
          <t xml:space="preserve">2020-04</t>
        </is>
      </c>
      <c r="B225" s="2" t="inlineStr">
        <is>
          <t xml:space="preserve">2019/20</t>
        </is>
      </c>
      <c r="C225" s="6" t="inlineStr">
        <is>
          <t xml:space="preserve">El Niño</t>
        </is>
      </c>
      <c r="D225" s="4">
        <f>INDEX(Monthly!$P:$P,MATCH($A225,Monthly!$A:$A,0))</f>
        <v>5.584</v>
      </c>
      <c r="E225" s="4">
        <f>INDEX(C$31:C$42,4)</f>
        <v>48.56264285714286</v>
      </c>
      <c r="F225" s="32">
        <f>IF(E225&gt;0,D225/E225,0)</f>
        <v>0.11498550473100279</v>
      </c>
      <c r="G225" s="4">
        <f>INDEX(Monthly!$U:$U,MATCH($A225,Monthly!$A:$A,0))</f>
        <v>7.135</v>
      </c>
      <c r="H225" s="4">
        <f>INDEX(D$31:D$42,4)</f>
        <v>40.45578571428571</v>
      </c>
      <c r="I225" s="32">
        <f>IF(H225&gt;0,G225/H225,0)</f>
        <v>0.17636537948836561</v>
      </c>
      <c r="J225" s="4">
        <f>INDEX(Monthly!$Z:$Z,MATCH($A225,Monthly!$A:$A,0))</f>
        <v>16.928</v>
      </c>
      <c r="K225" s="4">
        <f>INDEX(E$31:E$42,4)</f>
        <v>48.85292857142857</v>
      </c>
      <c r="L225" s="32">
        <f>IF(K225&gt;0,J225/K225,0)</f>
        <v>0.3465094211342791</v>
      </c>
      <c r="M225" s="4">
        <f>INDEX(Monthly!$AE:$AE,MATCH($A225,Monthly!$A:$A,0))</f>
        <v>9.882333333333333</v>
      </c>
      <c r="N225" s="4">
        <f>INDEX(F$31:F$42,4)</f>
        <v>45.95711904761904</v>
      </c>
      <c r="O225" s="32">
        <f>IF(N225&gt;0,M225/N225,0)</f>
        <v>0.215033786671737</v>
      </c>
    </row>
    <row r="226">
      <c r="A226" s="2" t="inlineStr">
        <is>
          <t xml:space="preserve">2020-05</t>
        </is>
      </c>
      <c r="B226" s="2" t="inlineStr">
        <is>
          <t xml:space="preserve">2019/20</t>
        </is>
      </c>
      <c r="C226" s="6" t="inlineStr">
        <is>
          <t xml:space="preserve">El Niño</t>
        </is>
      </c>
      <c r="D226" s="4">
        <f>INDEX(Monthly!$P:$P,MATCH($A226,Monthly!$A:$A,0))</f>
        <v>236.887</v>
      </c>
      <c r="E226" s="4">
        <f>INDEX(C$31:C$42,5)</f>
        <v>157.25921428571428</v>
      </c>
      <c r="F226" s="31">
        <f>IF(E226&gt;0,D226/E226,0)</f>
        <v>1.5063473455336935</v>
      </c>
      <c r="G226" s="4">
        <f>INDEX(Monthly!$U:$U,MATCH($A226,Monthly!$A:$A,0))</f>
        <v>256.675</v>
      </c>
      <c r="H226" s="4">
        <f>INDEX(D$31:D$42,5)</f>
        <v>153.39671428571432</v>
      </c>
      <c r="I226" s="31">
        <f>IF(H226&gt;0,G226/H226,0)</f>
        <v>1.6732757360234012</v>
      </c>
      <c r="J226" s="4">
        <f>INDEX(Monthly!$Z:$Z,MATCH($A226,Monthly!$A:$A,0))</f>
        <v>196.588</v>
      </c>
      <c r="K226" s="4">
        <f>INDEX(E$31:E$42,5)</f>
        <v>157.15200000000002</v>
      </c>
      <c r="L226" s="29">
        <f>IF(K226&gt;0,J226/K226,0)</f>
        <v>1.2509417633883118</v>
      </c>
      <c r="M226" s="4">
        <f>INDEX(Monthly!$AE:$AE,MATCH($A226,Monthly!$A:$A,0))</f>
        <v>230.04999999999998</v>
      </c>
      <c r="N226" s="4">
        <f>INDEX(F$31:F$42,5)</f>
        <v>155.9359761904762</v>
      </c>
      <c r="O226" s="29">
        <f>IF(N226&gt;0,M226/N226,0)</f>
        <v>1.47528495745583</v>
      </c>
    </row>
    <row r="227">
      <c r="A227" s="2" t="inlineStr">
        <is>
          <t xml:space="preserve">2020-06</t>
        </is>
      </c>
      <c r="B227" s="2" t="inlineStr">
        <is>
          <t xml:space="preserve">2019/20</t>
        </is>
      </c>
      <c r="C227" s="6" t="inlineStr">
        <is>
          <t xml:space="preserve">El Niño</t>
        </is>
      </c>
      <c r="D227" s="4">
        <f>INDEX(Monthly!$P:$P,MATCH($A227,Monthly!$A:$A,0))</f>
        <v>150.196</v>
      </c>
      <c r="E227" s="4">
        <f>INDEX(C$31:C$42,6)</f>
        <v>197.10614285714286</v>
      </c>
      <c r="F227" s="29">
        <f>IF(E227&gt;0,D227/E227,0)</f>
        <v>0.7620056778689944</v>
      </c>
      <c r="G227" s="4">
        <f>INDEX(Monthly!$U:$U,MATCH($A227,Monthly!$A:$A,0))</f>
        <v>198.805</v>
      </c>
      <c r="H227" s="4">
        <f>INDEX(D$31:D$42,6)</f>
        <v>192.85257142857145</v>
      </c>
      <c r="I227" s="29">
        <f>IF(H227&gt;0,G227/H227,0)</f>
        <v>1.0308651760634324</v>
      </c>
      <c r="J227" s="4">
        <f>INDEX(Monthly!$Z:$Z,MATCH($A227,Monthly!$A:$A,0))</f>
        <v>93.36</v>
      </c>
      <c r="K227" s="4">
        <f>INDEX(E$31:E$42,6)</f>
        <v>244.03071428571425</v>
      </c>
      <c r="L227" s="32">
        <f>IF(K227&gt;0,J227/K227,0)</f>
        <v>0.3825747929856605</v>
      </c>
      <c r="M227" s="4">
        <f>INDEX(Monthly!$AE:$AE,MATCH($A227,Monthly!$A:$A,0))</f>
        <v>147.45366666666666</v>
      </c>
      <c r="N227" s="4">
        <f>INDEX(F$31:F$42,6)</f>
        <v>211.32980952380953</v>
      </c>
      <c r="O227" s="29">
        <f>IF(N227&gt;0,M227/N227,0)</f>
        <v>0.697741918184305</v>
      </c>
    </row>
    <row r="228">
      <c r="A228" s="2" t="inlineStr">
        <is>
          <t xml:space="preserve">2020-07</t>
        </is>
      </c>
      <c r="B228" s="2" t="inlineStr">
        <is>
          <t xml:space="preserve">2020/21</t>
        </is>
      </c>
      <c r="C228" s="5" t="inlineStr">
        <is>
          <t xml:space="preserve">La Niña</t>
        </is>
      </c>
      <c r="D228" s="4">
        <f>INDEX(Monthly!$P:$P,MATCH($A228,Monthly!$A:$A,0))</f>
        <v>133.289</v>
      </c>
      <c r="E228" s="4">
        <f>INDEX(C$31:C$42,7)</f>
        <v>137.10459999999998</v>
      </c>
      <c r="F228" s="29">
        <f>IF(E228&gt;0,D228/E228,0)</f>
        <v>0.9721701532990141</v>
      </c>
      <c r="G228" s="4">
        <f>INDEX(Monthly!$U:$U,MATCH($A228,Monthly!$A:$A,0))</f>
        <v>180.968</v>
      </c>
      <c r="H228" s="4">
        <f>INDEX(D$31:D$42,7)</f>
        <v>187.2258</v>
      </c>
      <c r="I228" s="29">
        <f>IF(H228&gt;0,G228/H228,0)</f>
        <v>0.966576187683535</v>
      </c>
      <c r="J228" s="4">
        <f>INDEX(Monthly!$Z:$Z,MATCH($A228,Monthly!$A:$A,0))</f>
        <v>209.743</v>
      </c>
      <c r="K228" s="4">
        <f>INDEX(E$31:E$42,7)</f>
        <v>179.02346666666668</v>
      </c>
      <c r="L228" s="29">
        <f>IF(K228&gt;0,J228/K228,0)</f>
        <v>1.1715950087735238</v>
      </c>
      <c r="M228" s="4">
        <f>INDEX(Monthly!$AE:$AE,MATCH($A228,Monthly!$A:$A,0))</f>
        <v>174.66666666666666</v>
      </c>
      <c r="N228" s="4">
        <f>INDEX(F$31:F$42,7)</f>
        <v>167.78462222222225</v>
      </c>
      <c r="O228" s="29">
        <f>IF(N228&gt;0,M228/N228,0)</f>
        <v>1.0410171346652346</v>
      </c>
    </row>
    <row r="229">
      <c r="A229" s="2" t="inlineStr">
        <is>
          <t xml:space="preserve">2020-08</t>
        </is>
      </c>
      <c r="B229" s="2" t="inlineStr">
        <is>
          <t xml:space="preserve">2020/21</t>
        </is>
      </c>
      <c r="C229" s="5" t="inlineStr">
        <is>
          <t xml:space="preserve">La Niña</t>
        </is>
      </c>
      <c r="D229" s="4">
        <f>INDEX(Monthly!$P:$P,MATCH($A229,Monthly!$A:$A,0))</f>
        <v>220.559</v>
      </c>
      <c r="E229" s="4">
        <f>INDEX(C$31:C$42,8)</f>
        <v>168.58193333333332</v>
      </c>
      <c r="F229" s="29">
        <f>IF(E229&gt;0,D229/E229,0)</f>
        <v>1.3083193177283925</v>
      </c>
      <c r="G229" s="4">
        <f>INDEX(Monthly!$U:$U,MATCH($A229,Monthly!$A:$A,0))</f>
        <v>211.345</v>
      </c>
      <c r="H229" s="4">
        <f>INDEX(D$31:D$42,8)</f>
        <v>228.6517333333334</v>
      </c>
      <c r="I229" s="29">
        <f>IF(H229&gt;0,G229/H229,0)</f>
        <v>0.9243096342151788</v>
      </c>
      <c r="J229" s="4">
        <f>INDEX(Monthly!$Z:$Z,MATCH($A229,Monthly!$A:$A,0))</f>
        <v>278.427</v>
      </c>
      <c r="K229" s="4">
        <f>INDEX(E$31:E$42,8)</f>
        <v>219.19053333333335</v>
      </c>
      <c r="L229" s="29">
        <f>IF(K229&gt;0,J229/K229,0)</f>
        <v>1.2702510266562608</v>
      </c>
      <c r="M229" s="4">
        <f>INDEX(Monthly!$AE:$AE,MATCH($A229,Monthly!$A:$A,0))</f>
        <v>236.77700000000002</v>
      </c>
      <c r="N229" s="4">
        <f>INDEX(F$31:F$42,8)</f>
        <v>205.47473333333338</v>
      </c>
      <c r="O229" s="29">
        <f>IF(N229&gt;0,M229/N229,0)</f>
        <v>1.1523411962087144</v>
      </c>
    </row>
    <row r="230">
      <c r="A230" s="2" t="inlineStr">
        <is>
          <t xml:space="preserve">2020-09</t>
        </is>
      </c>
      <c r="B230" s="2" t="inlineStr">
        <is>
          <t xml:space="preserve">2020/21</t>
        </is>
      </c>
      <c r="C230" s="5" t="inlineStr">
        <is>
          <t xml:space="preserve">La Niña</t>
        </is>
      </c>
      <c r="D230" s="4">
        <f>INDEX(Monthly!$P:$P,MATCH($A230,Monthly!$A:$A,0))</f>
        <v>241.907</v>
      </c>
      <c r="E230" s="4">
        <f>INDEX(C$31:C$42,9)</f>
        <v>216.9424666666667</v>
      </c>
      <c r="F230" s="29">
        <f>IF(E230&gt;0,D230/E230,0)</f>
        <v>1.1150744421639285</v>
      </c>
      <c r="G230" s="4">
        <f>INDEX(Monthly!$U:$U,MATCH($A230,Monthly!$A:$A,0))</f>
        <v>251.172</v>
      </c>
      <c r="H230" s="4">
        <f>INDEX(D$31:D$42,9)</f>
        <v>235.93773333333334</v>
      </c>
      <c r="I230" s="29">
        <f>IF(H230&gt;0,G230/H230,0)</f>
        <v>1.064569013406362</v>
      </c>
      <c r="J230" s="4">
        <f>INDEX(Monthly!$Z:$Z,MATCH($A230,Monthly!$A:$A,0))</f>
        <v>492.964</v>
      </c>
      <c r="K230" s="4">
        <f>INDEX(E$31:E$42,9)</f>
        <v>255.97060000000002</v>
      </c>
      <c r="L230" s="31">
        <f>IF(K230&gt;0,J230/K230,0)</f>
        <v>1.9258617981908859</v>
      </c>
      <c r="M230" s="4">
        <f>INDEX(Monthly!$AE:$AE,MATCH($A230,Monthly!$A:$A,0))</f>
        <v>328.681</v>
      </c>
      <c r="N230" s="4">
        <f>INDEX(F$31:F$42,9)</f>
        <v>236.28360000000004</v>
      </c>
      <c r="O230" s="29">
        <f>IF(N230&gt;0,M230/N230,0)</f>
        <v>1.391044490603664</v>
      </c>
    </row>
    <row r="231">
      <c r="A231" s="2" t="inlineStr">
        <is>
          <t xml:space="preserve">2020-10</t>
        </is>
      </c>
      <c r="B231" s="2" t="inlineStr">
        <is>
          <t xml:space="preserve">2020/21</t>
        </is>
      </c>
      <c r="C231" s="5" t="inlineStr">
        <is>
          <t xml:space="preserve">La Niña</t>
        </is>
      </c>
      <c r="D231" s="4">
        <f>INDEX(Monthly!$P:$P,MATCH($A231,Monthly!$A:$A,0))</f>
        <v>140.191</v>
      </c>
      <c r="E231" s="4">
        <f>INDEX(C$31:C$42,10)</f>
        <v>157.55200000000002</v>
      </c>
      <c r="F231" s="29">
        <f>IF(E231&gt;0,D231/E231,0)</f>
        <v>0.8898078094851223</v>
      </c>
      <c r="G231" s="4">
        <f>INDEX(Monthly!$U:$U,MATCH($A231,Monthly!$A:$A,0))</f>
        <v>154.544</v>
      </c>
      <c r="H231" s="4">
        <f>INDEX(D$31:D$42,10)</f>
        <v>156.79653333333331</v>
      </c>
      <c r="I231" s="29">
        <f>IF(H231&gt;0,G231/H231,0)</f>
        <v>0.9856340361266492</v>
      </c>
      <c r="J231" s="4">
        <f>INDEX(Monthly!$Z:$Z,MATCH($A231,Monthly!$A:$A,0))</f>
        <v>246.973</v>
      </c>
      <c r="K231" s="4">
        <f>INDEX(E$31:E$42,10)</f>
        <v>182.93833333333333</v>
      </c>
      <c r="L231" s="29">
        <f>IF(K231&gt;0,J231/K231,0)</f>
        <v>1.3500341645180982</v>
      </c>
      <c r="M231" s="4">
        <f>INDEX(Monthly!$AE:$AE,MATCH($A231,Monthly!$A:$A,0))</f>
        <v>180.56933333333336</v>
      </c>
      <c r="N231" s="4">
        <f>INDEX(F$31:F$42,10)</f>
        <v>165.7622888888889</v>
      </c>
      <c r="O231" s="29">
        <f>IF(N231&gt;0,M231/N231,0)</f>
        <v>1.0893269786734767</v>
      </c>
    </row>
    <row r="232">
      <c r="A232" s="2" t="inlineStr">
        <is>
          <t xml:space="preserve">2020-11</t>
        </is>
      </c>
      <c r="B232" s="2" t="inlineStr">
        <is>
          <t xml:space="preserve">2020/21</t>
        </is>
      </c>
      <c r="C232" s="5" t="inlineStr">
        <is>
          <t xml:space="preserve">La Niña</t>
        </is>
      </c>
      <c r="D232" s="4">
        <f>INDEX(Monthly!$P:$P,MATCH($A232,Monthly!$A:$A,0))</f>
        <v>212.268</v>
      </c>
      <c r="E232" s="4">
        <f>INDEX(C$31:C$42,11)</f>
        <v>28.2242</v>
      </c>
      <c r="F232" s="31">
        <f>IF(E232&gt;0,D232/E232,0)</f>
        <v>7.520780039823981</v>
      </c>
      <c r="G232" s="4">
        <f>INDEX(Monthly!$U:$U,MATCH($A232,Monthly!$A:$A,0))</f>
        <v>195.619</v>
      </c>
      <c r="H232" s="4">
        <f>INDEX(D$31:D$42,11)</f>
        <v>37.004000000000005</v>
      </c>
      <c r="I232" s="31">
        <f>IF(H232&gt;0,G232/H232,0)</f>
        <v>5.286428494216841</v>
      </c>
      <c r="J232" s="4">
        <f>INDEX(Monthly!$Z:$Z,MATCH($A232,Monthly!$A:$A,0))</f>
        <v>439.708</v>
      </c>
      <c r="K232" s="4">
        <f>INDEX(E$31:E$42,11)</f>
        <v>60.208133333333336</v>
      </c>
      <c r="L232" s="31">
        <f>IF(K232&gt;0,J232/K232,0)</f>
        <v>7.303132910060878</v>
      </c>
      <c r="M232" s="4">
        <f>INDEX(Monthly!$AE:$AE,MATCH($A232,Monthly!$A:$A,0))</f>
        <v>282.5316666666667</v>
      </c>
      <c r="N232" s="4">
        <f>INDEX(F$31:F$42,11)</f>
        <v>41.81211111111111</v>
      </c>
      <c r="O232" s="31">
        <f>IF(N232&gt;0,M232/N232,0)</f>
        <v>6.757172961582105</v>
      </c>
    </row>
    <row r="233">
      <c r="A233" s="2" t="inlineStr">
        <is>
          <t xml:space="preserve">2020-12</t>
        </is>
      </c>
      <c r="B233" s="2" t="inlineStr">
        <is>
          <t xml:space="preserve">2020/21</t>
        </is>
      </c>
      <c r="C233" s="5" t="inlineStr">
        <is>
          <t xml:space="preserve">La Niña</t>
        </is>
      </c>
      <c r="D233" s="4">
        <f>INDEX(Monthly!$P:$P,MATCH($A233,Monthly!$A:$A,0))</f>
        <v>3.37</v>
      </c>
      <c r="E233" s="4">
        <f>INDEX(C$31:C$42,12)</f>
        <v>13.638533333333335</v>
      </c>
      <c r="F233" s="32">
        <f>IF(E233&gt;0,D233/E233,0)</f>
        <v>0.24709401792959163</v>
      </c>
      <c r="G233" s="4">
        <f>INDEX(Monthly!$U:$U,MATCH($A233,Monthly!$A:$A,0))</f>
        <v>6.775</v>
      </c>
      <c r="H233" s="4">
        <f>INDEX(D$31:D$42,12)</f>
        <v>23.69433333333333</v>
      </c>
      <c r="I233" s="32">
        <f>IF(H233&gt;0,G233/H233,0)</f>
        <v>0.2859333455256532</v>
      </c>
      <c r="J233" s="4">
        <f>INDEX(Monthly!$Z:$Z,MATCH($A233,Monthly!$A:$A,0))</f>
        <v>25.996</v>
      </c>
      <c r="K233" s="4">
        <f>INDEX(E$31:E$42,12)</f>
        <v>52.138</v>
      </c>
      <c r="L233" s="32">
        <f>IF(K233&gt;0,J233/K233,0)</f>
        <v>0.49859986957689206</v>
      </c>
      <c r="M233" s="4">
        <f>INDEX(Monthly!$AE:$AE,MATCH($A233,Monthly!$A:$A,0))</f>
        <v>12.046999999999999</v>
      </c>
      <c r="N233" s="4">
        <f>INDEX(F$31:F$42,12)</f>
        <v>29.823622222222223</v>
      </c>
      <c r="O233" s="32">
        <f>IF(N233&gt;0,M233/N233,0)</f>
        <v>0.4039415437278279</v>
      </c>
    </row>
    <row r="234">
      <c r="A234" s="2" t="inlineStr">
        <is>
          <t xml:space="preserve">2021-01</t>
        </is>
      </c>
      <c r="B234" s="2" t="inlineStr">
        <is>
          <t xml:space="preserve">2020/21</t>
        </is>
      </c>
      <c r="C234" s="5" t="inlineStr">
        <is>
          <t xml:space="preserve">La Niña</t>
        </is>
      </c>
      <c r="D234" s="4">
        <f>INDEX(Monthly!$P:$P,MATCH($A234,Monthly!$A:$A,0))</f>
        <v>2.95</v>
      </c>
      <c r="E234" s="4">
        <f>INDEX(C$31:C$42,1)</f>
        <v>4.832071428571429</v>
      </c>
      <c r="F234" s="29">
        <f>IF(E234&gt;0,D234/E234,0)</f>
        <v>0.6105042203136779</v>
      </c>
      <c r="G234" s="4">
        <f>INDEX(Monthly!$U:$U,MATCH($A234,Monthly!$A:$A,0))</f>
        <v>11.085</v>
      </c>
      <c r="H234" s="4">
        <f>INDEX(D$31:D$42,1)</f>
        <v>14.249071428571428</v>
      </c>
      <c r="I234" s="29">
        <f>IF(H234&gt;0,G234/H234,0)</f>
        <v>0.777945430028022</v>
      </c>
      <c r="J234" s="4">
        <f>INDEX(Monthly!$Z:$Z,MATCH($A234,Monthly!$A:$A,0))</f>
        <v>35.406</v>
      </c>
      <c r="K234" s="4">
        <f>INDEX(E$31:E$42,1)</f>
        <v>40.161500000000004</v>
      </c>
      <c r="L234" s="29">
        <f>IF(K234&gt;0,J234/K234,0)</f>
        <v>0.8815905780411587</v>
      </c>
      <c r="M234" s="4">
        <f>INDEX(Monthly!$AE:$AE,MATCH($A234,Monthly!$A:$A,0))</f>
        <v>16.480333333333334</v>
      </c>
      <c r="N234" s="4">
        <f>INDEX(F$31:F$42,1)</f>
        <v>19.74754761904762</v>
      </c>
      <c r="O234" s="29">
        <f>IF(N234&gt;0,M234/N234,0)</f>
        <v>0.8345508845582996</v>
      </c>
    </row>
    <row r="235">
      <c r="A235" s="2" t="inlineStr">
        <is>
          <t xml:space="preserve">2021-02</t>
        </is>
      </c>
      <c r="B235" s="2" t="inlineStr">
        <is>
          <t xml:space="preserve">2020/21</t>
        </is>
      </c>
      <c r="C235" s="5" t="inlineStr">
        <is>
          <t xml:space="preserve">La Niña</t>
        </is>
      </c>
      <c r="D235" s="4">
        <f>INDEX(Monthly!$P:$P,MATCH($A235,Monthly!$A:$A,0))</f>
        <v>7.916</v>
      </c>
      <c r="E235" s="4">
        <f>INDEX(C$31:C$42,2)</f>
        <v>5.8785</v>
      </c>
      <c r="F235" s="29">
        <f>IF(E235&gt;0,D235/E235,0)</f>
        <v>1.3466020243259336</v>
      </c>
      <c r="G235" s="4">
        <f>INDEX(Monthly!$U:$U,MATCH($A235,Monthly!$A:$A,0))</f>
        <v>19.94</v>
      </c>
      <c r="H235" s="4">
        <f>INDEX(D$31:D$42,2)</f>
        <v>12.850714285714284</v>
      </c>
      <c r="I235" s="31">
        <f>IF(H235&gt;0,G235/H235,0)</f>
        <v>1.5516647212495138</v>
      </c>
      <c r="J235" s="4">
        <f>INDEX(Monthly!$Z:$Z,MATCH($A235,Monthly!$A:$A,0))</f>
        <v>35.748</v>
      </c>
      <c r="K235" s="4">
        <f>INDEX(E$31:E$42,2)</f>
        <v>27.980785714285712</v>
      </c>
      <c r="L235" s="29">
        <f>IF(K235&gt;0,J235/K235,0)</f>
        <v>1.2775909999463917</v>
      </c>
      <c r="M235" s="4">
        <f>INDEX(Monthly!$AE:$AE,MATCH($A235,Monthly!$A:$A,0))</f>
        <v>21.201333333333334</v>
      </c>
      <c r="N235" s="4">
        <f>INDEX(F$31:F$42,2)</f>
        <v>15.570000000000002</v>
      </c>
      <c r="O235" s="29">
        <f>IF(N235&gt;0,M235/N235,0)</f>
        <v>1.3616784414472274</v>
      </c>
    </row>
    <row r="236">
      <c r="A236" s="2" t="inlineStr">
        <is>
          <t xml:space="preserve">2021-03</t>
        </is>
      </c>
      <c r="B236" s="2" t="inlineStr">
        <is>
          <t xml:space="preserve">2020/21</t>
        </is>
      </c>
      <c r="C236" s="5" t="inlineStr">
        <is>
          <t xml:space="preserve">La Niña</t>
        </is>
      </c>
      <c r="D236" s="4">
        <f>INDEX(Monthly!$P:$P,MATCH($A236,Monthly!$A:$A,0))</f>
        <v>3.218</v>
      </c>
      <c r="E236" s="4">
        <f>INDEX(C$31:C$42,3)</f>
        <v>8.098142857142857</v>
      </c>
      <c r="F236" s="32">
        <f>IF(E236&gt;0,D236/E236,0)</f>
        <v>0.39737505953746005</v>
      </c>
      <c r="G236" s="4">
        <f>INDEX(Monthly!$U:$U,MATCH($A236,Monthly!$A:$A,0))</f>
        <v>7.027</v>
      </c>
      <c r="H236" s="4">
        <f>INDEX(D$31:D$42,3)</f>
        <v>13.050214285714285</v>
      </c>
      <c r="I236" s="29">
        <f>IF(H236&gt;0,G236/H236,0)</f>
        <v>0.538458591265606</v>
      </c>
      <c r="J236" s="4">
        <f>INDEX(Monthly!$Z:$Z,MATCH($A236,Monthly!$A:$A,0))</f>
        <v>24.869</v>
      </c>
      <c r="K236" s="4">
        <f>INDEX(E$31:E$42,3)</f>
        <v>22.94821428571429</v>
      </c>
      <c r="L236" s="29">
        <f>IF(K236&gt;0,J236/K236,0)</f>
        <v>1.083700879309003</v>
      </c>
      <c r="M236" s="4">
        <f>INDEX(Monthly!$AE:$AE,MATCH($A236,Monthly!$A:$A,0))</f>
        <v>11.704666666666668</v>
      </c>
      <c r="N236" s="4">
        <f>INDEX(F$31:F$42,3)</f>
        <v>14.69885714285714</v>
      </c>
      <c r="O236" s="29">
        <f>IF(N236&gt;0,M236/N236,0)</f>
        <v>0.7962977361375685</v>
      </c>
    </row>
    <row r="237">
      <c r="A237" s="2" t="inlineStr">
        <is>
          <t xml:space="preserve">2021-04</t>
        </is>
      </c>
      <c r="B237" s="2" t="inlineStr">
        <is>
          <t xml:space="preserve">2020/21</t>
        </is>
      </c>
      <c r="C237" s="5" t="inlineStr">
        <is>
          <t xml:space="preserve">La Niña</t>
        </is>
      </c>
      <c r="D237" s="4">
        <f>INDEX(Monthly!$P:$P,MATCH($A237,Monthly!$A:$A,0))</f>
        <v>186.406</v>
      </c>
      <c r="E237" s="4">
        <f>INDEX(C$31:C$42,4)</f>
        <v>48.56264285714286</v>
      </c>
      <c r="F237" s="31">
        <f>IF(E237&gt;0,D237/E237,0)</f>
        <v>3.8384648987978705</v>
      </c>
      <c r="G237" s="4">
        <f>INDEX(Monthly!$U:$U,MATCH($A237,Monthly!$A:$A,0))</f>
        <v>41.586</v>
      </c>
      <c r="H237" s="4">
        <f>INDEX(D$31:D$42,4)</f>
        <v>40.45578571428571</v>
      </c>
      <c r="I237" s="29">
        <f>IF(H237&gt;0,G237/H237,0)</f>
        <v>1.0279370247236401</v>
      </c>
      <c r="J237" s="4">
        <f>INDEX(Monthly!$Z:$Z,MATCH($A237,Monthly!$A:$A,0))</f>
        <v>113.47</v>
      </c>
      <c r="K237" s="4">
        <f>INDEX(E$31:E$42,4)</f>
        <v>48.85292857142857</v>
      </c>
      <c r="L237" s="31">
        <f>IF(K237&gt;0,J237/K237,0)</f>
        <v>2.3226857287397595</v>
      </c>
      <c r="M237" s="4">
        <f>INDEX(Monthly!$AE:$AE,MATCH($A237,Monthly!$A:$A,0))</f>
        <v>113.82066666666667</v>
      </c>
      <c r="N237" s="4">
        <f>INDEX(F$31:F$42,4)</f>
        <v>45.95711904761904</v>
      </c>
      <c r="O237" s="31">
        <f>IF(N237&gt;0,M237/N237,0)</f>
        <v>2.476671058269122</v>
      </c>
    </row>
    <row r="238">
      <c r="A238" s="2" t="inlineStr">
        <is>
          <t xml:space="preserve">2021-05</t>
        </is>
      </c>
      <c r="B238" s="2" t="inlineStr">
        <is>
          <t xml:space="preserve">2020/21</t>
        </is>
      </c>
      <c r="C238" s="5" t="inlineStr">
        <is>
          <t xml:space="preserve">La Niña</t>
        </is>
      </c>
      <c r="D238" s="4">
        <f>INDEX(Monthly!$P:$P,MATCH($A238,Monthly!$A:$A,0))</f>
        <v>104.648</v>
      </c>
      <c r="E238" s="4">
        <f>INDEX(C$31:C$42,5)</f>
        <v>157.25921428571428</v>
      </c>
      <c r="F238" s="29">
        <f>IF(E238&gt;0,D238/E238,0)</f>
        <v>0.6654490833832585</v>
      </c>
      <c r="G238" s="4">
        <f>INDEX(Monthly!$U:$U,MATCH($A238,Monthly!$A:$A,0))</f>
        <v>144.432</v>
      </c>
      <c r="H238" s="4">
        <f>INDEX(D$31:D$42,5)</f>
        <v>153.39671428571432</v>
      </c>
      <c r="I238" s="29">
        <f>IF(H238&gt;0,G238/H238,0)</f>
        <v>0.9415586290263245</v>
      </c>
      <c r="J238" s="4">
        <f>INDEX(Monthly!$Z:$Z,MATCH($A238,Monthly!$A:$A,0))</f>
        <v>75.194</v>
      </c>
      <c r="K238" s="4">
        <f>INDEX(E$31:E$42,5)</f>
        <v>157.15200000000002</v>
      </c>
      <c r="L238" s="32">
        <f>IF(K238&gt;0,J238/K238,0)</f>
        <v>0.4784794339238444</v>
      </c>
      <c r="M238" s="4">
        <f>INDEX(Monthly!$AE:$AE,MATCH($A238,Monthly!$A:$A,0))</f>
        <v>108.09133333333334</v>
      </c>
      <c r="N238" s="4">
        <f>INDEX(F$31:F$42,5)</f>
        <v>155.9359761904762</v>
      </c>
      <c r="O238" s="29">
        <f>IF(N238&gt;0,M238/N238,0)</f>
        <v>0.6931776487633585</v>
      </c>
    </row>
    <row r="239">
      <c r="A239" s="2" t="inlineStr">
        <is>
          <t xml:space="preserve">2021-06</t>
        </is>
      </c>
      <c r="B239" s="2" t="inlineStr">
        <is>
          <t xml:space="preserve">2020/21</t>
        </is>
      </c>
      <c r="C239" s="5" t="inlineStr">
        <is>
          <t xml:space="preserve">La Niña</t>
        </is>
      </c>
      <c r="D239" s="4">
        <f>INDEX(Monthly!$P:$P,MATCH($A239,Monthly!$A:$A,0))</f>
        <v>227.072</v>
      </c>
      <c r="E239" s="4">
        <f>INDEX(C$31:C$42,6)</f>
        <v>197.10614285714286</v>
      </c>
      <c r="F239" s="29">
        <f>IF(E239&gt;0,D239/E239,0)</f>
        <v>1.1520290372917275</v>
      </c>
      <c r="G239" s="4">
        <f>INDEX(Monthly!$U:$U,MATCH($A239,Monthly!$A:$A,0))</f>
        <v>307.854</v>
      </c>
      <c r="H239" s="4">
        <f>INDEX(D$31:D$42,6)</f>
        <v>192.85257142857145</v>
      </c>
      <c r="I239" s="31">
        <f>IF(H239&gt;0,G239/H239,0)</f>
        <v>1.5963178386450638</v>
      </c>
      <c r="J239" s="4">
        <f>INDEX(Monthly!$Z:$Z,MATCH($A239,Monthly!$A:$A,0))</f>
        <v>450.436</v>
      </c>
      <c r="K239" s="4">
        <f>INDEX(E$31:E$42,6)</f>
        <v>244.03071428571425</v>
      </c>
      <c r="L239" s="31">
        <f>IF(K239&gt;0,J239/K239,0)</f>
        <v>1.8458168321903274</v>
      </c>
      <c r="M239" s="4">
        <f>INDEX(Monthly!$AE:$AE,MATCH($A239,Monthly!$A:$A,0))</f>
        <v>328.45399999999995</v>
      </c>
      <c r="N239" s="4">
        <f>INDEX(F$31:F$42,6)</f>
        <v>211.32980952380953</v>
      </c>
      <c r="O239" s="31">
        <f>IF(N239&gt;0,M239/N239,0)</f>
        <v>1.5542246535881847</v>
      </c>
    </row>
    <row r="240">
      <c r="A240" s="2" t="inlineStr">
        <is>
          <t xml:space="preserve">2021-07</t>
        </is>
      </c>
      <c r="B240" s="2" t="inlineStr">
        <is>
          <t xml:space="preserve">2021/22</t>
        </is>
      </c>
      <c r="C240" s="5" t="inlineStr">
        <is>
          <t xml:space="preserve">La Niña</t>
        </is>
      </c>
      <c r="D240" s="4">
        <f>INDEX(Monthly!$P:$P,MATCH($A240,Monthly!$A:$A,0))</f>
        <v>109.618</v>
      </c>
      <c r="E240" s="4">
        <f>INDEX(C$31:C$42,7)</f>
        <v>137.10459999999998</v>
      </c>
      <c r="F240" s="29">
        <f>IF(E240&gt;0,D240/E240,0)</f>
        <v>0.7995209496982597</v>
      </c>
      <c r="G240" s="4">
        <f>INDEX(Monthly!$U:$U,MATCH($A240,Monthly!$A:$A,0))</f>
        <v>160.959</v>
      </c>
      <c r="H240" s="4">
        <f>INDEX(D$31:D$42,7)</f>
        <v>187.2258</v>
      </c>
      <c r="I240" s="29">
        <f>IF(H240&gt;0,G240/H240,0)</f>
        <v>0.8597052329326408</v>
      </c>
      <c r="J240" s="4">
        <f>INDEX(Monthly!$Z:$Z,MATCH($A240,Monthly!$A:$A,0))</f>
        <v>115.291</v>
      </c>
      <c r="K240" s="4">
        <f>INDEX(E$31:E$42,7)</f>
        <v>179.02346666666668</v>
      </c>
      <c r="L240" s="29">
        <f>IF(K240&gt;0,J240/K240,0)</f>
        <v>0.6439993714045681</v>
      </c>
      <c r="M240" s="4">
        <f>INDEX(Monthly!$AE:$AE,MATCH($A240,Monthly!$A:$A,0))</f>
        <v>128.62266666666667</v>
      </c>
      <c r="N240" s="4">
        <f>INDEX(F$31:F$42,7)</f>
        <v>167.78462222222225</v>
      </c>
      <c r="O240" s="29">
        <f>IF(N240&gt;0,M240/N240,0)</f>
        <v>0.7665938925935206</v>
      </c>
    </row>
    <row r="241">
      <c r="A241" s="2" t="inlineStr">
        <is>
          <t xml:space="preserve">2021-08</t>
        </is>
      </c>
      <c r="B241" s="2" t="inlineStr">
        <is>
          <t xml:space="preserve">2021/22</t>
        </is>
      </c>
      <c r="C241" s="5" t="inlineStr">
        <is>
          <t xml:space="preserve">La Niña</t>
        </is>
      </c>
      <c r="D241" s="4">
        <f>INDEX(Monthly!$P:$P,MATCH($A241,Monthly!$A:$A,0))</f>
        <v>232.284</v>
      </c>
      <c r="E241" s="4">
        <f>INDEX(C$31:C$42,8)</f>
        <v>168.58193333333332</v>
      </c>
      <c r="F241" s="29">
        <f>IF(E241&gt;0,D241/E241,0)</f>
        <v>1.377870068322861</v>
      </c>
      <c r="G241" s="4">
        <f>INDEX(Monthly!$U:$U,MATCH($A241,Monthly!$A:$A,0))</f>
        <v>229.253</v>
      </c>
      <c r="H241" s="4">
        <f>INDEX(D$31:D$42,8)</f>
        <v>228.6517333333334</v>
      </c>
      <c r="I241" s="29">
        <f>IF(H241&gt;0,G241/H241,0)</f>
        <v>1.0026296177942813</v>
      </c>
      <c r="J241" s="4">
        <f>INDEX(Monthly!$Z:$Z,MATCH($A241,Monthly!$A:$A,0))</f>
        <v>374.078</v>
      </c>
      <c r="K241" s="4">
        <f>INDEX(E$31:E$42,8)</f>
        <v>219.19053333333335</v>
      </c>
      <c r="L241" s="31">
        <f>IF(K241&gt;0,J241/K241,0)</f>
        <v>1.7066339239711688</v>
      </c>
      <c r="M241" s="4">
        <f>INDEX(Monthly!$AE:$AE,MATCH($A241,Monthly!$A:$A,0))</f>
        <v>278.53833333333336</v>
      </c>
      <c r="N241" s="4">
        <f>INDEX(F$31:F$42,8)</f>
        <v>205.47473333333338</v>
      </c>
      <c r="O241" s="29">
        <f>IF(N241&gt;0,M241/N241,0)</f>
        <v>1.355584352463774</v>
      </c>
    </row>
    <row r="242">
      <c r="A242" s="2" t="inlineStr">
        <is>
          <t xml:space="preserve">2021-09</t>
        </is>
      </c>
      <c r="B242" s="2" t="inlineStr">
        <is>
          <t xml:space="preserve">2021/22</t>
        </is>
      </c>
      <c r="C242" s="5" t="inlineStr">
        <is>
          <t xml:space="preserve">La Niña</t>
        </is>
      </c>
      <c r="D242" s="4">
        <f>INDEX(Monthly!$P:$P,MATCH($A242,Monthly!$A:$A,0))</f>
        <v>152.37</v>
      </c>
      <c r="E242" s="4">
        <f>INDEX(C$31:C$42,9)</f>
        <v>216.9424666666667</v>
      </c>
      <c r="F242" s="29">
        <f>IF(E242&gt;0,D242/E242,0)</f>
        <v>0.7023521136325852</v>
      </c>
      <c r="G242" s="4">
        <f>INDEX(Monthly!$U:$U,MATCH($A242,Monthly!$A:$A,0))</f>
        <v>167.768</v>
      </c>
      <c r="H242" s="4">
        <f>INDEX(D$31:D$42,9)</f>
        <v>235.93773333333334</v>
      </c>
      <c r="I242" s="29">
        <f>IF(H242&gt;0,G242/H242,0)</f>
        <v>0.7110689656536499</v>
      </c>
      <c r="J242" s="4">
        <f>INDEX(Monthly!$Z:$Z,MATCH($A242,Monthly!$A:$A,0))</f>
        <v>131.503</v>
      </c>
      <c r="K242" s="4">
        <f>INDEX(E$31:E$42,9)</f>
        <v>255.97060000000002</v>
      </c>
      <c r="L242" s="29">
        <f>IF(K242&gt;0,J242/K242,0)</f>
        <v>0.5137425938760154</v>
      </c>
      <c r="M242" s="4">
        <f>INDEX(Monthly!$AE:$AE,MATCH($A242,Monthly!$A:$A,0))</f>
        <v>150.547</v>
      </c>
      <c r="N242" s="4">
        <f>INDEX(F$31:F$42,9)</f>
        <v>236.28360000000004</v>
      </c>
      <c r="O242" s="29">
        <f>IF(N242&gt;0,M242/N242,0)</f>
        <v>0.6371453626066302</v>
      </c>
    </row>
    <row r="243">
      <c r="A243" s="2" t="inlineStr">
        <is>
          <t xml:space="preserve">2021-10</t>
        </is>
      </c>
      <c r="B243" s="2" t="inlineStr">
        <is>
          <t xml:space="preserve">2021/22</t>
        </is>
      </c>
      <c r="C243" s="5" t="inlineStr">
        <is>
          <t xml:space="preserve">La Niña</t>
        </is>
      </c>
      <c r="D243" s="4">
        <f>INDEX(Monthly!$P:$P,MATCH($A243,Monthly!$A:$A,0))</f>
        <v>175.261</v>
      </c>
      <c r="E243" s="4">
        <f>INDEX(C$31:C$42,10)</f>
        <v>157.55200000000002</v>
      </c>
      <c r="F243" s="29">
        <f>IF(E243&gt;0,D243/E243,0)</f>
        <v>1.1124009850715952</v>
      </c>
      <c r="G243" s="4">
        <f>INDEX(Monthly!$U:$U,MATCH($A243,Monthly!$A:$A,0))</f>
        <v>133.58</v>
      </c>
      <c r="H243" s="4">
        <f>INDEX(D$31:D$42,10)</f>
        <v>156.79653333333331</v>
      </c>
      <c r="I243" s="29">
        <f>IF(H243&gt;0,G243/H243,0)</f>
        <v>0.851932100539638</v>
      </c>
      <c r="J243" s="4">
        <f>INDEX(Monthly!$Z:$Z,MATCH($A243,Monthly!$A:$A,0))</f>
        <v>239.776</v>
      </c>
      <c r="K243" s="4">
        <f>INDEX(E$31:E$42,10)</f>
        <v>182.93833333333333</v>
      </c>
      <c r="L243" s="29">
        <f>IF(K243&gt;0,J243/K243,0)</f>
        <v>1.3106930386377924</v>
      </c>
      <c r="M243" s="4">
        <f>INDEX(Monthly!$AE:$AE,MATCH($A243,Monthly!$A:$A,0))</f>
        <v>182.87233333333333</v>
      </c>
      <c r="N243" s="4">
        <f>INDEX(F$31:F$42,10)</f>
        <v>165.7622888888889</v>
      </c>
      <c r="O243" s="29">
        <f>IF(N243&gt;0,M243/N243,0)</f>
        <v>1.103220367908369</v>
      </c>
    </row>
    <row r="244">
      <c r="A244" s="2" t="inlineStr">
        <is>
          <t xml:space="preserve">2021-11</t>
        </is>
      </c>
      <c r="B244" s="2" t="inlineStr">
        <is>
          <t xml:space="preserve">2021/22</t>
        </is>
      </c>
      <c r="C244" s="5" t="inlineStr">
        <is>
          <t xml:space="preserve">La Niña</t>
        </is>
      </c>
      <c r="D244" s="4">
        <f>INDEX(Monthly!$P:$P,MATCH($A244,Monthly!$A:$A,0))</f>
        <v>4.951</v>
      </c>
      <c r="E244" s="4">
        <f>INDEX(C$31:C$42,11)</f>
        <v>28.2242</v>
      </c>
      <c r="F244" s="32">
        <f>IF(E244&gt;0,D244/E244,0)</f>
        <v>0.17541684086705733</v>
      </c>
      <c r="G244" s="4">
        <f>INDEX(Monthly!$U:$U,MATCH($A244,Monthly!$A:$A,0))</f>
        <v>13.11</v>
      </c>
      <c r="H244" s="4">
        <f>INDEX(D$31:D$42,11)</f>
        <v>37.004000000000005</v>
      </c>
      <c r="I244" s="32">
        <f>IF(H244&gt;0,G244/H244,0)</f>
        <v>0.35428602313263424</v>
      </c>
      <c r="J244" s="4">
        <f>INDEX(Monthly!$Z:$Z,MATCH($A244,Monthly!$A:$A,0))</f>
        <v>55.094</v>
      </c>
      <c r="K244" s="4">
        <f>INDEX(E$31:E$42,11)</f>
        <v>60.208133333333336</v>
      </c>
      <c r="L244" s="29">
        <f>IF(K244&gt;0,J244/K244,0)</f>
        <v>0.9150590950059903</v>
      </c>
      <c r="M244" s="4">
        <f>INDEX(Monthly!$AE:$AE,MATCH($A244,Monthly!$A:$A,0))</f>
        <v>24.385</v>
      </c>
      <c r="N244" s="4">
        <f>INDEX(F$31:F$42,11)</f>
        <v>41.81211111111111</v>
      </c>
      <c r="O244" s="29">
        <f>IF(N244&gt;0,M244/N244,0)</f>
        <v>0.5832042284399258</v>
      </c>
    </row>
    <row r="245">
      <c r="A245" s="2" t="inlineStr">
        <is>
          <t xml:space="preserve">2021-12</t>
        </is>
      </c>
      <c r="B245" s="2" t="inlineStr">
        <is>
          <t xml:space="preserve">2021/22</t>
        </is>
      </c>
      <c r="C245" s="5" t="inlineStr">
        <is>
          <t xml:space="preserve">La Niña</t>
        </is>
      </c>
      <c r="D245" s="4">
        <f>INDEX(Monthly!$P:$P,MATCH($A245,Monthly!$A:$A,0))</f>
        <v>2.482</v>
      </c>
      <c r="E245" s="4">
        <f>INDEX(C$31:C$42,12)</f>
        <v>13.638533333333335</v>
      </c>
      <c r="F245" s="32">
        <f>IF(E245&gt;0,D245/E245,0)</f>
        <v>0.18198437759680902</v>
      </c>
      <c r="G245" s="4">
        <f>INDEX(Monthly!$U:$U,MATCH($A245,Monthly!$A:$A,0))</f>
        <v>12.092</v>
      </c>
      <c r="H245" s="4">
        <f>INDEX(D$31:D$42,12)</f>
        <v>23.69433333333333</v>
      </c>
      <c r="I245" s="29">
        <f>IF(H245&gt;0,G245/H245,0)</f>
        <v>0.510332991010509</v>
      </c>
      <c r="J245" s="4">
        <f>INDEX(Monthly!$Z:$Z,MATCH($A245,Monthly!$A:$A,0))</f>
        <v>14.776</v>
      </c>
      <c r="K245" s="4">
        <f>INDEX(E$31:E$42,12)</f>
        <v>52.138</v>
      </c>
      <c r="L245" s="32">
        <f>IF(K245&gt;0,J245/K245,0)</f>
        <v>0.2834017415320879</v>
      </c>
      <c r="M245" s="4">
        <f>INDEX(Monthly!$AE:$AE,MATCH($A245,Monthly!$A:$A,0))</f>
        <v>9.783333333333333</v>
      </c>
      <c r="N245" s="4">
        <f>INDEX(F$31:F$42,12)</f>
        <v>29.823622222222223</v>
      </c>
      <c r="O245" s="32">
        <f>IF(N245&gt;0,M245/N245,0)</f>
        <v>0.32803974180049666</v>
      </c>
    </row>
    <row r="246">
      <c r="A246" s="2" t="inlineStr">
        <is>
          <t xml:space="preserve">2022-01</t>
        </is>
      </c>
      <c r="B246" s="2" t="inlineStr">
        <is>
          <t xml:space="preserve">2021/22</t>
        </is>
      </c>
      <c r="C246" s="5" t="inlineStr">
        <is>
          <t xml:space="preserve">La Niña</t>
        </is>
      </c>
      <c r="D246" s="4">
        <f>INDEX(Monthly!$P:$P,MATCH($A246,Monthly!$A:$A,0))</f>
        <v>11.926</v>
      </c>
      <c r="E246" s="4">
        <f>INDEX(C$31:C$42,1)</f>
        <v>4.832071428571429</v>
      </c>
      <c r="F246" s="31">
        <f>IF(E246&gt;0,D246/E246,0)</f>
        <v>2.468092654732516</v>
      </c>
      <c r="G246" s="4">
        <f>INDEX(Monthly!$U:$U,MATCH($A246,Monthly!$A:$A,0))</f>
        <v>13.49</v>
      </c>
      <c r="H246" s="4">
        <f>INDEX(D$31:D$42,1)</f>
        <v>14.249071428571428</v>
      </c>
      <c r="I246" s="29">
        <f>IF(H246&gt;0,G246/H246,0)</f>
        <v>0.9467283582388828</v>
      </c>
      <c r="J246" s="4">
        <f>INDEX(Monthly!$Z:$Z,MATCH($A246,Monthly!$A:$A,0))</f>
        <v>48.5</v>
      </c>
      <c r="K246" s="4">
        <f>INDEX(E$31:E$42,1)</f>
        <v>40.161500000000004</v>
      </c>
      <c r="L246" s="29">
        <f>IF(K246&gt;0,J246/K246,0)</f>
        <v>1.207624217222962</v>
      </c>
      <c r="M246" s="4">
        <f>INDEX(Monthly!$AE:$AE,MATCH($A246,Monthly!$A:$A,0))</f>
        <v>24.638666666666666</v>
      </c>
      <c r="N246" s="4">
        <f>INDEX(F$31:F$42,1)</f>
        <v>19.74754761904762</v>
      </c>
      <c r="O246" s="29">
        <f>IF(N246&gt;0,M246/N246,0)</f>
        <v>1.2476823523596057</v>
      </c>
    </row>
    <row r="247">
      <c r="A247" s="2" t="inlineStr">
        <is>
          <t xml:space="preserve">2022-02</t>
        </is>
      </c>
      <c r="B247" s="2" t="inlineStr">
        <is>
          <t xml:space="preserve">2021/22</t>
        </is>
      </c>
      <c r="C247" s="5" t="inlineStr">
        <is>
          <t xml:space="preserve">La Niña</t>
        </is>
      </c>
      <c r="D247" s="4">
        <f>INDEX(Monthly!$P:$P,MATCH($A247,Monthly!$A:$A,0))</f>
        <v>3.674</v>
      </c>
      <c r="E247" s="4">
        <f>INDEX(C$31:C$42,2)</f>
        <v>5.8785</v>
      </c>
      <c r="F247" s="29">
        <f>IF(E247&gt;0,D247/E247,0)</f>
        <v>0.6249893680360636</v>
      </c>
      <c r="G247" s="4">
        <f>INDEX(Monthly!$U:$U,MATCH($A247,Monthly!$A:$A,0))</f>
        <v>16.493</v>
      </c>
      <c r="H247" s="4">
        <f>INDEX(D$31:D$42,2)</f>
        <v>12.850714285714284</v>
      </c>
      <c r="I247" s="29">
        <f>IF(H247&gt;0,G247/H247,0)</f>
        <v>1.2834306041909844</v>
      </c>
      <c r="J247" s="4">
        <f>INDEX(Monthly!$Z:$Z,MATCH($A247,Monthly!$A:$A,0))</f>
        <v>61.149</v>
      </c>
      <c r="K247" s="4">
        <f>INDEX(E$31:E$42,2)</f>
        <v>27.980785714285712</v>
      </c>
      <c r="L247" s="31">
        <f>IF(K247&gt;0,J247/K247,0)</f>
        <v>2.1853925270147116</v>
      </c>
      <c r="M247" s="4">
        <f>INDEX(Monthly!$AE:$AE,MATCH($A247,Monthly!$A:$A,0))</f>
        <v>27.105333333333334</v>
      </c>
      <c r="N247" s="4">
        <f>INDEX(F$31:F$42,2)</f>
        <v>15.570000000000002</v>
      </c>
      <c r="O247" s="31">
        <f>IF(N247&gt;0,M247/N247,0)</f>
        <v>1.7408691928923141</v>
      </c>
    </row>
    <row r="248">
      <c r="A248" s="2" t="inlineStr">
        <is>
          <t xml:space="preserve">2022-03</t>
        </is>
      </c>
      <c r="B248" s="2" t="inlineStr">
        <is>
          <t xml:space="preserve">2021/22</t>
        </is>
      </c>
      <c r="C248" s="5" t="inlineStr">
        <is>
          <t xml:space="preserve">La Niña</t>
        </is>
      </c>
      <c r="D248" s="4">
        <f>INDEX(Monthly!$P:$P,MATCH($A248,Monthly!$A:$A,0))</f>
        <v>12.942</v>
      </c>
      <c r="E248" s="4">
        <f>INDEX(C$31:C$42,3)</f>
        <v>8.098142857142857</v>
      </c>
      <c r="F248" s="31">
        <f>IF(E248&gt;0,D248/E248,0)</f>
        <v>1.5981441953181506</v>
      </c>
      <c r="G248" s="4">
        <f>INDEX(Monthly!$U:$U,MATCH($A248,Monthly!$A:$A,0))</f>
        <v>30.209</v>
      </c>
      <c r="H248" s="4">
        <f>INDEX(D$31:D$42,3)</f>
        <v>13.050214285714285</v>
      </c>
      <c r="I248" s="31">
        <f>IF(H248&gt;0,G248/H248,0)</f>
        <v>2.31482789007296</v>
      </c>
      <c r="J248" s="4">
        <f>INDEX(Monthly!$Z:$Z,MATCH($A248,Monthly!$A:$A,0))</f>
        <v>24.79</v>
      </c>
      <c r="K248" s="4">
        <f>INDEX(E$31:E$42,3)</f>
        <v>22.94821428571429</v>
      </c>
      <c r="L248" s="29">
        <f>IF(K248&gt;0,J248/K248,0)</f>
        <v>1.0802583456540344</v>
      </c>
      <c r="M248" s="4">
        <f>INDEX(Monthly!$AE:$AE,MATCH($A248,Monthly!$A:$A,0))</f>
        <v>22.647000000000002</v>
      </c>
      <c r="N248" s="4">
        <f>INDEX(F$31:F$42,3)</f>
        <v>14.69885714285714</v>
      </c>
      <c r="O248" s="31">
        <f>IF(N248&gt;0,M248/N248,0)</f>
        <v>1.5407320297010463</v>
      </c>
    </row>
    <row r="249">
      <c r="A249" s="2" t="inlineStr">
        <is>
          <t xml:space="preserve">2022-04</t>
        </is>
      </c>
      <c r="B249" s="2" t="inlineStr">
        <is>
          <t xml:space="preserve">2021/22</t>
        </is>
      </c>
      <c r="C249" s="5" t="inlineStr">
        <is>
          <t xml:space="preserve">La Niña</t>
        </is>
      </c>
      <c r="D249" s="4">
        <f>INDEX(Monthly!$P:$P,MATCH($A249,Monthly!$A:$A,0))</f>
        <v>52.999</v>
      </c>
      <c r="E249" s="4">
        <f>INDEX(C$31:C$42,4)</f>
        <v>48.56264285714286</v>
      </c>
      <c r="F249" s="29">
        <f>IF(E249&gt;0,D249/E249,0)</f>
        <v>1.091353288903728</v>
      </c>
      <c r="G249" s="4">
        <f>INDEX(Monthly!$U:$U,MATCH($A249,Monthly!$A:$A,0))</f>
        <v>48.542</v>
      </c>
      <c r="H249" s="4">
        <f>INDEX(D$31:D$42,4)</f>
        <v>40.45578571428571</v>
      </c>
      <c r="I249" s="29">
        <f>IF(H249&gt;0,G249/H249,0)</f>
        <v>1.1998778207602305</v>
      </c>
      <c r="J249" s="4">
        <f>INDEX(Monthly!$Z:$Z,MATCH($A249,Monthly!$A:$A,0))</f>
        <v>63.915</v>
      </c>
      <c r="K249" s="4">
        <f>INDEX(E$31:E$42,4)</f>
        <v>48.85292857142857</v>
      </c>
      <c r="L249" s="29">
        <f>IF(K249&gt;0,J249/K249,0)</f>
        <v>1.308314606084443</v>
      </c>
      <c r="M249" s="4">
        <f>INDEX(Monthly!$AE:$AE,MATCH($A249,Monthly!$A:$A,0))</f>
        <v>55.151999999999994</v>
      </c>
      <c r="N249" s="4">
        <f>INDEX(F$31:F$42,4)</f>
        <v>45.95711904761904</v>
      </c>
      <c r="O249" s="29">
        <f>IF(N249&gt;0,M249/N249,0)</f>
        <v>1.2000752254042202</v>
      </c>
    </row>
    <row r="250">
      <c r="A250" s="2" t="inlineStr">
        <is>
          <t xml:space="preserve">2022-05</t>
        </is>
      </c>
      <c r="B250" s="2" t="inlineStr">
        <is>
          <t xml:space="preserve">2021/22</t>
        </is>
      </c>
      <c r="C250" s="5" t="inlineStr">
        <is>
          <t xml:space="preserve">La Niña</t>
        </is>
      </c>
      <c r="D250" s="4">
        <f>INDEX(Monthly!$P:$P,MATCH($A250,Monthly!$A:$A,0))</f>
        <v>202.91</v>
      </c>
      <c r="E250" s="4">
        <f>INDEX(C$31:C$42,5)</f>
        <v>157.25921428571428</v>
      </c>
      <c r="F250" s="29">
        <f>IF(E250&gt;0,D250/E250,0)</f>
        <v>1.290290053410452</v>
      </c>
      <c r="G250" s="4">
        <f>INDEX(Monthly!$U:$U,MATCH($A250,Monthly!$A:$A,0))</f>
        <v>111.351</v>
      </c>
      <c r="H250" s="4">
        <f>INDEX(D$31:D$42,5)</f>
        <v>153.39671428571432</v>
      </c>
      <c r="I250" s="29">
        <f>IF(H250&gt;0,G250/H250,0)</f>
        <v>0.7259021193413528</v>
      </c>
      <c r="J250" s="4">
        <f>INDEX(Monthly!$Z:$Z,MATCH($A250,Monthly!$A:$A,0))</f>
        <v>188.41</v>
      </c>
      <c r="K250" s="4">
        <f>INDEX(E$31:E$42,5)</f>
        <v>157.15200000000002</v>
      </c>
      <c r="L250" s="29">
        <f>IF(K250&gt;0,J250/K250,0)</f>
        <v>1.1989029729179392</v>
      </c>
      <c r="M250" s="4">
        <f>INDEX(Monthly!$AE:$AE,MATCH($A250,Monthly!$A:$A,0))</f>
        <v>167.557</v>
      </c>
      <c r="N250" s="4">
        <f>INDEX(F$31:F$42,5)</f>
        <v>155.9359761904762</v>
      </c>
      <c r="O250" s="29">
        <f>IF(N250&gt;0,M250/N250,0)</f>
        <v>1.07452432782624</v>
      </c>
    </row>
    <row r="251">
      <c r="A251" s="2" t="inlineStr">
        <is>
          <t xml:space="preserve">2022-06</t>
        </is>
      </c>
      <c r="B251" s="2" t="inlineStr">
        <is>
          <t xml:space="preserve">2021/22</t>
        </is>
      </c>
      <c r="C251" s="5" t="inlineStr">
        <is>
          <t xml:space="preserve">La Niña</t>
        </is>
      </c>
      <c r="D251" s="4">
        <f>INDEX(Monthly!$P:$P,MATCH($A251,Monthly!$A:$A,0))</f>
        <v>250.556</v>
      </c>
      <c r="E251" s="4">
        <f>INDEX(C$31:C$42,6)</f>
        <v>197.10614285714286</v>
      </c>
      <c r="F251" s="29">
        <f>IF(E251&gt;0,D251/E251,0)</f>
        <v>1.27117296482026</v>
      </c>
      <c r="G251" s="4">
        <f>INDEX(Monthly!$U:$U,MATCH($A251,Monthly!$A:$A,0))</f>
        <v>224.061</v>
      </c>
      <c r="H251" s="4">
        <f>INDEX(D$31:D$42,6)</f>
        <v>192.85257142857145</v>
      </c>
      <c r="I251" s="29">
        <f>IF(H251&gt;0,G251/H251,0)</f>
        <v>1.1618253173408555</v>
      </c>
      <c r="J251" s="4">
        <f>INDEX(Monthly!$Z:$Z,MATCH($A251,Monthly!$A:$A,0))</f>
        <v>363.358</v>
      </c>
      <c r="K251" s="4">
        <f>INDEX(E$31:E$42,6)</f>
        <v>244.03071428571425</v>
      </c>
      <c r="L251" s="29">
        <f>IF(K251&gt;0,J251/K251,0)</f>
        <v>1.4889847004036378</v>
      </c>
      <c r="M251" s="4">
        <f>INDEX(Monthly!$AE:$AE,MATCH($A251,Monthly!$A:$A,0))</f>
        <v>279.325</v>
      </c>
      <c r="N251" s="4">
        <f>INDEX(F$31:F$42,6)</f>
        <v>211.32980952380953</v>
      </c>
      <c r="O251" s="29">
        <f>IF(N251&gt;0,M251/N251,0)</f>
        <v>1.32174916841786</v>
      </c>
    </row>
    <row r="252">
      <c r="A252" s="2" t="inlineStr">
        <is>
          <t xml:space="preserve">2022-07</t>
        </is>
      </c>
      <c r="B252" s="2" t="inlineStr">
        <is>
          <t xml:space="preserve">2022/23</t>
        </is>
      </c>
      <c r="C252" s="5" t="inlineStr">
        <is>
          <t xml:space="preserve">La Niña</t>
        </is>
      </c>
      <c r="D252" s="4">
        <f>INDEX(Monthly!$P:$P,MATCH($A252,Monthly!$A:$A,0))</f>
        <v>105.332</v>
      </c>
      <c r="E252" s="4">
        <f>INDEX(C$31:C$42,7)</f>
        <v>137.10459999999998</v>
      </c>
      <c r="F252" s="29">
        <f>IF(E252&gt;0,D252/E252,0)</f>
        <v>0.768260145903201</v>
      </c>
      <c r="G252" s="4">
        <f>INDEX(Monthly!$U:$U,MATCH($A252,Monthly!$A:$A,0))</f>
        <v>210.152</v>
      </c>
      <c r="H252" s="4">
        <f>INDEX(D$31:D$42,7)</f>
        <v>187.2258</v>
      </c>
      <c r="I252" s="29">
        <f>IF(H252&gt;0,G252/H252,0)</f>
        <v>1.122452140677193</v>
      </c>
      <c r="J252" s="4">
        <f>INDEX(Monthly!$Z:$Z,MATCH($A252,Monthly!$A:$A,0))</f>
        <v>166.353</v>
      </c>
      <c r="K252" s="4">
        <f>INDEX(E$31:E$42,7)</f>
        <v>179.02346666666668</v>
      </c>
      <c r="L252" s="29">
        <f>IF(K252&gt;0,J252/K252,0)</f>
        <v>0.9292245485880436</v>
      </c>
      <c r="M252" s="4">
        <f>INDEX(Monthly!$AE:$AE,MATCH($A252,Monthly!$A:$A,0))</f>
        <v>160.61233333333334</v>
      </c>
      <c r="N252" s="4">
        <f>INDEX(F$31:F$42,7)</f>
        <v>167.78462222222225</v>
      </c>
      <c r="O252" s="29">
        <f>IF(N252&gt;0,M252/N252,0)</f>
        <v>0.9572530021291845</v>
      </c>
    </row>
    <row r="253">
      <c r="A253" s="2" t="inlineStr">
        <is>
          <t xml:space="preserve">2022-08</t>
        </is>
      </c>
      <c r="B253" s="2" t="inlineStr">
        <is>
          <t xml:space="preserve">2022/23</t>
        </is>
      </c>
      <c r="C253" s="5" t="inlineStr">
        <is>
          <t xml:space="preserve">La Niña</t>
        </is>
      </c>
      <c r="D253" s="4">
        <f>INDEX(Monthly!$P:$P,MATCH($A253,Monthly!$A:$A,0))</f>
        <v>260.849</v>
      </c>
      <c r="E253" s="4">
        <f>INDEX(C$31:C$42,8)</f>
        <v>168.58193333333332</v>
      </c>
      <c r="F253" s="31">
        <f>IF(E253&gt;0,D253/E253,0)</f>
        <v>1.5473128990888307</v>
      </c>
      <c r="G253" s="4">
        <f>INDEX(Monthly!$U:$U,MATCH($A253,Monthly!$A:$A,0))</f>
        <v>329.191</v>
      </c>
      <c r="H253" s="4">
        <f>INDEX(D$31:D$42,8)</f>
        <v>228.6517333333334</v>
      </c>
      <c r="I253" s="29">
        <f>IF(H253&gt;0,G253/H253,0)</f>
        <v>1.4397048087105393</v>
      </c>
      <c r="J253" s="4">
        <f>INDEX(Monthly!$Z:$Z,MATCH($A253,Monthly!$A:$A,0))</f>
        <v>370.203</v>
      </c>
      <c r="K253" s="4">
        <f>INDEX(E$31:E$42,8)</f>
        <v>219.19053333333335</v>
      </c>
      <c r="L253" s="31">
        <f>IF(K253&gt;0,J253/K253,0)</f>
        <v>1.688955240767697</v>
      </c>
      <c r="M253" s="4">
        <f>INDEX(Monthly!$AE:$AE,MATCH($A253,Monthly!$A:$A,0))</f>
        <v>320.08099999999996</v>
      </c>
      <c r="N253" s="4">
        <f>INDEX(F$31:F$42,8)</f>
        <v>205.47473333333338</v>
      </c>
      <c r="O253" s="31">
        <f>IF(N253&gt;0,M253/N253,0)</f>
        <v>1.5577633065022425</v>
      </c>
    </row>
    <row r="254">
      <c r="A254" s="2" t="inlineStr">
        <is>
          <t xml:space="preserve">2022-09</t>
        </is>
      </c>
      <c r="B254" s="2" t="inlineStr">
        <is>
          <t xml:space="preserve">2022/23</t>
        </is>
      </c>
      <c r="C254" s="5" t="inlineStr">
        <is>
          <t xml:space="preserve">La Niña</t>
        </is>
      </c>
      <c r="D254" s="4">
        <f>INDEX(Monthly!$P:$P,MATCH($A254,Monthly!$A:$A,0))</f>
        <v>374.691</v>
      </c>
      <c r="E254" s="4">
        <f>INDEX(C$31:C$42,9)</f>
        <v>216.9424666666667</v>
      </c>
      <c r="F254" s="31">
        <f>IF(E254&gt;0,D254/E254,0)</f>
        <v>1.7271445547621378</v>
      </c>
      <c r="G254" s="4">
        <f>INDEX(Monthly!$U:$U,MATCH($A254,Monthly!$A:$A,0))</f>
        <v>235.141</v>
      </c>
      <c r="H254" s="4">
        <f>INDEX(D$31:D$42,9)</f>
        <v>235.93773333333334</v>
      </c>
      <c r="I254" s="29">
        <f>IF(H254&gt;0,G254/H254,0)</f>
        <v>0.9966231203373996</v>
      </c>
      <c r="J254" s="4">
        <f>INDEX(Monthly!$Z:$Z,MATCH($A254,Monthly!$A:$A,0))</f>
        <v>459.506</v>
      </c>
      <c r="K254" s="4">
        <f>INDEX(E$31:E$42,9)</f>
        <v>255.97060000000002</v>
      </c>
      <c r="L254" s="31">
        <f>IF(K254&gt;0,J254/K254,0)</f>
        <v>1.795151474427141</v>
      </c>
      <c r="M254" s="4">
        <f>INDEX(Monthly!$AE:$AE,MATCH($A254,Monthly!$A:$A,0))</f>
        <v>356.44599999999997</v>
      </c>
      <c r="N254" s="4">
        <f>INDEX(F$31:F$42,9)</f>
        <v>236.28360000000004</v>
      </c>
      <c r="O254" s="31">
        <f>IF(N254&gt;0,M254/N254,0)</f>
        <v>1.508551588006954</v>
      </c>
    </row>
    <row r="255">
      <c r="A255" s="2" t="inlineStr">
        <is>
          <t xml:space="preserve">2022-10</t>
        </is>
      </c>
      <c r="B255" s="2" t="inlineStr">
        <is>
          <t xml:space="preserve">2022/23</t>
        </is>
      </c>
      <c r="C255" s="5" t="inlineStr">
        <is>
          <t xml:space="preserve">La Niña</t>
        </is>
      </c>
      <c r="D255" s="4">
        <f>INDEX(Monthly!$P:$P,MATCH($A255,Monthly!$A:$A,0))</f>
        <v>118.201</v>
      </c>
      <c r="E255" s="4">
        <f>INDEX(C$31:C$42,10)</f>
        <v>157.55200000000002</v>
      </c>
      <c r="F255" s="29">
        <f>IF(E255&gt;0,D255/E255,0)</f>
        <v>0.750234843099421</v>
      </c>
      <c r="G255" s="4">
        <f>INDEX(Monthly!$U:$U,MATCH($A255,Monthly!$A:$A,0))</f>
        <v>153.806</v>
      </c>
      <c r="H255" s="4">
        <f>INDEX(D$31:D$42,10)</f>
        <v>156.79653333333331</v>
      </c>
      <c r="I255" s="29">
        <f>IF(H255&gt;0,G255/H255,0)</f>
        <v>0.9809272994130824</v>
      </c>
      <c r="J255" s="4">
        <f>INDEX(Monthly!$Z:$Z,MATCH($A255,Monthly!$A:$A,0))</f>
        <v>278.868</v>
      </c>
      <c r="K255" s="4">
        <f>INDEX(E$31:E$42,10)</f>
        <v>182.93833333333333</v>
      </c>
      <c r="L255" s="31">
        <f>IF(K255&gt;0,J255/K255,0)</f>
        <v>1.5243825332762406</v>
      </c>
      <c r="M255" s="4">
        <f>INDEX(Monthly!$AE:$AE,MATCH($A255,Monthly!$A:$A,0))</f>
        <v>183.625</v>
      </c>
      <c r="N255" s="4">
        <f>INDEX(F$31:F$42,10)</f>
        <v>165.7622888888889</v>
      </c>
      <c r="O255" s="29">
        <f>IF(N255&gt;0,M255/N255,0)</f>
        <v>1.1077610066248817</v>
      </c>
    </row>
    <row r="256">
      <c r="A256" s="2" t="inlineStr">
        <is>
          <t xml:space="preserve">2022-11</t>
        </is>
      </c>
      <c r="B256" s="2" t="inlineStr">
        <is>
          <t xml:space="preserve">2022/23</t>
        </is>
      </c>
      <c r="C256" s="5" t="inlineStr">
        <is>
          <t xml:space="preserve">La Niña</t>
        </is>
      </c>
      <c r="D256" s="4">
        <f>INDEX(Monthly!$P:$P,MATCH($A256,Monthly!$A:$A,0))</f>
        <v>94.025</v>
      </c>
      <c r="E256" s="4">
        <f>INDEX(C$31:C$42,11)</f>
        <v>28.2242</v>
      </c>
      <c r="F256" s="31">
        <f>IF(E256&gt;0,D256/E256,0)</f>
        <v>3.331361030604942</v>
      </c>
      <c r="G256" s="4">
        <f>INDEX(Monthly!$U:$U,MATCH($A256,Monthly!$A:$A,0))</f>
        <v>51.526</v>
      </c>
      <c r="H256" s="4">
        <f>INDEX(D$31:D$42,11)</f>
        <v>37.004000000000005</v>
      </c>
      <c r="I256" s="29">
        <f>IF(H256&gt;0,G256/H256,0)</f>
        <v>1.3924440601016106</v>
      </c>
      <c r="J256" s="4">
        <f>INDEX(Monthly!$Z:$Z,MATCH($A256,Monthly!$A:$A,0))</f>
        <v>93.887</v>
      </c>
      <c r="K256" s="4">
        <f>INDEX(E$31:E$42,11)</f>
        <v>60.208133333333336</v>
      </c>
      <c r="L256" s="31">
        <f>IF(K256&gt;0,J256/K256,0)</f>
        <v>1.5593740380590884</v>
      </c>
      <c r="M256" s="4">
        <f>INDEX(Monthly!$AE:$AE,MATCH($A256,Monthly!$A:$A,0))</f>
        <v>79.81266666666667</v>
      </c>
      <c r="N256" s="4">
        <f>INDEX(F$31:F$42,11)</f>
        <v>41.81211111111111</v>
      </c>
      <c r="O256" s="31">
        <f>IF(N256&gt;0,M256/N256,0)</f>
        <v>1.9088408727933697</v>
      </c>
    </row>
    <row r="257">
      <c r="A257" s="2" t="inlineStr">
        <is>
          <t xml:space="preserve">2022-12</t>
        </is>
      </c>
      <c r="B257" s="2" t="inlineStr">
        <is>
          <t xml:space="preserve">2022/23</t>
        </is>
      </c>
      <c r="C257" s="5" t="inlineStr">
        <is>
          <t xml:space="preserve">La Niña</t>
        </is>
      </c>
      <c r="D257" s="4">
        <f>INDEX(Monthly!$P:$P,MATCH($A257,Monthly!$A:$A,0))</f>
        <v>0.84</v>
      </c>
      <c r="E257" s="4">
        <f>INDEX(C$31:C$42,12)</f>
        <v>13.638533333333335</v>
      </c>
      <c r="F257" s="32">
        <f>IF(E257&gt;0,D257/E257,0)</f>
        <v>0.06159020031479435</v>
      </c>
      <c r="G257" s="4">
        <f>INDEX(Monthly!$U:$U,MATCH($A257,Monthly!$A:$A,0))</f>
        <v>3.755</v>
      </c>
      <c r="H257" s="4">
        <f>INDEX(D$31:D$42,12)</f>
        <v>23.69433333333333</v>
      </c>
      <c r="I257" s="32">
        <f>IF(H257&gt;0,G257/H257,0)</f>
        <v>0.15847671032455019</v>
      </c>
      <c r="J257" s="4">
        <f>INDEX(Monthly!$Z:$Z,MATCH($A257,Monthly!$A:$A,0))</f>
        <v>13.804</v>
      </c>
      <c r="K257" s="4">
        <f>INDEX(E$31:E$42,12)</f>
        <v>52.138</v>
      </c>
      <c r="L257" s="32">
        <f>IF(K257&gt;0,J257/K257,0)</f>
        <v>0.26475890904906213</v>
      </c>
      <c r="M257" s="4">
        <f>INDEX(Monthly!$AE:$AE,MATCH($A257,Monthly!$A:$A,0))</f>
        <v>6.133</v>
      </c>
      <c r="N257" s="4">
        <f>INDEX(F$31:F$42,12)</f>
        <v>29.823622222222223</v>
      </c>
      <c r="O257" s="32">
        <f>IF(N257&gt;0,M257/N257,0)</f>
        <v>0.20564235807111886</v>
      </c>
    </row>
    <row r="258">
      <c r="A258" s="2" t="inlineStr">
        <is>
          <t xml:space="preserve">2023-01</t>
        </is>
      </c>
      <c r="B258" s="2" t="inlineStr">
        <is>
          <t xml:space="preserve">2022/23</t>
        </is>
      </c>
      <c r="C258" s="5" t="inlineStr">
        <is>
          <t xml:space="preserve">La Niña</t>
        </is>
      </c>
      <c r="D258" s="4">
        <f>INDEX(Monthly!$P:$P,MATCH($A258,Monthly!$A:$A,0))</f>
        <v>0.51</v>
      </c>
      <c r="E258" s="4">
        <f>INDEX(C$31:C$42,1)</f>
        <v>4.832071428571429</v>
      </c>
      <c r="F258" s="32">
        <f>IF(E258&gt;0,D258/E258,0)</f>
        <v>0.10554479741016126</v>
      </c>
      <c r="G258" s="4">
        <f>INDEX(Monthly!$U:$U,MATCH($A258,Monthly!$A:$A,0))</f>
        <v>4.77</v>
      </c>
      <c r="H258" s="4">
        <f>INDEX(D$31:D$42,1)</f>
        <v>14.249071428571428</v>
      </c>
      <c r="I258" s="32">
        <f>IF(H258&gt;0,G258/H258,0)</f>
        <v>0.3347586559525182</v>
      </c>
      <c r="J258" s="4">
        <f>INDEX(Monthly!$Z:$Z,MATCH($A258,Monthly!$A:$A,0))</f>
        <v>20.348</v>
      </c>
      <c r="K258" s="4">
        <f>INDEX(E$31:E$42,1)</f>
        <v>40.161500000000004</v>
      </c>
      <c r="L258" s="29">
        <f>IF(K258&gt;0,J258/K258,0)</f>
        <v>0.5066543829289244</v>
      </c>
      <c r="M258" s="4">
        <f>INDEX(Monthly!$AE:$AE,MATCH($A258,Monthly!$A:$A,0))</f>
        <v>8.542666666666667</v>
      </c>
      <c r="N258" s="4">
        <f>INDEX(F$31:F$42,1)</f>
        <v>19.74754761904762</v>
      </c>
      <c r="O258" s="32">
        <f>IF(N258&gt;0,M258/N258,0)</f>
        <v>0.4325938000740297</v>
      </c>
    </row>
    <row r="259">
      <c r="A259" s="2" t="inlineStr">
        <is>
          <t xml:space="preserve">2023-02</t>
        </is>
      </c>
      <c r="B259" s="2" t="inlineStr">
        <is>
          <t xml:space="preserve">2022/23</t>
        </is>
      </c>
      <c r="C259" s="5" t="inlineStr">
        <is>
          <t xml:space="preserve">La Niña</t>
        </is>
      </c>
      <c r="D259" s="4">
        <f>INDEX(Monthly!$P:$P,MATCH($A259,Monthly!$A:$A,0))</f>
        <v>0.191</v>
      </c>
      <c r="E259" s="4">
        <f>INDEX(C$31:C$42,2)</f>
        <v>5.8785</v>
      </c>
      <c r="F259" s="32">
        <f>IF(E259&gt;0,D259/E259,0)</f>
        <v>0.03249128178957217</v>
      </c>
      <c r="G259" s="4">
        <f>INDEX(Monthly!$U:$U,MATCH($A259,Monthly!$A:$A,0))</f>
        <v>1.814</v>
      </c>
      <c r="H259" s="4">
        <f>INDEX(D$31:D$42,2)</f>
        <v>12.850714285714284</v>
      </c>
      <c r="I259" s="32">
        <f>IF(H259&gt;0,G259/H259,0)</f>
        <v>0.1411594686232005</v>
      </c>
      <c r="J259" s="4">
        <f>INDEX(Monthly!$Z:$Z,MATCH($A259,Monthly!$A:$A,0))</f>
        <v>7.792</v>
      </c>
      <c r="K259" s="4">
        <f>INDEX(E$31:E$42,2)</f>
        <v>27.980785714285712</v>
      </c>
      <c r="L259" s="32">
        <f>IF(K259&gt;0,J259/K259,0)</f>
        <v>0.2784768118938762</v>
      </c>
      <c r="M259" s="4">
        <f>INDEX(Monthly!$AE:$AE,MATCH($A259,Monthly!$A:$A,0))</f>
        <v>3.2656666666666667</v>
      </c>
      <c r="N259" s="4">
        <f>INDEX(F$31:F$42,2)</f>
        <v>15.570000000000002</v>
      </c>
      <c r="O259" s="32">
        <f>IF(N259&gt;0,M259/N259,0)</f>
        <v>0.20974095482766</v>
      </c>
    </row>
    <row r="260">
      <c r="A260" s="2" t="inlineStr">
        <is>
          <t xml:space="preserve">2023-03</t>
        </is>
      </c>
      <c r="B260" s="2" t="inlineStr">
        <is>
          <t xml:space="preserve">2022/23</t>
        </is>
      </c>
      <c r="C260" s="5" t="inlineStr">
        <is>
          <t xml:space="preserve">La Niña</t>
        </is>
      </c>
      <c r="D260" s="4">
        <f>INDEX(Monthly!$P:$P,MATCH($A260,Monthly!$A:$A,0))</f>
        <v>45.268</v>
      </c>
      <c r="E260" s="4">
        <f>INDEX(C$31:C$42,3)</f>
        <v>8.098142857142857</v>
      </c>
      <c r="F260" s="31">
        <f>IF(E260&gt;0,D260/E260,0)</f>
        <v>5.589923615643799</v>
      </c>
      <c r="G260" s="4">
        <f>INDEX(Monthly!$U:$U,MATCH($A260,Monthly!$A:$A,0))</f>
        <v>7.259</v>
      </c>
      <c r="H260" s="4">
        <f>INDEX(D$31:D$42,3)</f>
        <v>13.050214285714285</v>
      </c>
      <c r="I260" s="29">
        <f>IF(H260&gt;0,G260/H260,0)</f>
        <v>0.5562360771306438</v>
      </c>
      <c r="J260" s="4">
        <f>INDEX(Monthly!$Z:$Z,MATCH($A260,Monthly!$A:$A,0))</f>
        <v>27.712</v>
      </c>
      <c r="K260" s="4">
        <f>INDEX(E$31:E$42,3)</f>
        <v>22.94821428571429</v>
      </c>
      <c r="L260" s="29">
        <f>IF(K260&gt;0,J260/K260,0)</f>
        <v>1.2075885145124892</v>
      </c>
      <c r="M260" s="4">
        <f>INDEX(Monthly!$AE:$AE,MATCH($A260,Monthly!$A:$A,0))</f>
        <v>26.746333333333336</v>
      </c>
      <c r="N260" s="4">
        <f>INDEX(F$31:F$42,3)</f>
        <v>14.69885714285714</v>
      </c>
      <c r="O260" s="31">
        <f>IF(N260&gt;0,M260/N260,0)</f>
        <v>1.8196199250994576</v>
      </c>
    </row>
    <row r="261">
      <c r="A261" s="2" t="inlineStr">
        <is>
          <t xml:space="preserve">2023-04</t>
        </is>
      </c>
      <c r="B261" s="2" t="inlineStr">
        <is>
          <t xml:space="preserve">2022/23</t>
        </is>
      </c>
      <c r="C261" s="5" t="inlineStr">
        <is>
          <t xml:space="preserve">La Niña</t>
        </is>
      </c>
      <c r="D261" s="4">
        <f>INDEX(Monthly!$P:$P,MATCH($A261,Monthly!$A:$A,0))</f>
        <v>46.054</v>
      </c>
      <c r="E261" s="4">
        <f>INDEX(C$31:C$42,4)</f>
        <v>48.56264285714286</v>
      </c>
      <c r="F261" s="29">
        <f>IF(E261&gt;0,D261/E261,0)</f>
        <v>0.948342126590545</v>
      </c>
      <c r="G261" s="4">
        <f>INDEX(Monthly!$U:$U,MATCH($A261,Monthly!$A:$A,0))</f>
        <v>19.734</v>
      </c>
      <c r="H261" s="4">
        <f>INDEX(D$31:D$42,4)</f>
        <v>40.45578571428571</v>
      </c>
      <c r="I261" s="32">
        <f>IF(H261&gt;0,G261/H261,0)</f>
        <v>0.4877917868007579</v>
      </c>
      <c r="J261" s="4">
        <f>INDEX(Monthly!$Z:$Z,MATCH($A261,Monthly!$A:$A,0))</f>
        <v>14.734</v>
      </c>
      <c r="K261" s="4">
        <f>INDEX(E$31:E$42,4)</f>
        <v>48.85292857142857</v>
      </c>
      <c r="L261" s="32">
        <f>IF(K261&gt;0,J261/K261,0)</f>
        <v>0.30159911454350596</v>
      </c>
      <c r="M261" s="4">
        <f>INDEX(Monthly!$AE:$AE,MATCH($A261,Monthly!$A:$A,0))</f>
        <v>26.840666666666667</v>
      </c>
      <c r="N261" s="4">
        <f>INDEX(F$31:F$42,4)</f>
        <v>45.95711904761904</v>
      </c>
      <c r="O261" s="29">
        <f>IF(N261&gt;0,M261/N261,0)</f>
        <v>0.5840371899477723</v>
      </c>
    </row>
    <row r="262">
      <c r="A262" s="2" t="inlineStr">
        <is>
          <t xml:space="preserve">2023-05</t>
        </is>
      </c>
      <c r="B262" s="2" t="inlineStr">
        <is>
          <t xml:space="preserve">2022/23</t>
        </is>
      </c>
      <c r="C262" s="5" t="inlineStr">
        <is>
          <t xml:space="preserve">La Niña</t>
        </is>
      </c>
      <c r="D262" s="4">
        <f>INDEX(Monthly!$P:$P,MATCH($A262,Monthly!$A:$A,0))</f>
        <v>179.627</v>
      </c>
      <c r="E262" s="4">
        <f>INDEX(C$31:C$42,5)</f>
        <v>157.25921428571428</v>
      </c>
      <c r="F262" s="29">
        <f>IF(E262&gt;0,D262/E262,0)</f>
        <v>1.1422351358925598</v>
      </c>
      <c r="G262" s="4">
        <f>INDEX(Monthly!$U:$U,MATCH($A262,Monthly!$A:$A,0))</f>
        <v>71.927</v>
      </c>
      <c r="H262" s="4">
        <f>INDEX(D$31:D$42,5)</f>
        <v>153.39671428571432</v>
      </c>
      <c r="I262" s="32">
        <f>IF(H262&gt;0,G262/H262,0)</f>
        <v>0.4688953106650635</v>
      </c>
      <c r="J262" s="4">
        <f>INDEX(Monthly!$Z:$Z,MATCH($A262,Monthly!$A:$A,0))</f>
        <v>89.98</v>
      </c>
      <c r="K262" s="4">
        <f>INDEX(E$31:E$42,5)</f>
        <v>157.15200000000002</v>
      </c>
      <c r="L262" s="29">
        <f>IF(K262&gt;0,J262/K262,0)</f>
        <v>0.5725666870291183</v>
      </c>
      <c r="M262" s="4">
        <f>INDEX(Monthly!$AE:$AE,MATCH($A262,Monthly!$A:$A,0))</f>
        <v>113.84466666666668</v>
      </c>
      <c r="N262" s="4">
        <f>INDEX(F$31:F$42,5)</f>
        <v>155.9359761904762</v>
      </c>
      <c r="O262" s="29">
        <f>IF(N262&gt;0,M262/N262,0)</f>
        <v>0.7300731328837492</v>
      </c>
    </row>
    <row r="263">
      <c r="A263" s="2" t="inlineStr">
        <is>
          <t xml:space="preserve">2023-06</t>
        </is>
      </c>
      <c r="B263" s="2" t="inlineStr">
        <is>
          <t xml:space="preserve">2022/23</t>
        </is>
      </c>
      <c r="C263" s="5" t="inlineStr">
        <is>
          <t xml:space="preserve">La Niña</t>
        </is>
      </c>
      <c r="D263" s="4">
        <f>INDEX(Monthly!$P:$P,MATCH($A263,Monthly!$A:$A,0))</f>
        <v>160.229</v>
      </c>
      <c r="E263" s="4">
        <f>INDEX(C$31:C$42,6)</f>
        <v>197.10614285714286</v>
      </c>
      <c r="F263" s="29">
        <f>IF(E263&gt;0,D263/E263,0)</f>
        <v>0.8129071863383254</v>
      </c>
      <c r="G263" s="4">
        <f>INDEX(Monthly!$U:$U,MATCH($A263,Monthly!$A:$A,0))</f>
        <v>119.624</v>
      </c>
      <c r="H263" s="4">
        <f>INDEX(D$31:D$42,6)</f>
        <v>192.85257142857145</v>
      </c>
      <c r="I263" s="29">
        <f>IF(H263&gt;0,G263/H263,0)</f>
        <v>0.6202872956988609</v>
      </c>
      <c r="J263" s="4">
        <f>INDEX(Monthly!$Z:$Z,MATCH($A263,Monthly!$A:$A,0))</f>
        <v>174.312</v>
      </c>
      <c r="K263" s="4">
        <f>INDEX(E$31:E$42,6)</f>
        <v>244.03071428571425</v>
      </c>
      <c r="L263" s="29">
        <f>IF(K263&gt;0,J263/K263,0)</f>
        <v>0.714303527366286</v>
      </c>
      <c r="M263" s="4">
        <f>INDEX(Monthly!$AE:$AE,MATCH($A263,Monthly!$A:$A,0))</f>
        <v>151.38833333333335</v>
      </c>
      <c r="N263" s="4">
        <f>INDEX(F$31:F$42,6)</f>
        <v>211.32980952380953</v>
      </c>
      <c r="O263" s="29">
        <f>IF(N263&gt;0,M263/N263,0)</f>
        <v>0.7163605251642322</v>
      </c>
    </row>
    <row r="264">
      <c r="A264" s="2" t="inlineStr">
        <is>
          <t xml:space="preserve">2023-07</t>
        </is>
      </c>
      <c r="B264" s="2" t="inlineStr">
        <is>
          <t xml:space="preserve">2023/24</t>
        </is>
      </c>
      <c r="C264" s="6" t="inlineStr">
        <is>
          <t xml:space="preserve">El Niño</t>
        </is>
      </c>
      <c r="D264" s="4">
        <f>INDEX(Monthly!$P:$P,MATCH($A264,Monthly!$A:$A,0))</f>
        <v>123.986</v>
      </c>
      <c r="E264" s="4">
        <f>INDEX(C$31:C$42,7)</f>
        <v>137.10459999999998</v>
      </c>
      <c r="F264" s="29">
        <f>IF(E264&gt;0,D264/E264,0)</f>
        <v>0.90431685005463</v>
      </c>
      <c r="G264" s="4">
        <f>INDEX(Monthly!$U:$U,MATCH($A264,Monthly!$A:$A,0))</f>
        <v>154.881</v>
      </c>
      <c r="H264" s="4">
        <f>INDEX(D$31:D$42,7)</f>
        <v>187.2258</v>
      </c>
      <c r="I264" s="29">
        <f>IF(H264&gt;0,G264/H264,0)</f>
        <v>0.8272417583474073</v>
      </c>
      <c r="J264" s="4">
        <f>INDEX(Monthly!$Z:$Z,MATCH($A264,Monthly!$A:$A,0))</f>
        <v>283.012</v>
      </c>
      <c r="K264" s="4">
        <f>INDEX(E$31:E$42,7)</f>
        <v>179.02346666666668</v>
      </c>
      <c r="L264" s="31">
        <f>IF(K264&gt;0,J264/K264,0)</f>
        <v>1.5808653763082083</v>
      </c>
      <c r="M264" s="4">
        <f>INDEX(Monthly!$AE:$AE,MATCH($A264,Monthly!$A:$A,0))</f>
        <v>187.293</v>
      </c>
      <c r="N264" s="4">
        <f>INDEX(F$31:F$42,7)</f>
        <v>167.78462222222225</v>
      </c>
      <c r="O264" s="29">
        <f>IF(N264&gt;0,M264/N264,0)</f>
        <v>1.1162703561232203</v>
      </c>
    </row>
    <row r="265">
      <c r="A265" s="2" t="inlineStr">
        <is>
          <t xml:space="preserve">2023-08</t>
        </is>
      </c>
      <c r="B265" s="2" t="inlineStr">
        <is>
          <t xml:space="preserve">2023/24</t>
        </is>
      </c>
      <c r="C265" s="6" t="inlineStr">
        <is>
          <t xml:space="preserve">El Niño</t>
        </is>
      </c>
      <c r="D265" s="4">
        <f>INDEX(Monthly!$P:$P,MATCH($A265,Monthly!$A:$A,0))</f>
        <v>126.224</v>
      </c>
      <c r="E265" s="4">
        <f>INDEX(C$31:C$42,8)</f>
        <v>168.58193333333332</v>
      </c>
      <c r="F265" s="29">
        <f>IF(E265&gt;0,D265/E265,0)</f>
        <v>0.7487397819220645</v>
      </c>
      <c r="G265" s="4">
        <f>INDEX(Monthly!$U:$U,MATCH($A265,Monthly!$A:$A,0))</f>
        <v>133.29</v>
      </c>
      <c r="H265" s="4">
        <f>INDEX(D$31:D$42,8)</f>
        <v>228.6517333333334</v>
      </c>
      <c r="I265" s="29">
        <f>IF(H265&gt;0,G265/H265,0)</f>
        <v>0.5829389441176331</v>
      </c>
      <c r="J265" s="4">
        <f>INDEX(Monthly!$Z:$Z,MATCH($A265,Monthly!$A:$A,0))</f>
        <v>141.624</v>
      </c>
      <c r="K265" s="4">
        <f>INDEX(E$31:E$42,8)</f>
        <v>219.19053333333335</v>
      </c>
      <c r="L265" s="29">
        <f>IF(K265&gt;0,J265/K265,0)</f>
        <v>0.6461227948408963</v>
      </c>
      <c r="M265" s="4">
        <f>INDEX(Monthly!$AE:$AE,MATCH($A265,Monthly!$A:$A,0))</f>
        <v>133.71266666666668</v>
      </c>
      <c r="N265" s="4">
        <f>INDEX(F$31:F$42,8)</f>
        <v>205.47473333333338</v>
      </c>
      <c r="O265" s="29">
        <f>IF(N265&gt;0,M265/N265,0)</f>
        <v>0.6507499218882061</v>
      </c>
    </row>
    <row r="266">
      <c r="A266" s="2" t="inlineStr">
        <is>
          <t xml:space="preserve">2023-09</t>
        </is>
      </c>
      <c r="B266" s="2" t="inlineStr">
        <is>
          <t xml:space="preserve">2023/24</t>
        </is>
      </c>
      <c r="C266" s="6" t="inlineStr">
        <is>
          <t xml:space="preserve">El Niño</t>
        </is>
      </c>
      <c r="D266" s="4">
        <f>INDEX(Monthly!$P:$P,MATCH($A266,Monthly!$A:$A,0))</f>
        <v>129.244</v>
      </c>
      <c r="E266" s="4">
        <f>INDEX(C$31:C$42,9)</f>
        <v>216.9424666666667</v>
      </c>
      <c r="F266" s="29">
        <f>IF(E266&gt;0,D266/E266,0)</f>
        <v>0.595752422224387</v>
      </c>
      <c r="G266" s="4">
        <f>INDEX(Monthly!$U:$U,MATCH($A266,Monthly!$A:$A,0))</f>
        <v>292.996</v>
      </c>
      <c r="H266" s="4">
        <f>INDEX(D$31:D$42,9)</f>
        <v>235.93773333333334</v>
      </c>
      <c r="I266" s="29">
        <f>IF(H266&gt;0,G266/H266,0)</f>
        <v>1.2418361228640549</v>
      </c>
      <c r="J266" s="4">
        <f>INDEX(Monthly!$Z:$Z,MATCH($A266,Monthly!$A:$A,0))</f>
        <v>121.638</v>
      </c>
      <c r="K266" s="4">
        <f>INDEX(E$31:E$42,9)</f>
        <v>255.97060000000002</v>
      </c>
      <c r="L266" s="32">
        <f>IF(K266&gt;0,J266/K266,0)</f>
        <v>0.4752030115958629</v>
      </c>
      <c r="M266" s="4">
        <f>INDEX(Monthly!$AE:$AE,MATCH($A266,Monthly!$A:$A,0))</f>
        <v>181.2926666666667</v>
      </c>
      <c r="N266" s="4">
        <f>INDEX(F$31:F$42,9)</f>
        <v>236.28360000000004</v>
      </c>
      <c r="O266" s="29">
        <f>IF(N266&gt;0,M266/N266,0)</f>
        <v>0.767267244390498</v>
      </c>
    </row>
    <row r="267">
      <c r="A267" s="2" t="inlineStr">
        <is>
          <t xml:space="preserve">2023-10</t>
        </is>
      </c>
      <c r="B267" s="2" t="inlineStr">
        <is>
          <t xml:space="preserve">2023/24</t>
        </is>
      </c>
      <c r="C267" s="6" t="inlineStr">
        <is>
          <t xml:space="preserve">El Niño</t>
        </is>
      </c>
      <c r="D267" s="4">
        <f>INDEX(Monthly!$P:$P,MATCH($A267,Monthly!$A:$A,0))</f>
        <v>150.182</v>
      </c>
      <c r="E267" s="4">
        <f>INDEX(C$31:C$42,10)</f>
        <v>157.55200000000002</v>
      </c>
      <c r="F267" s="29">
        <f>IF(E267&gt;0,D267/E267,0)</f>
        <v>0.9532217934396261</v>
      </c>
      <c r="G267" s="4">
        <f>INDEX(Monthly!$U:$U,MATCH($A267,Monthly!$A:$A,0))</f>
        <v>118.59</v>
      </c>
      <c r="H267" s="4">
        <f>INDEX(D$31:D$42,10)</f>
        <v>156.79653333333331</v>
      </c>
      <c r="I267" s="29">
        <f>IF(H267&gt;0,G267/H267,0)</f>
        <v>0.7563304971028272</v>
      </c>
      <c r="J267" s="4">
        <f>INDEX(Monthly!$Z:$Z,MATCH($A267,Monthly!$A:$A,0))</f>
        <v>167.643</v>
      </c>
      <c r="K267" s="4">
        <f>INDEX(E$31:E$42,10)</f>
        <v>182.93833333333333</v>
      </c>
      <c r="L267" s="29">
        <f>IF(K267&gt;0,J267/K267,0)</f>
        <v>0.9163907692027368</v>
      </c>
      <c r="M267" s="4">
        <f>INDEX(Monthly!$AE:$AE,MATCH($A267,Monthly!$A:$A,0))</f>
        <v>145.47166666666666</v>
      </c>
      <c r="N267" s="4">
        <f>INDEX(F$31:F$42,10)</f>
        <v>165.7622888888889</v>
      </c>
      <c r="O267" s="29">
        <f>IF(N267&gt;0,M267/N267,0)</f>
        <v>0.8775920484795965</v>
      </c>
    </row>
    <row r="268">
      <c r="A268" s="2" t="inlineStr">
        <is>
          <t xml:space="preserve">2023-11</t>
        </is>
      </c>
      <c r="B268" s="2" t="inlineStr">
        <is>
          <t xml:space="preserve">2023/24</t>
        </is>
      </c>
      <c r="C268" s="6" t="inlineStr">
        <is>
          <t xml:space="preserve">El Niño</t>
        </is>
      </c>
      <c r="D268" s="4">
        <f>INDEX(Monthly!$P:$P,MATCH($A268,Monthly!$A:$A,0))</f>
        <v>46.69</v>
      </c>
      <c r="E268" s="4">
        <f>INDEX(C$31:C$42,11)</f>
        <v>28.2242</v>
      </c>
      <c r="F268" s="31">
        <f>IF(E268&gt;0,D268/E268,0)</f>
        <v>1.6542541506933766</v>
      </c>
      <c r="G268" s="4">
        <f>INDEX(Monthly!$U:$U,MATCH($A268,Monthly!$A:$A,0))</f>
        <v>70.584</v>
      </c>
      <c r="H268" s="4">
        <f>INDEX(D$31:D$42,11)</f>
        <v>37.004000000000005</v>
      </c>
      <c r="I268" s="31">
        <f>IF(H268&gt;0,G268/H268,0)</f>
        <v>1.9074694627607824</v>
      </c>
      <c r="J268" s="4">
        <f>INDEX(Monthly!$Z:$Z,MATCH($A268,Monthly!$A:$A,0))</f>
        <v>110.812</v>
      </c>
      <c r="K268" s="4">
        <f>INDEX(E$31:E$42,11)</f>
        <v>60.208133333333336</v>
      </c>
      <c r="L268" s="31">
        <f>IF(K268&gt;0,J268/K268,0)</f>
        <v>1.8404822382800994</v>
      </c>
      <c r="M268" s="4">
        <f>INDEX(Monthly!$AE:$AE,MATCH($A268,Monthly!$A:$A,0))</f>
        <v>76.02866666666667</v>
      </c>
      <c r="N268" s="4">
        <f>INDEX(F$31:F$42,11)</f>
        <v>41.81211111111111</v>
      </c>
      <c r="O268" s="31">
        <f>IF(N268&gt;0,M268/N268,0)</f>
        <v>1.818340778456003</v>
      </c>
    </row>
    <row r="269">
      <c r="A269" s="2" t="inlineStr">
        <is>
          <t xml:space="preserve">2023-12</t>
        </is>
      </c>
      <c r="B269" s="2" t="inlineStr">
        <is>
          <t xml:space="preserve">2023/24</t>
        </is>
      </c>
      <c r="C269" s="6" t="inlineStr">
        <is>
          <t xml:space="preserve">El Niño</t>
        </is>
      </c>
      <c r="D269" s="4">
        <f>INDEX(Monthly!$P:$P,MATCH($A269,Monthly!$A:$A,0))</f>
        <v>4.388</v>
      </c>
      <c r="E269" s="4">
        <f>INDEX(C$31:C$42,12)</f>
        <v>13.638533333333335</v>
      </c>
      <c r="F269" s="32">
        <f>IF(E269&gt;0,D269/E269,0)</f>
        <v>0.32173547497775906</v>
      </c>
      <c r="G269" s="4">
        <f>INDEX(Monthly!$U:$U,MATCH($A269,Monthly!$A:$A,0))</f>
        <v>14.872</v>
      </c>
      <c r="H269" s="4">
        <f>INDEX(D$31:D$42,12)</f>
        <v>23.69433333333333</v>
      </c>
      <c r="I269" s="29">
        <f>IF(H269&gt;0,G269/H269,0)</f>
        <v>0.6276606220896699</v>
      </c>
      <c r="J269" s="4">
        <f>INDEX(Monthly!$Z:$Z,MATCH($A269,Monthly!$A:$A,0))</f>
        <v>62.826</v>
      </c>
      <c r="K269" s="4">
        <f>INDEX(E$31:E$42,12)</f>
        <v>52.138</v>
      </c>
      <c r="L269" s="29">
        <f>IF(K269&gt;0,J269/K269,0)</f>
        <v>1.2049944378380453</v>
      </c>
      <c r="M269" s="4">
        <f>INDEX(Monthly!$AE:$AE,MATCH($A269,Monthly!$A:$A,0))</f>
        <v>27.362</v>
      </c>
      <c r="N269" s="4">
        <f>INDEX(F$31:F$42,12)</f>
        <v>29.823622222222223</v>
      </c>
      <c r="O269" s="29">
        <f>IF(N269&gt;0,M269/N269,0)</f>
        <v>0.9174606557218252</v>
      </c>
    </row>
    <row r="270">
      <c r="A270" s="2" t="inlineStr">
        <is>
          <t xml:space="preserve">2024-01</t>
        </is>
      </c>
      <c r="B270" s="2" t="inlineStr">
        <is>
          <t xml:space="preserve">2023/24</t>
        </is>
      </c>
      <c r="C270" s="6" t="inlineStr">
        <is>
          <t xml:space="preserve">El Niño</t>
        </is>
      </c>
      <c r="D270" s="4">
        <f>INDEX(Monthly!$P:$P,MATCH($A270,Monthly!$A:$A,0))</f>
        <v>1.022</v>
      </c>
      <c r="E270" s="4">
        <f>INDEX(C$31:C$42,1)</f>
        <v>4.832071428571429</v>
      </c>
      <c r="F270" s="32">
        <f>IF(E270&gt;0,D270/E270,0)</f>
        <v>0.2115034959866369</v>
      </c>
      <c r="G270" s="4">
        <f>INDEX(Monthly!$U:$U,MATCH($A270,Monthly!$A:$A,0))</f>
        <v>0.622</v>
      </c>
      <c r="H270" s="4">
        <f>INDEX(D$31:D$42,1)</f>
        <v>14.249071428571428</v>
      </c>
      <c r="I270" s="32">
        <f>IF(H270&gt;0,G270/H270,0)</f>
        <v>0.043651967296114536</v>
      </c>
      <c r="J270" s="4">
        <f>INDEX(Monthly!$Z:$Z,MATCH($A270,Monthly!$A:$A,0))</f>
        <v>15.23732580193336</v>
      </c>
      <c r="K270" s="4">
        <f>INDEX(E$31:E$42,1)</f>
        <v>40.161500000000004</v>
      </c>
      <c r="L270" s="32">
        <f>IF(K270&gt;0,J270/K270,0)</f>
        <v>0.37940131225012413</v>
      </c>
      <c r="M270" s="4">
        <f>INDEX(Monthly!$AE:$AE,MATCH($A270,Monthly!$A:$A,0))</f>
        <v>5.627108600644454</v>
      </c>
      <c r="N270" s="4">
        <f>INDEX(F$31:F$42,1)</f>
        <v>19.74754761904762</v>
      </c>
      <c r="O270" s="32">
        <f>IF(N270&gt;0,M270/N270,0)</f>
        <v>0.284952274034108</v>
      </c>
    </row>
    <row r="271">
      <c r="A271" s="2" t="inlineStr">
        <is>
          <t xml:space="preserve">2024-02</t>
        </is>
      </c>
      <c r="B271" s="2" t="inlineStr">
        <is>
          <t xml:space="preserve">2023/24</t>
        </is>
      </c>
      <c r="C271" s="6" t="inlineStr">
        <is>
          <t xml:space="preserve">El Niño</t>
        </is>
      </c>
      <c r="D271" s="4">
        <f>INDEX(Monthly!$P:$P,MATCH($A271,Monthly!$A:$A,0))</f>
        <v>7.439</v>
      </c>
      <c r="E271" s="4">
        <f>INDEX(C$31:C$42,2)</f>
        <v>5.8785</v>
      </c>
      <c r="F271" s="29">
        <f>IF(E271&gt;0,D271/E271,0)</f>
        <v>1.2654588755634941</v>
      </c>
      <c r="G271" s="4">
        <f>INDEX(Monthly!$U:$U,MATCH($A271,Monthly!$A:$A,0))</f>
        <v>0.743</v>
      </c>
      <c r="H271" s="4">
        <f>INDEX(D$31:D$42,2)</f>
        <v>12.850714285714284</v>
      </c>
      <c r="I271" s="32">
        <f>IF(H271&gt;0,G271/H271,0)</f>
        <v>0.05781779778778279</v>
      </c>
      <c r="J271" s="4">
        <f>INDEX(Monthly!$Z:$Z,MATCH($A271,Monthly!$A:$A,0))</f>
        <v>8.937985826470024</v>
      </c>
      <c r="K271" s="4">
        <f>INDEX(E$31:E$42,2)</f>
        <v>27.980785714285712</v>
      </c>
      <c r="L271" s="32">
        <f>IF(K271&gt;0,J271/K271,0)</f>
        <v>0.3194329822520565</v>
      </c>
      <c r="M271" s="4">
        <f>INDEX(Monthly!$AE:$AE,MATCH($A271,Monthly!$A:$A,0))</f>
        <v>5.706661942156675</v>
      </c>
      <c r="N271" s="4">
        <f>INDEX(F$31:F$42,2)</f>
        <v>15.570000000000002</v>
      </c>
      <c r="O271" s="32">
        <f>IF(N271&gt;0,M271/N271,0)</f>
        <v>0.36651650238642736</v>
      </c>
    </row>
    <row r="272">
      <c r="A272" s="2" t="inlineStr">
        <is>
          <t xml:space="preserve">2024-03</t>
        </is>
      </c>
      <c r="B272" s="2" t="inlineStr">
        <is>
          <t xml:space="preserve">2023/24</t>
        </is>
      </c>
      <c r="C272" s="6" t="inlineStr">
        <is>
          <t xml:space="preserve">El Niño</t>
        </is>
      </c>
      <c r="D272" s="4">
        <f>INDEX(Monthly!$P:$P,MATCH($A272,Monthly!$A:$A,0))</f>
        <v>1.476</v>
      </c>
      <c r="E272" s="4">
        <f>INDEX(C$31:C$42,3)</f>
        <v>8.098142857142857</v>
      </c>
      <c r="F272" s="32">
        <f>IF(E272&gt;0,D272/E272,0)</f>
        <v>0.18226401114894067</v>
      </c>
      <c r="G272" s="4">
        <f>INDEX(Monthly!$U:$U,MATCH($A272,Monthly!$A:$A,0))</f>
        <v>0.0</v>
      </c>
      <c r="H272" s="4">
        <f>INDEX(D$31:D$42,3)</f>
        <v>13.050214285714285</v>
      </c>
      <c r="I272" s="32">
        <f>IF(H272&gt;0,G272/H272,0)</f>
        <v>0.0</v>
      </c>
      <c r="J272" s="4">
        <f>INDEX(Monthly!$Z:$Z,MATCH($A272,Monthly!$A:$A,0))</f>
        <v>3.919019349845201</v>
      </c>
      <c r="K272" s="4">
        <f>INDEX(E$31:E$42,3)</f>
        <v>22.94821428571429</v>
      </c>
      <c r="L272" s="32">
        <f>IF(K272&gt;0,J272/K272,0)</f>
        <v>0.17077665830778244</v>
      </c>
      <c r="M272" s="4">
        <f>INDEX(Monthly!$AE:$AE,MATCH($A272,Monthly!$A:$A,0))</f>
        <v>1.7983397832817338</v>
      </c>
      <c r="N272" s="4">
        <f>INDEX(F$31:F$42,3)</f>
        <v>14.69885714285714</v>
      </c>
      <c r="O272" s="32">
        <f>IF(N272&gt;0,M272/N272,0)</f>
        <v>0.12234555148089395</v>
      </c>
    </row>
    <row r="273">
      <c r="A273" s="2" t="inlineStr">
        <is>
          <t xml:space="preserve">2024-04</t>
        </is>
      </c>
      <c r="B273" s="2" t="inlineStr">
        <is>
          <t xml:space="preserve">2023/24</t>
        </is>
      </c>
      <c r="C273" s="6" t="inlineStr">
        <is>
          <t xml:space="preserve">El Niño</t>
        </is>
      </c>
      <c r="D273" s="4">
        <f>INDEX(Monthly!$P:$P,MATCH($A273,Monthly!$A:$A,0))</f>
        <v>41.687</v>
      </c>
      <c r="E273" s="4">
        <f>INDEX(C$31:C$42,4)</f>
        <v>48.56264285714286</v>
      </c>
      <c r="F273" s="29">
        <f>IF(E273&gt;0,D273/E273,0)</f>
        <v>0.8584170371993757</v>
      </c>
      <c r="G273" s="4">
        <f>INDEX(Monthly!$U:$U,MATCH($A273,Monthly!$A:$A,0))</f>
        <v>33.605</v>
      </c>
      <c r="H273" s="4">
        <f>INDEX(D$31:D$42,4)</f>
        <v>40.45578571428571</v>
      </c>
      <c r="I273" s="29">
        <f>IF(H273&gt;0,G273/H273,0)</f>
        <v>0.8306599267983918</v>
      </c>
      <c r="J273" s="4">
        <f>INDEX(Monthly!$Z:$Z,MATCH($A273,Monthly!$A:$A,0))</f>
        <v>25.48886672571143</v>
      </c>
      <c r="K273" s="4">
        <f>INDEX(E$31:E$42,4)</f>
        <v>48.85292857142857</v>
      </c>
      <c r="L273" s="29">
        <f>IF(K273&gt;0,J273/K273,0)</f>
        <v>0.5217469550150671</v>
      </c>
      <c r="M273" s="4">
        <f>INDEX(Monthly!$AE:$AE,MATCH($A273,Monthly!$A:$A,0))</f>
        <v>33.59362224190381</v>
      </c>
      <c r="N273" s="4">
        <f>INDEX(F$31:F$42,4)</f>
        <v>45.95711904761904</v>
      </c>
      <c r="O273" s="29">
        <f>IF(N273&gt;0,M273/N273,0)</f>
        <v>0.7309775490298981</v>
      </c>
    </row>
    <row r="274">
      <c r="A274" s="2" t="inlineStr">
        <is>
          <t xml:space="preserve">2024-05</t>
        </is>
      </c>
      <c r="B274" s="2" t="inlineStr">
        <is>
          <t xml:space="preserve">2023/24</t>
        </is>
      </c>
      <c r="C274" s="6" t="inlineStr">
        <is>
          <t xml:space="preserve">El Niño</t>
        </is>
      </c>
      <c r="D274" s="4">
        <f>INDEX(Monthly!$P:$P,MATCH($A274,Monthly!$A:$A,0))</f>
        <v>45.13</v>
      </c>
      <c r="E274" s="4">
        <f>INDEX(C$31:C$42,5)</f>
        <v>157.25921428571428</v>
      </c>
      <c r="F274" s="32">
        <f>IF(E274&gt;0,D274/E274,0)</f>
        <v>0.28697841461935686</v>
      </c>
      <c r="G274" s="4">
        <f>INDEX(Monthly!$U:$U,MATCH($A274,Monthly!$A:$A,0))</f>
        <v>59.426</v>
      </c>
      <c r="H274" s="4">
        <f>INDEX(D$31:D$42,5)</f>
        <v>153.39671428571432</v>
      </c>
      <c r="I274" s="32">
        <f>IF(H274&gt;0,G274/H274,0)</f>
        <v>0.3874007359069899</v>
      </c>
      <c r="J274" s="4">
        <f>INDEX(Monthly!$Z:$Z,MATCH($A274,Monthly!$A:$A,0))</f>
        <v>41.54777662205984</v>
      </c>
      <c r="K274" s="4">
        <f>INDEX(E$31:E$42,5)</f>
        <v>157.15200000000002</v>
      </c>
      <c r="L274" s="32">
        <f>IF(K274&gt;0,J274/K274,0)</f>
        <v>0.26437956005688656</v>
      </c>
      <c r="M274" s="4">
        <f>INDEX(Monthly!$AE:$AE,MATCH($A274,Monthly!$A:$A,0))</f>
        <v>48.70125887401995</v>
      </c>
      <c r="N274" s="4">
        <f>INDEX(F$31:F$42,5)</f>
        <v>155.9359761904762</v>
      </c>
      <c r="O274" s="32">
        <f>IF(N274&gt;0,M274/N274,0)</f>
        <v>0.31231573408391167</v>
      </c>
    </row>
    <row r="275">
      <c r="A275" s="2" t="inlineStr">
        <is>
          <t xml:space="preserve">2024-06</t>
        </is>
      </c>
      <c r="B275" s="2" t="inlineStr">
        <is>
          <t xml:space="preserve">2023/24</t>
        </is>
      </c>
      <c r="C275" s="6" t="inlineStr">
        <is>
          <t xml:space="preserve">El Niño</t>
        </is>
      </c>
      <c r="D275" s="4">
        <f>INDEX(Monthly!$P:$P,MATCH($A275,Monthly!$A:$A,0))</f>
        <v>349.51</v>
      </c>
      <c r="E275" s="4">
        <f>INDEX(C$31:C$42,6)</f>
        <v>197.10614285714286</v>
      </c>
      <c r="F275" s="31">
        <f>IF(E275&gt;0,D275/E275,0)</f>
        <v>1.7732070392819532</v>
      </c>
      <c r="G275" s="4">
        <f>INDEX(Monthly!$U:$U,MATCH($A275,Monthly!$A:$A,0))</f>
        <v>203.008</v>
      </c>
      <c r="H275" s="4">
        <f>INDEX(D$31:D$42,6)</f>
        <v>192.85257142857145</v>
      </c>
      <c r="I275" s="29">
        <f>IF(H275&gt;0,G275/H275,0)</f>
        <v>1.0526590259917272</v>
      </c>
      <c r="J275" s="4">
        <f>INDEX(Monthly!$Z:$Z,MATCH($A275,Monthly!$A:$A,0))</f>
        <v>341.08085828125144</v>
      </c>
      <c r="K275" s="4">
        <f>INDEX(E$31:E$42,6)</f>
        <v>244.03071428571425</v>
      </c>
      <c r="L275" s="29">
        <f>IF(K275&gt;0,J275/K275,0)</f>
        <v>1.3976964304661652</v>
      </c>
      <c r="M275" s="4">
        <f>INDEX(Monthly!$AE:$AE,MATCH($A275,Monthly!$A:$A,0))</f>
        <v>297.8662860937505</v>
      </c>
      <c r="N275" s="4">
        <f>INDEX(F$31:F$42,6)</f>
        <v>211.32980952380953</v>
      </c>
      <c r="O275" s="29">
        <f>IF(N275&gt;0,M275/N275,0)</f>
        <v>1.4094854235894785</v>
      </c>
    </row>
    <row r="276">
      <c r="A276" s="2" t="inlineStr">
        <is>
          <t xml:space="preserve">2024-07</t>
        </is>
      </c>
      <c r="B276" s="2" t="inlineStr">
        <is>
          <t xml:space="preserve">2024/25</t>
        </is>
      </c>
      <c r="C276" s="21" t="inlineStr">
        <is>
          <t xml:space="preserve">Neutral</t>
        </is>
      </c>
      <c r="D276" s="4">
        <f>INDEX(Monthly!$P:$P,MATCH($A276,Monthly!$A:$A,0))</f>
        <v>238.537</v>
      </c>
      <c r="E276" s="4">
        <f>INDEX(C$31:C$42,7)</f>
        <v>137.10459999999998</v>
      </c>
      <c r="F276" s="31">
        <f>IF(E276&gt;0,D276/E276,0)</f>
        <v>1.7398176282925595</v>
      </c>
      <c r="G276" s="4">
        <f>INDEX(Monthly!$U:$U,MATCH($A276,Monthly!$A:$A,0))</f>
        <v>173.931</v>
      </c>
      <c r="H276" s="4">
        <f>INDEX(D$31:D$42,7)</f>
        <v>187.2258</v>
      </c>
      <c r="I276" s="29">
        <f>IF(H276&gt;0,G276/H276,0)</f>
        <v>0.9289905557887856</v>
      </c>
      <c r="J276" s="4">
        <f>INDEX(Monthly!$Z:$Z,MATCH($A276,Monthly!$A:$A,0))</f>
        <v>202.26287402579305</v>
      </c>
      <c r="K276" s="4">
        <f>INDEX(E$31:E$42,7)</f>
        <v>179.02346666666668</v>
      </c>
      <c r="L276" s="29">
        <f>IF(K276&gt;0,J276/K276,0)</f>
        <v>1.1298120731981862</v>
      </c>
      <c r="M276" s="4">
        <f>INDEX(Monthly!$AE:$AE,MATCH($A276,Monthly!$A:$A,0))</f>
        <v>204.91029134193104</v>
      </c>
      <c r="N276" s="4">
        <f>INDEX(F$31:F$42,7)</f>
        <v>167.78462222222225</v>
      </c>
      <c r="O276" s="29">
        <f>IF(N276&gt;0,M276/N276,0)</f>
        <v>1.221269795932417</v>
      </c>
    </row>
    <row r="277">
      <c r="A277" s="2" t="inlineStr">
        <is>
          <t xml:space="preserve">2024-08</t>
        </is>
      </c>
      <c r="B277" s="2" t="inlineStr">
        <is>
          <t xml:space="preserve">2024/25</t>
        </is>
      </c>
      <c r="C277" s="21" t="inlineStr">
        <is>
          <t xml:space="preserve">Neutral</t>
        </is>
      </c>
      <c r="D277" s="4">
        <f>INDEX(Monthly!$P:$P,MATCH($A277,Monthly!$A:$A,0))</f>
        <v>203.238</v>
      </c>
      <c r="E277" s="4">
        <f>INDEX(C$31:C$42,8)</f>
        <v>168.58193333333332</v>
      </c>
      <c r="F277" s="29">
        <f>IF(E277&gt;0,D277/E277,0)</f>
        <v>1.2055740255282397</v>
      </c>
      <c r="G277" s="4">
        <f>INDEX(Monthly!$U:$U,MATCH($A277,Monthly!$A:$A,0))</f>
        <v>179.105</v>
      </c>
      <c r="H277" s="4">
        <f>INDEX(D$31:D$42,8)</f>
        <v>228.6517333333334</v>
      </c>
      <c r="I277" s="29">
        <f>IF(H277&gt;0,G277/H277,0)</f>
        <v>0.7833091723774378</v>
      </c>
      <c r="J277" s="4">
        <f>INDEX(Monthly!$Z:$Z,MATCH($A277,Monthly!$A:$A,0))</f>
        <v>153.3569251364185</v>
      </c>
      <c r="K277" s="4">
        <f>INDEX(E$31:E$42,8)</f>
        <v>219.19053333333335</v>
      </c>
      <c r="L277" s="29">
        <f>IF(K277&gt;0,J277/K277,0)</f>
        <v>0.6996512249149074</v>
      </c>
      <c r="M277" s="4">
        <f>INDEX(Monthly!$AE:$AE,MATCH($A277,Monthly!$A:$A,0))</f>
        <v>178.56664171213947</v>
      </c>
      <c r="N277" s="4">
        <f>INDEX(F$31:F$42,8)</f>
        <v>205.47473333333338</v>
      </c>
      <c r="O277" s="29">
        <f>IF(N277&gt;0,M277/N277,0)</f>
        <v>0.8690442801181691</v>
      </c>
    </row>
    <row r="278">
      <c r="A278" s="2" t="inlineStr">
        <is>
          <t xml:space="preserve">2024-09</t>
        </is>
      </c>
      <c r="B278" s="2" t="inlineStr">
        <is>
          <t xml:space="preserve">2024/25</t>
        </is>
      </c>
      <c r="C278" s="21" t="inlineStr">
        <is>
          <t xml:space="preserve">Neutral</t>
        </is>
      </c>
      <c r="D278" s="4">
        <f>INDEX(Monthly!$P:$P,MATCH($A278,Monthly!$A:$A,0))</f>
        <v>267.75</v>
      </c>
      <c r="E278" s="4">
        <f>INDEX(C$31:C$42,9)</f>
        <v>216.9424666666667</v>
      </c>
      <c r="F278" s="29">
        <f>IF(E278&gt;0,D278/E278,0)</f>
        <v>1.2341981914098883</v>
      </c>
      <c r="G278" s="4">
        <f>INDEX(Monthly!$U:$U,MATCH($A278,Monthly!$A:$A,0))</f>
        <v>143.461</v>
      </c>
      <c r="H278" s="4">
        <f>INDEX(D$31:D$42,9)</f>
        <v>235.93773333333334</v>
      </c>
      <c r="I278" s="29">
        <f>IF(H278&gt;0,G278/H278,0)</f>
        <v>0.6080460211818599</v>
      </c>
      <c r="J278" s="4">
        <f>INDEX(Monthly!$Z:$Z,MATCH($A278,Monthly!$A:$A,0))</f>
        <v>270.2506058828964</v>
      </c>
      <c r="K278" s="4">
        <f>INDEX(E$31:E$42,9)</f>
        <v>255.97060000000002</v>
      </c>
      <c r="L278" s="29">
        <f>IF(K278&gt;0,J278/K278,0)</f>
        <v>1.0557876798464214</v>
      </c>
      <c r="M278" s="4">
        <f>INDEX(Monthly!$AE:$AE,MATCH($A278,Monthly!$A:$A,0))</f>
        <v>227.15386862763216</v>
      </c>
      <c r="N278" s="4">
        <f>INDEX(F$31:F$42,9)</f>
        <v>236.28360000000004</v>
      </c>
      <c r="O278" s="29">
        <f>IF(N278&gt;0,M278/N278,0)</f>
        <v>0.9613611297086727</v>
      </c>
    </row>
    <row r="279">
      <c r="A279" s="2" t="inlineStr">
        <is>
          <t xml:space="preserve">2024-10</t>
        </is>
      </c>
      <c r="B279" s="2" t="inlineStr">
        <is>
          <t xml:space="preserve">2024/25</t>
        </is>
      </c>
      <c r="C279" s="21" t="inlineStr">
        <is>
          <t xml:space="preserve">Neutral</t>
        </is>
      </c>
      <c r="D279" s="4">
        <f>INDEX(Monthly!$P:$P,MATCH($A279,Monthly!$A:$A,0))</f>
        <v>48.338</v>
      </c>
      <c r="E279" s="4">
        <f>INDEX(C$31:C$42,10)</f>
        <v>157.55200000000002</v>
      </c>
      <c r="F279" s="32">
        <f>IF(E279&gt;0,D279/E279,0)</f>
        <v>0.30680664161673604</v>
      </c>
      <c r="G279" s="4">
        <f>INDEX(Monthly!$U:$U,MATCH($A279,Monthly!$A:$A,0))</f>
        <v>67.001</v>
      </c>
      <c r="H279" s="4">
        <f>INDEX(D$31:D$42,10)</f>
        <v>156.79653333333331</v>
      </c>
      <c r="I279" s="32">
        <f>IF(H279&gt;0,G279/H279,0)</f>
        <v>0.42731174328684146</v>
      </c>
      <c r="J279" s="4">
        <f>INDEX(Monthly!$Z:$Z,MATCH($A279,Monthly!$A:$A,0))</f>
        <v>69.746438273006</v>
      </c>
      <c r="K279" s="4">
        <f>INDEX(E$31:E$42,10)</f>
        <v>182.93833333333333</v>
      </c>
      <c r="L279" s="32">
        <f>IF(K279&gt;0,J279/K279,0)</f>
        <v>0.38125655242480255</v>
      </c>
      <c r="M279" s="4">
        <f>INDEX(Monthly!$AE:$AE,MATCH($A279,Monthly!$A:$A,0))</f>
        <v>61.695146091001995</v>
      </c>
      <c r="N279" s="4">
        <f>INDEX(F$31:F$42,10)</f>
        <v>165.7622888888889</v>
      </c>
      <c r="O279" s="32">
        <f>IF(N279&gt;0,M279/N279,0)</f>
        <v>0.3721904813486045</v>
      </c>
    </row>
    <row r="280">
      <c r="A280" s="2" t="inlineStr">
        <is>
          <t xml:space="preserve">2024-11</t>
        </is>
      </c>
      <c r="B280" s="2" t="inlineStr">
        <is>
          <t xml:space="preserve">2024/25</t>
        </is>
      </c>
      <c r="C280" s="21" t="inlineStr">
        <is>
          <t xml:space="preserve">Neutral</t>
        </is>
      </c>
      <c r="D280" s="4">
        <f>INDEX(Monthly!$P:$P,MATCH($A280,Monthly!$A:$A,0))</f>
        <v>98.564</v>
      </c>
      <c r="E280" s="4">
        <f>INDEX(C$31:C$42,11)</f>
        <v>28.2242</v>
      </c>
      <c r="F280" s="31">
        <f>IF(E280&gt;0,D280/E280,0)</f>
        <v>3.4921804692427063</v>
      </c>
      <c r="G280" s="4">
        <f>INDEX(Monthly!$U:$U,MATCH($A280,Monthly!$A:$A,0))</f>
        <v>87.197</v>
      </c>
      <c r="H280" s="4">
        <f>INDEX(D$31:D$42,11)</f>
        <v>37.004000000000005</v>
      </c>
      <c r="I280" s="31">
        <f>IF(H280&gt;0,G280/H280,0)</f>
        <v>2.3564209274673007</v>
      </c>
      <c r="J280" s="4">
        <f>INDEX(Monthly!$Z:$Z,MATCH($A280,Monthly!$A:$A,0))</f>
        <v>156.09056808820733</v>
      </c>
      <c r="K280" s="4">
        <f>INDEX(E$31:E$42,11)</f>
        <v>60.208133333333336</v>
      </c>
      <c r="L280" s="31">
        <f>IF(K280&gt;0,J280/K280,0)</f>
        <v>2.5925163170901717</v>
      </c>
      <c r="M280" s="4">
        <f>INDEX(Monthly!$AE:$AE,MATCH($A280,Monthly!$A:$A,0))</f>
        <v>113.95052269606911</v>
      </c>
      <c r="N280" s="4">
        <f>INDEX(F$31:F$42,11)</f>
        <v>41.81211111111111</v>
      </c>
      <c r="O280" s="31">
        <f>IF(N280&gt;0,M280/N280,0)</f>
        <v>2.725299432818833</v>
      </c>
    </row>
    <row r="281">
      <c r="A281" s="2" t="inlineStr">
        <is>
          <t xml:space="preserve">2024-12</t>
        </is>
      </c>
      <c r="B281" s="2" t="inlineStr">
        <is>
          <t xml:space="preserve">2024/25</t>
        </is>
      </c>
      <c r="C281" s="21" t="inlineStr">
        <is>
          <t xml:space="preserve">Neutral</t>
        </is>
      </c>
      <c r="D281" s="4">
        <f>INDEX(Monthly!$P:$P,MATCH($A281,Monthly!$A:$A,0))</f>
        <v>7.195</v>
      </c>
      <c r="E281" s="4">
        <f>INDEX(C$31:C$42,12)</f>
        <v>13.638533333333335</v>
      </c>
      <c r="F281" s="29">
        <f>IF(E281&gt;0,D281/E281,0)</f>
        <v>0.5275493943630302</v>
      </c>
      <c r="G281" s="4">
        <f>INDEX(Monthly!$U:$U,MATCH($A281,Monthly!$A:$A,0))</f>
        <v>4.462</v>
      </c>
      <c r="H281" s="4">
        <f>INDEX(D$31:D$42,12)</f>
        <v>23.69433333333333</v>
      </c>
      <c r="I281" s="32">
        <f>IF(H281&gt;0,G281/H281,0)</f>
        <v>0.18831506830043754</v>
      </c>
      <c r="J281" s="4">
        <f>INDEX(Monthly!$Z:$Z,MATCH($A281,Monthly!$A:$A,0))</f>
        <v>71.72774608026265</v>
      </c>
      <c r="K281" s="4">
        <f>INDEX(E$31:E$42,12)</f>
        <v>52.138</v>
      </c>
      <c r="L281" s="29">
        <f>IF(K281&gt;0,J281/K281,0)</f>
        <v>1.3757287598347203</v>
      </c>
      <c r="M281" s="4">
        <f>INDEX(Monthly!$AE:$AE,MATCH($A281,Monthly!$A:$A,0))</f>
        <v>27.794915360087547</v>
      </c>
      <c r="N281" s="4">
        <f>INDEX(F$31:F$42,12)</f>
        <v>29.823622222222223</v>
      </c>
      <c r="O281" s="29">
        <f>IF(N281&gt;0,M281/N281,0)</f>
        <v>0.9319765101965702</v>
      </c>
    </row>
    <row r="282">
      <c r="A282" s="2" t="inlineStr">
        <is>
          <t xml:space="preserve">2025-01</t>
        </is>
      </c>
      <c r="B282" s="2" t="inlineStr">
        <is>
          <t xml:space="preserve">2024/25</t>
        </is>
      </c>
      <c r="C282" s="21" t="inlineStr">
        <is>
          <t xml:space="preserve">Neutral</t>
        </is>
      </c>
      <c r="D282" s="4">
        <f>INDEX(Monthly!$P:$P,MATCH($A282,Monthly!$A:$A,0))</f>
        <v>14.087</v>
      </c>
      <c r="E282" s="4">
        <f>INDEX(C$31:C$42,1)</f>
        <v>4.832071428571429</v>
      </c>
      <c r="F282" s="31">
        <f>IF(E282&gt;0,D282/E282,0)</f>
        <v>2.9153128649351796</v>
      </c>
      <c r="G282" s="4">
        <f>INDEX(Monthly!$U:$U,MATCH($A282,Monthly!$A:$A,0))</f>
        <v>3.544</v>
      </c>
      <c r="H282" s="4">
        <f>INDEX(D$31:D$42,1)</f>
        <v>14.249071428571428</v>
      </c>
      <c r="I282" s="32">
        <f>IF(H282&gt;0,G282/H282,0)</f>
        <v>0.24871796157143072</v>
      </c>
      <c r="J282" s="4">
        <f>INDEX(Monthly!$Z:$Z,MATCH($A282,Monthly!$A:$A,0))</f>
        <v>37.72360469334802</v>
      </c>
      <c r="K282" s="4">
        <f>INDEX(E$31:E$42,1)</f>
        <v>40.161500000000004</v>
      </c>
      <c r="L282" s="29">
        <f>IF(K282&gt;0,J282/K282,0)</f>
        <v>0.9392977028584096</v>
      </c>
      <c r="M282" s="4">
        <f>INDEX(Monthly!$AE:$AE,MATCH($A282,Monthly!$A:$A,0))</f>
        <v>18.451534897782675</v>
      </c>
      <c r="N282" s="4">
        <f>INDEX(F$31:F$42,1)</f>
        <v>19.74754761904762</v>
      </c>
      <c r="O282" s="29">
        <f>IF(N282&gt;0,M282/N282,0)</f>
        <v>0.9343709534841245</v>
      </c>
    </row>
    <row r="283">
      <c r="A283" s="2" t="inlineStr">
        <is>
          <t xml:space="preserve">2025-02</t>
        </is>
      </c>
      <c r="B283" s="2" t="inlineStr">
        <is>
          <t xml:space="preserve">2024/25</t>
        </is>
      </c>
      <c r="C283" s="21" t="inlineStr">
        <is>
          <t xml:space="preserve">Neutral</t>
        </is>
      </c>
      <c r="D283" s="4">
        <f>INDEX(Monthly!$P:$P,MATCH($A283,Monthly!$A:$A,0))</f>
        <v>5.232</v>
      </c>
      <c r="E283" s="4">
        <f>INDEX(C$31:C$42,2)</f>
        <v>5.8785</v>
      </c>
      <c r="F283" s="29">
        <f>IF(E283&gt;0,D283/E283,0)</f>
        <v>0.8900229650421027</v>
      </c>
      <c r="G283" s="4">
        <f>INDEX(Monthly!$U:$U,MATCH($A283,Monthly!$A:$A,0))</f>
        <v>6.28</v>
      </c>
      <c r="H283" s="4">
        <f>INDEX(D$31:D$42,2)</f>
        <v>12.850714285714284</v>
      </c>
      <c r="I283" s="32">
        <f>IF(H283&gt;0,G283/H283,0)</f>
        <v>0.48868878883886396</v>
      </c>
      <c r="J283" s="4">
        <f>INDEX(Monthly!$Z:$Z,MATCH($A283,Monthly!$A:$A,0))</f>
        <v>19.643369980208135</v>
      </c>
      <c r="K283" s="4">
        <f>INDEX(E$31:E$42,2)</f>
        <v>27.980785714285712</v>
      </c>
      <c r="L283" s="29">
        <f>IF(K283&gt;0,J283/K283,0)</f>
        <v>0.702030678508757</v>
      </c>
      <c r="M283" s="4">
        <f>INDEX(Monthly!$AE:$AE,MATCH($A283,Monthly!$A:$A,0))</f>
        <v>10.385123326736045</v>
      </c>
      <c r="N283" s="4">
        <f>INDEX(F$31:F$42,2)</f>
        <v>15.570000000000002</v>
      </c>
      <c r="O283" s="29">
        <f>IF(N283&gt;0,M283/N283,0)</f>
        <v>0.6669957178378961</v>
      </c>
    </row>
    <row r="284">
      <c r="A284" s="2" t="inlineStr">
        <is>
          <t xml:space="preserve">2025-03</t>
        </is>
      </c>
      <c r="B284" s="2" t="inlineStr">
        <is>
          <t xml:space="preserve">2024/25</t>
        </is>
      </c>
      <c r="C284" s="21" t="inlineStr">
        <is>
          <t xml:space="preserve">Neutral</t>
        </is>
      </c>
      <c r="D284" s="4">
        <f>INDEX(Monthly!$P:$P,MATCH($A284,Monthly!$A:$A,0))</f>
        <v>3.893</v>
      </c>
      <c r="E284" s="4">
        <f>INDEX(C$31:C$42,3)</f>
        <v>8.098142857142857</v>
      </c>
      <c r="F284" s="32">
        <f>IF(E284&gt;0,D284/E284,0)</f>
        <v>0.4807275036604512</v>
      </c>
      <c r="G284" s="4">
        <f>INDEX(Monthly!$U:$U,MATCH($A284,Monthly!$A:$A,0))</f>
        <v>8.087</v>
      </c>
      <c r="H284" s="4">
        <f>INDEX(D$31:D$42,3)</f>
        <v>13.050214285714285</v>
      </c>
      <c r="I284" s="29">
        <f>IF(H284&gt;0,G284/H284,0)</f>
        <v>0.6196833111662097</v>
      </c>
      <c r="J284" s="4">
        <f>INDEX(Monthly!$Z:$Z,MATCH($A284,Monthly!$A:$A,0))</f>
        <v>14.559485294117646</v>
      </c>
      <c r="K284" s="4">
        <f>INDEX(E$31:E$42,3)</f>
        <v>22.94821428571429</v>
      </c>
      <c r="L284" s="29">
        <f>IF(K284&gt;0,J284/K284,0)</f>
        <v>0.6344495965065661</v>
      </c>
      <c r="M284" s="4">
        <f>INDEX(Monthly!$AE:$AE,MATCH($A284,Monthly!$A:$A,0))</f>
        <v>8.846495098039215</v>
      </c>
      <c r="N284" s="4">
        <f>INDEX(F$31:F$42,3)</f>
        <v>14.69885714285714</v>
      </c>
      <c r="O284" s="29">
        <f>IF(N284&gt;0,M284/N284,0)</f>
        <v>0.6018491786171376</v>
      </c>
    </row>
    <row r="285">
      <c r="A285" s="2" t="inlineStr">
        <is>
          <t xml:space="preserve">2025-04</t>
        </is>
      </c>
      <c r="B285" s="2" t="inlineStr">
        <is>
          <t xml:space="preserve">2024/25</t>
        </is>
      </c>
      <c r="C285" s="21" t="inlineStr">
        <is>
          <t xml:space="preserve">Neutral</t>
        </is>
      </c>
      <c r="D285" s="4">
        <f>INDEX(Monthly!$P:$P,MATCH($A285,Monthly!$A:$A,0))</f>
        <v>49.159</v>
      </c>
      <c r="E285" s="4">
        <f>INDEX(C$31:C$42,4)</f>
        <v>48.56264285714286</v>
      </c>
      <c r="F285" s="29">
        <f>IF(E285&gt;0,D285/E285,0)</f>
        <v>1.0122801624411473</v>
      </c>
      <c r="G285" s="4">
        <f>INDEX(Monthly!$U:$U,MATCH($A285,Monthly!$A:$A,0))</f>
        <v>28.502</v>
      </c>
      <c r="H285" s="4">
        <f>INDEX(D$31:D$42,4)</f>
        <v>40.45578571428571</v>
      </c>
      <c r="I285" s="29">
        <f>IF(H285&gt;0,G285/H285,0)</f>
        <v>0.7045222209078341</v>
      </c>
      <c r="J285" s="4">
        <f>INDEX(Monthly!$Z:$Z,MATCH($A285,Monthly!$A:$A,0))</f>
        <v>36.10011167160847</v>
      </c>
      <c r="K285" s="4">
        <f>INDEX(E$31:E$42,4)</f>
        <v>48.85292857142857</v>
      </c>
      <c r="L285" s="29">
        <f>IF(K285&gt;0,J285/K285,0)</f>
        <v>0.7389549148282067</v>
      </c>
      <c r="M285" s="4">
        <f>INDEX(Monthly!$AE:$AE,MATCH($A285,Monthly!$A:$A,0))</f>
        <v>37.92037055720282</v>
      </c>
      <c r="N285" s="4">
        <f>INDEX(F$31:F$42,4)</f>
        <v>45.95711904761904</v>
      </c>
      <c r="O285" s="29">
        <f>IF(N285&gt;0,M285/N285,0)</f>
        <v>0.8251250588164841</v>
      </c>
    </row>
    <row r="286">
      <c r="A286" s="2" t="inlineStr">
        <is>
          <t xml:space="preserve">2025-05</t>
        </is>
      </c>
      <c r="B286" s="2" t="inlineStr">
        <is>
          <t xml:space="preserve">2024/25</t>
        </is>
      </c>
      <c r="C286" s="21" t="inlineStr">
        <is>
          <t xml:space="preserve">Neutral</t>
        </is>
      </c>
      <c r="D286" s="4">
        <f>INDEX(Monthly!$P:$P,MATCH($A286,Monthly!$A:$A,0))</f>
        <v>80.106</v>
      </c>
      <c r="E286" s="4">
        <f>INDEX(C$31:C$42,5)</f>
        <v>157.25921428571428</v>
      </c>
      <c r="F286" s="29">
        <f>IF(E286&gt;0,D286/E286,0)</f>
        <v>0.509388275681325</v>
      </c>
      <c r="G286" s="4">
        <f>INDEX(Monthly!$U:$U,MATCH($A286,Monthly!$A:$A,0))</f>
        <v>94.875</v>
      </c>
      <c r="H286" s="4">
        <f>INDEX(D$31:D$42,5)</f>
        <v>153.39671428571432</v>
      </c>
      <c r="I286" s="29">
        <f>IF(H286&gt;0,G286/H286,0)</f>
        <v>0.6184943428663492</v>
      </c>
      <c r="J286" s="4">
        <f>INDEX(Monthly!$Z:$Z,MATCH($A286,Monthly!$A:$A,0))</f>
        <v>80.8816573811043</v>
      </c>
      <c r="K286" s="4">
        <f>INDEX(E$31:E$42,5)</f>
        <v>157.15200000000002</v>
      </c>
      <c r="L286" s="29">
        <f>IF(K286&gt;0,J286/K286,0)</f>
        <v>0.5146715115372652</v>
      </c>
      <c r="M286" s="4">
        <f>INDEX(Monthly!$AE:$AE,MATCH($A286,Monthly!$A:$A,0))</f>
        <v>85.2875524603681</v>
      </c>
      <c r="N286" s="4">
        <f>INDEX(F$31:F$42,5)</f>
        <v>155.9359761904762</v>
      </c>
      <c r="O286" s="29">
        <f>IF(N286&gt;0,M286/N286,0)</f>
        <v>0.5469395488068074</v>
      </c>
    </row>
    <row r="287">
      <c r="A287" s="2" t="inlineStr">
        <is>
          <t xml:space="preserve">2025-06</t>
        </is>
      </c>
      <c r="B287" s="2" t="inlineStr">
        <is>
          <t xml:space="preserve">2024/25</t>
        </is>
      </c>
      <c r="C287" s="21" t="inlineStr">
        <is>
          <t xml:space="preserve">Neutral</t>
        </is>
      </c>
      <c r="D287" s="4">
        <f>INDEX(Monthly!$P:$P,MATCH($A287,Monthly!$A:$A,0))</f>
        <v>320.058</v>
      </c>
      <c r="E287" s="4">
        <f>INDEX(C$31:C$42,6)</f>
        <v>197.10614285714286</v>
      </c>
      <c r="F287" s="31">
        <f>IF(E287&gt;0,D287/E287,0)</f>
        <v>1.6237850092372275</v>
      </c>
      <c r="G287" s="4">
        <f>INDEX(Monthly!$U:$U,MATCH($A287,Monthly!$A:$A,0))</f>
        <v>355.957</v>
      </c>
      <c r="H287" s="4">
        <f>INDEX(D$31:D$42,6)</f>
        <v>192.85257142857145</v>
      </c>
      <c r="I287" s="31">
        <f>IF(H287&gt;0,G287/H287,0)</f>
        <v>1.8457467139961834</v>
      </c>
      <c r="J287" s="4">
        <f>INDEX(Monthly!$Z:$Z,MATCH($A287,Monthly!$A:$A,0))</f>
        <v>410.257467432984</v>
      </c>
      <c r="K287" s="4">
        <f>INDEX(E$31:E$42,6)</f>
        <v>244.03071428571425</v>
      </c>
      <c r="L287" s="31">
        <f>IF(K287&gt;0,J287/K287,0)</f>
        <v>1.6811714403812685</v>
      </c>
      <c r="M287" s="4">
        <f>INDEX(Monthly!$AE:$AE,MATCH($A287,Monthly!$A:$A,0))</f>
        <v>362.09082247766133</v>
      </c>
      <c r="N287" s="4">
        <f>INDEX(F$31:F$42,6)</f>
        <v>211.32980952380953</v>
      </c>
      <c r="O287" s="31">
        <f>IF(N287&gt;0,M287/N287,0)</f>
        <v>1.713392082705049</v>
      </c>
    </row>
    <row r="288">
      <c r="A288" s="2" t="inlineStr">
        <is>
          <t xml:space="preserve">2025-07</t>
        </is>
      </c>
      <c r="B288" s="2" t="inlineStr">
        <is>
          <t xml:space="preserve">2025/26</t>
        </is>
      </c>
      <c r="C288" s="21" t="inlineStr">
        <is>
          <t xml:space="preserve">Neutral</t>
        </is>
      </c>
      <c r="D288" s="4">
        <f>INDEX(Monthly!$P:$P,MATCH($A288,Monthly!$A:$A,0))</f>
        <v>122.565</v>
      </c>
      <c r="E288" s="4">
        <f>INDEX(C$31:C$42,7)</f>
        <v>137.10459999999998</v>
      </c>
      <c r="F288" s="29">
        <f>IF(E288&gt;0,D288/E288,0)</f>
        <v>0.8939525004996187</v>
      </c>
      <c r="G288" s="4">
        <f>INDEX(Monthly!$U:$U,MATCH($A288,Monthly!$A:$A,0))</f>
        <v>199.357</v>
      </c>
      <c r="H288" s="4">
        <f>INDEX(D$31:D$42,7)</f>
        <v>187.2258</v>
      </c>
      <c r="I288" s="29">
        <f>IF(H288&gt;0,G288/H288,0)</f>
        <v>1.0647944887937453</v>
      </c>
      <c r="J288" s="4">
        <f>INDEX(Monthly!$Z:$Z,MATCH($A288,Monthly!$A:$A,0))</f>
        <v>185.66192649449872</v>
      </c>
      <c r="K288" s="4">
        <f>INDEX(E$31:E$42,7)</f>
        <v>179.02346666666668</v>
      </c>
      <c r="L288" s="29">
        <f>IF(K288&gt;0,J288/K288,0)</f>
        <v>1.0370815064160976</v>
      </c>
      <c r="M288" s="4">
        <f>INDEX(Monthly!$AE:$AE,MATCH($A288,Monthly!$A:$A,0))</f>
        <v>169.1946421648329</v>
      </c>
      <c r="N288" s="4">
        <f>INDEX(F$31:F$42,7)</f>
        <v>167.78462222222225</v>
      </c>
      <c r="O288" s="29">
        <f>IF(N288&gt;0,M288/N288,0)</f>
        <v>1.0084037495447178</v>
      </c>
    </row>
    <row r="289">
      <c r="A289" s="2" t="inlineStr">
        <is>
          <t xml:space="preserve">2025-08</t>
        </is>
      </c>
      <c r="B289" s="2" t="inlineStr">
        <is>
          <t xml:space="preserve">2025/26</t>
        </is>
      </c>
      <c r="C289" s="21" t="inlineStr">
        <is>
          <t xml:space="preserve">Neutral</t>
        </is>
      </c>
      <c r="D289" s="4">
        <f>INDEX(Monthly!$P:$P,MATCH($A289,Monthly!$A:$A,0))</f>
        <v>190.398</v>
      </c>
      <c r="E289" s="4">
        <f>INDEX(C$31:C$42,8)</f>
        <v>168.58193333333332</v>
      </c>
      <c r="F289" s="29">
        <f>IF(E289&gt;0,D289/E289,0)</f>
        <v>1.1294092803143398</v>
      </c>
      <c r="G289" s="4">
        <f>INDEX(Monthly!$U:$U,MATCH($A289,Monthly!$A:$A,0))</f>
        <v>158.159</v>
      </c>
      <c r="H289" s="4">
        <f>INDEX(D$31:D$42,8)</f>
        <v>228.6517333333334</v>
      </c>
      <c r="I289" s="29">
        <f>IF(H289&gt;0,G289/H289,0)</f>
        <v>0.6917026068174712</v>
      </c>
      <c r="J289" s="4">
        <f>INDEX(Monthly!$Z:$Z,MATCH($A289,Monthly!$A:$A,0))</f>
        <v>155.02470636859707</v>
      </c>
      <c r="K289" s="4">
        <f>INDEX(E$31:E$42,8)</f>
        <v>219.19053333333335</v>
      </c>
      <c r="L289" s="29">
        <f>IF(K289&gt;0,J289/K289,0)</f>
        <v>0.7072600445423604</v>
      </c>
      <c r="M289" s="4">
        <f>INDEX(Monthly!$AE:$AE,MATCH($A289,Monthly!$A:$A,0))</f>
        <v>167.86056878953238</v>
      </c>
      <c r="N289" s="4">
        <f>INDEX(F$31:F$42,8)</f>
        <v>205.47473333333338</v>
      </c>
      <c r="O289" s="29">
        <f>IF(N289&gt;0,M289/N289,0)</f>
        <v>0.8169401953534547</v>
      </c>
    </row>
    <row r="290">
      <c r="A290" s="2" t="inlineStr">
        <is>
          <t xml:space="preserve">2025-09</t>
        </is>
      </c>
      <c r="B290" s="2" t="inlineStr">
        <is>
          <t xml:space="preserve">2025/26</t>
        </is>
      </c>
      <c r="C290" s="21" t="inlineStr">
        <is>
          <t xml:space="preserve">Neutral</t>
        </is>
      </c>
      <c r="D290" s="4">
        <f>INDEX(Monthly!$P:$P,MATCH($A290,Monthly!$A:$A,0))</f>
        <v>344.866</v>
      </c>
      <c r="E290" s="4">
        <f>INDEX(C$31:C$42,9)</f>
        <v>216.9424666666667</v>
      </c>
      <c r="F290" s="31">
        <f>IF(E290&gt;0,D290/E290,0)</f>
        <v>1.589665708604155</v>
      </c>
      <c r="G290" s="4">
        <f>INDEX(Monthly!$U:$U,MATCH($A290,Monthly!$A:$A,0))</f>
        <v>106.814</v>
      </c>
      <c r="H290" s="4">
        <f>INDEX(D$31:D$42,9)</f>
        <v>235.93773333333334</v>
      </c>
      <c r="I290" s="32">
        <f>IF(H290&gt;0,G290/H290,0)</f>
        <v>0.45272114167975386</v>
      </c>
      <c r="J290" s="4">
        <f>INDEX(Monthly!$Z:$Z,MATCH($A290,Monthly!$A:$A,0))</f>
        <v>304.86830427730354</v>
      </c>
      <c r="K290" s="4">
        <f>INDEX(E$31:E$42,9)</f>
        <v>255.97060000000002</v>
      </c>
      <c r="L290" s="29">
        <f>IF(K290&gt;0,J290/K290,0)</f>
        <v>1.1910285957735127</v>
      </c>
      <c r="M290" s="4">
        <f>INDEX(Monthly!$AE:$AE,MATCH($A290,Monthly!$A:$A,0))</f>
        <v>252.1827680924345</v>
      </c>
      <c r="N290" s="4">
        <f>INDEX(F$31:F$42,9)</f>
        <v>236.28360000000004</v>
      </c>
      <c r="O290" s="29">
        <f>IF(N290&gt;0,M290/N290,0)</f>
        <v>1.06728849608028</v>
      </c>
    </row>
    <row r="291">
      <c r="A291" s="2" t="inlineStr">
        <is>
          <t xml:space="preserve">2025-10</t>
        </is>
      </c>
      <c r="B291" s="2" t="inlineStr">
        <is>
          <t xml:space="preserve">2025/26</t>
        </is>
      </c>
      <c r="C291" s="21" t="inlineStr">
        <is>
          <t xml:space="preserve">Neutral</t>
        </is>
      </c>
      <c r="D291" s="4">
        <f>INDEX(Monthly!$P:$P,MATCH($A291,Monthly!$A:$A,0))</f>
        <v>205.294</v>
      </c>
      <c r="E291" s="4">
        <f>INDEX(C$31:C$42,10)</f>
        <v>157.55200000000002</v>
      </c>
      <c r="F291" s="29">
        <f>IF(E291&gt;0,D291/E291,0)</f>
        <v>1.303023763582817</v>
      </c>
      <c r="G291" s="4">
        <f>INDEX(Monthly!$U:$U,MATCH($A291,Monthly!$A:$A,0))</f>
        <v>175.359</v>
      </c>
      <c r="H291" s="4">
        <f>INDEX(D$31:D$42,10)</f>
        <v>156.79653333333331</v>
      </c>
      <c r="I291" s="29">
        <f>IF(H291&gt;0,G291/H291,0)</f>
        <v>1.1183856956021139</v>
      </c>
      <c r="J291" s="4">
        <f>INDEX(Monthly!$Z:$Z,MATCH($A291,Monthly!$A:$A,0))</f>
        <v>190.62378777889464</v>
      </c>
      <c r="K291" s="4">
        <f>INDEX(E$31:E$42,10)</f>
        <v>182.93833333333333</v>
      </c>
      <c r="L291" s="29">
        <f>IF(K291&gt;0,J291/K291,0)</f>
        <v>1.0420111755995807</v>
      </c>
      <c r="M291" s="4">
        <f>INDEX(Monthly!$AE:$AE,MATCH($A291,Monthly!$A:$A,0))</f>
        <v>190.42559592629823</v>
      </c>
      <c r="N291" s="4">
        <f>INDEX(F$31:F$42,10)</f>
        <v>165.7622888888889</v>
      </c>
      <c r="O291" s="29">
        <f>IF(N291&gt;0,M291/N291,0)</f>
        <v>1.1487872012550528</v>
      </c>
    </row>
    <row r="292">
      <c r="A292" s="2" t="inlineStr">
        <is>
          <t xml:space="preserve">2025-11</t>
        </is>
      </c>
      <c r="B292" s="2" t="inlineStr">
        <is>
          <t xml:space="preserve">2025/26</t>
        </is>
      </c>
      <c r="C292" s="21" t="inlineStr">
        <is>
          <t xml:space="preserve">Neutral</t>
        </is>
      </c>
      <c r="D292" s="4">
        <f>INDEX(Monthly!$P:$P,MATCH($A292,Monthly!$A:$A,0))</f>
        <v>13.56</v>
      </c>
      <c r="E292" s="4">
        <f>INDEX(C$31:C$42,11)</f>
        <v>28.2242</v>
      </c>
      <c r="F292" s="32">
        <f>IF(E292&gt;0,D292/E292,0)</f>
        <v>0.48043877240098926</v>
      </c>
      <c r="G292" s="4">
        <f>INDEX(Monthly!$U:$U,MATCH($A292,Monthly!$A:$A,0))</f>
        <v>31.532</v>
      </c>
      <c r="H292" s="4">
        <f>INDEX(D$31:D$42,11)</f>
        <v>37.004000000000005</v>
      </c>
      <c r="I292" s="29">
        <f>IF(H292&gt;0,G292/H292,0)</f>
        <v>0.8521240946924655</v>
      </c>
      <c r="J292" s="4">
        <f>INDEX(Monthly!$Z:$Z,MATCH($A292,Monthly!$A:$A,0))</f>
        <v>36.89326717782988</v>
      </c>
      <c r="K292" s="4">
        <f>INDEX(E$31:E$42,11)</f>
        <v>60.208133333333336</v>
      </c>
      <c r="L292" s="29">
        <f>IF(K292&gt;0,J292/K292,0)</f>
        <v>0.6127621823712058</v>
      </c>
      <c r="M292" s="4">
        <f>INDEX(Monthly!$AE:$AE,MATCH($A292,Monthly!$A:$A,0))</f>
        <v>27.328422392609962</v>
      </c>
      <c r="N292" s="4">
        <f>INDEX(F$31:F$42,11)</f>
        <v>41.81211111111111</v>
      </c>
      <c r="O292" s="29">
        <f>IF(N292&gt;0,M292/N292,0)</f>
        <v>0.653600635471088</v>
      </c>
    </row>
    <row r="293">
      <c r="A293" s="2" t="inlineStr">
        <is>
          <t xml:space="preserve">2025-12</t>
        </is>
      </c>
      <c r="B293" s="2" t="inlineStr">
        <is>
          <t xml:space="preserve">2025/26</t>
        </is>
      </c>
      <c r="C293" s="21" t="inlineStr">
        <is>
          <t xml:space="preserve">Neutral</t>
        </is>
      </c>
      <c r="D293" s="4">
        <f>INDEX(Monthly!$P:$P,MATCH($A293,Monthly!$A:$A,0))</f>
        <v>27.79</v>
      </c>
      <c r="E293" s="4">
        <f>INDEX(C$31:C$42,12)</f>
        <v>13.638533333333335</v>
      </c>
      <c r="F293" s="31">
        <f>IF(E293&gt;0,D293/E293,0)</f>
        <v>2.037609127081113</v>
      </c>
      <c r="G293" s="4">
        <f>INDEX(Monthly!$U:$U,MATCH($A293,Monthly!$A:$A,0))</f>
        <v>16.486</v>
      </c>
      <c r="H293" s="4">
        <f>INDEX(D$31:D$42,12)</f>
        <v>23.69433333333333</v>
      </c>
      <c r="I293" s="29">
        <f>IF(H293&gt;0,G293/H293,0)</f>
        <v>0.6957781748097296</v>
      </c>
      <c r="J293" s="4">
        <f>INDEX(Monthly!$Z:$Z,MATCH($A293,Monthly!$A:$A,0))</f>
        <v>62.13650251882041</v>
      </c>
      <c r="K293" s="4">
        <f>INDEX(E$31:E$42,12)</f>
        <v>52.138</v>
      </c>
      <c r="L293" s="29">
        <f>IF(K293&gt;0,J293/K293,0)</f>
        <v>1.191769966604404</v>
      </c>
      <c r="M293" s="4">
        <f>INDEX(Monthly!$AE:$AE,MATCH($A293,Monthly!$A:$A,0))</f>
        <v>35.47083417294014</v>
      </c>
      <c r="N293" s="4">
        <f>INDEX(F$31:F$42,12)</f>
        <v>29.823622222222223</v>
      </c>
      <c r="O293" s="29">
        <f>IF(N293&gt;0,M293/N293,0)</f>
        <v>1.189353657601995</v>
      </c>
    </row>
    <row r="294">
      <c r="A294" s="2" t="inlineStr">
        <is>
          <t xml:space="preserve">2026-01</t>
        </is>
      </c>
      <c r="B294" s="2" t="inlineStr">
        <is>
          <t xml:space="preserve">2025/26</t>
        </is>
      </c>
      <c r="C294" s="21" t="inlineStr">
        <is>
          <t xml:space="preserve">Neutral</t>
        </is>
      </c>
      <c r="D294" s="4">
        <f>INDEX(Monthly!$P:$P,MATCH($A294,Monthly!$A:$A,0))</f>
        <v>2.814</v>
      </c>
      <c r="E294" s="4">
        <f>INDEX(C$31:C$42,1)</f>
        <v>4.832071428571429</v>
      </c>
      <c r="F294" s="29">
        <f>IF(E294&gt;0,D294/E294,0)</f>
        <v>0.5823589410043015</v>
      </c>
      <c r="G294" s="4">
        <f>INDEX(Monthly!$U:$U,MATCH($A294,Monthly!$A:$A,0))</f>
        <v>0.712</v>
      </c>
      <c r="H294" s="4">
        <f>INDEX(D$31:D$42,1)</f>
        <v>14.249071428571428</v>
      </c>
      <c r="I294" s="32">
        <f>IF(H294&gt;0,G294/H294,0)</f>
        <v>0.049968168351822426</v>
      </c>
      <c r="J294" s="4">
        <f>INDEX(Monthly!$Z:$Z,MATCH($A294,Monthly!$A:$A,0))</f>
        <v>66.86466019149961</v>
      </c>
      <c r="K294" s="4">
        <f>INDEX(E$31:E$42,1)</f>
        <v>40.161500000000004</v>
      </c>
      <c r="L294" s="31">
        <f>IF(K294&gt;0,J294/K294,0)</f>
        <v>1.6648944932709089</v>
      </c>
      <c r="M294" s="4">
        <f>INDEX(Monthly!$AE:$AE,MATCH($A294,Monthly!$A:$A,0))</f>
        <v>23.463553397166535</v>
      </c>
      <c r="N294" s="4">
        <f>INDEX(F$31:F$42,1)</f>
        <v>19.74754761904762</v>
      </c>
      <c r="O294" s="29">
        <f>IF(N294&gt;0,M294/N294,0)</f>
        <v>1.1881755572795591</v>
      </c>
    </row>
    <row r="295">
      <c r="A295" s="2" t="inlineStr">
        <is>
          <t xml:space="preserve">2026-02</t>
        </is>
      </c>
      <c r="B295" s="2" t="inlineStr">
        <is>
          <t xml:space="preserve">2025/26</t>
        </is>
      </c>
      <c r="C295" s="21" t="inlineStr">
        <is>
          <t xml:space="preserve">Neutral</t>
        </is>
      </c>
      <c r="D295" s="4">
        <f>INDEX(Monthly!$P:$P,MATCH($A295,Monthly!$A:$A,0))</f>
        <v>1.769</v>
      </c>
      <c r="E295" s="4">
        <f>INDEX(C$31:C$42,2)</f>
        <v>5.8785</v>
      </c>
      <c r="F295" s="32">
        <f>IF(E295&gt;0,D295/E295,0)</f>
        <v>0.3009271072552522</v>
      </c>
      <c r="G295" s="4">
        <f>INDEX(Monthly!$U:$U,MATCH($A295,Monthly!$A:$A,0))</f>
        <v>0.631</v>
      </c>
      <c r="H295" s="4">
        <f>INDEX(D$31:D$42,2)</f>
        <v>12.850714285714284</v>
      </c>
      <c r="I295" s="32">
        <f>IF(H295&gt;0,G295/H295,0)</f>
        <v>0.04910232894224891</v>
      </c>
      <c r="J295" s="4">
        <f>INDEX(Monthly!$Z:$Z,MATCH($A295,Monthly!$A:$A,0))</f>
        <v>27.82389938070612</v>
      </c>
      <c r="K295" s="4">
        <f>INDEX(E$31:E$42,2)</f>
        <v>27.980785714285712</v>
      </c>
      <c r="L295" s="29">
        <f>IF(K295&gt;0,J295/K295,0)</f>
        <v>0.9943930690445375</v>
      </c>
      <c r="M295" s="4">
        <f>INDEX(Monthly!$AE:$AE,MATCH($A295,Monthly!$A:$A,0))</f>
        <v>10.07463312690204</v>
      </c>
      <c r="N295" s="4">
        <f>INDEX(F$31:F$42,2)</f>
        <v>15.570000000000002</v>
      </c>
      <c r="O295" s="29">
        <f>IF(N295&gt;0,M295/N295,0)</f>
        <v>0.6470541507323082</v>
      </c>
    </row>
    <row r="296">
      <c r="A296" s="2" t="inlineStr">
        <is>
          <t xml:space="preserve">2026-03</t>
        </is>
      </c>
      <c r="B296" s="2" t="inlineStr">
        <is>
          <t xml:space="preserve">2025/26</t>
        </is>
      </c>
      <c r="C296" s="21" t="inlineStr">
        <is>
          <t xml:space="preserve">Neutral</t>
        </is>
      </c>
      <c r="D296" s="4">
        <f>INDEX(Monthly!$P:$P,MATCH($A296,Monthly!$A:$A,0))</f>
        <v>61.738</v>
      </c>
      <c r="E296" s="4">
        <f>INDEX(C$31:C$42,3)</f>
        <v>8.098142857142857</v>
      </c>
      <c r="F296" s="31">
        <f>IF(E296&gt;0,D296/E296,0)</f>
        <v>7.623723252244782</v>
      </c>
      <c r="G296" s="4">
        <f>INDEX(Monthly!$U:$U,MATCH($A296,Monthly!$A:$A,0))</f>
        <v>16.414</v>
      </c>
      <c r="H296" s="4">
        <f>INDEX(D$31:D$42,3)</f>
        <v>13.050214285714285</v>
      </c>
      <c r="I296" s="29">
        <f>IF(H296&gt;0,G296/H296,0)</f>
        <v>1.257757124951424</v>
      </c>
      <c r="J296" s="4">
        <f>INDEX(Monthly!$Z:$Z,MATCH($A296,Monthly!$A:$A,0))</f>
        <v>34.19836996904024</v>
      </c>
      <c r="K296" s="4">
        <f>INDEX(E$31:E$42,3)</f>
        <v>22.94821428571429</v>
      </c>
      <c r="L296" s="29">
        <f>IF(K296&gt;0,J296/K296,0)</f>
        <v>1.490241007132716</v>
      </c>
      <c r="M296" s="4">
        <f>INDEX(Monthly!$AE:$AE,MATCH($A296,Monthly!$A:$A,0))</f>
        <v>37.450123323013415</v>
      </c>
      <c r="N296" s="4">
        <f>INDEX(F$31:F$42,3)</f>
        <v>14.69885714285714</v>
      </c>
      <c r="O296" s="31">
        <f>IF(N296&gt;0,M296/N296,0)</f>
        <v>2.5478255186126613</v>
      </c>
    </row>
    <row r="297">
      <c r="A297" s="2" t="inlineStr">
        <is>
          <t xml:space="preserve">2026-04</t>
        </is>
      </c>
      <c r="B297" s="2" t="inlineStr">
        <is>
          <t xml:space="preserve">2025/26</t>
        </is>
      </c>
      <c r="C297" s="21" t="inlineStr">
        <is>
          <t xml:space="preserve">Neutral</t>
        </is>
      </c>
      <c r="D297" s="4">
        <f>INDEX(Monthly!$P:$P,MATCH($A297,Monthly!$A:$A,0))</f>
        <v>550.337</v>
      </c>
      <c r="E297" s="4">
        <f>INDEX(C$31:C$42,4)</f>
        <v>48.56264285714286</v>
      </c>
      <c r="F297" s="31">
        <f>IF(E297&gt;0,D297/E297,0)</f>
        <v>11.332517499488876</v>
      </c>
      <c r="G297" s="4">
        <f>INDEX(Monthly!$U:$U,MATCH($A297,Monthly!$A:$A,0))</f>
        <v>63.316</v>
      </c>
      <c r="H297" s="4">
        <f>INDEX(D$31:D$42,4)</f>
        <v>40.45578571428571</v>
      </c>
      <c r="I297" s="31">
        <f>IF(H297&gt;0,G297/H297,0)</f>
        <v>1.5650666247631897</v>
      </c>
      <c r="J297" s="4">
        <f>INDEX(Monthly!$Z:$Z,MATCH($A297,Monthly!$A:$A,0))</f>
        <v>56.78474636425483</v>
      </c>
      <c r="K297" s="4">
        <f>INDEX(E$31:E$42,4)</f>
        <v>48.85292857142857</v>
      </c>
      <c r="L297" s="29">
        <f>IF(K297&gt;0,J297/K297,0)</f>
        <v>1.1623611526426514</v>
      </c>
      <c r="M297" s="4">
        <f>INDEX(Monthly!$AE:$AE,MATCH($A297,Monthly!$A:$A,0))</f>
        <v>223.47924878808496</v>
      </c>
      <c r="N297" s="4">
        <f>INDEX(F$31:F$42,4)</f>
        <v>45.95711904761904</v>
      </c>
      <c r="O297" s="31">
        <f>IF(N297&gt;0,M297/N297,0)</f>
        <v>4.862777593968068</v>
      </c>
    </row>
    <row r="298">
      <c r="A298" s="2" t="inlineStr">
        <is>
          <t xml:space="preserve">2026-05</t>
        </is>
      </c>
      <c r="B298" s="2" t="inlineStr">
        <is>
          <t xml:space="preserve">2025/26</t>
        </is>
      </c>
      <c r="C298" s="21" t="inlineStr">
        <is>
          <t xml:space="preserve">Neutral</t>
        </is>
      </c>
      <c r="D298" s="4">
        <f>INDEX(Monthly!$P:$P,MATCH($A298,Monthly!$A:$A,0))</f>
        <v>113.955</v>
      </c>
      <c r="E298" s="4">
        <f>INDEX(C$31:C$42,5)</f>
        <v>157.25921428571428</v>
      </c>
      <c r="F298" s="29">
        <f>IF(E298&gt;0,D298/E298,0)</f>
        <v>0.7246316250376426</v>
      </c>
      <c r="G298" s="4">
        <f>INDEX(Monthly!$U:$U,MATCH($A298,Monthly!$A:$A,0))</f>
        <v>61.715</v>
      </c>
      <c r="H298" s="4">
        <f>INDEX(D$31:D$42,5)</f>
        <v>153.39671428571432</v>
      </c>
      <c r="I298" s="32">
        <f>IF(H298&gt;0,G298/H298,0)</f>
        <v>0.4023228286692674</v>
      </c>
      <c r="J298" s="4">
        <f>INDEX(Monthly!$Z:$Z,MATCH($A298,Monthly!$A:$A,0))</f>
        <v>112.48179429580358</v>
      </c>
      <c r="K298" s="4">
        <f>INDEX(E$31:E$42,5)</f>
        <v>157.15200000000002</v>
      </c>
      <c r="L298" s="29">
        <f>IF(K298&gt;0,J298/K298,0)</f>
        <v>0.7157515926988112</v>
      </c>
      <c r="M298" s="4">
        <f>INDEX(Monthly!$AE:$AE,MATCH($A298,Monthly!$A:$A,0))</f>
        <v>96.0505980986012</v>
      </c>
      <c r="N298" s="4">
        <f>INDEX(F$31:F$42,5)</f>
        <v>155.9359761904762</v>
      </c>
      <c r="O298" s="29">
        <f>IF(N298&gt;0,M298/N298,0)</f>
        <v>0.6159617584416514</v>
      </c>
    </row>
    <row r="299">
      <c r="A299" s="2" t="inlineStr">
        <is>
          <t xml:space="preserve">2026-06</t>
        </is>
      </c>
      <c r="B299" s="2" t="inlineStr">
        <is>
          <t xml:space="preserve">2025/26</t>
        </is>
      </c>
      <c r="C299" s="21" t="inlineStr">
        <is>
          <t xml:space="preserve">Neutral</t>
        </is>
      </c>
      <c r="D299" s="4">
        <f>INDEX(Monthly!$P:$P,MATCH($A299,Monthly!$A:$A,0))</f>
        <v>181.884</v>
      </c>
      <c r="E299" s="4">
        <f>INDEX(C$31:C$42,6)</f>
        <v>197.10614285714286</v>
      </c>
      <c r="F299" s="29">
        <f>IF(E299&gt;0,D299/E299,0)</f>
        <v>0.9227718495400954</v>
      </c>
      <c r="G299" s="4">
        <f>INDEX(Monthly!$U:$U,MATCH($A299,Monthly!$A:$A,0))</f>
        <v>72.205</v>
      </c>
      <c r="H299" s="4">
        <f>INDEX(D$31:D$42,6)</f>
        <v>192.85257142857145</v>
      </c>
      <c r="I299" s="32">
        <f>IF(H299&gt;0,G299/H299,0)</f>
        <v>0.3744051710855368</v>
      </c>
      <c r="J299" s="4">
        <f>INDEX(Monthly!$Z:$Z,MATCH($A299,Monthly!$A:$A,0))</f>
        <v>192.28628245609397</v>
      </c>
      <c r="K299" s="4">
        <f>INDEX(E$31:E$42,6)</f>
        <v>244.03071428571425</v>
      </c>
      <c r="L299" s="29">
        <f>IF(K299&gt;0,J299/K299,0)</f>
        <v>0.7879593477358868</v>
      </c>
      <c r="M299" s="4">
        <f>INDEX(Monthly!$AE:$AE,MATCH($A299,Monthly!$A:$A,0))</f>
        <v>148.79176081869798</v>
      </c>
      <c r="N299" s="4">
        <f>INDEX(F$31:F$42,6)</f>
        <v>211.32980952380953</v>
      </c>
      <c r="O299" s="29">
        <f>IF(N299&gt;0,M299/N299,0)</f>
        <v>0.7040736995598074</v>
      </c>
    </row>
    <row r="300">
      <c r="A300" s="2" t="inlineStr">
        <is>
          <t xml:space="preserve">2026-07</t>
        </is>
      </c>
      <c r="B300" s="2" t="inlineStr">
        <is>
          <t xml:space="preserve">2026/27</t>
        </is>
      </c>
      <c r="C300" s="6" t="inlineStr">
        <is>
          <t xml:space="preserve">El Niño</t>
        </is>
      </c>
      <c r="D300" s="4">
        <f>INDEX(Monthly!$P:$P,MATCH($A300,Monthly!$A:$A,0))</f>
        <v>75.997</v>
      </c>
      <c r="E300" s="4">
        <f>INDEX(C$31:C$42,7)</f>
        <v>137.10459999999998</v>
      </c>
      <c r="F300" s="29">
        <f>IF(E300&gt;0,D300/E300,0)</f>
        <v>0.5542994181085099</v>
      </c>
      <c r="G300" s="4">
        <f>INDEX(Monthly!$U:$U,MATCH($A300,Monthly!$A:$A,0))</f>
        <v>47.519</v>
      </c>
      <c r="H300" s="4">
        <f>INDEX(D$31:D$42,7)</f>
        <v>187.2258</v>
      </c>
      <c r="I300" s="32">
        <f>IF(H300&gt;0,G300/H300,0)</f>
        <v>0.25380583231584536</v>
      </c>
      <c r="J300" s="4">
        <f>INDEX(Monthly!$Z:$Z,MATCH($A300,Monthly!$A:$A,0))</f>
        <v>123.82579592128445</v>
      </c>
      <c r="K300" s="4">
        <f>INDEX(E$31:E$42,7)</f>
        <v>179.02346666666668</v>
      </c>
      <c r="L300" s="29">
        <f>IF(K300&gt;0,J300/K300,0)</f>
        <v>0.6916735455237402</v>
      </c>
      <c r="M300" s="4">
        <f>INDEX(Monthly!$AE:$AE,MATCH($A300,Monthly!$A:$A,0))</f>
        <v>82.44726530709481</v>
      </c>
      <c r="N300" s="4">
        <f>INDEX(F$31:F$42,7)</f>
        <v>167.78462222222225</v>
      </c>
      <c r="O300" s="32">
        <f>IF(N300&gt;0,M300/N300,0)</f>
        <v>0.49138749555902433</v>
      </c>
    </row>
    <row r="301">
      <c r="A301" s="2" t="inlineStr">
        <is>
          <t xml:space="preserve">2026-08</t>
        </is>
      </c>
      <c r="B301" s="2" t="inlineStr">
        <is>
          <t xml:space="preserve">2026/27</t>
        </is>
      </c>
      <c r="C301" s="6" t="inlineStr">
        <is>
          <t xml:space="preserve">El Niño</t>
        </is>
      </c>
      <c r="D301" s="4">
        <f>INDEX(Monthly!$P:$P,MATCH($A301,Monthly!$A:$A,0))</f>
        <v>23.422</v>
      </c>
      <c r="E301" s="4">
        <f>INDEX(C$31:C$42,8)</f>
        <v>168.58193333333332</v>
      </c>
      <c r="F301" s="32">
        <f>IF(E301&gt;0,D301/E301,0)</f>
        <v>0.138935409844234</v>
      </c>
      <c r="G301" s="4">
        <f>INDEX(Monthly!$U:$U,MATCH($A301,Monthly!$A:$A,0))</f>
        <v>12.148</v>
      </c>
      <c r="H301" s="4">
        <f>INDEX(D$31:D$42,8)</f>
        <v>228.6517333333334</v>
      </c>
      <c r="I301" s="32">
        <f>IF(H301&gt;0,G301/H301,0)</f>
        <v>0.05312883406963019</v>
      </c>
      <c r="J301" s="4">
        <f>INDEX(Monthly!$Z:$Z,MATCH($A301,Monthly!$A:$A,0))</f>
        <v>69.3362777354232</v>
      </c>
      <c r="K301" s="4">
        <f>INDEX(E$31:E$42,8)</f>
        <v>219.19053333333335</v>
      </c>
      <c r="L301" s="32">
        <f>IF(K301&gt;0,J301/K301,0)</f>
        <v>0.3163287970561222</v>
      </c>
      <c r="M301" s="4">
        <f>INDEX(Monthly!$AE:$AE,MATCH($A301,Monthly!$A:$A,0))</f>
        <v>34.968759245141065</v>
      </c>
      <c r="N301" s="4">
        <f>INDEX(F$31:F$42,8)</f>
        <v>205.47473333333338</v>
      </c>
      <c r="O301" s="32">
        <f>IF(N301&gt;0,M301/N301,0)</f>
        <v>0.170185203201664</v>
      </c>
    </row>
    <row r="302">
      <c r="A302" s="2" t="inlineStr">
        <is>
          <t xml:space="preserve">2026-09</t>
        </is>
      </c>
      <c r="B302" s="2" t="inlineStr">
        <is>
          <t xml:space="preserve">2026/27</t>
        </is>
      </c>
      <c r="C302" s="6" t="inlineStr">
        <is>
          <t xml:space="preserve">El Niño</t>
        </is>
      </c>
      <c r="D302" s="4">
        <f>INDEX(Monthly!$P:$P,MATCH($A302,Monthly!$A:$A,0))</f>
        <v>91.597</v>
      </c>
      <c r="E302" s="4">
        <f>INDEX(C$31:C$42,9)</f>
        <v>216.9424666666667</v>
      </c>
      <c r="F302" s="32">
        <f>IF(E302&gt;0,D302/E302,0)</f>
        <v>0.4222179336641327</v>
      </c>
      <c r="G302" s="4">
        <f>INDEX(Monthly!$U:$U,MATCH($A302,Monthly!$A:$A,0))</f>
        <v>49.059</v>
      </c>
      <c r="H302" s="4">
        <f>INDEX(D$31:D$42,9)</f>
        <v>235.93773333333334</v>
      </c>
      <c r="I302" s="32">
        <f>IF(H302&gt;0,G302/H302,0)</f>
        <v>0.20793197979353872</v>
      </c>
      <c r="J302" s="4">
        <f>INDEX(Monthly!$Z:$Z,MATCH($A302,Monthly!$A:$A,0))</f>
        <v>33.18</v>
      </c>
      <c r="K302" s="4">
        <f>INDEX(E$31:E$42,9)</f>
        <v>255.97060000000002</v>
      </c>
      <c r="L302" s="32">
        <f>IF(K302&gt;0,J302/K302,0)</f>
        <v>0.12962426153628578</v>
      </c>
      <c r="M302" s="4">
        <f>INDEX(Monthly!$AE:$AE,MATCH($A302,Monthly!$A:$A,0))</f>
        <v>57.94533333333334</v>
      </c>
      <c r="N302" s="4">
        <f>INDEX(F$31:F$42,9)</f>
        <v>236.28360000000004</v>
      </c>
      <c r="O302" s="32">
        <f>IF(N302&gt;0,M302/N302,0)</f>
        <v>0.24523637414248525</v>
      </c>
    </row>
  </sheetData>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dc:title>Sumatra weather by ENSO season</dc:title>
</cp:coreProperties>
</file>